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Q:\LGF3\LGF3Data\NNDR 1 - 3\NNDR1\2025-26\Form to LAs\"/>
    </mc:Choice>
  </mc:AlternateContent>
  <xr:revisionPtr revIDLastSave="0" documentId="13_ncr:1_{6A09DBE4-032C-446F-B326-382C24629F8E}" xr6:coauthVersionLast="47" xr6:coauthVersionMax="47" xr10:uidLastSave="{00000000-0000-0000-0000-000000000000}"/>
  <bookViews>
    <workbookView xWindow="-120" yWindow="-120" windowWidth="30030" windowHeight="16170" xr2:uid="{16EF1262-8F63-48E5-8108-D9BA03F8BDF9}"/>
  </bookViews>
  <sheets>
    <sheet name="Title" sheetId="32" r:id="rId1"/>
    <sheet name="Part 1" sheetId="1" r:id="rId2"/>
    <sheet name="Part 2" sheetId="6" r:id="rId3"/>
    <sheet name="Part 3" sheetId="41" r:id="rId4"/>
    <sheet name="Part 3 DA summary" sheetId="51" r:id="rId5"/>
    <sheet name="Part 4" sheetId="23" r:id="rId6"/>
    <sheet name="Supplementary Information" sheetId="22" r:id="rId7"/>
    <sheet name="Main Validation" sheetId="24" r:id="rId8"/>
    <sheet name="Supplementary Validation" sheetId="30" r:id="rId9"/>
    <sheet name="Backsheet" sheetId="74" state="veryHidden" r:id="rId10"/>
    <sheet name="Data" sheetId="9" state="veryHidden" r:id="rId11"/>
    <sheet name="TierSplit" sheetId="12" state="veryHidden" r:id="rId12"/>
    <sheet name="EZ list" sheetId="52" state="veryHidden" r:id="rId13"/>
    <sheet name="LA List" sheetId="53" state="veryHidden" r:id="rId14"/>
    <sheet name="Hardcoded Values" sheetId="108" state="veryHidden" r:id="rId15"/>
    <sheet name="Placeholder Allocations" sheetId="101" state="veryHidden" r:id="rId16"/>
    <sheet name="LA_info" sheetId="55" state="veryHidden" r:id="rId17"/>
    <sheet name="Cost of Collection" sheetId="115" state="veryHidden" r:id="rId18"/>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4</definedName>
    <definedName name="_AtRisk_SimSetting_SimName001" hidden="1">"Historical"</definedName>
    <definedName name="_AtRisk_SimSetting_SimName002" hidden="1">"Household projections"</definedName>
    <definedName name="_AtRisk_SimSetting_SimName003" hidden="1">"Local plans"</definedName>
    <definedName name="_AtRisk_SimSetting_SimName004" hidden="1">"Adjusted local plans"</definedName>
    <definedName name="_AtRisk_SimSetting_SimName005" hidden="1">"Manual"</definedName>
    <definedName name="_AtRisk_SimSetting_SimName006" hidden="1">"Min Net Additions"</definedName>
    <definedName name="_AtRisk_SimSetting_SimName007" hidden="1">"Central Net Additions"</definedName>
    <definedName name="_AtRisk_SimSetting_SimName008" hidden="1">"Max Net Additions"</definedName>
    <definedName name="_AtRisk_SimSetting_SimNameCount" hidden="1">8</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9" hidden="1">Backsheet!$A$1:$K$1449</definedName>
    <definedName name="_xlnm._FilterDatabase" localSheetId="10" hidden="1">Data!$A$4:$CT$301</definedName>
    <definedName name="_xlnm._FilterDatabase" localSheetId="12" hidden="1">'EZ list'!$A$3:$AI$464</definedName>
    <definedName name="_xlnm._FilterDatabase" localSheetId="13" hidden="1">'LA List'!$A$2:$CB$298</definedName>
    <definedName name="_xlnm._FilterDatabase" localSheetId="1" hidden="1">'Part 1'!$C$107:$I$108</definedName>
    <definedName name="_xlnm._FilterDatabase" localSheetId="11" hidden="1">TierSplit!$A$5:$CT$302</definedName>
    <definedName name="_xlnm._FilterDatabase" hidden="1">#REF!</definedName>
    <definedName name="_Order1" hidden="1">255</definedName>
    <definedName name="_Order2" hidden="1">0</definedName>
    <definedName name="a" hidden="1">{#N/A,#N/A,FALSE,"TMCOMP96";#N/A,#N/A,FALSE,"MAT96";#N/A,#N/A,FALSE,"FANDA96";#N/A,#N/A,FALSE,"INTRAN96";#N/A,#N/A,FALSE,"NAA9697";#N/A,#N/A,FALSE,"ECWEBB";#N/A,#N/A,FALSE,"MFT96";#N/A,#N/A,FALSE,"CTrecon"}</definedName>
    <definedName name="a_1" hidden="1">{#N/A,#N/A,FALSE,"TMCOMP96";#N/A,#N/A,FALSE,"MAT96";#N/A,#N/A,FALSE,"FANDA96";#N/A,#N/A,FALSE,"INTRAN96";#N/A,#N/A,FALSE,"NAA9697";#N/A,#N/A,FALSE,"ECWEBB";#N/A,#N/A,FALSE,"MFT96";#N/A,#N/A,FALSE,"CTrecon"}</definedName>
    <definedName name="adj_factor">'Part 1'!$F$281</definedName>
    <definedName name="adj_factor_supp">'Part 1'!$F$282</definedName>
    <definedName name="asdas" hidden="1">{#N/A,#N/A,FALSE,"TMCOMP96";#N/A,#N/A,FALSE,"MAT96";#N/A,#N/A,FALSE,"FANDA96";#N/A,#N/A,FALSE,"INTRAN96";#N/A,#N/A,FALSE,"NAA9697";#N/A,#N/A,FALSE,"ECWEBB";#N/A,#N/A,FALSE,"MFT96";#N/A,#N/A,FALSE,"CTrecon"}</definedName>
    <definedName name="asdas_1" hidden="1">{#N/A,#N/A,FALSE,"TMCOMP96";#N/A,#N/A,FALSE,"MAT96";#N/A,#N/A,FALSE,"FANDA96";#N/A,#N/A,FALSE,"INTRAN96";#N/A,#N/A,FALSE,"NAA9697";#N/A,#N/A,FALSE,"ECWEBB";#N/A,#N/A,FALSE,"MFT96";#N/A,#N/A,FALSE,"CTrecon"}</definedName>
    <definedName name="asdas17aug" hidden="1">{#N/A,#N/A,FALSE,"TMCOMP96";#N/A,#N/A,FALSE,"MAT96";#N/A,#N/A,FALSE,"FANDA96";#N/A,#N/A,FALSE,"INTRAN96";#N/A,#N/A,FALSE,"NAA9697";#N/A,#N/A,FALSE,"ECWEBB";#N/A,#N/A,FALSE,"MFT96";#N/A,#N/A,FALSE,"CTrecon"}</definedName>
    <definedName name="asdas17aug_1"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FD_1"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_1"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DFA_1"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SFD_1" hidden="1">{#N/A,#N/A,FALSE,"TMCOMP96";#N/A,#N/A,FALSE,"MAT96";#N/A,#N/A,FALSE,"FANDA96";#N/A,#N/A,FALSE,"INTRAN96";#N/A,#N/A,FALSE,"NAA9697";#N/A,#N/A,FALSE,"ECWEBB";#N/A,#N/A,FALSE,"MFT96";#N/A,#N/A,FALSE,"CTrecon"}</definedName>
    <definedName name="b" hidden="1">{#N/A,#N/A,FALSE,"TMCOMP96";#N/A,#N/A,FALSE,"MAT96";#N/A,#N/A,FALSE,"FANDA96";#N/A,#N/A,FALSE,"INTRAN96";#N/A,#N/A,FALSE,"NAA9697";#N/A,#N/A,FALSE,"ECWEBB";#N/A,#N/A,FALSE,"MFT96";#N/A,#N/A,FALSE,"CTrecon"}</definedName>
    <definedName name="b_1" hidden="1">{#N/A,#N/A,FALSE,"TMCOMP96";#N/A,#N/A,FALSE,"MAT96";#N/A,#N/A,FALSE,"FANDA96";#N/A,#N/A,FALSE,"INTRAN96";#N/A,#N/A,FALSE,"NAA9697";#N/A,#N/A,FALSE,"ECWEBB";#N/A,#N/A,FALSE,"MFT96";#N/A,#N/A,FALSE,"CTrecon"}</definedName>
    <definedName name="CONTACT">'Part 1'!$K$15:$N$19</definedName>
    <definedName name="CTRprint1" localSheetId="4">'Part 3 DA summary'!$B$1:$J$1</definedName>
    <definedName name="CTRprint2" localSheetId="4">'Part 3 DA summary'!$B$7:$J$54</definedName>
    <definedName name="datar">Data!$B$5:$BJ$301</definedName>
    <definedName name="dgsgf" hidden="1">{#N/A,#N/A,FALSE,"TMCOMP96";#N/A,#N/A,FALSE,"MAT96";#N/A,#N/A,FALSE,"FANDA96";#N/A,#N/A,FALSE,"INTRAN96";#N/A,#N/A,FALSE,"NAA9697";#N/A,#N/A,FALSE,"ECWEBB";#N/A,#N/A,FALSE,"MFT96";#N/A,#N/A,FALSE,"CTrecon"}</definedName>
    <definedName name="dgsgf_1" hidden="1">{#N/A,#N/A,FALSE,"TMCOMP96";#N/A,#N/A,FALSE,"MAT96";#N/A,#N/A,FALSE,"FANDA96";#N/A,#N/A,FALSE,"INTRAN96";#N/A,#N/A,FALSE,"NAA9697";#N/A,#N/A,FALSE,"ECWEBB";#N/A,#N/A,FALSE,"MFT96";#N/A,#N/A,FALSE,"CTrecon"}</definedName>
    <definedName name="eh" hidden="1">{"'Trust by name'!$A$6:$E$350","'Trust by name'!$A$1:$D$348"}</definedName>
    <definedName name="eh_1" hidden="1">{"'Trust by name'!$A$6:$E$350","'Trust by name'!$A$1:$D$348"}</definedName>
    <definedName name="FDDD" hidden="1">{#N/A,#N/A,FALSE,"TMCOMP96";#N/A,#N/A,FALSE,"MAT96";#N/A,#N/A,FALSE,"FANDA96";#N/A,#N/A,FALSE,"INTRAN96";#N/A,#N/A,FALSE,"NAA9697";#N/A,#N/A,FALSE,"ECWEBB";#N/A,#N/A,FALSE,"MFT96";#N/A,#N/A,FALSE,"CTrecon"}</definedName>
    <definedName name="FDDD_1"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_1"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fd_1"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ghfgh_1"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hj_1" hidden="1">{#N/A,#N/A,FALSE,"TMCOMP96";#N/A,#N/A,FALSE,"MAT96";#N/A,#N/A,FALSE,"FANDA96";#N/A,#N/A,FALSE,"INTRAN96";#N/A,#N/A,FALSE,"NAA9697";#N/A,#N/A,FALSE,"ECWEBB";#N/A,#N/A,FALSE,"MFT96";#N/A,#N/A,FALSE,"CTrecon"}</definedName>
    <definedName name="HTML_CodePage" hidden="1">1252</definedName>
    <definedName name="HTML_Control" hidden="1">{"'Trust by name'!$A$6:$E$350","'Trust by name'!$A$1:$D$348"}</definedName>
    <definedName name="HTML_Control_1"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mport_AuditData" localSheetId="9">Backsheet!#REF!</definedName>
    <definedName name="Import_FormData" localSheetId="9">Backsheet!#REF!</definedName>
    <definedName name="Import_LA_Code">'Part 1'!$K$16</definedName>
    <definedName name="Import_LA_Name">'Part 1'!$K$15</definedName>
    <definedName name="jhkgh" hidden="1">{#N/A,#N/A,FALSE,"TMCOMP96";#N/A,#N/A,FALSE,"MAT96";#N/A,#N/A,FALSE,"FANDA96";#N/A,#N/A,FALSE,"INTRAN96";#N/A,#N/A,FALSE,"NAA9697";#N/A,#N/A,FALSE,"ECWEBB";#N/A,#N/A,FALSE,"MFT96";#N/A,#N/A,FALSE,"CTrecon"}</definedName>
    <definedName name="jhkgh_1"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hkgh2_1" hidden="1">{#N/A,#N/A,FALSE,"TMCOMP96";#N/A,#N/A,FALSE,"MAT96";#N/A,#N/A,FALSE,"FANDA96";#N/A,#N/A,FALSE,"INTRAN96";#N/A,#N/A,FALSE,"NAA9697";#N/A,#N/A,FALSE,"ECWEBB";#N/A,#N/A,FALSE,"MFT96";#N/A,#N/A,FALSE,"CTrecon"}</definedName>
    <definedName name="Local_Share_Total">'Part 1'!$K$281</definedName>
    <definedName name="MHCLG_CONTROL">Backsheet!$A$1:$E$1449</definedName>
    <definedName name="n" hidden="1">{#N/A,#N/A,FALSE,"TMCOMP96";#N/A,#N/A,FALSE,"MAT96";#N/A,#N/A,FALSE,"FANDA96";#N/A,#N/A,FALSE,"INTRAN96";#N/A,#N/A,FALSE,"NAA9697";#N/A,#N/A,FALSE,"ECWEBB";#N/A,#N/A,FALSE,"MFT96";#N/A,#N/A,FALSE,"CTrecon"}</definedName>
    <definedName name="n_1" hidden="1">{#N/A,#N/A,FALSE,"TMCOMP96";#N/A,#N/A,FALSE,"MAT96";#N/A,#N/A,FALSE,"FANDA96";#N/A,#N/A,FALSE,"INTRAN96";#N/A,#N/A,FALSE,"NAA9697";#N/A,#N/A,FALSE,"ECWEBB";#N/A,#N/A,FALSE,"MFT96";#N/A,#N/A,FALSE,"CTrecon"}</definedName>
    <definedName name="name" hidden="1">{#N/A,#N/A,FALSE,"TMCOMP96";#N/A,#N/A,FALSE,"MAT96";#N/A,#N/A,FALSE,"FANDA96";#N/A,#N/A,FALSE,"INTRAN96";#N/A,#N/A,FALSE,"NAA9697";#N/A,#N/A,FALSE,"ECWEBB";#N/A,#N/A,FALSE,"MFT96";#N/A,#N/A,FALSE,"CTrecon"}</definedName>
    <definedName name="name_1"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NOCONFLICT_1"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ption2_1" hidden="1">{#N/A,#N/A,FALSE,"TMCOMP96";#N/A,#N/A,FALSE,"MAT96";#N/A,#N/A,FALSE,"FANDA96";#N/A,#N/A,FALSE,"INTRAN96";#N/A,#N/A,FALSE,"NAA9697";#N/A,#N/A,FALSE,"ECWEBB";#N/A,#N/A,FALSE,"MFT96";#N/A,#N/A,FALSE,"CTrecon"}</definedName>
    <definedName name="Pal_Workbook_GUID" hidden="1">"N7IQZZD5YBE28RGZHB5UQVKH"</definedName>
    <definedName name="_xlnm.Print_Area" localSheetId="10">Data!$AX$1:$BJ$297</definedName>
    <definedName name="_xlnm.Print_Area" localSheetId="12">'EZ list'!$A$1:$E$458</definedName>
    <definedName name="_xlnm.Print_Area" localSheetId="7">'Main Validation'!$A$1:$P$56</definedName>
    <definedName name="_xlnm.Print_Area" localSheetId="1">'Part 1'!$B$1:$T$274</definedName>
    <definedName name="_xlnm.Print_Area" localSheetId="2">'Part 2'!$A$1:$AD$173</definedName>
    <definedName name="_xlnm.Print_Area" localSheetId="3">'Part 3'!$A$1:$O$65</definedName>
    <definedName name="_xlnm.Print_Area" localSheetId="4">'Part 3 DA summary'!$A$1:$AA$56</definedName>
    <definedName name="_xlnm.Print_Area" localSheetId="5">'Part 4'!$A$1:$K$80</definedName>
    <definedName name="_xlnm.Print_Area" localSheetId="6">'Supplementary Information'!$A$1:$I$137</definedName>
    <definedName name="_xlnm.Print_Area" localSheetId="8">'Supplementary Validation'!$A$1:$P$57</definedName>
    <definedName name="_xlnm.Print_Area" localSheetId="11">TierSplit!$A$1:$CQ$302</definedName>
    <definedName name="_xlnm.Print_Area" localSheetId="0">Title!$A$1:$D$99</definedName>
    <definedName name="_xlnm.Print_Titles" localSheetId="10">Data!$1:$3</definedName>
    <definedName name="_xlnm.Print_Titles" localSheetId="12">'EZ list'!$3:$3</definedName>
    <definedName name="_xlnm.Print_Titles" localSheetId="7">'Main Validation'!$1:$18</definedName>
    <definedName name="_xlnm.Print_Titles" localSheetId="1">'Part 1'!$1:$9</definedName>
    <definedName name="_xlnm.Print_Titles" localSheetId="2">'Part 2'!$1:$10</definedName>
    <definedName name="_xlnm.Print_Titles" localSheetId="4">'Part 3 DA summary'!$1:$4</definedName>
    <definedName name="_xlnm.Print_Titles" localSheetId="8">'Supplementary Validation'!$1:$18</definedName>
    <definedName name="Ref_LA_Codes">Data!$C:$C</definedName>
    <definedName name="Ref_LA_Codes2">TierSplit!$A:$A</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8</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BRR_Multiple">'Part 1'!$N$281</definedName>
    <definedName name="SBRR_supp_historic">'Part 1'!$F$283</definedName>
    <definedName name="SBRR_Supplement">'Part 1'!$Q$281</definedName>
    <definedName name="sdf" hidden="1">{#N/A,#N/A,FALSE,"TMCOMP96";#N/A,#N/A,FALSE,"MAT96";#N/A,#N/A,FALSE,"FANDA96";#N/A,#N/A,FALSE,"INTRAN96";#N/A,#N/A,FALSE,"NAA9697";#N/A,#N/A,FALSE,"ECWEBB";#N/A,#N/A,FALSE,"MFT96";#N/A,#N/A,FALSE,"CTrecon"}</definedName>
    <definedName name="sdf_1"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f_1"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fad_1" hidden="1">{#N/A,#N/A,FALSE,"TMCOMP96";#N/A,#N/A,FALSE,"MAT96";#N/A,#N/A,FALSE,"FANDA96";#N/A,#N/A,FALSE,"INTRAN96";#N/A,#N/A,FALSE,"NAA9697";#N/A,#N/A,FALSE,"ECWEBB";#N/A,#N/A,FALSE,"MFT96";#N/A,#N/A,FALSE,"CTrecon"}</definedName>
    <definedName name="small_share_baa">'Part 3'!$T$22</definedName>
    <definedName name="small_share_da">'Part 3'!$T$23</definedName>
    <definedName name="small_share_total">'Part 3'!$T$24</definedName>
    <definedName name="standard_share_baa">'Part 3'!$U$22</definedName>
    <definedName name="standard_share_da">'Part 3'!$U$23</definedName>
    <definedName name="standard_share_total">'Part 3'!$U$24</definedName>
    <definedName name="T4.9i" hidden="1">{#N/A,#N/A,FALSE,"TMCOMP96";#N/A,#N/A,FALSE,"MAT96";#N/A,#N/A,FALSE,"FANDA96";#N/A,#N/A,FALSE,"INTRAN96";#N/A,#N/A,FALSE,"NAA9697";#N/A,#N/A,FALSE,"ECWEBB";#N/A,#N/A,FALSE,"MFT96";#N/A,#N/A,FALSE,"CTrecon"}</definedName>
    <definedName name="T4.9i_1"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4.9j_1" hidden="1">{#N/A,#N/A,FALSE,"TMCOMP96";#N/A,#N/A,FALSE,"MAT96";#N/A,#N/A,FALSE,"FANDA96";#N/A,#N/A,FALSE,"INTRAN96";#N/A,#N/A,FALSE,"NAA9697";#N/A,#N/A,FALSE,"ECWEBB";#N/A,#N/A,FALSE,"MFT96";#N/A,#N/A,FALSE,"CTrecon"}</definedName>
    <definedName name="tiersplit">TierSplit!$A$6:$CI$302</definedName>
    <definedName name="trggh" hidden="1">{#N/A,#N/A,FALSE,"TMCOMP96";#N/A,#N/A,FALSE,"MAT96";#N/A,#N/A,FALSE,"FANDA96";#N/A,#N/A,FALSE,"INTRAN96";#N/A,#N/A,FALSE,"NAA9697";#N/A,#N/A,FALSE,"ECWEBB";#N/A,#N/A,FALSE,"MFT96";#N/A,#N/A,FALSE,"CTrecon"}</definedName>
    <definedName name="trggh_1" hidden="1">{#N/A,#N/A,FALSE,"TMCOMP96";#N/A,#N/A,FALSE,"MAT96";#N/A,#N/A,FALSE,"FANDA96";#N/A,#N/A,FALSE,"INTRAN96";#N/A,#N/A,FALSE,"NAA9697";#N/A,#N/A,FALSE,"ECWEBB";#N/A,#N/A,FALSE,"MFT96";#N/A,#N/A,FALSE,"CTrecon"}</definedName>
    <definedName name="wrn.table1." hidden="1">{#N/A,#N/A,FALSE,"CGBR95C"}</definedName>
    <definedName name="wrn.table1._1" hidden="1">{#N/A,#N/A,FALSE,"CGBR95C"}</definedName>
    <definedName name="wrn.table2." hidden="1">{#N/A,#N/A,FALSE,"CGBR95C"}</definedName>
    <definedName name="wrn.table2._1" hidden="1">{#N/A,#N/A,FALSE,"CGBR95C"}</definedName>
    <definedName name="wrn.tablea." hidden="1">{#N/A,#N/A,FALSE,"CGBR95C"}</definedName>
    <definedName name="wrn.tablea._1" hidden="1">{#N/A,#N/A,FALSE,"CGBR95C"}</definedName>
    <definedName name="wrn.tableb." hidden="1">{#N/A,#N/A,FALSE,"CGBR95C"}</definedName>
    <definedName name="wrn.tableb._1" hidden="1">{#N/A,#N/A,FALSE,"CGBR95C"}</definedName>
    <definedName name="wrn.tableq." hidden="1">{#N/A,#N/A,FALSE,"CGBR95C"}</definedName>
    <definedName name="wrn.tableq._1" hidden="1">{#N/A,#N/A,FALSE,"CGBR95C"}</definedName>
    <definedName name="wrn.TMCOMP." hidden="1">{#N/A,#N/A,FALSE,"TMCOMP96";#N/A,#N/A,FALSE,"MAT96";#N/A,#N/A,FALSE,"FANDA96";#N/A,#N/A,FALSE,"INTRAN96";#N/A,#N/A,FALSE,"NAA9697";#N/A,#N/A,FALSE,"ECWEBB";#N/A,#N/A,FALSE,"MFT96";#N/A,#N/A,FALSE,"CTrecon"}</definedName>
    <definedName name="wrn.TMCOMP._1" hidden="1">{#N/A,#N/A,FALSE,"TMCOMP96";#N/A,#N/A,FALSE,"MAT96";#N/A,#N/A,FALSE,"FANDA96";#N/A,#N/A,FALSE,"INTRAN96";#N/A,#N/A,FALSE,"NAA9697";#N/A,#N/A,FALSE,"ECWEBB";#N/A,#N/A,FALSE,"MFT96";#N/A,#N/A,FALSE,"CTrecon"}</definedName>
    <definedName name="Z_2F8E6036_5947_4F5E_945D_9873F436F281_.wvu.PrintArea" localSheetId="0" hidden="1">Title!$A$1:$D$100</definedName>
    <definedName name="Z_B5645A3C_E444_45D4_B9DE_32E69EE26ECE_.wvu.PrintArea" localSheetId="0" hidden="1">Title!$A$1:$D$100</definedName>
    <definedName name="Z_D2D98166_124C_48C3_869D_DCCD58CD63A0_.wvu.PrintArea" localSheetId="0" hidden="1">Title!$A$1:$D$100</definedName>
    <definedName name="Z_F1E7C9C0_14EA_4AAE_8057_0C463392B390_.wvu.PrintArea" localSheetId="0" hidden="1">Title!$A$1:$D$100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4" i="22" l="1"/>
  <c r="Q208" i="1" l="1"/>
  <c r="O208" i="1"/>
  <c r="I7" i="51"/>
  <c r="G7" i="51"/>
  <c r="W7" i="51"/>
  <c r="C122" i="6"/>
  <c r="C120" i="6"/>
  <c r="C118" i="6" l="1"/>
  <c r="B1289" i="74" l="1"/>
  <c r="E51" i="24"/>
  <c r="R391" i="52" l="1"/>
  <c r="A258" i="52"/>
  <c r="A173" i="52"/>
  <c r="A174" i="52"/>
  <c r="A175" i="52"/>
  <c r="G150" i="6"/>
  <c r="V150" i="6"/>
  <c r="S150" i="6"/>
  <c r="J150" i="6"/>
  <c r="E8" i="115" l="1"/>
  <c r="G8" i="115" s="1"/>
  <c r="E9" i="115"/>
  <c r="G9" i="115" s="1"/>
  <c r="E10" i="115"/>
  <c r="G10" i="115" s="1"/>
  <c r="E11" i="115"/>
  <c r="G11" i="115" s="1"/>
  <c r="E12" i="115"/>
  <c r="G12" i="115" s="1"/>
  <c r="E13" i="115"/>
  <c r="G13" i="115" s="1"/>
  <c r="E14" i="115"/>
  <c r="G14" i="115" s="1"/>
  <c r="E15" i="115"/>
  <c r="G15" i="115" s="1"/>
  <c r="E16" i="115"/>
  <c r="G16" i="115" s="1"/>
  <c r="E17" i="115"/>
  <c r="G17" i="115" s="1"/>
  <c r="E18" i="115"/>
  <c r="G18" i="115" s="1"/>
  <c r="E19" i="115"/>
  <c r="G19" i="115" s="1"/>
  <c r="E20" i="115"/>
  <c r="G20" i="115" s="1"/>
  <c r="E21" i="115"/>
  <c r="G21" i="115" s="1"/>
  <c r="E22" i="115"/>
  <c r="G22" i="115" s="1"/>
  <c r="E23" i="115"/>
  <c r="G23" i="115" s="1"/>
  <c r="E24" i="115"/>
  <c r="G24" i="115" s="1"/>
  <c r="E25" i="115"/>
  <c r="G25" i="115" s="1"/>
  <c r="E26" i="115"/>
  <c r="G26" i="115" s="1"/>
  <c r="E27" i="115"/>
  <c r="G27" i="115" s="1"/>
  <c r="E28" i="115"/>
  <c r="G28" i="115" s="1"/>
  <c r="E29" i="115"/>
  <c r="G29" i="115" s="1"/>
  <c r="E30" i="115"/>
  <c r="G30" i="115" s="1"/>
  <c r="E31" i="115"/>
  <c r="G31" i="115" s="1"/>
  <c r="E32" i="115"/>
  <c r="G32" i="115" s="1"/>
  <c r="E33" i="115"/>
  <c r="G33" i="115" s="1"/>
  <c r="E34" i="115"/>
  <c r="G34" i="115" s="1"/>
  <c r="E35" i="115"/>
  <c r="G35" i="115" s="1"/>
  <c r="E36" i="115"/>
  <c r="G36" i="115" s="1"/>
  <c r="E37" i="115"/>
  <c r="G37" i="115" s="1"/>
  <c r="E38" i="115"/>
  <c r="G38" i="115" s="1"/>
  <c r="E39" i="115"/>
  <c r="G39" i="115" s="1"/>
  <c r="E40" i="115"/>
  <c r="G40" i="115" s="1"/>
  <c r="E41" i="115"/>
  <c r="G41" i="115" s="1"/>
  <c r="E42" i="115"/>
  <c r="G42" i="115" s="1"/>
  <c r="E43" i="115"/>
  <c r="G43" i="115" s="1"/>
  <c r="E44" i="115"/>
  <c r="G44" i="115" s="1"/>
  <c r="E45" i="115"/>
  <c r="G45" i="115" s="1"/>
  <c r="E46" i="115"/>
  <c r="G46" i="115" s="1"/>
  <c r="E47" i="115"/>
  <c r="G47" i="115" s="1"/>
  <c r="E48" i="115"/>
  <c r="G48" i="115" s="1"/>
  <c r="E49" i="115"/>
  <c r="G49" i="115" s="1"/>
  <c r="E50" i="115"/>
  <c r="G50" i="115" s="1"/>
  <c r="E51" i="115"/>
  <c r="G51" i="115" s="1"/>
  <c r="E52" i="115"/>
  <c r="G52" i="115" s="1"/>
  <c r="E53" i="115"/>
  <c r="G53" i="115" s="1"/>
  <c r="E54" i="115"/>
  <c r="G54" i="115" s="1"/>
  <c r="E55" i="115"/>
  <c r="G55" i="115" s="1"/>
  <c r="E56" i="115"/>
  <c r="G56" i="115" s="1"/>
  <c r="E57" i="115"/>
  <c r="G57" i="115" s="1"/>
  <c r="E58" i="115"/>
  <c r="G58" i="115" s="1"/>
  <c r="E59" i="115"/>
  <c r="G59" i="115" s="1"/>
  <c r="E60" i="115"/>
  <c r="G60" i="115" s="1"/>
  <c r="E61" i="115"/>
  <c r="G61" i="115" s="1"/>
  <c r="E62" i="115"/>
  <c r="G62" i="115" s="1"/>
  <c r="E63" i="115"/>
  <c r="G63" i="115" s="1"/>
  <c r="E64" i="115"/>
  <c r="G64" i="115" s="1"/>
  <c r="E65" i="115"/>
  <c r="G65" i="115" s="1"/>
  <c r="E66" i="115"/>
  <c r="G66" i="115" s="1"/>
  <c r="E67" i="115"/>
  <c r="G67" i="115" s="1"/>
  <c r="E68" i="115"/>
  <c r="G68" i="115" s="1"/>
  <c r="E69" i="115"/>
  <c r="G69" i="115" s="1"/>
  <c r="E70" i="115"/>
  <c r="G70" i="115" s="1"/>
  <c r="E71" i="115"/>
  <c r="G71" i="115" s="1"/>
  <c r="E72" i="115"/>
  <c r="G72" i="115" s="1"/>
  <c r="E73" i="115"/>
  <c r="G73" i="115" s="1"/>
  <c r="E74" i="115"/>
  <c r="G74" i="115" s="1"/>
  <c r="E75" i="115"/>
  <c r="G75" i="115" s="1"/>
  <c r="E76" i="115"/>
  <c r="G76" i="115" s="1"/>
  <c r="E77" i="115"/>
  <c r="G77" i="115" s="1"/>
  <c r="E78" i="115"/>
  <c r="G78" i="115" s="1"/>
  <c r="E79" i="115"/>
  <c r="G79" i="115" s="1"/>
  <c r="E80" i="115"/>
  <c r="G80" i="115" s="1"/>
  <c r="E81" i="115"/>
  <c r="G81" i="115" s="1"/>
  <c r="E82" i="115"/>
  <c r="G82" i="115" s="1"/>
  <c r="E83" i="115"/>
  <c r="G83" i="115" s="1"/>
  <c r="E84" i="115"/>
  <c r="G84" i="115" s="1"/>
  <c r="E85" i="115"/>
  <c r="G85" i="115" s="1"/>
  <c r="E86" i="115"/>
  <c r="G86" i="115" s="1"/>
  <c r="E87" i="115"/>
  <c r="G87" i="115" s="1"/>
  <c r="E88" i="115"/>
  <c r="G88" i="115" s="1"/>
  <c r="E89" i="115"/>
  <c r="G89" i="115" s="1"/>
  <c r="E90" i="115"/>
  <c r="G90" i="115" s="1"/>
  <c r="E91" i="115"/>
  <c r="G91" i="115" s="1"/>
  <c r="E92" i="115"/>
  <c r="G92" i="115" s="1"/>
  <c r="E93" i="115"/>
  <c r="G93" i="115" s="1"/>
  <c r="E94" i="115"/>
  <c r="G94" i="115" s="1"/>
  <c r="E95" i="115"/>
  <c r="G95" i="115" s="1"/>
  <c r="E96" i="115"/>
  <c r="G96" i="115" s="1"/>
  <c r="E97" i="115"/>
  <c r="G97" i="115" s="1"/>
  <c r="E98" i="115"/>
  <c r="G98" i="115" s="1"/>
  <c r="E99" i="115"/>
  <c r="G99" i="115" s="1"/>
  <c r="E100" i="115"/>
  <c r="G100" i="115" s="1"/>
  <c r="E101" i="115"/>
  <c r="G101" i="115" s="1"/>
  <c r="E102" i="115"/>
  <c r="G102" i="115" s="1"/>
  <c r="E103" i="115"/>
  <c r="G103" i="115" s="1"/>
  <c r="E104" i="115"/>
  <c r="G104" i="115" s="1"/>
  <c r="E105" i="115"/>
  <c r="G105" i="115" s="1"/>
  <c r="E106" i="115"/>
  <c r="G106" i="115" s="1"/>
  <c r="E107" i="115"/>
  <c r="G107" i="115" s="1"/>
  <c r="E108" i="115"/>
  <c r="G108" i="115" s="1"/>
  <c r="E109" i="115"/>
  <c r="G109" i="115" s="1"/>
  <c r="E110" i="115"/>
  <c r="G110" i="115" s="1"/>
  <c r="E111" i="115"/>
  <c r="G111" i="115" s="1"/>
  <c r="E112" i="115"/>
  <c r="G112" i="115" s="1"/>
  <c r="E113" i="115"/>
  <c r="G113" i="115" s="1"/>
  <c r="E114" i="115"/>
  <c r="G114" i="115" s="1"/>
  <c r="E115" i="115"/>
  <c r="G115" i="115" s="1"/>
  <c r="E116" i="115"/>
  <c r="G116" i="115" s="1"/>
  <c r="E117" i="115"/>
  <c r="G117" i="115" s="1"/>
  <c r="E118" i="115"/>
  <c r="G118" i="115" s="1"/>
  <c r="E119" i="115"/>
  <c r="G119" i="115" s="1"/>
  <c r="E120" i="115"/>
  <c r="G120" i="115" s="1"/>
  <c r="E121" i="115"/>
  <c r="G121" i="115" s="1"/>
  <c r="E122" i="115"/>
  <c r="G122" i="115" s="1"/>
  <c r="E123" i="115"/>
  <c r="G123" i="115" s="1"/>
  <c r="E124" i="115"/>
  <c r="G124" i="115" s="1"/>
  <c r="E125" i="115"/>
  <c r="G125" i="115" s="1"/>
  <c r="E126" i="115"/>
  <c r="G126" i="115" s="1"/>
  <c r="E127" i="115"/>
  <c r="G127" i="115" s="1"/>
  <c r="E128" i="115"/>
  <c r="G128" i="115" s="1"/>
  <c r="E129" i="115"/>
  <c r="G129" i="115" s="1"/>
  <c r="E130" i="115"/>
  <c r="G130" i="115" s="1"/>
  <c r="E131" i="115"/>
  <c r="G131" i="115" s="1"/>
  <c r="E132" i="115"/>
  <c r="G132" i="115" s="1"/>
  <c r="E133" i="115"/>
  <c r="G133" i="115" s="1"/>
  <c r="E134" i="115"/>
  <c r="G134" i="115" s="1"/>
  <c r="E135" i="115"/>
  <c r="G135" i="115" s="1"/>
  <c r="E136" i="115"/>
  <c r="G136" i="115" s="1"/>
  <c r="E137" i="115"/>
  <c r="G137" i="115" s="1"/>
  <c r="E138" i="115"/>
  <c r="G138" i="115" s="1"/>
  <c r="E139" i="115"/>
  <c r="G139" i="115" s="1"/>
  <c r="E140" i="115"/>
  <c r="G140" i="115" s="1"/>
  <c r="E141" i="115"/>
  <c r="G141" i="115" s="1"/>
  <c r="E142" i="115"/>
  <c r="G142" i="115" s="1"/>
  <c r="E143" i="115"/>
  <c r="G143" i="115" s="1"/>
  <c r="E144" i="115"/>
  <c r="G144" i="115" s="1"/>
  <c r="E145" i="115"/>
  <c r="G145" i="115" s="1"/>
  <c r="E146" i="115"/>
  <c r="G146" i="115" s="1"/>
  <c r="E147" i="115"/>
  <c r="G147" i="115" s="1"/>
  <c r="E148" i="115"/>
  <c r="G148" i="115" s="1"/>
  <c r="E149" i="115"/>
  <c r="G149" i="115" s="1"/>
  <c r="E150" i="115"/>
  <c r="G150" i="115" s="1"/>
  <c r="E151" i="115"/>
  <c r="G151" i="115" s="1"/>
  <c r="E152" i="115"/>
  <c r="G152" i="115" s="1"/>
  <c r="E153" i="115"/>
  <c r="G153" i="115" s="1"/>
  <c r="E154" i="115"/>
  <c r="G154" i="115" s="1"/>
  <c r="E155" i="115"/>
  <c r="G155" i="115" s="1"/>
  <c r="E156" i="115"/>
  <c r="G156" i="115" s="1"/>
  <c r="E157" i="115"/>
  <c r="G157" i="115" s="1"/>
  <c r="E158" i="115"/>
  <c r="G158" i="115" s="1"/>
  <c r="E159" i="115"/>
  <c r="G159" i="115" s="1"/>
  <c r="E160" i="115"/>
  <c r="G160" i="115" s="1"/>
  <c r="E161" i="115"/>
  <c r="G161" i="115" s="1"/>
  <c r="E162" i="115"/>
  <c r="G162" i="115" s="1"/>
  <c r="E163" i="115"/>
  <c r="G163" i="115" s="1"/>
  <c r="E164" i="115"/>
  <c r="G164" i="115" s="1"/>
  <c r="E165" i="115"/>
  <c r="G165" i="115" s="1"/>
  <c r="E166" i="115"/>
  <c r="G166" i="115" s="1"/>
  <c r="E167" i="115"/>
  <c r="G167" i="115" s="1"/>
  <c r="E168" i="115"/>
  <c r="G168" i="115" s="1"/>
  <c r="E169" i="115"/>
  <c r="G169" i="115" s="1"/>
  <c r="E170" i="115"/>
  <c r="G170" i="115" s="1"/>
  <c r="E171" i="115"/>
  <c r="G171" i="115" s="1"/>
  <c r="E172" i="115"/>
  <c r="G172" i="115" s="1"/>
  <c r="E173" i="115"/>
  <c r="G173" i="115" s="1"/>
  <c r="E174" i="115"/>
  <c r="G174" i="115" s="1"/>
  <c r="E175" i="115"/>
  <c r="G175" i="115" s="1"/>
  <c r="E176" i="115"/>
  <c r="G176" i="115" s="1"/>
  <c r="E177" i="115"/>
  <c r="G177" i="115" s="1"/>
  <c r="E178" i="115"/>
  <c r="G178" i="115" s="1"/>
  <c r="E179" i="115"/>
  <c r="G179" i="115" s="1"/>
  <c r="E180" i="115"/>
  <c r="G180" i="115" s="1"/>
  <c r="E181" i="115"/>
  <c r="G181" i="115" s="1"/>
  <c r="E182" i="115"/>
  <c r="G182" i="115" s="1"/>
  <c r="E183" i="115"/>
  <c r="G183" i="115" s="1"/>
  <c r="E184" i="115"/>
  <c r="G184" i="115" s="1"/>
  <c r="E185" i="115"/>
  <c r="G185" i="115" s="1"/>
  <c r="E186" i="115"/>
  <c r="G186" i="115" s="1"/>
  <c r="E187" i="115"/>
  <c r="G187" i="115" s="1"/>
  <c r="E188" i="115"/>
  <c r="G188" i="115" s="1"/>
  <c r="E189" i="115"/>
  <c r="G189" i="115" s="1"/>
  <c r="E190" i="115"/>
  <c r="G190" i="115" s="1"/>
  <c r="E191" i="115"/>
  <c r="G191" i="115" s="1"/>
  <c r="E192" i="115"/>
  <c r="G192" i="115" s="1"/>
  <c r="E193" i="115"/>
  <c r="G193" i="115" s="1"/>
  <c r="E194" i="115"/>
  <c r="G194" i="115" s="1"/>
  <c r="E195" i="115"/>
  <c r="G195" i="115" s="1"/>
  <c r="E196" i="115"/>
  <c r="G196" i="115" s="1"/>
  <c r="E197" i="115"/>
  <c r="G197" i="115" s="1"/>
  <c r="E198" i="115"/>
  <c r="G198" i="115" s="1"/>
  <c r="E199" i="115"/>
  <c r="G199" i="115" s="1"/>
  <c r="E200" i="115"/>
  <c r="G200" i="115" s="1"/>
  <c r="E201" i="115"/>
  <c r="G201" i="115" s="1"/>
  <c r="E202" i="115"/>
  <c r="G202" i="115" s="1"/>
  <c r="E203" i="115"/>
  <c r="G203" i="115" s="1"/>
  <c r="E204" i="115"/>
  <c r="G204" i="115" s="1"/>
  <c r="E205" i="115"/>
  <c r="G205" i="115" s="1"/>
  <c r="E206" i="115"/>
  <c r="G206" i="115" s="1"/>
  <c r="E207" i="115"/>
  <c r="G207" i="115" s="1"/>
  <c r="E208" i="115"/>
  <c r="G208" i="115" s="1"/>
  <c r="E209" i="115"/>
  <c r="G209" i="115" s="1"/>
  <c r="E210" i="115"/>
  <c r="G210" i="115" s="1"/>
  <c r="E211" i="115"/>
  <c r="G211" i="115" s="1"/>
  <c r="E212" i="115"/>
  <c r="G212" i="115" s="1"/>
  <c r="E213" i="115"/>
  <c r="G213" i="115" s="1"/>
  <c r="E214" i="115"/>
  <c r="G214" i="115" s="1"/>
  <c r="E215" i="115"/>
  <c r="G215" i="115" s="1"/>
  <c r="E216" i="115"/>
  <c r="G216" i="115" s="1"/>
  <c r="E217" i="115"/>
  <c r="G217" i="115" s="1"/>
  <c r="E218" i="115"/>
  <c r="G218" i="115" s="1"/>
  <c r="E219" i="115"/>
  <c r="G219" i="115" s="1"/>
  <c r="E220" i="115"/>
  <c r="G220" i="115" s="1"/>
  <c r="E221" i="115"/>
  <c r="G221" i="115" s="1"/>
  <c r="E222" i="115"/>
  <c r="G222" i="115" s="1"/>
  <c r="E223" i="115"/>
  <c r="G223" i="115" s="1"/>
  <c r="E224" i="115"/>
  <c r="G224" i="115" s="1"/>
  <c r="E225" i="115"/>
  <c r="G225" i="115" s="1"/>
  <c r="E226" i="115"/>
  <c r="G226" i="115" s="1"/>
  <c r="E227" i="115"/>
  <c r="G227" i="115" s="1"/>
  <c r="E228" i="115"/>
  <c r="G228" i="115" s="1"/>
  <c r="E229" i="115"/>
  <c r="G229" i="115" s="1"/>
  <c r="E230" i="115"/>
  <c r="G230" i="115" s="1"/>
  <c r="E231" i="115"/>
  <c r="G231" i="115" s="1"/>
  <c r="E232" i="115"/>
  <c r="G232" i="115" s="1"/>
  <c r="E233" i="115"/>
  <c r="G233" i="115" s="1"/>
  <c r="E234" i="115"/>
  <c r="G234" i="115" s="1"/>
  <c r="E235" i="115"/>
  <c r="G235" i="115" s="1"/>
  <c r="E236" i="115"/>
  <c r="G236" i="115" s="1"/>
  <c r="E237" i="115"/>
  <c r="G237" i="115" s="1"/>
  <c r="E238" i="115"/>
  <c r="G238" i="115" s="1"/>
  <c r="E239" i="115"/>
  <c r="G239" i="115" s="1"/>
  <c r="E240" i="115"/>
  <c r="G240" i="115" s="1"/>
  <c r="E241" i="115"/>
  <c r="G241" i="115" s="1"/>
  <c r="E242" i="115"/>
  <c r="G242" i="115" s="1"/>
  <c r="E243" i="115"/>
  <c r="G243" i="115" s="1"/>
  <c r="E244" i="115"/>
  <c r="G244" i="115" s="1"/>
  <c r="E245" i="115"/>
  <c r="G245" i="115" s="1"/>
  <c r="E246" i="115"/>
  <c r="G246" i="115" s="1"/>
  <c r="E247" i="115"/>
  <c r="G247" i="115" s="1"/>
  <c r="E248" i="115"/>
  <c r="G248" i="115" s="1"/>
  <c r="E249" i="115"/>
  <c r="G249" i="115" s="1"/>
  <c r="E250" i="115"/>
  <c r="G250" i="115" s="1"/>
  <c r="E251" i="115"/>
  <c r="G251" i="115" s="1"/>
  <c r="E252" i="115"/>
  <c r="G252" i="115" s="1"/>
  <c r="E253" i="115"/>
  <c r="G253" i="115" s="1"/>
  <c r="E254" i="115"/>
  <c r="G254" i="115" s="1"/>
  <c r="E255" i="115"/>
  <c r="G255" i="115" s="1"/>
  <c r="E256" i="115"/>
  <c r="G256" i="115" s="1"/>
  <c r="E257" i="115"/>
  <c r="G257" i="115" s="1"/>
  <c r="E258" i="115"/>
  <c r="G258" i="115" s="1"/>
  <c r="E259" i="115"/>
  <c r="G259" i="115" s="1"/>
  <c r="E260" i="115"/>
  <c r="G260" i="115" s="1"/>
  <c r="E261" i="115"/>
  <c r="G261" i="115" s="1"/>
  <c r="E262" i="115"/>
  <c r="G262" i="115" s="1"/>
  <c r="E263" i="115"/>
  <c r="G263" i="115" s="1"/>
  <c r="E264" i="115"/>
  <c r="G264" i="115" s="1"/>
  <c r="E265" i="115"/>
  <c r="G265" i="115" s="1"/>
  <c r="E266" i="115"/>
  <c r="G266" i="115" s="1"/>
  <c r="E267" i="115"/>
  <c r="G267" i="115" s="1"/>
  <c r="E268" i="115"/>
  <c r="G268" i="115" s="1"/>
  <c r="E269" i="115"/>
  <c r="G269" i="115" s="1"/>
  <c r="E270" i="115"/>
  <c r="G270" i="115" s="1"/>
  <c r="E271" i="115"/>
  <c r="G271" i="115" s="1"/>
  <c r="E272" i="115"/>
  <c r="G272" i="115" s="1"/>
  <c r="E273" i="115"/>
  <c r="G273" i="115" s="1"/>
  <c r="E274" i="115"/>
  <c r="G274" i="115" s="1"/>
  <c r="E275" i="115"/>
  <c r="G275" i="115" s="1"/>
  <c r="E276" i="115"/>
  <c r="G276" i="115" s="1"/>
  <c r="E277" i="115"/>
  <c r="G277" i="115" s="1"/>
  <c r="E278" i="115"/>
  <c r="G278" i="115" s="1"/>
  <c r="E279" i="115"/>
  <c r="G279" i="115" s="1"/>
  <c r="E280" i="115"/>
  <c r="G280" i="115" s="1"/>
  <c r="E281" i="115"/>
  <c r="G281" i="115" s="1"/>
  <c r="E282" i="115"/>
  <c r="G282" i="115" s="1"/>
  <c r="E283" i="115"/>
  <c r="G283" i="115" s="1"/>
  <c r="E284" i="115"/>
  <c r="G284" i="115" s="1"/>
  <c r="E285" i="115"/>
  <c r="G285" i="115" s="1"/>
  <c r="E286" i="115"/>
  <c r="G286" i="115" s="1"/>
  <c r="E287" i="115"/>
  <c r="G287" i="115" s="1"/>
  <c r="E288" i="115"/>
  <c r="G288" i="115" s="1"/>
  <c r="E289" i="115"/>
  <c r="G289" i="115" s="1"/>
  <c r="E290" i="115"/>
  <c r="G290" i="115" s="1"/>
  <c r="E291" i="115"/>
  <c r="G291" i="115" s="1"/>
  <c r="E292" i="115"/>
  <c r="G292" i="115" s="1"/>
  <c r="E293" i="115"/>
  <c r="G293" i="115" s="1"/>
  <c r="E294" i="115"/>
  <c r="G294" i="115" s="1"/>
  <c r="E295" i="115"/>
  <c r="G295" i="115" s="1"/>
  <c r="E296" i="115"/>
  <c r="G296" i="115" s="1"/>
  <c r="E297" i="115"/>
  <c r="G297" i="115" s="1"/>
  <c r="E298" i="115"/>
  <c r="G298" i="115" s="1"/>
  <c r="E299" i="115"/>
  <c r="G299" i="115" s="1"/>
  <c r="E5" i="115"/>
  <c r="G5" i="115" s="1"/>
  <c r="E6" i="115"/>
  <c r="G6" i="115" s="1"/>
  <c r="E7" i="115"/>
  <c r="G7" i="115" s="1"/>
  <c r="E4" i="115"/>
  <c r="G4" i="115" s="1"/>
  <c r="D6" i="115"/>
  <c r="F6" i="115" s="1"/>
  <c r="D7" i="115"/>
  <c r="F7" i="115" s="1"/>
  <c r="D8" i="115"/>
  <c r="F8" i="115" s="1"/>
  <c r="D9" i="115"/>
  <c r="F9" i="115" s="1"/>
  <c r="D10" i="115"/>
  <c r="F10" i="115" s="1"/>
  <c r="D11" i="115"/>
  <c r="F11" i="115" s="1"/>
  <c r="D12" i="115"/>
  <c r="F12" i="115" s="1"/>
  <c r="D13" i="115"/>
  <c r="F13" i="115" s="1"/>
  <c r="D14" i="115"/>
  <c r="F14" i="115" s="1"/>
  <c r="D15" i="115"/>
  <c r="F15" i="115" s="1"/>
  <c r="D16" i="115"/>
  <c r="F16" i="115" s="1"/>
  <c r="D17" i="115"/>
  <c r="F17" i="115" s="1"/>
  <c r="D18" i="115"/>
  <c r="F18" i="115" s="1"/>
  <c r="D19" i="115"/>
  <c r="F19" i="115" s="1"/>
  <c r="D20" i="115"/>
  <c r="F20" i="115" s="1"/>
  <c r="D21" i="115"/>
  <c r="F21" i="115" s="1"/>
  <c r="D22" i="115"/>
  <c r="F22" i="115" s="1"/>
  <c r="D23" i="115"/>
  <c r="F23" i="115" s="1"/>
  <c r="D24" i="115"/>
  <c r="F24" i="115" s="1"/>
  <c r="D25" i="115"/>
  <c r="F25" i="115" s="1"/>
  <c r="D26" i="115"/>
  <c r="F26" i="115" s="1"/>
  <c r="D27" i="115"/>
  <c r="F27" i="115" s="1"/>
  <c r="D28" i="115"/>
  <c r="F28" i="115" s="1"/>
  <c r="D29" i="115"/>
  <c r="F29" i="115" s="1"/>
  <c r="D30" i="115"/>
  <c r="F30" i="115" s="1"/>
  <c r="D31" i="115"/>
  <c r="F31" i="115" s="1"/>
  <c r="D32" i="115"/>
  <c r="F32" i="115" s="1"/>
  <c r="D33" i="115"/>
  <c r="F33" i="115" s="1"/>
  <c r="D34" i="115"/>
  <c r="F34" i="115" s="1"/>
  <c r="D35" i="115"/>
  <c r="F35" i="115" s="1"/>
  <c r="D36" i="115"/>
  <c r="F36" i="115" s="1"/>
  <c r="D37" i="115"/>
  <c r="F37" i="115" s="1"/>
  <c r="D38" i="115"/>
  <c r="F38" i="115" s="1"/>
  <c r="D39" i="115"/>
  <c r="F39" i="115" s="1"/>
  <c r="D40" i="115"/>
  <c r="F40" i="115" s="1"/>
  <c r="D41" i="115"/>
  <c r="F41" i="115" s="1"/>
  <c r="D42" i="115"/>
  <c r="F42" i="115" s="1"/>
  <c r="D43" i="115"/>
  <c r="F43" i="115" s="1"/>
  <c r="D44" i="115"/>
  <c r="F44" i="115" s="1"/>
  <c r="D45" i="115"/>
  <c r="F45" i="115" s="1"/>
  <c r="D46" i="115"/>
  <c r="F46" i="115" s="1"/>
  <c r="D47" i="115"/>
  <c r="F47" i="115" s="1"/>
  <c r="D48" i="115"/>
  <c r="F48" i="115" s="1"/>
  <c r="D49" i="115"/>
  <c r="F49" i="115" s="1"/>
  <c r="D50" i="115"/>
  <c r="F50" i="115" s="1"/>
  <c r="D51" i="115"/>
  <c r="F51" i="115" s="1"/>
  <c r="D52" i="115"/>
  <c r="F52" i="115" s="1"/>
  <c r="D53" i="115"/>
  <c r="F53" i="115" s="1"/>
  <c r="D54" i="115"/>
  <c r="F54" i="115" s="1"/>
  <c r="D55" i="115"/>
  <c r="F55" i="115" s="1"/>
  <c r="D56" i="115"/>
  <c r="F56" i="115" s="1"/>
  <c r="D57" i="115"/>
  <c r="F57" i="115" s="1"/>
  <c r="D58" i="115"/>
  <c r="F58" i="115" s="1"/>
  <c r="D59" i="115"/>
  <c r="F59" i="115" s="1"/>
  <c r="D60" i="115"/>
  <c r="F60" i="115" s="1"/>
  <c r="D61" i="115"/>
  <c r="F61" i="115" s="1"/>
  <c r="D62" i="115"/>
  <c r="F62" i="115" s="1"/>
  <c r="D63" i="115"/>
  <c r="F63" i="115" s="1"/>
  <c r="D64" i="115"/>
  <c r="F64" i="115" s="1"/>
  <c r="D65" i="115"/>
  <c r="F65" i="115" s="1"/>
  <c r="D66" i="115"/>
  <c r="F66" i="115" s="1"/>
  <c r="D67" i="115"/>
  <c r="F67" i="115" s="1"/>
  <c r="D68" i="115"/>
  <c r="F68" i="115" s="1"/>
  <c r="D69" i="115"/>
  <c r="F69" i="115" s="1"/>
  <c r="D70" i="115"/>
  <c r="F70" i="115" s="1"/>
  <c r="D71" i="115"/>
  <c r="F71" i="115" s="1"/>
  <c r="D72" i="115"/>
  <c r="F72" i="115" s="1"/>
  <c r="D73" i="115"/>
  <c r="F73" i="115" s="1"/>
  <c r="D74" i="115"/>
  <c r="F74" i="115" s="1"/>
  <c r="D75" i="115"/>
  <c r="F75" i="115" s="1"/>
  <c r="D76" i="115"/>
  <c r="F76" i="115" s="1"/>
  <c r="D77" i="115"/>
  <c r="F77" i="115" s="1"/>
  <c r="D78" i="115"/>
  <c r="F78" i="115" s="1"/>
  <c r="D79" i="115"/>
  <c r="F79" i="115" s="1"/>
  <c r="D80" i="115"/>
  <c r="F80" i="115" s="1"/>
  <c r="D81" i="115"/>
  <c r="F81" i="115" s="1"/>
  <c r="D82" i="115"/>
  <c r="F82" i="115" s="1"/>
  <c r="D83" i="115"/>
  <c r="F83" i="115" s="1"/>
  <c r="D84" i="115"/>
  <c r="F84" i="115" s="1"/>
  <c r="D85" i="115"/>
  <c r="F85" i="115" s="1"/>
  <c r="D86" i="115"/>
  <c r="F86" i="115" s="1"/>
  <c r="D87" i="115"/>
  <c r="F87" i="115" s="1"/>
  <c r="D88" i="115"/>
  <c r="F88" i="115" s="1"/>
  <c r="D89" i="115"/>
  <c r="F89" i="115" s="1"/>
  <c r="D90" i="115"/>
  <c r="F90" i="115" s="1"/>
  <c r="D91" i="115"/>
  <c r="F91" i="115" s="1"/>
  <c r="D92" i="115"/>
  <c r="F92" i="115" s="1"/>
  <c r="D93" i="115"/>
  <c r="F93" i="115" s="1"/>
  <c r="D94" i="115"/>
  <c r="F94" i="115" s="1"/>
  <c r="D95" i="115"/>
  <c r="F95" i="115" s="1"/>
  <c r="D96" i="115"/>
  <c r="F96" i="115" s="1"/>
  <c r="D97" i="115"/>
  <c r="F97" i="115" s="1"/>
  <c r="D98" i="115"/>
  <c r="F98" i="115" s="1"/>
  <c r="D99" i="115"/>
  <c r="F99" i="115" s="1"/>
  <c r="D100" i="115"/>
  <c r="F100" i="115" s="1"/>
  <c r="D101" i="115"/>
  <c r="F101" i="115" s="1"/>
  <c r="D102" i="115"/>
  <c r="F102" i="115" s="1"/>
  <c r="D103" i="115"/>
  <c r="F103" i="115" s="1"/>
  <c r="D104" i="115"/>
  <c r="F104" i="115" s="1"/>
  <c r="D105" i="115"/>
  <c r="F105" i="115" s="1"/>
  <c r="D106" i="115"/>
  <c r="F106" i="115" s="1"/>
  <c r="D107" i="115"/>
  <c r="F107" i="115" s="1"/>
  <c r="D108" i="115"/>
  <c r="F108" i="115" s="1"/>
  <c r="D109" i="115"/>
  <c r="F109" i="115" s="1"/>
  <c r="D110" i="115"/>
  <c r="F110" i="115" s="1"/>
  <c r="D111" i="115"/>
  <c r="F111" i="115" s="1"/>
  <c r="D112" i="115"/>
  <c r="F112" i="115" s="1"/>
  <c r="D113" i="115"/>
  <c r="F113" i="115" s="1"/>
  <c r="D114" i="115"/>
  <c r="F114" i="115" s="1"/>
  <c r="D115" i="115"/>
  <c r="F115" i="115" s="1"/>
  <c r="D116" i="115"/>
  <c r="F116" i="115" s="1"/>
  <c r="D117" i="115"/>
  <c r="F117" i="115" s="1"/>
  <c r="D118" i="115"/>
  <c r="F118" i="115" s="1"/>
  <c r="D119" i="115"/>
  <c r="F119" i="115" s="1"/>
  <c r="D120" i="115"/>
  <c r="F120" i="115" s="1"/>
  <c r="D121" i="115"/>
  <c r="F121" i="115" s="1"/>
  <c r="D122" i="115"/>
  <c r="F122" i="115" s="1"/>
  <c r="D123" i="115"/>
  <c r="F123" i="115" s="1"/>
  <c r="D124" i="115"/>
  <c r="F124" i="115" s="1"/>
  <c r="D125" i="115"/>
  <c r="F125" i="115" s="1"/>
  <c r="D126" i="115"/>
  <c r="F126" i="115" s="1"/>
  <c r="D127" i="115"/>
  <c r="F127" i="115" s="1"/>
  <c r="D128" i="115"/>
  <c r="F128" i="115" s="1"/>
  <c r="D129" i="115"/>
  <c r="F129" i="115" s="1"/>
  <c r="D130" i="115"/>
  <c r="F130" i="115" s="1"/>
  <c r="D131" i="115"/>
  <c r="F131" i="115" s="1"/>
  <c r="D132" i="115"/>
  <c r="F132" i="115" s="1"/>
  <c r="D133" i="115"/>
  <c r="F133" i="115" s="1"/>
  <c r="D134" i="115"/>
  <c r="F134" i="115" s="1"/>
  <c r="D135" i="115"/>
  <c r="F135" i="115" s="1"/>
  <c r="D136" i="115"/>
  <c r="F136" i="115" s="1"/>
  <c r="D137" i="115"/>
  <c r="F137" i="115" s="1"/>
  <c r="D138" i="115"/>
  <c r="F138" i="115" s="1"/>
  <c r="D139" i="115"/>
  <c r="F139" i="115" s="1"/>
  <c r="D140" i="115"/>
  <c r="F140" i="115" s="1"/>
  <c r="D141" i="115"/>
  <c r="F141" i="115" s="1"/>
  <c r="D142" i="115"/>
  <c r="F142" i="115" s="1"/>
  <c r="D143" i="115"/>
  <c r="F143" i="115" s="1"/>
  <c r="D144" i="115"/>
  <c r="F144" i="115" s="1"/>
  <c r="D145" i="115"/>
  <c r="F145" i="115" s="1"/>
  <c r="D146" i="115"/>
  <c r="F146" i="115" s="1"/>
  <c r="D147" i="115"/>
  <c r="F147" i="115" s="1"/>
  <c r="D148" i="115"/>
  <c r="F148" i="115" s="1"/>
  <c r="D149" i="115"/>
  <c r="F149" i="115" s="1"/>
  <c r="D150" i="115"/>
  <c r="F150" i="115" s="1"/>
  <c r="D151" i="115"/>
  <c r="F151" i="115" s="1"/>
  <c r="D152" i="115"/>
  <c r="F152" i="115" s="1"/>
  <c r="D153" i="115"/>
  <c r="F153" i="115" s="1"/>
  <c r="D154" i="115"/>
  <c r="F154" i="115" s="1"/>
  <c r="D155" i="115"/>
  <c r="F155" i="115" s="1"/>
  <c r="D156" i="115"/>
  <c r="F156" i="115" s="1"/>
  <c r="D157" i="115"/>
  <c r="F157" i="115" s="1"/>
  <c r="D158" i="115"/>
  <c r="F158" i="115" s="1"/>
  <c r="D159" i="115"/>
  <c r="F159" i="115" s="1"/>
  <c r="D160" i="115"/>
  <c r="F160" i="115" s="1"/>
  <c r="D161" i="115"/>
  <c r="F161" i="115" s="1"/>
  <c r="D162" i="115"/>
  <c r="F162" i="115" s="1"/>
  <c r="D163" i="115"/>
  <c r="F163" i="115" s="1"/>
  <c r="D164" i="115"/>
  <c r="F164" i="115" s="1"/>
  <c r="D165" i="115"/>
  <c r="F165" i="115" s="1"/>
  <c r="D166" i="115"/>
  <c r="F166" i="115" s="1"/>
  <c r="D167" i="115"/>
  <c r="F167" i="115" s="1"/>
  <c r="D168" i="115"/>
  <c r="F168" i="115" s="1"/>
  <c r="D169" i="115"/>
  <c r="F169" i="115" s="1"/>
  <c r="D170" i="115"/>
  <c r="F170" i="115" s="1"/>
  <c r="D171" i="115"/>
  <c r="F171" i="115" s="1"/>
  <c r="D172" i="115"/>
  <c r="F172" i="115" s="1"/>
  <c r="D173" i="115"/>
  <c r="F173" i="115" s="1"/>
  <c r="D174" i="115"/>
  <c r="F174" i="115" s="1"/>
  <c r="D175" i="115"/>
  <c r="F175" i="115" s="1"/>
  <c r="D176" i="115"/>
  <c r="F176" i="115" s="1"/>
  <c r="D177" i="115"/>
  <c r="F177" i="115" s="1"/>
  <c r="D178" i="115"/>
  <c r="F178" i="115" s="1"/>
  <c r="D179" i="115"/>
  <c r="F179" i="115" s="1"/>
  <c r="D180" i="115"/>
  <c r="F180" i="115" s="1"/>
  <c r="D181" i="115"/>
  <c r="F181" i="115" s="1"/>
  <c r="D182" i="115"/>
  <c r="F182" i="115" s="1"/>
  <c r="D183" i="115"/>
  <c r="F183" i="115" s="1"/>
  <c r="D184" i="115"/>
  <c r="F184" i="115" s="1"/>
  <c r="D185" i="115"/>
  <c r="F185" i="115" s="1"/>
  <c r="D186" i="115"/>
  <c r="F186" i="115" s="1"/>
  <c r="D187" i="115"/>
  <c r="F187" i="115" s="1"/>
  <c r="D188" i="115"/>
  <c r="F188" i="115" s="1"/>
  <c r="D189" i="115"/>
  <c r="F189" i="115" s="1"/>
  <c r="D190" i="115"/>
  <c r="F190" i="115" s="1"/>
  <c r="D191" i="115"/>
  <c r="F191" i="115" s="1"/>
  <c r="D192" i="115"/>
  <c r="F192" i="115" s="1"/>
  <c r="D193" i="115"/>
  <c r="F193" i="115" s="1"/>
  <c r="D194" i="115"/>
  <c r="F194" i="115" s="1"/>
  <c r="D195" i="115"/>
  <c r="F195" i="115" s="1"/>
  <c r="D196" i="115"/>
  <c r="F196" i="115" s="1"/>
  <c r="D197" i="115"/>
  <c r="F197" i="115" s="1"/>
  <c r="D198" i="115"/>
  <c r="F198" i="115" s="1"/>
  <c r="D199" i="115"/>
  <c r="F199" i="115" s="1"/>
  <c r="D200" i="115"/>
  <c r="F200" i="115" s="1"/>
  <c r="D201" i="115"/>
  <c r="F201" i="115" s="1"/>
  <c r="D202" i="115"/>
  <c r="F202" i="115" s="1"/>
  <c r="D203" i="115"/>
  <c r="F203" i="115" s="1"/>
  <c r="D204" i="115"/>
  <c r="F204" i="115" s="1"/>
  <c r="D205" i="115"/>
  <c r="F205" i="115" s="1"/>
  <c r="D206" i="115"/>
  <c r="F206" i="115" s="1"/>
  <c r="D207" i="115"/>
  <c r="F207" i="115" s="1"/>
  <c r="D208" i="115"/>
  <c r="F208" i="115" s="1"/>
  <c r="D209" i="115"/>
  <c r="F209" i="115" s="1"/>
  <c r="D210" i="115"/>
  <c r="F210" i="115" s="1"/>
  <c r="D211" i="115"/>
  <c r="F211" i="115" s="1"/>
  <c r="D212" i="115"/>
  <c r="F212" i="115" s="1"/>
  <c r="D213" i="115"/>
  <c r="F213" i="115" s="1"/>
  <c r="D214" i="115"/>
  <c r="F214" i="115" s="1"/>
  <c r="D215" i="115"/>
  <c r="F215" i="115" s="1"/>
  <c r="D216" i="115"/>
  <c r="F216" i="115" s="1"/>
  <c r="D217" i="115"/>
  <c r="F217" i="115" s="1"/>
  <c r="D218" i="115"/>
  <c r="F218" i="115" s="1"/>
  <c r="D219" i="115"/>
  <c r="F219" i="115" s="1"/>
  <c r="D220" i="115"/>
  <c r="F220" i="115" s="1"/>
  <c r="D221" i="115"/>
  <c r="F221" i="115" s="1"/>
  <c r="D222" i="115"/>
  <c r="F222" i="115" s="1"/>
  <c r="D223" i="115"/>
  <c r="F223" i="115" s="1"/>
  <c r="D224" i="115"/>
  <c r="F224" i="115" s="1"/>
  <c r="D225" i="115"/>
  <c r="F225" i="115" s="1"/>
  <c r="D226" i="115"/>
  <c r="F226" i="115" s="1"/>
  <c r="D227" i="115"/>
  <c r="F227" i="115" s="1"/>
  <c r="D228" i="115"/>
  <c r="F228" i="115" s="1"/>
  <c r="D229" i="115"/>
  <c r="F229" i="115" s="1"/>
  <c r="D230" i="115"/>
  <c r="F230" i="115" s="1"/>
  <c r="D231" i="115"/>
  <c r="F231" i="115" s="1"/>
  <c r="D232" i="115"/>
  <c r="F232" i="115" s="1"/>
  <c r="D233" i="115"/>
  <c r="F233" i="115" s="1"/>
  <c r="D234" i="115"/>
  <c r="F234" i="115" s="1"/>
  <c r="D235" i="115"/>
  <c r="F235" i="115" s="1"/>
  <c r="D236" i="115"/>
  <c r="F236" i="115" s="1"/>
  <c r="D237" i="115"/>
  <c r="F237" i="115" s="1"/>
  <c r="D238" i="115"/>
  <c r="F238" i="115" s="1"/>
  <c r="D239" i="115"/>
  <c r="F239" i="115" s="1"/>
  <c r="D240" i="115"/>
  <c r="F240" i="115" s="1"/>
  <c r="D241" i="115"/>
  <c r="F241" i="115" s="1"/>
  <c r="D242" i="115"/>
  <c r="F242" i="115" s="1"/>
  <c r="D243" i="115"/>
  <c r="F243" i="115" s="1"/>
  <c r="D244" i="115"/>
  <c r="F244" i="115" s="1"/>
  <c r="D245" i="115"/>
  <c r="F245" i="115" s="1"/>
  <c r="D246" i="115"/>
  <c r="F246" i="115" s="1"/>
  <c r="D247" i="115"/>
  <c r="F247" i="115" s="1"/>
  <c r="D248" i="115"/>
  <c r="F248" i="115" s="1"/>
  <c r="D249" i="115"/>
  <c r="F249" i="115" s="1"/>
  <c r="D250" i="115"/>
  <c r="F250" i="115" s="1"/>
  <c r="D251" i="115"/>
  <c r="F251" i="115" s="1"/>
  <c r="D252" i="115"/>
  <c r="F252" i="115" s="1"/>
  <c r="D253" i="115"/>
  <c r="F253" i="115" s="1"/>
  <c r="D254" i="115"/>
  <c r="F254" i="115" s="1"/>
  <c r="D255" i="115"/>
  <c r="F255" i="115" s="1"/>
  <c r="D256" i="115"/>
  <c r="F256" i="115" s="1"/>
  <c r="D257" i="115"/>
  <c r="F257" i="115" s="1"/>
  <c r="D258" i="115"/>
  <c r="F258" i="115" s="1"/>
  <c r="D259" i="115"/>
  <c r="F259" i="115" s="1"/>
  <c r="D260" i="115"/>
  <c r="F260" i="115" s="1"/>
  <c r="D261" i="115"/>
  <c r="F261" i="115" s="1"/>
  <c r="D262" i="115"/>
  <c r="F262" i="115" s="1"/>
  <c r="D263" i="115"/>
  <c r="F263" i="115" s="1"/>
  <c r="D264" i="115"/>
  <c r="F264" i="115" s="1"/>
  <c r="D265" i="115"/>
  <c r="F265" i="115" s="1"/>
  <c r="D266" i="115"/>
  <c r="F266" i="115" s="1"/>
  <c r="D267" i="115"/>
  <c r="F267" i="115" s="1"/>
  <c r="D268" i="115"/>
  <c r="F268" i="115" s="1"/>
  <c r="D269" i="115"/>
  <c r="F269" i="115" s="1"/>
  <c r="D270" i="115"/>
  <c r="F270" i="115" s="1"/>
  <c r="D271" i="115"/>
  <c r="F271" i="115" s="1"/>
  <c r="D272" i="115"/>
  <c r="F272" i="115" s="1"/>
  <c r="D273" i="115"/>
  <c r="F273" i="115" s="1"/>
  <c r="D274" i="115"/>
  <c r="F274" i="115" s="1"/>
  <c r="D275" i="115"/>
  <c r="F275" i="115" s="1"/>
  <c r="D276" i="115"/>
  <c r="F276" i="115" s="1"/>
  <c r="D277" i="115"/>
  <c r="F277" i="115" s="1"/>
  <c r="D278" i="115"/>
  <c r="F278" i="115" s="1"/>
  <c r="D279" i="115"/>
  <c r="F279" i="115" s="1"/>
  <c r="D280" i="115"/>
  <c r="F280" i="115" s="1"/>
  <c r="D281" i="115"/>
  <c r="F281" i="115" s="1"/>
  <c r="D282" i="115"/>
  <c r="F282" i="115" s="1"/>
  <c r="D283" i="115"/>
  <c r="F283" i="115" s="1"/>
  <c r="D284" i="115"/>
  <c r="F284" i="115" s="1"/>
  <c r="D285" i="115"/>
  <c r="F285" i="115" s="1"/>
  <c r="D286" i="115"/>
  <c r="F286" i="115" s="1"/>
  <c r="D287" i="115"/>
  <c r="F287" i="115" s="1"/>
  <c r="D288" i="115"/>
  <c r="F288" i="115" s="1"/>
  <c r="D289" i="115"/>
  <c r="F289" i="115" s="1"/>
  <c r="D290" i="115"/>
  <c r="F290" i="115" s="1"/>
  <c r="D291" i="115"/>
  <c r="F291" i="115" s="1"/>
  <c r="D292" i="115"/>
  <c r="F292" i="115" s="1"/>
  <c r="D293" i="115"/>
  <c r="F293" i="115" s="1"/>
  <c r="D294" i="115"/>
  <c r="F294" i="115" s="1"/>
  <c r="D295" i="115"/>
  <c r="F295" i="115" s="1"/>
  <c r="D296" i="115"/>
  <c r="F296" i="115" s="1"/>
  <c r="D297" i="115"/>
  <c r="F297" i="115" s="1"/>
  <c r="D298" i="115"/>
  <c r="F298" i="115" s="1"/>
  <c r="D299" i="115"/>
  <c r="F299" i="115" s="1"/>
  <c r="D5" i="115"/>
  <c r="F5" i="115" s="1"/>
  <c r="D4" i="115"/>
  <c r="F4" i="115" s="1"/>
  <c r="A8" i="52"/>
  <c r="A9" i="52"/>
  <c r="A10" i="52"/>
  <c r="A11" i="52"/>
  <c r="A12" i="52"/>
  <c r="A13" i="52"/>
  <c r="A14" i="52"/>
  <c r="A15" i="52"/>
  <c r="A16" i="52"/>
  <c r="A17" i="52" s="1"/>
  <c r="A18" i="52" s="1"/>
  <c r="A19" i="52"/>
  <c r="A20" i="52"/>
  <c r="A21" i="52"/>
  <c r="A22" i="52" s="1"/>
  <c r="A23" i="52" s="1"/>
  <c r="A24" i="52" s="1"/>
  <c r="A25" i="52"/>
  <c r="A26" i="52"/>
  <c r="A27" i="52"/>
  <c r="A28" i="52"/>
  <c r="A29" i="52"/>
  <c r="A30" i="52"/>
  <c r="A31" i="52"/>
  <c r="A32" i="52"/>
  <c r="A33" i="52"/>
  <c r="A34" i="52" s="1"/>
  <c r="A36" i="52"/>
  <c r="A37" i="52"/>
  <c r="A38" i="52"/>
  <c r="A39" i="52"/>
  <c r="A40" i="52"/>
  <c r="A41" i="52"/>
  <c r="A42" i="52" s="1"/>
  <c r="A44" i="52"/>
  <c r="A45" i="52"/>
  <c r="A46" i="52"/>
  <c r="A47" i="52"/>
  <c r="A48" i="52"/>
  <c r="A49" i="52"/>
  <c r="A50" i="52" s="1"/>
  <c r="A52" i="52"/>
  <c r="A53" i="52"/>
  <c r="A54" i="52"/>
  <c r="A55" i="52"/>
  <c r="A56" i="52"/>
  <c r="A57" i="52"/>
  <c r="A58" i="52"/>
  <c r="A59" i="52"/>
  <c r="A60" i="52"/>
  <c r="A61" i="52"/>
  <c r="A62" i="52" s="1"/>
  <c r="A63" i="52"/>
  <c r="A64" i="52"/>
  <c r="A65" i="52"/>
  <c r="A66" i="52"/>
  <c r="A67" i="52"/>
  <c r="A68" i="52" s="1"/>
  <c r="A69" i="52" s="1"/>
  <c r="A70" i="52" s="1"/>
  <c r="A71" i="52" s="1"/>
  <c r="A72" i="52" s="1"/>
  <c r="A73" i="52" s="1"/>
  <c r="A74" i="52" s="1"/>
  <c r="A77" i="52"/>
  <c r="A78" i="52" s="1"/>
  <c r="A79" i="52"/>
  <c r="A80" i="52"/>
  <c r="A81" i="52"/>
  <c r="A82" i="52"/>
  <c r="A83" i="52"/>
  <c r="A84" i="52" s="1"/>
  <c r="A85" i="52" s="1"/>
  <c r="A86" i="52" s="1"/>
  <c r="A88" i="52"/>
  <c r="A89" i="52"/>
  <c r="A90" i="52"/>
  <c r="A91" i="52"/>
  <c r="A92" i="52"/>
  <c r="A93" i="52"/>
  <c r="A94" i="52" s="1"/>
  <c r="A95" i="52" s="1"/>
  <c r="A96" i="52" s="1"/>
  <c r="A97" i="52"/>
  <c r="A98" i="52"/>
  <c r="A99" i="52"/>
  <c r="A100" i="52" s="1"/>
  <c r="A101" i="52"/>
  <c r="A102" i="52"/>
  <c r="A103" i="52"/>
  <c r="A104" i="52"/>
  <c r="A105" i="52"/>
  <c r="A106" i="52" s="1"/>
  <c r="A111" i="52"/>
  <c r="A112" i="52"/>
  <c r="A113" i="52"/>
  <c r="A114" i="52"/>
  <c r="A115" i="52" s="1"/>
  <c r="A116" i="52" s="1"/>
  <c r="A117" i="52" s="1"/>
  <c r="A118" i="52"/>
  <c r="A119" i="52"/>
  <c r="A120" i="52"/>
  <c r="A121" i="52"/>
  <c r="A122" i="52" s="1"/>
  <c r="A123" i="52" s="1"/>
  <c r="A124" i="52" s="1"/>
  <c r="A125" i="52" s="1"/>
  <c r="A126" i="52" s="1"/>
  <c r="A130" i="52"/>
  <c r="A131" i="52"/>
  <c r="A132" i="52" s="1"/>
  <c r="A133" i="52" s="1"/>
  <c r="A134" i="52" s="1"/>
  <c r="A135" i="52"/>
  <c r="A136" i="52"/>
  <c r="A137" i="52"/>
  <c r="A138" i="52"/>
  <c r="A139" i="52"/>
  <c r="A140" i="52"/>
  <c r="A141" i="52"/>
  <c r="A142" i="52"/>
  <c r="A143" i="52"/>
  <c r="A144" i="52"/>
  <c r="A145" i="52"/>
  <c r="A146" i="52"/>
  <c r="A147" i="52" s="1"/>
  <c r="A148" i="52"/>
  <c r="A149" i="52" s="1"/>
  <c r="A150" i="52"/>
  <c r="A151" i="52"/>
  <c r="A152" i="52"/>
  <c r="A153" i="52"/>
  <c r="A154" i="52" s="1"/>
  <c r="A155" i="52" s="1"/>
  <c r="A156" i="52"/>
  <c r="A157" i="52" s="1"/>
  <c r="A158" i="52" s="1"/>
  <c r="A159" i="52" s="1"/>
  <c r="A161" i="52"/>
  <c r="A162" i="52"/>
  <c r="A163" i="52"/>
  <c r="A164" i="52"/>
  <c r="A165" i="52" s="1"/>
  <c r="A166" i="52"/>
  <c r="A167" i="52"/>
  <c r="A168" i="52"/>
  <c r="A169" i="52"/>
  <c r="A170" i="52"/>
  <c r="A171" i="52"/>
  <c r="A172" i="52"/>
  <c r="A176" i="52"/>
  <c r="A177" i="52"/>
  <c r="A178" i="52"/>
  <c r="A179" i="52"/>
  <c r="A180" i="52"/>
  <c r="A181" i="52" s="1"/>
  <c r="A182" i="52"/>
  <c r="A183" i="52"/>
  <c r="A184" i="52"/>
  <c r="A185" i="52"/>
  <c r="A186" i="52"/>
  <c r="A187" i="52" s="1"/>
  <c r="A188" i="52" s="1"/>
  <c r="A189" i="52"/>
  <c r="A190" i="52"/>
  <c r="A191" i="52"/>
  <c r="A192" i="52"/>
  <c r="A193" i="52"/>
  <c r="A194" i="52"/>
  <c r="A195" i="52" s="1"/>
  <c r="A196" i="52" s="1"/>
  <c r="A197" i="52" s="1"/>
  <c r="A216" i="52"/>
  <c r="A217" i="52"/>
  <c r="A218" i="52" s="1"/>
  <c r="A219" i="52" s="1"/>
  <c r="A220" i="52"/>
  <c r="A221" i="52"/>
  <c r="A222" i="52"/>
  <c r="A223" i="52"/>
  <c r="A224" i="52"/>
  <c r="A225" i="52"/>
  <c r="A226" i="52" s="1"/>
  <c r="A227" i="52" s="1"/>
  <c r="A228" i="52" s="1"/>
  <c r="A229" i="52" s="1"/>
  <c r="A230" i="52" s="1"/>
  <c r="A231" i="52" s="1"/>
  <c r="A232" i="52" s="1"/>
  <c r="A233" i="52"/>
  <c r="A234" i="52"/>
  <c r="A235" i="52"/>
  <c r="A236" i="52"/>
  <c r="A237" i="52" s="1"/>
  <c r="A238" i="52"/>
  <c r="A239" i="52"/>
  <c r="A240" i="52"/>
  <c r="A241" i="52"/>
  <c r="A242" i="52"/>
  <c r="A243" i="52" s="1"/>
  <c r="A244" i="52" s="1"/>
  <c r="A248" i="52"/>
  <c r="A249" i="52"/>
  <c r="A250" i="52"/>
  <c r="A251" i="52"/>
  <c r="A252" i="52"/>
  <c r="A253" i="52"/>
  <c r="A254" i="52" s="1"/>
  <c r="A255" i="52"/>
  <c r="A256" i="52"/>
  <c r="A257" i="52" s="1"/>
  <c r="A259" i="52"/>
  <c r="A260" i="52"/>
  <c r="A261" i="52" s="1"/>
  <c r="A262" i="52" s="1"/>
  <c r="A263" i="52"/>
  <c r="A264" i="52"/>
  <c r="A265" i="52" s="1"/>
  <c r="A266" i="52" s="1"/>
  <c r="A267" i="52" s="1"/>
  <c r="A268" i="52"/>
  <c r="A269" i="52"/>
  <c r="A270" i="52"/>
  <c r="A271" i="52"/>
  <c r="A272" i="52"/>
  <c r="A273" i="52" s="1"/>
  <c r="A274" i="52" s="1"/>
  <c r="A275" i="52" s="1"/>
  <c r="A276" i="52" s="1"/>
  <c r="A277" i="52" s="1"/>
  <c r="A278" i="52" s="1"/>
  <c r="A279" i="52"/>
  <c r="A280" i="52"/>
  <c r="A281" i="52"/>
  <c r="A284" i="52"/>
  <c r="A285" i="52" s="1"/>
  <c r="A286" i="52"/>
  <c r="A287" i="52"/>
  <c r="A288" i="52"/>
  <c r="A289" i="52"/>
  <c r="A290" i="52"/>
  <c r="A291" i="52"/>
  <c r="A292" i="52"/>
  <c r="A293" i="52" s="1"/>
  <c r="A294" i="52" s="1"/>
  <c r="A295" i="52" s="1"/>
  <c r="A296" i="52" s="1"/>
  <c r="A297" i="52"/>
  <c r="A298" i="52"/>
  <c r="A299" i="52" s="1"/>
  <c r="A300" i="52"/>
  <c r="A301" i="52"/>
  <c r="A302" i="52"/>
  <c r="A303" i="52"/>
  <c r="A304" i="52"/>
  <c r="A305" i="52"/>
  <c r="A306" i="52"/>
  <c r="A307" i="52" s="1"/>
  <c r="A308" i="52"/>
  <c r="A309" i="52"/>
  <c r="A310" i="52"/>
  <c r="A311" i="52"/>
  <c r="A312" i="52"/>
  <c r="A313" i="52" s="1"/>
  <c r="A314" i="52" s="1"/>
  <c r="A315" i="52" s="1"/>
  <c r="A316" i="52" s="1"/>
  <c r="A317" i="52"/>
  <c r="A318" i="52"/>
  <c r="A319" i="52"/>
  <c r="A320" i="52"/>
  <c r="A321" i="52"/>
  <c r="A322" i="52"/>
  <c r="A323" i="52"/>
  <c r="A324" i="52"/>
  <c r="A325" i="52"/>
  <c r="A326" i="52"/>
  <c r="A327" i="52"/>
  <c r="A328" i="52"/>
  <c r="A329" i="52"/>
  <c r="A330" i="52"/>
  <c r="A331" i="52"/>
  <c r="A332" i="52" s="1"/>
  <c r="A334" i="52"/>
  <c r="A335" i="52"/>
  <c r="A336" i="52"/>
  <c r="A337" i="52"/>
  <c r="A338" i="52" s="1"/>
  <c r="A340" i="52"/>
  <c r="A341" i="52"/>
  <c r="A342" i="52"/>
  <c r="A343" i="52"/>
  <c r="A344" i="52"/>
  <c r="A345" i="52"/>
  <c r="A348" i="52"/>
  <c r="A349" i="52" s="1"/>
  <c r="A350" i="52"/>
  <c r="A351" i="52"/>
  <c r="A352" i="52" s="1"/>
  <c r="A353" i="52"/>
  <c r="A354" i="52"/>
  <c r="A355" i="52"/>
  <c r="A356" i="52"/>
  <c r="A357" i="52" s="1"/>
  <c r="A358" i="52" s="1"/>
  <c r="A360" i="52"/>
  <c r="A361" i="52"/>
  <c r="A362" i="52"/>
  <c r="A363" i="52" s="1"/>
  <c r="A364" i="52" s="1"/>
  <c r="A365" i="52"/>
  <c r="A366" i="52"/>
  <c r="A367" i="52"/>
  <c r="A368" i="52"/>
  <c r="A369" i="52"/>
  <c r="A370" i="52" s="1"/>
  <c r="A371" i="52" s="1"/>
  <c r="A372" i="52"/>
  <c r="A373" i="52" s="1"/>
  <c r="A374" i="52"/>
  <c r="A375" i="52"/>
  <c r="A376" i="52"/>
  <c r="A377" i="52"/>
  <c r="A378" i="52"/>
  <c r="A379" i="52" s="1"/>
  <c r="A380" i="52"/>
  <c r="A381" i="52" s="1"/>
  <c r="A382" i="52" s="1"/>
  <c r="A385" i="52"/>
  <c r="A386" i="52"/>
  <c r="A387" i="52"/>
  <c r="A388" i="52" s="1"/>
  <c r="A389" i="52" s="1"/>
  <c r="A390" i="52" s="1"/>
  <c r="A392" i="52"/>
  <c r="A393" i="52"/>
  <c r="A394" i="52"/>
  <c r="A395" i="52"/>
  <c r="A396" i="52"/>
  <c r="A397" i="52"/>
  <c r="A398" i="52"/>
  <c r="A399" i="52"/>
  <c r="A400" i="52"/>
  <c r="A401" i="52"/>
  <c r="A402" i="52"/>
  <c r="A403" i="52"/>
  <c r="A404" i="52"/>
  <c r="A405" i="52"/>
  <c r="A406" i="52"/>
  <c r="A407" i="52" s="1"/>
  <c r="A408" i="52"/>
  <c r="A409" i="52"/>
  <c r="A410" i="52"/>
  <c r="A411" i="52"/>
  <c r="A412" i="52"/>
  <c r="A413" i="52" s="1"/>
  <c r="A414" i="52"/>
  <c r="A415" i="52"/>
  <c r="A416" i="52"/>
  <c r="A417" i="52" s="1"/>
  <c r="A418" i="52" s="1"/>
  <c r="A419" i="52" s="1"/>
  <c r="A420" i="52" s="1"/>
  <c r="A427" i="52"/>
  <c r="A428" i="52" s="1"/>
  <c r="A429" i="52"/>
  <c r="A430" i="52" s="1"/>
  <c r="A431" i="52"/>
  <c r="A432" i="52"/>
  <c r="A433" i="52"/>
  <c r="A434" i="52"/>
  <c r="A435" i="52"/>
  <c r="A436" i="52"/>
  <c r="A437" i="52"/>
  <c r="A438" i="52"/>
  <c r="A439" i="52"/>
  <c r="A440" i="52"/>
  <c r="A441" i="52"/>
  <c r="A442" i="52"/>
  <c r="A443" i="52"/>
  <c r="A444" i="52"/>
  <c r="A445" i="52"/>
  <c r="A446" i="52" s="1"/>
  <c r="A447" i="52"/>
  <c r="A448" i="52"/>
  <c r="A449" i="52"/>
  <c r="A450" i="52"/>
  <c r="A451" i="52"/>
  <c r="A452" i="52"/>
  <c r="A453" i="52"/>
  <c r="A454" i="52" s="1"/>
  <c r="A455" i="52" s="1"/>
  <c r="A456" i="52"/>
  <c r="A457" i="52"/>
  <c r="A458" i="52"/>
  <c r="A459" i="52"/>
  <c r="A460" i="52"/>
  <c r="A461" i="52"/>
  <c r="A462" i="52"/>
  <c r="A463" i="52"/>
  <c r="A464" i="52"/>
  <c r="Q1" i="52"/>
  <c r="R13" i="52"/>
  <c r="R15" i="52"/>
  <c r="R16" i="52"/>
  <c r="R19" i="52"/>
  <c r="R20" i="52"/>
  <c r="R23" i="52"/>
  <c r="R24" i="52"/>
  <c r="R25" i="52"/>
  <c r="R26" i="52"/>
  <c r="R28" i="52"/>
  <c r="R29" i="52"/>
  <c r="R30" i="52"/>
  <c r="R31" i="52"/>
  <c r="R32" i="52"/>
  <c r="R36" i="52"/>
  <c r="R37" i="52"/>
  <c r="R38" i="52"/>
  <c r="R39" i="52"/>
  <c r="R40" i="52"/>
  <c r="R44" i="52"/>
  <c r="R45" i="52"/>
  <c r="R46" i="52"/>
  <c r="R47" i="52"/>
  <c r="R48" i="52"/>
  <c r="R52" i="52"/>
  <c r="R53" i="52"/>
  <c r="R55" i="52"/>
  <c r="R56" i="52"/>
  <c r="R57" i="52"/>
  <c r="R58" i="52"/>
  <c r="R59" i="52"/>
  <c r="R60" i="52"/>
  <c r="R63" i="52"/>
  <c r="R64" i="52"/>
  <c r="R65" i="52"/>
  <c r="R68" i="52"/>
  <c r="R72" i="52"/>
  <c r="R76" i="52"/>
  <c r="R78" i="52"/>
  <c r="R79" i="52"/>
  <c r="R80" i="52"/>
  <c r="R81" i="52"/>
  <c r="R82" i="52"/>
  <c r="R84" i="52"/>
  <c r="R88" i="52"/>
  <c r="R89" i="52"/>
  <c r="R90" i="52"/>
  <c r="R92" i="52"/>
  <c r="R96" i="52"/>
  <c r="R100" i="52"/>
  <c r="R101" i="52"/>
  <c r="R102" i="52"/>
  <c r="R104" i="52"/>
  <c r="R108" i="52"/>
  <c r="R110" i="52"/>
  <c r="R112" i="52"/>
  <c r="R116" i="52"/>
  <c r="R119" i="52"/>
  <c r="R120" i="52"/>
  <c r="R124" i="52"/>
  <c r="R128" i="52"/>
  <c r="R129" i="52"/>
  <c r="R130" i="52"/>
  <c r="R132" i="52"/>
  <c r="R135" i="52"/>
  <c r="R136" i="52"/>
  <c r="R137" i="52"/>
  <c r="R138" i="52"/>
  <c r="R139" i="52"/>
  <c r="R140" i="52"/>
  <c r="R141" i="52"/>
  <c r="R142" i="52"/>
  <c r="R144" i="52"/>
  <c r="R145" i="52"/>
  <c r="R148" i="52"/>
  <c r="R150" i="52"/>
  <c r="R151" i="52"/>
  <c r="R152" i="52"/>
  <c r="R156" i="52"/>
  <c r="R160" i="52"/>
  <c r="R161" i="52"/>
  <c r="R162" i="52"/>
  <c r="R163" i="52"/>
  <c r="R164" i="52"/>
  <c r="R166" i="52"/>
  <c r="R167" i="52"/>
  <c r="R168" i="52"/>
  <c r="R170" i="52"/>
  <c r="R171" i="52"/>
  <c r="R172" i="52"/>
  <c r="R173" i="52"/>
  <c r="R175" i="52"/>
  <c r="R177" i="52"/>
  <c r="R178" i="52"/>
  <c r="R179" i="52"/>
  <c r="R182" i="52"/>
  <c r="R183" i="52"/>
  <c r="R185" i="52"/>
  <c r="R187" i="52"/>
  <c r="R189" i="52"/>
  <c r="R190" i="52"/>
  <c r="R191" i="52"/>
  <c r="R192" i="52"/>
  <c r="R195" i="52"/>
  <c r="R199" i="52"/>
  <c r="R203" i="52"/>
  <c r="R207" i="52"/>
  <c r="R211" i="52"/>
  <c r="R215" i="52"/>
  <c r="R216" i="52"/>
  <c r="R219" i="52"/>
  <c r="R220" i="52"/>
  <c r="R222" i="52"/>
  <c r="R223" i="52"/>
  <c r="R227" i="52"/>
  <c r="R231" i="52"/>
  <c r="R233" i="52"/>
  <c r="R234" i="52"/>
  <c r="R235" i="52"/>
  <c r="R239" i="52"/>
  <c r="R240" i="52"/>
  <c r="R241" i="52"/>
  <c r="R243" i="52"/>
  <c r="R246" i="52"/>
  <c r="R247" i="52"/>
  <c r="R248" i="52"/>
  <c r="R250" i="52"/>
  <c r="R251" i="52"/>
  <c r="R252" i="52"/>
  <c r="R255" i="52"/>
  <c r="R258" i="52"/>
  <c r="R259" i="52"/>
  <c r="R263" i="52"/>
  <c r="R266" i="52"/>
  <c r="R270" i="52"/>
  <c r="R271" i="52"/>
  <c r="R274" i="52"/>
  <c r="R278" i="52"/>
  <c r="R279" i="52"/>
  <c r="R280" i="52"/>
  <c r="R282" i="52"/>
  <c r="R283" i="52"/>
  <c r="R286" i="52"/>
  <c r="R289" i="52"/>
  <c r="R290" i="52"/>
  <c r="R291" i="52"/>
  <c r="R294" i="52"/>
  <c r="R296" i="52"/>
  <c r="R297" i="52"/>
  <c r="R298" i="52"/>
  <c r="R300" i="52"/>
  <c r="R301" i="52"/>
  <c r="R302" i="52"/>
  <c r="R303" i="52"/>
  <c r="R304" i="52"/>
  <c r="R305" i="52"/>
  <c r="R306" i="52"/>
  <c r="R308" i="52"/>
  <c r="R309" i="52"/>
  <c r="R310" i="52"/>
  <c r="R311" i="52"/>
  <c r="R314" i="52"/>
  <c r="R317" i="52"/>
  <c r="R318" i="52"/>
  <c r="R320" i="52"/>
  <c r="R321" i="52"/>
  <c r="R322" i="52"/>
  <c r="R323" i="52"/>
  <c r="R324" i="52"/>
  <c r="R326" i="52"/>
  <c r="R329" i="52"/>
  <c r="R330" i="52"/>
  <c r="R331" i="52"/>
  <c r="R332" i="52"/>
  <c r="R333" i="52"/>
  <c r="R334" i="52"/>
  <c r="R335" i="52"/>
  <c r="R336" i="52"/>
  <c r="R338" i="52"/>
  <c r="R339" i="52"/>
  <c r="R340" i="52"/>
  <c r="R341" i="52"/>
  <c r="R342" i="52"/>
  <c r="R343" i="52"/>
  <c r="R346" i="52"/>
  <c r="R349" i="52"/>
  <c r="R350" i="52"/>
  <c r="R353" i="52"/>
  <c r="R354" i="52"/>
  <c r="R358" i="52"/>
  <c r="R362" i="52"/>
  <c r="R364" i="52"/>
  <c r="R366" i="52"/>
  <c r="R367" i="52"/>
  <c r="R368" i="52"/>
  <c r="R370" i="52"/>
  <c r="R373" i="52"/>
  <c r="R374" i="52"/>
  <c r="R375" i="52"/>
  <c r="R376" i="52"/>
  <c r="R377" i="52"/>
  <c r="R378" i="52"/>
  <c r="R382" i="52"/>
  <c r="R385" i="52"/>
  <c r="R386" i="52"/>
  <c r="R390" i="52"/>
  <c r="R392" i="52"/>
  <c r="R393" i="52"/>
  <c r="R394" i="52"/>
  <c r="R395" i="52"/>
  <c r="R396" i="52"/>
  <c r="R397" i="52"/>
  <c r="R398" i="52"/>
  <c r="R399" i="52"/>
  <c r="R400" i="52"/>
  <c r="R402" i="52"/>
  <c r="R403" i="52"/>
  <c r="R404" i="52"/>
  <c r="R405" i="52"/>
  <c r="R406" i="52"/>
  <c r="R407" i="52"/>
  <c r="R409" i="52"/>
  <c r="R410" i="52"/>
  <c r="R411" i="52"/>
  <c r="R412" i="52"/>
  <c r="R413" i="52"/>
  <c r="R414" i="52"/>
  <c r="R415" i="52"/>
  <c r="R418" i="52"/>
  <c r="R419" i="52"/>
  <c r="R422" i="52"/>
  <c r="R423" i="52"/>
  <c r="R426" i="52"/>
  <c r="R427" i="52"/>
  <c r="R430" i="52"/>
  <c r="R431" i="52"/>
  <c r="R434" i="52"/>
  <c r="R435" i="52"/>
  <c r="R436" i="52"/>
  <c r="R437" i="52"/>
  <c r="R438" i="52"/>
  <c r="R439" i="52"/>
  <c r="R440" i="52"/>
  <c r="R441" i="52"/>
  <c r="R442" i="52"/>
  <c r="R443" i="52"/>
  <c r="R444" i="52"/>
  <c r="R446" i="52"/>
  <c r="R447" i="52"/>
  <c r="R448" i="52"/>
  <c r="R449" i="52"/>
  <c r="R450" i="52"/>
  <c r="R451" i="52"/>
  <c r="R452" i="52"/>
  <c r="R454" i="52"/>
  <c r="R455" i="52"/>
  <c r="R456" i="52"/>
  <c r="R457" i="52"/>
  <c r="R459" i="52"/>
  <c r="R460" i="52"/>
  <c r="R461" i="52"/>
  <c r="R462" i="52"/>
  <c r="R463" i="52"/>
  <c r="R5" i="52"/>
  <c r="R6" i="52"/>
  <c r="R7" i="52"/>
  <c r="R8" i="52"/>
  <c r="R10" i="52"/>
  <c r="R11" i="52"/>
  <c r="R17" i="52"/>
  <c r="R4" i="52"/>
  <c r="B459" i="52"/>
  <c r="B460" i="52"/>
  <c r="B461" i="52"/>
  <c r="B462" i="52"/>
  <c r="B463" i="52"/>
  <c r="B464" i="52"/>
  <c r="J463" i="52"/>
  <c r="K463" i="52" s="1"/>
  <c r="L463" i="52" s="1"/>
  <c r="M463" i="52" s="1"/>
  <c r="J461" i="52"/>
  <c r="K461" i="52" s="1"/>
  <c r="L461" i="52" s="1"/>
  <c r="M461" i="52" s="1"/>
  <c r="J460" i="52"/>
  <c r="K460" i="52" s="1"/>
  <c r="L460" i="52" s="1"/>
  <c r="M460" i="52" s="1"/>
  <c r="J459" i="52"/>
  <c r="K459" i="52" s="1"/>
  <c r="L459" i="52" s="1"/>
  <c r="M459" i="52" s="1"/>
  <c r="J457" i="52"/>
  <c r="K457" i="52" s="1"/>
  <c r="L457" i="52" s="1"/>
  <c r="M457" i="52" s="1"/>
  <c r="J456" i="52"/>
  <c r="K456" i="52" s="1"/>
  <c r="L456" i="52" s="1"/>
  <c r="M456" i="52" s="1"/>
  <c r="J452" i="52"/>
  <c r="K452" i="52" s="1"/>
  <c r="L452" i="52" s="1"/>
  <c r="M452" i="52" s="1"/>
  <c r="J451" i="52"/>
  <c r="K451" i="52" s="1"/>
  <c r="L451" i="52" s="1"/>
  <c r="M451" i="52" s="1"/>
  <c r="J450" i="52"/>
  <c r="K450" i="52" s="1"/>
  <c r="L450" i="52" s="1"/>
  <c r="M450" i="52" s="1"/>
  <c r="J449" i="52"/>
  <c r="K449" i="52" s="1"/>
  <c r="L449" i="52" s="1"/>
  <c r="M449" i="52" s="1"/>
  <c r="J447" i="52"/>
  <c r="K447" i="52" s="1"/>
  <c r="L447" i="52" s="1"/>
  <c r="M447" i="52" s="1"/>
  <c r="J444" i="52"/>
  <c r="K444" i="52" s="1"/>
  <c r="L444" i="52" s="1"/>
  <c r="M444" i="52" s="1"/>
  <c r="J442" i="52"/>
  <c r="K442" i="52" s="1"/>
  <c r="L442" i="52" s="1"/>
  <c r="M442" i="52" s="1"/>
  <c r="J441" i="52"/>
  <c r="K441" i="52" s="1"/>
  <c r="L441" i="52" s="1"/>
  <c r="M441" i="52" s="1"/>
  <c r="J440" i="52"/>
  <c r="K440" i="52" s="1"/>
  <c r="L440" i="52" s="1"/>
  <c r="M440" i="52" s="1"/>
  <c r="J439" i="52"/>
  <c r="K439" i="52" s="1"/>
  <c r="L439" i="52" s="1"/>
  <c r="M439" i="52" s="1"/>
  <c r="J438" i="52"/>
  <c r="K438" i="52" s="1"/>
  <c r="L438" i="52" s="1"/>
  <c r="M438" i="52" s="1"/>
  <c r="J437" i="52"/>
  <c r="K437" i="52" s="1"/>
  <c r="L437" i="52" s="1"/>
  <c r="M437" i="52" s="1"/>
  <c r="J436" i="52"/>
  <c r="K436" i="52" s="1"/>
  <c r="L436" i="52" s="1"/>
  <c r="M436" i="52" s="1"/>
  <c r="J435" i="52"/>
  <c r="K435" i="52" s="1"/>
  <c r="L435" i="52" s="1"/>
  <c r="M435" i="52" s="1"/>
  <c r="J434" i="52"/>
  <c r="K434" i="52" s="1"/>
  <c r="L434" i="52" s="1"/>
  <c r="M434" i="52" s="1"/>
  <c r="J431" i="52"/>
  <c r="K431" i="52" s="1"/>
  <c r="L431" i="52" s="1"/>
  <c r="M431" i="52" s="1"/>
  <c r="J415" i="52"/>
  <c r="K415" i="52" s="1"/>
  <c r="L415" i="52" s="1"/>
  <c r="M415" i="52" s="1"/>
  <c r="J414" i="52"/>
  <c r="K414" i="52" s="1"/>
  <c r="L414" i="52" s="1"/>
  <c r="M414" i="52" s="1"/>
  <c r="J412" i="52"/>
  <c r="K412" i="52" s="1"/>
  <c r="L412" i="52" s="1"/>
  <c r="M412" i="52" s="1"/>
  <c r="J411" i="52"/>
  <c r="K411" i="52" s="1"/>
  <c r="L411" i="52" s="1"/>
  <c r="M411" i="52" s="1"/>
  <c r="J410" i="52"/>
  <c r="K410" i="52" s="1"/>
  <c r="L410" i="52" s="1"/>
  <c r="M410" i="52" s="1"/>
  <c r="J409" i="52"/>
  <c r="K409" i="52" s="1"/>
  <c r="L409" i="52" s="1"/>
  <c r="M409" i="52" s="1"/>
  <c r="J405" i="52"/>
  <c r="K405" i="52" s="1"/>
  <c r="L405" i="52" s="1"/>
  <c r="M405" i="52" s="1"/>
  <c r="J404" i="52"/>
  <c r="K404" i="52" s="1"/>
  <c r="L404" i="52" s="1"/>
  <c r="M404" i="52" s="1"/>
  <c r="J403" i="52"/>
  <c r="K403" i="52" s="1"/>
  <c r="L403" i="52" s="1"/>
  <c r="M403" i="52" s="1"/>
  <c r="J402" i="52"/>
  <c r="K402" i="52" s="1"/>
  <c r="L402" i="52" s="1"/>
  <c r="M402" i="52" s="1"/>
  <c r="J400" i="52"/>
  <c r="K400" i="52" s="1"/>
  <c r="L400" i="52" s="1"/>
  <c r="M400" i="52" s="1"/>
  <c r="J399" i="52"/>
  <c r="K399" i="52" s="1"/>
  <c r="L399" i="52" s="1"/>
  <c r="M399" i="52" s="1"/>
  <c r="J398" i="52"/>
  <c r="K398" i="52" s="1"/>
  <c r="L398" i="52" s="1"/>
  <c r="M398" i="52" s="1"/>
  <c r="J397" i="52"/>
  <c r="K397" i="52" s="1"/>
  <c r="L397" i="52" s="1"/>
  <c r="M397" i="52" s="1"/>
  <c r="J396" i="52"/>
  <c r="K396" i="52" s="1"/>
  <c r="L396" i="52" s="1"/>
  <c r="M396" i="52" s="1"/>
  <c r="J395" i="52"/>
  <c r="K395" i="52" s="1"/>
  <c r="L395" i="52" s="1"/>
  <c r="M395" i="52" s="1"/>
  <c r="J394" i="52"/>
  <c r="K394" i="52" s="1"/>
  <c r="L394" i="52" s="1"/>
  <c r="M394" i="52" s="1"/>
  <c r="J393" i="52"/>
  <c r="K393" i="52" s="1"/>
  <c r="L393" i="52" s="1"/>
  <c r="M393" i="52" s="1"/>
  <c r="J392" i="52"/>
  <c r="K392" i="52" s="1"/>
  <c r="L392" i="52" s="1"/>
  <c r="M392" i="52" s="1"/>
  <c r="J386" i="52"/>
  <c r="K386" i="52" s="1"/>
  <c r="L386" i="52" s="1"/>
  <c r="M386" i="52" s="1"/>
  <c r="J385" i="52"/>
  <c r="K385" i="52" s="1"/>
  <c r="L385" i="52" s="1"/>
  <c r="M385" i="52" s="1"/>
  <c r="J376" i="52"/>
  <c r="K376" i="52" s="1"/>
  <c r="L376" i="52" s="1"/>
  <c r="M376" i="52" s="1"/>
  <c r="J375" i="52"/>
  <c r="K375" i="52" s="1"/>
  <c r="L375" i="52" s="1"/>
  <c r="M375" i="52" s="1"/>
  <c r="J374" i="52"/>
  <c r="K374" i="52" s="1"/>
  <c r="L374" i="52" s="1"/>
  <c r="M374" i="52" s="1"/>
  <c r="J368" i="52"/>
  <c r="K368" i="52" s="1"/>
  <c r="L368" i="52" s="1"/>
  <c r="M368" i="52" s="1"/>
  <c r="J367" i="52"/>
  <c r="K367" i="52" s="1"/>
  <c r="L367" i="52" s="1"/>
  <c r="M367" i="52" s="1"/>
  <c r="J366" i="52"/>
  <c r="K366" i="52" s="1"/>
  <c r="L366" i="52" s="1"/>
  <c r="M366" i="52" s="1"/>
  <c r="J354" i="52"/>
  <c r="K354" i="52" s="1"/>
  <c r="L354" i="52" s="1"/>
  <c r="M354" i="52" s="1"/>
  <c r="J353" i="52"/>
  <c r="K353" i="52" s="1"/>
  <c r="L353" i="52" s="1"/>
  <c r="M353" i="52" s="1"/>
  <c r="J343" i="52"/>
  <c r="K343" i="52" s="1"/>
  <c r="L343" i="52" s="1"/>
  <c r="M343" i="52" s="1"/>
  <c r="J342" i="52"/>
  <c r="K342" i="52" s="1"/>
  <c r="L342" i="52" s="1"/>
  <c r="M342" i="52" s="1"/>
  <c r="J341" i="52"/>
  <c r="K341" i="52" s="1"/>
  <c r="L341" i="52" s="1"/>
  <c r="M341" i="52" s="1"/>
  <c r="J340" i="52"/>
  <c r="K340" i="52" s="1"/>
  <c r="L340" i="52" s="1"/>
  <c r="M340" i="52" s="1"/>
  <c r="J336" i="52"/>
  <c r="K336" i="52" s="1"/>
  <c r="L336" i="52" s="1"/>
  <c r="M336" i="52" s="1"/>
  <c r="J335" i="52"/>
  <c r="K335" i="52" s="1"/>
  <c r="L335" i="52" s="1"/>
  <c r="M335" i="52" s="1"/>
  <c r="J334" i="52"/>
  <c r="K334" i="52" s="1"/>
  <c r="L334" i="52" s="1"/>
  <c r="M334" i="52" s="1"/>
  <c r="J331" i="52"/>
  <c r="K331" i="52" s="1"/>
  <c r="L331" i="52" s="1"/>
  <c r="M331" i="52" s="1"/>
  <c r="J330" i="52"/>
  <c r="K330" i="52" s="1"/>
  <c r="L330" i="52" s="1"/>
  <c r="M330" i="52" s="1"/>
  <c r="J329" i="52"/>
  <c r="K329" i="52" s="1"/>
  <c r="L329" i="52" s="1"/>
  <c r="M329" i="52" s="1"/>
  <c r="J326" i="52"/>
  <c r="K326" i="52" s="1"/>
  <c r="L326" i="52" s="1"/>
  <c r="M326" i="52" s="1"/>
  <c r="J324" i="52"/>
  <c r="K324" i="52" s="1"/>
  <c r="L324" i="52" s="1"/>
  <c r="M324" i="52" s="1"/>
  <c r="J323" i="52"/>
  <c r="K323" i="52" s="1"/>
  <c r="L323" i="52" s="1"/>
  <c r="M323" i="52" s="1"/>
  <c r="J322" i="52"/>
  <c r="K322" i="52" s="1"/>
  <c r="L322" i="52" s="1"/>
  <c r="M322" i="52" s="1"/>
  <c r="J321" i="52"/>
  <c r="K321" i="52" s="1"/>
  <c r="L321" i="52" s="1"/>
  <c r="M321" i="52" s="1"/>
  <c r="J320" i="52"/>
  <c r="K320" i="52" s="1"/>
  <c r="L320" i="52" s="1"/>
  <c r="M320" i="52" s="1"/>
  <c r="J318" i="52"/>
  <c r="K318" i="52" s="1"/>
  <c r="L318" i="52" s="1"/>
  <c r="M318" i="52" s="1"/>
  <c r="J317" i="52"/>
  <c r="K317" i="52" s="1"/>
  <c r="L317" i="52" s="1"/>
  <c r="M317" i="52" s="1"/>
  <c r="J311" i="52"/>
  <c r="K311" i="52" s="1"/>
  <c r="L311" i="52" s="1"/>
  <c r="M311" i="52" s="1"/>
  <c r="J310" i="52"/>
  <c r="K310" i="52" s="1"/>
  <c r="L310" i="52" s="1"/>
  <c r="M310" i="52" s="1"/>
  <c r="J309" i="52"/>
  <c r="K309" i="52" s="1"/>
  <c r="L309" i="52" s="1"/>
  <c r="M309" i="52" s="1"/>
  <c r="J308" i="52"/>
  <c r="K308" i="52" s="1"/>
  <c r="L308" i="52" s="1"/>
  <c r="M308" i="52" s="1"/>
  <c r="J305" i="52"/>
  <c r="K305" i="52" s="1"/>
  <c r="L305" i="52" s="1"/>
  <c r="M305" i="52" s="1"/>
  <c r="J304" i="52"/>
  <c r="K304" i="52" s="1"/>
  <c r="L304" i="52" s="1"/>
  <c r="M304" i="52" s="1"/>
  <c r="J303" i="52"/>
  <c r="K303" i="52" s="1"/>
  <c r="L303" i="52" s="1"/>
  <c r="M303" i="52" s="1"/>
  <c r="J302" i="52"/>
  <c r="K302" i="52" s="1"/>
  <c r="L302" i="52" s="1"/>
  <c r="M302" i="52" s="1"/>
  <c r="J301" i="52"/>
  <c r="K301" i="52" s="1"/>
  <c r="L301" i="52" s="1"/>
  <c r="M301" i="52" s="1"/>
  <c r="J300" i="52"/>
  <c r="K300" i="52" s="1"/>
  <c r="L300" i="52" s="1"/>
  <c r="M300" i="52" s="1"/>
  <c r="J297" i="52"/>
  <c r="K297" i="52" s="1"/>
  <c r="L297" i="52" s="1"/>
  <c r="M297" i="52" s="1"/>
  <c r="J289" i="52"/>
  <c r="K289" i="52" s="1"/>
  <c r="L289" i="52" s="1"/>
  <c r="M289" i="52" s="1"/>
  <c r="J286" i="52"/>
  <c r="K286" i="52" s="1"/>
  <c r="L286" i="52" s="1"/>
  <c r="M286" i="52" s="1"/>
  <c r="J280" i="52"/>
  <c r="K280" i="52" s="1"/>
  <c r="L280" i="52" s="1"/>
  <c r="M280" i="52" s="1"/>
  <c r="J279" i="52"/>
  <c r="K279" i="52" s="1"/>
  <c r="L279" i="52" s="1"/>
  <c r="M279" i="52" s="1"/>
  <c r="J271" i="52"/>
  <c r="K271" i="52" s="1"/>
  <c r="L271" i="52" s="1"/>
  <c r="M271" i="52" s="1"/>
  <c r="J270" i="52"/>
  <c r="K270" i="52" s="1"/>
  <c r="L270" i="52" s="1"/>
  <c r="M270" i="52" s="1"/>
  <c r="J263" i="52"/>
  <c r="K263" i="52" s="1"/>
  <c r="L263" i="52" s="1"/>
  <c r="M263" i="52" s="1"/>
  <c r="O260" i="52"/>
  <c r="J259" i="52"/>
  <c r="K259" i="52" s="1"/>
  <c r="L259" i="52" s="1"/>
  <c r="M259" i="52" s="1"/>
  <c r="J258" i="52"/>
  <c r="K258" i="52" s="1"/>
  <c r="L258" i="52" s="1"/>
  <c r="M258" i="52" s="1"/>
  <c r="J255" i="52"/>
  <c r="K255" i="52" s="1"/>
  <c r="L255" i="52" s="1"/>
  <c r="M255" i="52" s="1"/>
  <c r="J252" i="52"/>
  <c r="K252" i="52" s="1"/>
  <c r="L252" i="52" s="1"/>
  <c r="M252" i="52" s="1"/>
  <c r="J251" i="52"/>
  <c r="K251" i="52" s="1"/>
  <c r="L251" i="52" s="1"/>
  <c r="M251" i="52" s="1"/>
  <c r="J250" i="52"/>
  <c r="K250" i="52" s="1"/>
  <c r="L250" i="52" s="1"/>
  <c r="M250" i="52" s="1"/>
  <c r="J248" i="52"/>
  <c r="K248" i="52" s="1"/>
  <c r="L248" i="52" s="1"/>
  <c r="M248" i="52" s="1"/>
  <c r="J241" i="52"/>
  <c r="K241" i="52" s="1"/>
  <c r="L241" i="52" s="1"/>
  <c r="M241" i="52" s="1"/>
  <c r="J240" i="52"/>
  <c r="K240" i="52" s="1"/>
  <c r="L240" i="52" s="1"/>
  <c r="M240" i="52" s="1"/>
  <c r="J235" i="52"/>
  <c r="K235" i="52" s="1"/>
  <c r="L235" i="52" s="1"/>
  <c r="M235" i="52" s="1"/>
  <c r="J234" i="52"/>
  <c r="K234" i="52" s="1"/>
  <c r="L234" i="52" s="1"/>
  <c r="M234" i="52" s="1"/>
  <c r="J233" i="52"/>
  <c r="K233" i="52" s="1"/>
  <c r="L233" i="52" s="1"/>
  <c r="M233" i="52" s="1"/>
  <c r="J222" i="52"/>
  <c r="K222" i="52" s="1"/>
  <c r="L222" i="52" s="1"/>
  <c r="M222" i="52" s="1"/>
  <c r="J220" i="52"/>
  <c r="K220" i="52" s="1"/>
  <c r="L220" i="52" s="1"/>
  <c r="M220" i="52" s="1"/>
  <c r="J216" i="52"/>
  <c r="K216" i="52" s="1"/>
  <c r="L216" i="52" s="1"/>
  <c r="M216" i="52" s="1"/>
  <c r="J192" i="52"/>
  <c r="K192" i="52" s="1"/>
  <c r="L192" i="52" s="1"/>
  <c r="M192" i="52" s="1"/>
  <c r="J191" i="52"/>
  <c r="K191" i="52" s="1"/>
  <c r="L191" i="52" s="1"/>
  <c r="M191" i="52" s="1"/>
  <c r="J190" i="52"/>
  <c r="K190" i="52" s="1"/>
  <c r="L190" i="52" s="1"/>
  <c r="M190" i="52" s="1"/>
  <c r="J189" i="52"/>
  <c r="K189" i="52" s="1"/>
  <c r="L189" i="52" s="1"/>
  <c r="M189" i="52" s="1"/>
  <c r="J185" i="52"/>
  <c r="K185" i="52" s="1"/>
  <c r="L185" i="52" s="1"/>
  <c r="M185" i="52" s="1"/>
  <c r="J183" i="52"/>
  <c r="K183" i="52" s="1"/>
  <c r="L183" i="52" s="1"/>
  <c r="M183" i="52" s="1"/>
  <c r="J182" i="52"/>
  <c r="K182" i="52" s="1"/>
  <c r="L182" i="52" s="1"/>
  <c r="M182" i="52" s="1"/>
  <c r="J179" i="52"/>
  <c r="K179" i="52" s="1"/>
  <c r="L179" i="52" s="1"/>
  <c r="M179" i="52" s="1"/>
  <c r="J178" i="52"/>
  <c r="K178" i="52" s="1"/>
  <c r="L178" i="52" s="1"/>
  <c r="M178" i="52" s="1"/>
  <c r="J177" i="52"/>
  <c r="K177" i="52" s="1"/>
  <c r="L177" i="52" s="1"/>
  <c r="M177" i="52" s="1"/>
  <c r="J175" i="52"/>
  <c r="K175" i="52" s="1"/>
  <c r="L175" i="52" s="1"/>
  <c r="M175" i="52" s="1"/>
  <c r="J173" i="52"/>
  <c r="K173" i="52" s="1"/>
  <c r="L173" i="52" s="1"/>
  <c r="M173" i="52" s="1"/>
  <c r="J171" i="52"/>
  <c r="K171" i="52" s="1"/>
  <c r="L171" i="52" s="1"/>
  <c r="M171" i="52" s="1"/>
  <c r="J170" i="52"/>
  <c r="K170" i="52" s="1"/>
  <c r="L170" i="52" s="1"/>
  <c r="M170" i="52" s="1"/>
  <c r="J168" i="52"/>
  <c r="K168" i="52" s="1"/>
  <c r="L168" i="52" s="1"/>
  <c r="M168" i="52" s="1"/>
  <c r="J167" i="52"/>
  <c r="K167" i="52" s="1"/>
  <c r="L167" i="52" s="1"/>
  <c r="M167" i="52" s="1"/>
  <c r="J166" i="52"/>
  <c r="K166" i="52" s="1"/>
  <c r="L166" i="52" s="1"/>
  <c r="M166" i="52" s="1"/>
  <c r="J163" i="52"/>
  <c r="K163" i="52" s="1"/>
  <c r="L163" i="52" s="1"/>
  <c r="M163" i="52" s="1"/>
  <c r="J162" i="52"/>
  <c r="K162" i="52" s="1"/>
  <c r="L162" i="52" s="1"/>
  <c r="M162" i="52" s="1"/>
  <c r="J161" i="52"/>
  <c r="K161" i="52" s="1"/>
  <c r="L161" i="52" s="1"/>
  <c r="M161" i="52" s="1"/>
  <c r="J151" i="52"/>
  <c r="K151" i="52" s="1"/>
  <c r="L151" i="52" s="1"/>
  <c r="M151" i="52" s="1"/>
  <c r="J150" i="52"/>
  <c r="K150" i="52" s="1"/>
  <c r="L150" i="52" s="1"/>
  <c r="M150" i="52" s="1"/>
  <c r="J145" i="52"/>
  <c r="K145" i="52" s="1"/>
  <c r="L145" i="52" s="1"/>
  <c r="M145" i="52" s="1"/>
  <c r="J144" i="52"/>
  <c r="K144" i="52" s="1"/>
  <c r="L144" i="52" s="1"/>
  <c r="M144" i="52" s="1"/>
  <c r="J142" i="52"/>
  <c r="K142" i="52" s="1"/>
  <c r="L142" i="52" s="1"/>
  <c r="M142" i="52" s="1"/>
  <c r="J141" i="52"/>
  <c r="K141" i="52" s="1"/>
  <c r="L141" i="52" s="1"/>
  <c r="M141" i="52" s="1"/>
  <c r="J140" i="52"/>
  <c r="K140" i="52" s="1"/>
  <c r="L140" i="52" s="1"/>
  <c r="M140" i="52" s="1"/>
  <c r="J139" i="52"/>
  <c r="K139" i="52" s="1"/>
  <c r="L139" i="52" s="1"/>
  <c r="M139" i="52" s="1"/>
  <c r="J138" i="52"/>
  <c r="K138" i="52" s="1"/>
  <c r="L138" i="52" s="1"/>
  <c r="M138" i="52" s="1"/>
  <c r="J137" i="52"/>
  <c r="K137" i="52" s="1"/>
  <c r="L137" i="52" s="1"/>
  <c r="M137" i="52" s="1"/>
  <c r="J135" i="52"/>
  <c r="K135" i="52" s="1"/>
  <c r="L135" i="52" s="1"/>
  <c r="M135" i="52" s="1"/>
  <c r="J130" i="52"/>
  <c r="K130" i="52" s="1"/>
  <c r="L130" i="52" s="1"/>
  <c r="M130" i="52" s="1"/>
  <c r="J120" i="52"/>
  <c r="K120" i="52" s="1"/>
  <c r="L120" i="52" s="1"/>
  <c r="M120" i="52" s="1"/>
  <c r="J119" i="52"/>
  <c r="K119" i="52" s="1"/>
  <c r="L119" i="52" s="1"/>
  <c r="M119" i="52" s="1"/>
  <c r="J112" i="52"/>
  <c r="K112" i="52" s="1"/>
  <c r="L112" i="52" s="1"/>
  <c r="M112" i="52" s="1"/>
  <c r="J104" i="52"/>
  <c r="K104" i="52" s="1"/>
  <c r="L104" i="52" s="1"/>
  <c r="M104" i="52" s="1"/>
  <c r="J102" i="52"/>
  <c r="K102" i="52" s="1"/>
  <c r="L102" i="52" s="1"/>
  <c r="M102" i="52" s="1"/>
  <c r="J101" i="52"/>
  <c r="K101" i="52" s="1"/>
  <c r="L101" i="52" s="1"/>
  <c r="M101" i="52" s="1"/>
  <c r="J90" i="52"/>
  <c r="K90" i="52" s="1"/>
  <c r="L90" i="52" s="1"/>
  <c r="M90" i="52" s="1"/>
  <c r="J89" i="52"/>
  <c r="K89" i="52" s="1"/>
  <c r="L89" i="52" s="1"/>
  <c r="M89" i="52" s="1"/>
  <c r="J88" i="52"/>
  <c r="K88" i="52" s="1"/>
  <c r="L88" i="52" s="1"/>
  <c r="M88" i="52" s="1"/>
  <c r="J82" i="52"/>
  <c r="K82" i="52" s="1"/>
  <c r="L82" i="52" s="1"/>
  <c r="M82" i="52" s="1"/>
  <c r="J81" i="52"/>
  <c r="K81" i="52" s="1"/>
  <c r="L81" i="52" s="1"/>
  <c r="M81" i="52" s="1"/>
  <c r="J80" i="52"/>
  <c r="K80" i="52" s="1"/>
  <c r="L80" i="52" s="1"/>
  <c r="M80" i="52" s="1"/>
  <c r="J79" i="52"/>
  <c r="K79" i="52" s="1"/>
  <c r="L79" i="52" s="1"/>
  <c r="M79" i="52" s="1"/>
  <c r="J65" i="52"/>
  <c r="K65" i="52" s="1"/>
  <c r="L65" i="52" s="1"/>
  <c r="M65" i="52" s="1"/>
  <c r="J64" i="52"/>
  <c r="K64" i="52" s="1"/>
  <c r="L64" i="52" s="1"/>
  <c r="M64" i="52" s="1"/>
  <c r="J63" i="52"/>
  <c r="K63" i="52" s="1"/>
  <c r="L63" i="52" s="1"/>
  <c r="M63" i="52" s="1"/>
  <c r="J60" i="52"/>
  <c r="K60" i="52" s="1"/>
  <c r="L60" i="52" s="1"/>
  <c r="M60" i="52" s="1"/>
  <c r="J59" i="52"/>
  <c r="K59" i="52" s="1"/>
  <c r="L59" i="52" s="1"/>
  <c r="M59" i="52" s="1"/>
  <c r="J58" i="52"/>
  <c r="K58" i="52" s="1"/>
  <c r="L58" i="52" s="1"/>
  <c r="M58" i="52" s="1"/>
  <c r="J57" i="52"/>
  <c r="K57" i="52" s="1"/>
  <c r="L57" i="52" s="1"/>
  <c r="M57" i="52" s="1"/>
  <c r="J56" i="52"/>
  <c r="K56" i="52" s="1"/>
  <c r="L56" i="52" s="1"/>
  <c r="M56" i="52" s="1"/>
  <c r="J55" i="52"/>
  <c r="K55" i="52" s="1"/>
  <c r="L55" i="52" s="1"/>
  <c r="M55" i="52" s="1"/>
  <c r="J53" i="52"/>
  <c r="K53" i="52" s="1"/>
  <c r="L53" i="52" s="1"/>
  <c r="M53" i="52" s="1"/>
  <c r="J52" i="52"/>
  <c r="K52" i="52" s="1"/>
  <c r="L52" i="52" s="1"/>
  <c r="M52" i="52" s="1"/>
  <c r="J47" i="52"/>
  <c r="K47" i="52" s="1"/>
  <c r="L47" i="52" s="1"/>
  <c r="M47" i="52" s="1"/>
  <c r="J46" i="52"/>
  <c r="K46" i="52" s="1"/>
  <c r="L46" i="52" s="1"/>
  <c r="M46" i="52" s="1"/>
  <c r="J45" i="52"/>
  <c r="K45" i="52" s="1"/>
  <c r="L45" i="52" s="1"/>
  <c r="M45" i="52" s="1"/>
  <c r="J44" i="52"/>
  <c r="K44" i="52" s="1"/>
  <c r="L44" i="52" s="1"/>
  <c r="M44" i="52" s="1"/>
  <c r="J40" i="52"/>
  <c r="K40" i="52" s="1"/>
  <c r="L40" i="52" s="1"/>
  <c r="M40" i="52" s="1"/>
  <c r="J39" i="52"/>
  <c r="K39" i="52" s="1"/>
  <c r="L39" i="52" s="1"/>
  <c r="M39" i="52" s="1"/>
  <c r="J38" i="52"/>
  <c r="K38" i="52" s="1"/>
  <c r="L38" i="52" s="1"/>
  <c r="M38" i="52" s="1"/>
  <c r="J37" i="52"/>
  <c r="K37" i="52" s="1"/>
  <c r="L37" i="52" s="1"/>
  <c r="M37" i="52" s="1"/>
  <c r="J36" i="52"/>
  <c r="K36" i="52" s="1"/>
  <c r="L36" i="52" s="1"/>
  <c r="M36" i="52" s="1"/>
  <c r="J32" i="52"/>
  <c r="K32" i="52" s="1"/>
  <c r="L32" i="52" s="1"/>
  <c r="M32" i="52" s="1"/>
  <c r="J31" i="52"/>
  <c r="K31" i="52" s="1"/>
  <c r="L31" i="52" s="1"/>
  <c r="M31" i="52" s="1"/>
  <c r="J30" i="52"/>
  <c r="K30" i="52" s="1"/>
  <c r="L30" i="52" s="1"/>
  <c r="M30" i="52" s="1"/>
  <c r="J29" i="52"/>
  <c r="K29" i="52" s="1"/>
  <c r="L29" i="52" s="1"/>
  <c r="M29" i="52" s="1"/>
  <c r="J28" i="52"/>
  <c r="K28" i="52" s="1"/>
  <c r="L28" i="52" s="1"/>
  <c r="M28" i="52" s="1"/>
  <c r="J26" i="52"/>
  <c r="K26" i="52" s="1"/>
  <c r="L26" i="52" s="1"/>
  <c r="M26" i="52" s="1"/>
  <c r="J25" i="52"/>
  <c r="K25" i="52" s="1"/>
  <c r="L25" i="52" s="1"/>
  <c r="M25" i="52" s="1"/>
  <c r="J20" i="52"/>
  <c r="K20" i="52" s="1"/>
  <c r="L20" i="52" s="1"/>
  <c r="M20" i="52" s="1"/>
  <c r="J19" i="52"/>
  <c r="K19" i="52" s="1"/>
  <c r="L19" i="52" s="1"/>
  <c r="M19" i="52" s="1"/>
  <c r="J15" i="52"/>
  <c r="K15" i="52" s="1"/>
  <c r="L15" i="52" s="1"/>
  <c r="M15" i="52" s="1"/>
  <c r="J13" i="52"/>
  <c r="K13" i="52" s="1"/>
  <c r="L13" i="52" s="1"/>
  <c r="M13" i="52" s="1"/>
  <c r="J8" i="52"/>
  <c r="K8" i="52" s="1"/>
  <c r="L8" i="52" s="1"/>
  <c r="J7" i="52"/>
  <c r="K7" i="52" s="1"/>
  <c r="L7" i="52" s="1"/>
  <c r="J6" i="52"/>
  <c r="K6" i="52" s="1"/>
  <c r="L6" i="52" s="1"/>
  <c r="J5" i="52"/>
  <c r="K5" i="52" s="1"/>
  <c r="L5" i="52" s="1"/>
  <c r="J4" i="52"/>
  <c r="K4" i="52" s="1"/>
  <c r="L4" i="52" s="1"/>
  <c r="C464" i="52" l="1"/>
  <c r="C460" i="52"/>
  <c r="C463" i="52"/>
  <c r="C461" i="52"/>
  <c r="C459" i="52"/>
  <c r="A333" i="52"/>
  <c r="A282" i="52"/>
  <c r="A245" i="52"/>
  <c r="A198" i="52"/>
  <c r="A160" i="52"/>
  <c r="A127" i="52"/>
  <c r="A107" i="52"/>
  <c r="A87" i="52"/>
  <c r="A75" i="52"/>
  <c r="A391" i="52"/>
  <c r="A35" i="52"/>
  <c r="A421" i="52"/>
  <c r="A346" i="52"/>
  <c r="A43" i="52"/>
  <c r="A51" i="52"/>
  <c r="A359" i="52"/>
  <c r="A339" i="52"/>
  <c r="A383" i="52"/>
  <c r="R9" i="52"/>
  <c r="R453" i="52"/>
  <c r="R445" i="52"/>
  <c r="R433" i="52"/>
  <c r="R429" i="52"/>
  <c r="R425" i="52"/>
  <c r="R421" i="52"/>
  <c r="R417" i="52"/>
  <c r="R401" i="52"/>
  <c r="R389" i="52"/>
  <c r="R381" i="52"/>
  <c r="R369" i="52"/>
  <c r="R365" i="52"/>
  <c r="R361" i="52"/>
  <c r="R357" i="52"/>
  <c r="R345" i="52"/>
  <c r="R337" i="52"/>
  <c r="R325" i="52"/>
  <c r="R313" i="52"/>
  <c r="R293" i="52"/>
  <c r="R285" i="52"/>
  <c r="R281" i="52"/>
  <c r="R277" i="52"/>
  <c r="R273" i="52"/>
  <c r="R269" i="52"/>
  <c r="R265" i="52"/>
  <c r="R254" i="52"/>
  <c r="R242" i="52"/>
  <c r="R238" i="52"/>
  <c r="R230" i="52"/>
  <c r="R226" i="52"/>
  <c r="R218" i="52"/>
  <c r="R214" i="52"/>
  <c r="R210" i="52"/>
  <c r="R206" i="52"/>
  <c r="R202" i="52"/>
  <c r="R198" i="52"/>
  <c r="R194" i="52"/>
  <c r="R186" i="52"/>
  <c r="R174" i="52"/>
  <c r="R159" i="52"/>
  <c r="R155" i="52"/>
  <c r="R147" i="52"/>
  <c r="R143" i="52"/>
  <c r="R131" i="52"/>
  <c r="R127" i="52"/>
  <c r="R123" i="52"/>
  <c r="R115" i="52"/>
  <c r="R107" i="52"/>
  <c r="R103" i="52"/>
  <c r="R99" i="52"/>
  <c r="R95" i="52"/>
  <c r="R91" i="52"/>
  <c r="R87" i="52"/>
  <c r="R83" i="52"/>
  <c r="R75" i="52"/>
  <c r="R71" i="52"/>
  <c r="R67" i="52"/>
  <c r="R51" i="52"/>
  <c r="R43" i="52"/>
  <c r="R35" i="52"/>
  <c r="R27" i="52"/>
  <c r="R12" i="52"/>
  <c r="R464" i="52"/>
  <c r="R432" i="52"/>
  <c r="R428" i="52"/>
  <c r="R424" i="52"/>
  <c r="R420" i="52"/>
  <c r="R416" i="52"/>
  <c r="R408" i="52"/>
  <c r="R388" i="52"/>
  <c r="R384" i="52"/>
  <c r="R380" i="52"/>
  <c r="R372" i="52"/>
  <c r="R360" i="52"/>
  <c r="R356" i="52"/>
  <c r="R352" i="52"/>
  <c r="R348" i="52"/>
  <c r="R344" i="52"/>
  <c r="R328" i="52"/>
  <c r="R316" i="52"/>
  <c r="R312" i="52"/>
  <c r="R292" i="52"/>
  <c r="R288" i="52"/>
  <c r="R284" i="52"/>
  <c r="R276" i="52"/>
  <c r="R272" i="52"/>
  <c r="R268" i="52"/>
  <c r="R264" i="52"/>
  <c r="R257" i="52"/>
  <c r="R253" i="52"/>
  <c r="R249" i="52"/>
  <c r="R245" i="52"/>
  <c r="R237" i="52"/>
  <c r="R229" i="52"/>
  <c r="R225" i="52"/>
  <c r="R221" i="52"/>
  <c r="R217" i="52"/>
  <c r="R213" i="52"/>
  <c r="R209" i="52"/>
  <c r="R205" i="52"/>
  <c r="R201" i="52"/>
  <c r="R197" i="52"/>
  <c r="R193" i="52"/>
  <c r="R181" i="52"/>
  <c r="R158" i="52"/>
  <c r="R154" i="52"/>
  <c r="R146" i="52"/>
  <c r="R134" i="52"/>
  <c r="R126" i="52"/>
  <c r="R122" i="52"/>
  <c r="R118" i="52"/>
  <c r="R114" i="52"/>
  <c r="R106" i="52"/>
  <c r="R98" i="52"/>
  <c r="R94" i="52"/>
  <c r="R86" i="52"/>
  <c r="R74" i="52"/>
  <c r="R70" i="52"/>
  <c r="R66" i="52"/>
  <c r="R62" i="52"/>
  <c r="R54" i="52"/>
  <c r="R50" i="52"/>
  <c r="R42" i="52"/>
  <c r="R34" i="52"/>
  <c r="R22" i="52"/>
  <c r="R18" i="52"/>
  <c r="R14" i="52"/>
  <c r="R387" i="52"/>
  <c r="R383" i="52"/>
  <c r="R379" i="52"/>
  <c r="R371" i="52"/>
  <c r="R363" i="52"/>
  <c r="R359" i="52"/>
  <c r="R355" i="52"/>
  <c r="R351" i="52"/>
  <c r="R347" i="52"/>
  <c r="R327" i="52"/>
  <c r="R319" i="52"/>
  <c r="R315" i="52"/>
  <c r="R307" i="52"/>
  <c r="R299" i="52"/>
  <c r="R295" i="52"/>
  <c r="R287" i="52"/>
  <c r="R275" i="52"/>
  <c r="R267" i="52"/>
  <c r="R256" i="52"/>
  <c r="R244" i="52"/>
  <c r="R236" i="52"/>
  <c r="R232" i="52"/>
  <c r="R228" i="52"/>
  <c r="R224" i="52"/>
  <c r="R212" i="52"/>
  <c r="R208" i="52"/>
  <c r="R204" i="52"/>
  <c r="R200" i="52"/>
  <c r="R196" i="52"/>
  <c r="R188" i="52"/>
  <c r="R184" i="52"/>
  <c r="R180" i="52"/>
  <c r="R176" i="52"/>
  <c r="R169" i="52"/>
  <c r="R165" i="52"/>
  <c r="R157" i="52"/>
  <c r="R153" i="52"/>
  <c r="R149" i="52"/>
  <c r="R133" i="52"/>
  <c r="R125" i="52"/>
  <c r="R121" i="52"/>
  <c r="R117" i="52"/>
  <c r="R113" i="52"/>
  <c r="R109" i="52"/>
  <c r="R105" i="52"/>
  <c r="R97" i="52"/>
  <c r="R93" i="52"/>
  <c r="R85" i="52"/>
  <c r="R77" i="52"/>
  <c r="R73" i="52"/>
  <c r="R69" i="52"/>
  <c r="R61" i="52"/>
  <c r="R49" i="52"/>
  <c r="R41" i="52"/>
  <c r="R33" i="52"/>
  <c r="R21" i="52"/>
  <c r="C462" i="52"/>
  <c r="A76" i="52" l="1"/>
  <c r="A422" i="52"/>
  <c r="A246" i="52"/>
  <c r="A108" i="52"/>
  <c r="A128" i="52"/>
  <c r="A347" i="52"/>
  <c r="A384" i="52"/>
  <c r="A199" i="52"/>
  <c r="A283" i="52"/>
  <c r="A129" i="52" l="1"/>
  <c r="A247" i="52"/>
  <c r="A423" i="52"/>
  <c r="A200" i="52"/>
  <c r="A109" i="52"/>
  <c r="A201" i="52" l="1"/>
  <c r="A110" i="52"/>
  <c r="A424" i="52"/>
  <c r="A425" i="52" l="1"/>
  <c r="A202" i="52"/>
  <c r="A426" i="52" l="1"/>
  <c r="A203" i="52"/>
  <c r="A204" i="52" l="1"/>
  <c r="A205" i="52" l="1"/>
  <c r="A206" i="52" l="1"/>
  <c r="A207" i="52" l="1"/>
  <c r="A208" i="52" l="1"/>
  <c r="A209" i="52" l="1"/>
  <c r="A210" i="52" l="1"/>
  <c r="A211" i="52" l="1"/>
  <c r="A212" i="52" l="1"/>
  <c r="A213" i="52" l="1"/>
  <c r="A214" i="52" l="1"/>
  <c r="A215" i="52" l="1"/>
  <c r="F281" i="1" l="1"/>
  <c r="F282" i="1"/>
  <c r="B452" i="74" l="1"/>
  <c r="B451" i="74"/>
  <c r="B327" i="74"/>
  <c r="B326" i="74"/>
  <c r="B202" i="74"/>
  <c r="B201" i="74"/>
  <c r="V69" i="6"/>
  <c r="S69" i="6"/>
  <c r="J69" i="6"/>
  <c r="G69" i="6"/>
  <c r="J24" i="23"/>
  <c r="B571" i="74"/>
  <c r="AC48" i="24"/>
  <c r="B1288" i="74"/>
  <c r="K68" i="22"/>
  <c r="E6" i="51" l="1"/>
  <c r="E37" i="24" l="1"/>
  <c r="E36" i="24"/>
  <c r="Y147" i="6" l="1"/>
  <c r="N69" i="23" l="1"/>
  <c r="I299" i="115" l="1"/>
  <c r="H299" i="115"/>
  <c r="I298" i="115"/>
  <c r="H298" i="115"/>
  <c r="I297" i="115"/>
  <c r="H297" i="115"/>
  <c r="I296" i="115"/>
  <c r="H296" i="115"/>
  <c r="I295" i="115"/>
  <c r="H295" i="115"/>
  <c r="I294" i="115"/>
  <c r="H294" i="115"/>
  <c r="I293" i="115"/>
  <c r="H293" i="115"/>
  <c r="I292" i="115"/>
  <c r="H292" i="115"/>
  <c r="I291" i="115"/>
  <c r="H291" i="115"/>
  <c r="I290" i="115"/>
  <c r="H290" i="115"/>
  <c r="I289" i="115"/>
  <c r="H289" i="115"/>
  <c r="I288" i="115"/>
  <c r="H288" i="115"/>
  <c r="I287" i="115"/>
  <c r="H287" i="115"/>
  <c r="I286" i="115"/>
  <c r="H286" i="115"/>
  <c r="I285" i="115"/>
  <c r="H285" i="115"/>
  <c r="I284" i="115"/>
  <c r="H284" i="115"/>
  <c r="I283" i="115"/>
  <c r="H283" i="115"/>
  <c r="I282" i="115"/>
  <c r="H282" i="115"/>
  <c r="I281" i="115"/>
  <c r="H281" i="115"/>
  <c r="I280" i="115"/>
  <c r="H280" i="115"/>
  <c r="I279" i="115"/>
  <c r="H279" i="115"/>
  <c r="I278" i="115"/>
  <c r="H278" i="115"/>
  <c r="I277" i="115"/>
  <c r="H277" i="115"/>
  <c r="I276" i="115"/>
  <c r="H276" i="115"/>
  <c r="I275" i="115"/>
  <c r="H275" i="115"/>
  <c r="I274" i="115"/>
  <c r="H274" i="115"/>
  <c r="I273" i="115"/>
  <c r="H273" i="115"/>
  <c r="I272" i="115"/>
  <c r="H272" i="115"/>
  <c r="I271" i="115"/>
  <c r="H271" i="115"/>
  <c r="I270" i="115"/>
  <c r="H270" i="115"/>
  <c r="I269" i="115"/>
  <c r="H269" i="115"/>
  <c r="I268" i="115"/>
  <c r="H268" i="115"/>
  <c r="I267" i="115"/>
  <c r="H267" i="115"/>
  <c r="I266" i="115"/>
  <c r="H266" i="115"/>
  <c r="I265" i="115"/>
  <c r="H265" i="115"/>
  <c r="I264" i="115"/>
  <c r="H264" i="115"/>
  <c r="I263" i="115"/>
  <c r="H263" i="115"/>
  <c r="I262" i="115"/>
  <c r="H262" i="115"/>
  <c r="I261" i="115"/>
  <c r="H261" i="115"/>
  <c r="I260" i="115"/>
  <c r="H260" i="115"/>
  <c r="I259" i="115"/>
  <c r="H259" i="115"/>
  <c r="I258" i="115"/>
  <c r="H258" i="115"/>
  <c r="I257" i="115"/>
  <c r="H257" i="115"/>
  <c r="I256" i="115"/>
  <c r="H256" i="115"/>
  <c r="I255" i="115"/>
  <c r="H255" i="115"/>
  <c r="I254" i="115"/>
  <c r="H254" i="115"/>
  <c r="I253" i="115"/>
  <c r="H253" i="115"/>
  <c r="I252" i="115"/>
  <c r="H252" i="115"/>
  <c r="I251" i="115"/>
  <c r="H251" i="115"/>
  <c r="I250" i="115"/>
  <c r="H250" i="115"/>
  <c r="I249" i="115"/>
  <c r="H249" i="115"/>
  <c r="I248" i="115"/>
  <c r="H248" i="115"/>
  <c r="I247" i="115"/>
  <c r="H247" i="115"/>
  <c r="I246" i="115"/>
  <c r="H246" i="115"/>
  <c r="I245" i="115"/>
  <c r="H245" i="115"/>
  <c r="I244" i="115"/>
  <c r="H244" i="115"/>
  <c r="I243" i="115"/>
  <c r="H243" i="115"/>
  <c r="I242" i="115"/>
  <c r="H242" i="115"/>
  <c r="I241" i="115"/>
  <c r="H241" i="115"/>
  <c r="I240" i="115"/>
  <c r="H240" i="115"/>
  <c r="I239" i="115"/>
  <c r="H239" i="115"/>
  <c r="I238" i="115"/>
  <c r="H238" i="115"/>
  <c r="I237" i="115"/>
  <c r="H237" i="115"/>
  <c r="I236" i="115"/>
  <c r="H236" i="115"/>
  <c r="I235" i="115"/>
  <c r="H235" i="115"/>
  <c r="I234" i="115"/>
  <c r="H234" i="115"/>
  <c r="I233" i="115"/>
  <c r="H233" i="115"/>
  <c r="I232" i="115"/>
  <c r="H232" i="115"/>
  <c r="I231" i="115"/>
  <c r="H231" i="115"/>
  <c r="I230" i="115"/>
  <c r="H230" i="115"/>
  <c r="I229" i="115"/>
  <c r="H229" i="115"/>
  <c r="I228" i="115"/>
  <c r="H228" i="115"/>
  <c r="I227" i="115"/>
  <c r="H227" i="115"/>
  <c r="I226" i="115"/>
  <c r="H226" i="115"/>
  <c r="I225" i="115"/>
  <c r="H225" i="115"/>
  <c r="I224" i="115"/>
  <c r="H224" i="115"/>
  <c r="I223" i="115"/>
  <c r="H223" i="115"/>
  <c r="I222" i="115"/>
  <c r="H222" i="115"/>
  <c r="I221" i="115"/>
  <c r="H221" i="115"/>
  <c r="I220" i="115"/>
  <c r="H220" i="115"/>
  <c r="I219" i="115"/>
  <c r="H219" i="115"/>
  <c r="I218" i="115"/>
  <c r="H218" i="115"/>
  <c r="I217" i="115"/>
  <c r="H217" i="115"/>
  <c r="I216" i="115"/>
  <c r="H216" i="115"/>
  <c r="I215" i="115"/>
  <c r="H215" i="115"/>
  <c r="I214" i="115"/>
  <c r="H214" i="115"/>
  <c r="I213" i="115"/>
  <c r="H213" i="115"/>
  <c r="I212" i="115"/>
  <c r="H212" i="115"/>
  <c r="I211" i="115"/>
  <c r="H211" i="115"/>
  <c r="I210" i="115"/>
  <c r="H210" i="115"/>
  <c r="I209" i="115"/>
  <c r="H209" i="115"/>
  <c r="I208" i="115"/>
  <c r="H208" i="115"/>
  <c r="I207" i="115"/>
  <c r="H207" i="115"/>
  <c r="I206" i="115"/>
  <c r="H206" i="115"/>
  <c r="I205" i="115"/>
  <c r="H205" i="115"/>
  <c r="I204" i="115"/>
  <c r="H204" i="115"/>
  <c r="I203" i="115"/>
  <c r="H203" i="115"/>
  <c r="I202" i="115"/>
  <c r="H202" i="115"/>
  <c r="I201" i="115"/>
  <c r="H201" i="115"/>
  <c r="I200" i="115"/>
  <c r="H200" i="115"/>
  <c r="I199" i="115"/>
  <c r="H199" i="115"/>
  <c r="I198" i="115"/>
  <c r="H198" i="115"/>
  <c r="I197" i="115"/>
  <c r="H197" i="115"/>
  <c r="I196" i="115"/>
  <c r="H196" i="115"/>
  <c r="I195" i="115"/>
  <c r="H195" i="115"/>
  <c r="I194" i="115"/>
  <c r="H194" i="115"/>
  <c r="I193" i="115"/>
  <c r="H193" i="115"/>
  <c r="I192" i="115"/>
  <c r="H192" i="115"/>
  <c r="I191" i="115"/>
  <c r="H191" i="115"/>
  <c r="I190" i="115"/>
  <c r="H190" i="115"/>
  <c r="I189" i="115"/>
  <c r="H189" i="115"/>
  <c r="I188" i="115"/>
  <c r="H188" i="115"/>
  <c r="I187" i="115"/>
  <c r="H187" i="115"/>
  <c r="I186" i="115"/>
  <c r="H186" i="115"/>
  <c r="I185" i="115"/>
  <c r="H185" i="115"/>
  <c r="I184" i="115"/>
  <c r="H184" i="115"/>
  <c r="I183" i="115"/>
  <c r="H183" i="115"/>
  <c r="I182" i="115"/>
  <c r="H182" i="115"/>
  <c r="I181" i="115"/>
  <c r="H181" i="115"/>
  <c r="I180" i="115"/>
  <c r="H180" i="115"/>
  <c r="I179" i="115"/>
  <c r="H179" i="115"/>
  <c r="I178" i="115"/>
  <c r="H178" i="115"/>
  <c r="I177" i="115"/>
  <c r="H177" i="115"/>
  <c r="I176" i="115"/>
  <c r="H176" i="115"/>
  <c r="I175" i="115"/>
  <c r="H175" i="115"/>
  <c r="I174" i="115"/>
  <c r="H174" i="115"/>
  <c r="I173" i="115"/>
  <c r="H173" i="115"/>
  <c r="I172" i="115"/>
  <c r="H172" i="115"/>
  <c r="I171" i="115"/>
  <c r="H171" i="115"/>
  <c r="I170" i="115"/>
  <c r="H170" i="115"/>
  <c r="I169" i="115"/>
  <c r="H169" i="115"/>
  <c r="I168" i="115"/>
  <c r="H168" i="115"/>
  <c r="I167" i="115"/>
  <c r="H167" i="115"/>
  <c r="I166" i="115"/>
  <c r="H166" i="115"/>
  <c r="I165" i="115"/>
  <c r="H165" i="115"/>
  <c r="I164" i="115"/>
  <c r="H164" i="115"/>
  <c r="I163" i="115"/>
  <c r="H163" i="115"/>
  <c r="I162" i="115"/>
  <c r="H162" i="115"/>
  <c r="I161" i="115"/>
  <c r="H161" i="115"/>
  <c r="I160" i="115"/>
  <c r="H160" i="115"/>
  <c r="I159" i="115"/>
  <c r="H159" i="115"/>
  <c r="I158" i="115"/>
  <c r="H158" i="115"/>
  <c r="I157" i="115"/>
  <c r="H157" i="115"/>
  <c r="I156" i="115"/>
  <c r="H156" i="115"/>
  <c r="I155" i="115"/>
  <c r="H155" i="115"/>
  <c r="I154" i="115"/>
  <c r="H154" i="115"/>
  <c r="I153" i="115"/>
  <c r="H153" i="115"/>
  <c r="I152" i="115"/>
  <c r="H152" i="115"/>
  <c r="I151" i="115"/>
  <c r="H151" i="115"/>
  <c r="I150" i="115"/>
  <c r="H150" i="115"/>
  <c r="I149" i="115"/>
  <c r="H149" i="115"/>
  <c r="I148" i="115"/>
  <c r="H148" i="115"/>
  <c r="I147" i="115"/>
  <c r="H147" i="115"/>
  <c r="I146" i="115"/>
  <c r="H146" i="115"/>
  <c r="I145" i="115"/>
  <c r="H145" i="115"/>
  <c r="I144" i="115"/>
  <c r="H144" i="115"/>
  <c r="I143" i="115"/>
  <c r="H143" i="115"/>
  <c r="I142" i="115"/>
  <c r="H142" i="115"/>
  <c r="I141" i="115"/>
  <c r="H141" i="115"/>
  <c r="I140" i="115"/>
  <c r="H140" i="115"/>
  <c r="I139" i="115"/>
  <c r="H139" i="115"/>
  <c r="I138" i="115"/>
  <c r="H138" i="115"/>
  <c r="I137" i="115"/>
  <c r="H137" i="115"/>
  <c r="I136" i="115"/>
  <c r="H136" i="115"/>
  <c r="I135" i="115"/>
  <c r="H135" i="115"/>
  <c r="I134" i="115"/>
  <c r="H134" i="115"/>
  <c r="I133" i="115"/>
  <c r="H133" i="115"/>
  <c r="I132" i="115"/>
  <c r="H132" i="115"/>
  <c r="I131" i="115"/>
  <c r="H131" i="115"/>
  <c r="I130" i="115"/>
  <c r="H130" i="115"/>
  <c r="I129" i="115"/>
  <c r="H129" i="115"/>
  <c r="I128" i="115"/>
  <c r="H128" i="115"/>
  <c r="I127" i="115"/>
  <c r="H127" i="115"/>
  <c r="I126" i="115"/>
  <c r="H126" i="115"/>
  <c r="I125" i="115"/>
  <c r="H125" i="115"/>
  <c r="I124" i="115"/>
  <c r="H124" i="115"/>
  <c r="I123" i="115"/>
  <c r="H123" i="115"/>
  <c r="I122" i="115"/>
  <c r="H122" i="115"/>
  <c r="I121" i="115"/>
  <c r="H121" i="115"/>
  <c r="I120" i="115"/>
  <c r="H120" i="115"/>
  <c r="I119" i="115"/>
  <c r="H119" i="115"/>
  <c r="I118" i="115"/>
  <c r="H118" i="115"/>
  <c r="I117" i="115"/>
  <c r="H117" i="115"/>
  <c r="I116" i="115"/>
  <c r="H116" i="115"/>
  <c r="I115" i="115"/>
  <c r="H115" i="115"/>
  <c r="I114" i="115"/>
  <c r="H114" i="115"/>
  <c r="I113" i="115"/>
  <c r="H113" i="115"/>
  <c r="I112" i="115"/>
  <c r="H112" i="115"/>
  <c r="I111" i="115"/>
  <c r="H111" i="115"/>
  <c r="I110" i="115"/>
  <c r="H110" i="115"/>
  <c r="I109" i="115"/>
  <c r="H109" i="115"/>
  <c r="I108" i="115"/>
  <c r="H108" i="115"/>
  <c r="I107" i="115"/>
  <c r="H107" i="115"/>
  <c r="I106" i="115"/>
  <c r="H106" i="115"/>
  <c r="I105" i="115"/>
  <c r="H105" i="115"/>
  <c r="I104" i="115"/>
  <c r="H104" i="115"/>
  <c r="I103" i="115"/>
  <c r="H103" i="115"/>
  <c r="I102" i="115"/>
  <c r="H102" i="115"/>
  <c r="I101" i="115"/>
  <c r="H101" i="115"/>
  <c r="I100" i="115"/>
  <c r="H100" i="115"/>
  <c r="I99" i="115"/>
  <c r="H99" i="115"/>
  <c r="I98" i="115"/>
  <c r="H98" i="115"/>
  <c r="I97" i="115"/>
  <c r="H97" i="115"/>
  <c r="I96" i="115"/>
  <c r="H96" i="115"/>
  <c r="I95" i="115"/>
  <c r="H95" i="115"/>
  <c r="I94" i="115"/>
  <c r="H94" i="115"/>
  <c r="I93" i="115"/>
  <c r="H93" i="115"/>
  <c r="I92" i="115"/>
  <c r="H92" i="115"/>
  <c r="I91" i="115"/>
  <c r="H91" i="115"/>
  <c r="I90" i="115"/>
  <c r="H90" i="115"/>
  <c r="I89" i="115"/>
  <c r="H89" i="115"/>
  <c r="I88" i="115"/>
  <c r="H88" i="115"/>
  <c r="I87" i="115"/>
  <c r="H87" i="115"/>
  <c r="I86" i="115"/>
  <c r="H86" i="115"/>
  <c r="I85" i="115"/>
  <c r="H85" i="115"/>
  <c r="I84" i="115"/>
  <c r="H84" i="115"/>
  <c r="I83" i="115"/>
  <c r="H83" i="115"/>
  <c r="I82" i="115"/>
  <c r="H82" i="115"/>
  <c r="I81" i="115"/>
  <c r="H81" i="115"/>
  <c r="I80" i="115"/>
  <c r="H80" i="115"/>
  <c r="I79" i="115"/>
  <c r="H79" i="115"/>
  <c r="I78" i="115"/>
  <c r="H78" i="115"/>
  <c r="I77" i="115"/>
  <c r="H77" i="115"/>
  <c r="I76" i="115"/>
  <c r="H76" i="115"/>
  <c r="I75" i="115"/>
  <c r="H75" i="115"/>
  <c r="I74" i="115"/>
  <c r="H74" i="115"/>
  <c r="I73" i="115"/>
  <c r="H73" i="115"/>
  <c r="I72" i="115"/>
  <c r="H72" i="115"/>
  <c r="I71" i="115"/>
  <c r="H71" i="115"/>
  <c r="I70" i="115"/>
  <c r="H70" i="115"/>
  <c r="I69" i="115"/>
  <c r="H69" i="115"/>
  <c r="I68" i="115"/>
  <c r="H68" i="115"/>
  <c r="I67" i="115"/>
  <c r="H67" i="115"/>
  <c r="I66" i="115"/>
  <c r="H66" i="115"/>
  <c r="I65" i="115"/>
  <c r="H65" i="115"/>
  <c r="I64" i="115"/>
  <c r="H64" i="115"/>
  <c r="I63" i="115"/>
  <c r="H63" i="115"/>
  <c r="I62" i="115"/>
  <c r="H62" i="115"/>
  <c r="I61" i="115"/>
  <c r="H61" i="115"/>
  <c r="I60" i="115"/>
  <c r="H60" i="115"/>
  <c r="I59" i="115"/>
  <c r="H59" i="115"/>
  <c r="I58" i="115"/>
  <c r="H58" i="115"/>
  <c r="I57" i="115"/>
  <c r="H57" i="115"/>
  <c r="I56" i="115"/>
  <c r="H56" i="115"/>
  <c r="I55" i="115"/>
  <c r="H55" i="115"/>
  <c r="I54" i="115"/>
  <c r="H54" i="115"/>
  <c r="I53" i="115"/>
  <c r="H53" i="115"/>
  <c r="I52" i="115"/>
  <c r="H52" i="115"/>
  <c r="I51" i="115"/>
  <c r="H51" i="115"/>
  <c r="I50" i="115"/>
  <c r="H50" i="115"/>
  <c r="I49" i="115"/>
  <c r="H49" i="115"/>
  <c r="I48" i="115"/>
  <c r="H48" i="115"/>
  <c r="I47" i="115"/>
  <c r="H47" i="115"/>
  <c r="I46" i="115"/>
  <c r="H46" i="115"/>
  <c r="I45" i="115"/>
  <c r="H45" i="115"/>
  <c r="I44" i="115"/>
  <c r="H44" i="115"/>
  <c r="I43" i="115"/>
  <c r="H43" i="115"/>
  <c r="I42" i="115"/>
  <c r="H42" i="115"/>
  <c r="I41" i="115"/>
  <c r="H41" i="115"/>
  <c r="I40" i="115"/>
  <c r="H40" i="115"/>
  <c r="I39" i="115"/>
  <c r="H39" i="115"/>
  <c r="I38" i="115"/>
  <c r="H38" i="115"/>
  <c r="I37" i="115"/>
  <c r="H37" i="115"/>
  <c r="I36" i="115"/>
  <c r="H36" i="115"/>
  <c r="I35" i="115"/>
  <c r="H35" i="115"/>
  <c r="I34" i="115"/>
  <c r="H34" i="115"/>
  <c r="I33" i="115"/>
  <c r="H33" i="115"/>
  <c r="I32" i="115"/>
  <c r="H32" i="115"/>
  <c r="I31" i="115"/>
  <c r="H31" i="115"/>
  <c r="I30" i="115"/>
  <c r="H30" i="115"/>
  <c r="I29" i="115"/>
  <c r="H29" i="115"/>
  <c r="I28" i="115"/>
  <c r="H28" i="115"/>
  <c r="I27" i="115"/>
  <c r="H27" i="115"/>
  <c r="I26" i="115"/>
  <c r="H26" i="115"/>
  <c r="I25" i="115"/>
  <c r="H25" i="115"/>
  <c r="I24" i="115"/>
  <c r="H24" i="115"/>
  <c r="I23" i="115"/>
  <c r="H23" i="115"/>
  <c r="I22" i="115"/>
  <c r="H22" i="115"/>
  <c r="I21" i="115"/>
  <c r="H21" i="115"/>
  <c r="I20" i="115"/>
  <c r="H20" i="115"/>
  <c r="I19" i="115"/>
  <c r="H19" i="115"/>
  <c r="I18" i="115"/>
  <c r="H18" i="115"/>
  <c r="I17" i="115"/>
  <c r="H17" i="115"/>
  <c r="I16" i="115"/>
  <c r="H16" i="115"/>
  <c r="I15" i="115"/>
  <c r="H15" i="115"/>
  <c r="I14" i="115"/>
  <c r="H14" i="115"/>
  <c r="I13" i="115"/>
  <c r="H13" i="115"/>
  <c r="I12" i="115"/>
  <c r="H12" i="115"/>
  <c r="I11" i="115"/>
  <c r="H11" i="115"/>
  <c r="I10" i="115"/>
  <c r="H10" i="115"/>
  <c r="I9" i="115"/>
  <c r="H9" i="115"/>
  <c r="I8" i="115"/>
  <c r="H8" i="115"/>
  <c r="I7" i="115"/>
  <c r="H7" i="115"/>
  <c r="I6" i="115"/>
  <c r="H6" i="115"/>
  <c r="I5" i="115"/>
  <c r="H5" i="115"/>
  <c r="I4" i="115"/>
  <c r="H4" i="115"/>
  <c r="D301" i="115" l="1"/>
  <c r="D303" i="115" s="1"/>
  <c r="E301" i="115"/>
  <c r="E303" i="115" s="1"/>
  <c r="G301" i="115" l="1"/>
  <c r="K4" i="115" s="1"/>
  <c r="F301" i="115" l="1"/>
  <c r="J4" i="115" s="1"/>
  <c r="K287" i="115"/>
  <c r="K267" i="115"/>
  <c r="K231" i="115"/>
  <c r="K260" i="115"/>
  <c r="K254" i="115"/>
  <c r="K239" i="115"/>
  <c r="K187" i="115"/>
  <c r="K258" i="115"/>
  <c r="K196" i="115"/>
  <c r="K179" i="115"/>
  <c r="K131" i="115"/>
  <c r="K159" i="115"/>
  <c r="K118" i="115"/>
  <c r="K115" i="115"/>
  <c r="K102" i="115"/>
  <c r="K99" i="115"/>
  <c r="K143" i="115"/>
  <c r="K275" i="115"/>
  <c r="K90" i="115"/>
  <c r="K74" i="115"/>
  <c r="K58" i="115"/>
  <c r="K19" i="115"/>
  <c r="K11" i="115"/>
  <c r="K7" i="115"/>
  <c r="K12" i="115"/>
  <c r="K26" i="115"/>
  <c r="K38" i="115"/>
  <c r="K35" i="115"/>
  <c r="K82" i="115"/>
  <c r="K31" i="115"/>
  <c r="K50" i="115"/>
  <c r="K70" i="115"/>
  <c r="K46" i="115"/>
  <c r="K96" i="115"/>
  <c r="K28" i="115"/>
  <c r="K44" i="115"/>
  <c r="K68" i="115"/>
  <c r="K81" i="115"/>
  <c r="K135" i="115"/>
  <c r="K64" i="115"/>
  <c r="K77" i="115"/>
  <c r="K106" i="115"/>
  <c r="K124" i="115"/>
  <c r="K153" i="115"/>
  <c r="K8" i="115"/>
  <c r="K24" i="115"/>
  <c r="K40" i="115"/>
  <c r="K56" i="115"/>
  <c r="K75" i="115"/>
  <c r="K110" i="115"/>
  <c r="K114" i="115"/>
  <c r="K163" i="115"/>
  <c r="K174" i="115"/>
  <c r="K212" i="115"/>
  <c r="K69" i="115"/>
  <c r="K88" i="115"/>
  <c r="K128" i="115"/>
  <c r="K101" i="115"/>
  <c r="K130" i="115"/>
  <c r="K164" i="115"/>
  <c r="K176" i="115"/>
  <c r="K183" i="115"/>
  <c r="K236" i="115"/>
  <c r="K113" i="115"/>
  <c r="K160" i="115"/>
  <c r="K109" i="115"/>
  <c r="K141" i="115"/>
  <c r="K154" i="115"/>
  <c r="K230" i="115"/>
  <c r="K181" i="115"/>
  <c r="K199" i="115"/>
  <c r="K261" i="115"/>
  <c r="K195" i="115"/>
  <c r="K177" i="115"/>
  <c r="K202" i="115"/>
  <c r="K213" i="115"/>
  <c r="K273" i="115"/>
  <c r="K286" i="115"/>
  <c r="K276" i="115"/>
  <c r="K291" i="115"/>
  <c r="K293" i="115"/>
  <c r="K252" i="115"/>
  <c r="K280" i="115"/>
  <c r="K295" i="115"/>
  <c r="K289" i="115"/>
  <c r="K15" i="115"/>
  <c r="K20" i="115"/>
  <c r="K43" i="115"/>
  <c r="K9" i="115"/>
  <c r="K25" i="115"/>
  <c r="K39" i="115"/>
  <c r="K78" i="115"/>
  <c r="K6" i="115"/>
  <c r="K51" i="115"/>
  <c r="K33" i="115"/>
  <c r="K49" i="115"/>
  <c r="K83" i="115"/>
  <c r="K107" i="115"/>
  <c r="K123" i="115"/>
  <c r="K137" i="115"/>
  <c r="K204" i="115"/>
  <c r="K79" i="115"/>
  <c r="K108" i="115"/>
  <c r="K147" i="115"/>
  <c r="K198" i="115"/>
  <c r="K13" i="115"/>
  <c r="K29" i="115"/>
  <c r="K45" i="115"/>
  <c r="K57" i="115"/>
  <c r="K76" i="115"/>
  <c r="K89" i="115"/>
  <c r="K111" i="115"/>
  <c r="K121" i="115"/>
  <c r="K152" i="115"/>
  <c r="K166" i="115"/>
  <c r="K175" i="115"/>
  <c r="K71" i="115"/>
  <c r="K224" i="115"/>
  <c r="K133" i="115"/>
  <c r="K146" i="115"/>
  <c r="K165" i="115"/>
  <c r="K203" i="115"/>
  <c r="K142" i="115"/>
  <c r="K161" i="115"/>
  <c r="K200" i="115"/>
  <c r="K240" i="115"/>
  <c r="K156" i="115"/>
  <c r="K192" i="115"/>
  <c r="K216" i="115"/>
  <c r="K186" i="115"/>
  <c r="K262" i="115"/>
  <c r="K206" i="115"/>
  <c r="K182" i="115"/>
  <c r="K279" i="115"/>
  <c r="K246" i="115"/>
  <c r="K285" i="115"/>
  <c r="K10" i="115"/>
  <c r="K23" i="115"/>
  <c r="K34" i="115"/>
  <c r="K47" i="115"/>
  <c r="K112" i="115"/>
  <c r="K66" i="115"/>
  <c r="K54" i="115"/>
  <c r="K86" i="115"/>
  <c r="K14" i="115"/>
  <c r="K42" i="115"/>
  <c r="K55" i="115"/>
  <c r="K36" i="115"/>
  <c r="K52" i="115"/>
  <c r="K65" i="115"/>
  <c r="K84" i="115"/>
  <c r="K100" i="115"/>
  <c r="K116" i="115"/>
  <c r="K61" i="115"/>
  <c r="K80" i="115"/>
  <c r="K93" i="115"/>
  <c r="K136" i="115"/>
  <c r="K150" i="115"/>
  <c r="K220" i="115"/>
  <c r="K16" i="115"/>
  <c r="K32" i="115"/>
  <c r="K48" i="115"/>
  <c r="K59" i="115"/>
  <c r="K91" i="115"/>
  <c r="K98" i="115"/>
  <c r="K126" i="115"/>
  <c r="K139" i="115"/>
  <c r="K167" i="115"/>
  <c r="K72" i="115"/>
  <c r="K85" i="115"/>
  <c r="K120" i="115"/>
  <c r="K132" i="115"/>
  <c r="K168" i="115"/>
  <c r="K117" i="115"/>
  <c r="K148" i="115"/>
  <c r="K172" i="115"/>
  <c r="K180" i="115"/>
  <c r="K208" i="115"/>
  <c r="K97" i="115"/>
  <c r="K144" i="115"/>
  <c r="K209" i="115"/>
  <c r="K222" i="115"/>
  <c r="K125" i="115"/>
  <c r="K138" i="115"/>
  <c r="K157" i="115"/>
  <c r="K170" i="115"/>
  <c r="K253" i="115"/>
  <c r="K173" i="115"/>
  <c r="K189" i="115"/>
  <c r="K215" i="115"/>
  <c r="K227" i="115"/>
  <c r="K294" i="115"/>
  <c r="K211" i="115"/>
  <c r="K226" i="115"/>
  <c r="K185" i="115"/>
  <c r="K197" i="115"/>
  <c r="K219" i="115"/>
  <c r="K241" i="115"/>
  <c r="K282" i="115"/>
  <c r="K256" i="115"/>
  <c r="K278" i="115"/>
  <c r="K234" i="115"/>
  <c r="K247" i="115"/>
  <c r="K259" i="115"/>
  <c r="K288" i="115"/>
  <c r="K299" i="115"/>
  <c r="K292" i="115"/>
  <c r="K233" i="115"/>
  <c r="K271" i="115"/>
  <c r="K250" i="115"/>
  <c r="K270" i="115"/>
  <c r="K242" i="115"/>
  <c r="K255" i="115"/>
  <c r="K269" i="115"/>
  <c r="K188" i="115"/>
  <c r="K290" i="115"/>
  <c r="K210" i="115"/>
  <c r="K244" i="115"/>
  <c r="K218" i="115"/>
  <c r="K225" i="115"/>
  <c r="K232" i="115"/>
  <c r="K238" i="115"/>
  <c r="K277" i="115"/>
  <c r="K272" i="115"/>
  <c r="K18" i="115"/>
  <c r="K17" i="115"/>
  <c r="K30" i="115"/>
  <c r="K27" i="115"/>
  <c r="K62" i="115"/>
  <c r="K94" i="115"/>
  <c r="K22" i="115"/>
  <c r="K41" i="115"/>
  <c r="K67" i="115"/>
  <c r="K103" i="115"/>
  <c r="K119" i="115"/>
  <c r="K134" i="115"/>
  <c r="K63" i="115"/>
  <c r="K95" i="115"/>
  <c r="K122" i="115"/>
  <c r="K151" i="115"/>
  <c r="K171" i="115"/>
  <c r="K221" i="115"/>
  <c r="K5" i="115"/>
  <c r="K21" i="115"/>
  <c r="K37" i="115"/>
  <c r="K53" i="115"/>
  <c r="K60" i="115"/>
  <c r="K73" i="115"/>
  <c r="K92" i="115"/>
  <c r="K105" i="115"/>
  <c r="K127" i="115"/>
  <c r="K169" i="115"/>
  <c r="K87" i="115"/>
  <c r="K104" i="115"/>
  <c r="K155" i="115"/>
  <c r="K193" i="115"/>
  <c r="K149" i="115"/>
  <c r="K162" i="115"/>
  <c r="K214" i="115"/>
  <c r="K245" i="115"/>
  <c r="K145" i="115"/>
  <c r="K158" i="115"/>
  <c r="K184" i="115"/>
  <c r="K191" i="115"/>
  <c r="K129" i="115"/>
  <c r="K140" i="115"/>
  <c r="K228" i="115"/>
  <c r="K265" i="115"/>
  <c r="K178" i="115"/>
  <c r="K194" i="115"/>
  <c r="K205" i="115"/>
  <c r="K217" i="115"/>
  <c r="K229" i="115"/>
  <c r="K257" i="115"/>
  <c r="K201" i="115"/>
  <c r="K190" i="115"/>
  <c r="K235" i="115"/>
  <c r="K248" i="115"/>
  <c r="K298" i="115"/>
  <c r="K243" i="115"/>
  <c r="K249" i="115"/>
  <c r="K283" i="115"/>
  <c r="K237" i="115"/>
  <c r="K263" i="115"/>
  <c r="K264" i="115"/>
  <c r="K268" i="115"/>
  <c r="K281" i="115"/>
  <c r="K297" i="115"/>
  <c r="K284" i="115"/>
  <c r="K223" i="115"/>
  <c r="K274" i="115"/>
  <c r="K207" i="115"/>
  <c r="K251" i="115"/>
  <c r="K266" i="115"/>
  <c r="K296" i="115"/>
  <c r="K301" i="115" l="1"/>
  <c r="L4" i="115"/>
  <c r="S4" i="115" s="1"/>
  <c r="J291" i="115"/>
  <c r="L291" i="115" s="1"/>
  <c r="J288" i="115"/>
  <c r="L288" i="115" s="1"/>
  <c r="J193" i="115"/>
  <c r="L193" i="115" s="1"/>
  <c r="J168" i="115"/>
  <c r="L168" i="115" s="1"/>
  <c r="J152" i="115"/>
  <c r="L152" i="115" s="1"/>
  <c r="J136" i="115"/>
  <c r="L136" i="115" s="1"/>
  <c r="J124" i="115"/>
  <c r="L124" i="115" s="1"/>
  <c r="J108" i="115"/>
  <c r="L108" i="115" s="1"/>
  <c r="J83" i="115"/>
  <c r="L83" i="115" s="1"/>
  <c r="J67" i="115"/>
  <c r="L67" i="115" s="1"/>
  <c r="J20" i="115"/>
  <c r="L20" i="115" s="1"/>
  <c r="J19" i="115"/>
  <c r="L19" i="115" s="1"/>
  <c r="J55" i="115"/>
  <c r="L55" i="115" s="1"/>
  <c r="J87" i="115"/>
  <c r="L87" i="115" s="1"/>
  <c r="J7" i="115"/>
  <c r="L7" i="115" s="1"/>
  <c r="J23" i="115"/>
  <c r="L23" i="115" s="1"/>
  <c r="J51" i="115"/>
  <c r="L51" i="115" s="1"/>
  <c r="J111" i="115"/>
  <c r="L111" i="115" s="1"/>
  <c r="J31" i="115"/>
  <c r="L31" i="115" s="1"/>
  <c r="J60" i="115"/>
  <c r="L60" i="115" s="1"/>
  <c r="J92" i="115"/>
  <c r="L92" i="115" s="1"/>
  <c r="J104" i="115"/>
  <c r="L104" i="115" s="1"/>
  <c r="J120" i="115"/>
  <c r="L120" i="115" s="1"/>
  <c r="J172" i="115"/>
  <c r="L172" i="115" s="1"/>
  <c r="J221" i="115"/>
  <c r="L221" i="115" s="1"/>
  <c r="J6" i="115"/>
  <c r="L6" i="115" s="1"/>
  <c r="J22" i="115"/>
  <c r="L22" i="115" s="1"/>
  <c r="J38" i="115"/>
  <c r="L38" i="115" s="1"/>
  <c r="J54" i="115"/>
  <c r="L54" i="115" s="1"/>
  <c r="J88" i="115"/>
  <c r="L88" i="115" s="1"/>
  <c r="J98" i="115"/>
  <c r="L98" i="115" s="1"/>
  <c r="J115" i="115"/>
  <c r="L115" i="115" s="1"/>
  <c r="J146" i="115"/>
  <c r="L146" i="115" s="1"/>
  <c r="J188" i="115"/>
  <c r="L188" i="115" s="1"/>
  <c r="J232" i="115"/>
  <c r="L232" i="115" s="1"/>
  <c r="J66" i="115"/>
  <c r="L66" i="115" s="1"/>
  <c r="J85" i="115"/>
  <c r="L85" i="115" s="1"/>
  <c r="J96" i="115"/>
  <c r="L96" i="115" s="1"/>
  <c r="J128" i="115"/>
  <c r="L128" i="115" s="1"/>
  <c r="J145" i="115"/>
  <c r="L145" i="115" s="1"/>
  <c r="J18" i="115"/>
  <c r="L18" i="115" s="1"/>
  <c r="J34" i="115"/>
  <c r="L34" i="115" s="1"/>
  <c r="J50" i="115"/>
  <c r="L50" i="115" s="1"/>
  <c r="J80" i="115"/>
  <c r="L80" i="115" s="1"/>
  <c r="J107" i="115"/>
  <c r="L107" i="115" s="1"/>
  <c r="J160" i="115"/>
  <c r="L160" i="115" s="1"/>
  <c r="J210" i="115"/>
  <c r="L210" i="115" s="1"/>
  <c r="J142" i="115"/>
  <c r="L142" i="115" s="1"/>
  <c r="J155" i="115"/>
  <c r="L155" i="115" s="1"/>
  <c r="J201" i="115"/>
  <c r="L201" i="115" s="1"/>
  <c r="J257" i="115"/>
  <c r="L257" i="115" s="1"/>
  <c r="J138" i="115"/>
  <c r="L138" i="115" s="1"/>
  <c r="J151" i="115"/>
  <c r="L151" i="115" s="1"/>
  <c r="J170" i="115"/>
  <c r="L170" i="115" s="1"/>
  <c r="J187" i="115"/>
  <c r="L187" i="115" s="1"/>
  <c r="J192" i="115"/>
  <c r="L192" i="115" s="1"/>
  <c r="J217" i="115"/>
  <c r="L217" i="115" s="1"/>
  <c r="J239" i="115"/>
  <c r="L239" i="115" s="1"/>
  <c r="J133" i="115"/>
  <c r="L133" i="115" s="1"/>
  <c r="J165" i="115"/>
  <c r="L165" i="115" s="1"/>
  <c r="J186" i="115"/>
  <c r="L186" i="115" s="1"/>
  <c r="J208" i="115"/>
  <c r="L208" i="115" s="1"/>
  <c r="J272" i="115"/>
  <c r="L272" i="115" s="1"/>
  <c r="J206" i="115"/>
  <c r="L206" i="115" s="1"/>
  <c r="J218" i="115"/>
  <c r="L218" i="115" s="1"/>
  <c r="J238" i="115"/>
  <c r="L238" i="115" s="1"/>
  <c r="J182" i="115"/>
  <c r="L182" i="115" s="1"/>
  <c r="J202" i="115"/>
  <c r="L202" i="115" s="1"/>
  <c r="J216" i="115"/>
  <c r="L216" i="115" s="1"/>
  <c r="J223" i="115"/>
  <c r="L223" i="115" s="1"/>
  <c r="J260" i="115"/>
  <c r="L260" i="115" s="1"/>
  <c r="J195" i="115"/>
  <c r="L195" i="115" s="1"/>
  <c r="J250" i="115"/>
  <c r="L250" i="115" s="1"/>
  <c r="J244" i="115"/>
  <c r="L244" i="115" s="1"/>
  <c r="J299" i="115"/>
  <c r="L299" i="115" s="1"/>
  <c r="J256" i="115"/>
  <c r="L256" i="115" s="1"/>
  <c r="J292" i="115"/>
  <c r="L292" i="115" s="1"/>
  <c r="J237" i="115"/>
  <c r="L237" i="115" s="1"/>
  <c r="J230" i="115"/>
  <c r="L230" i="115" s="1"/>
  <c r="J287" i="115"/>
  <c r="L287" i="115" s="1"/>
  <c r="J12" i="115"/>
  <c r="L12" i="115" s="1"/>
  <c r="J8" i="115"/>
  <c r="L8" i="115" s="1"/>
  <c r="J27" i="115"/>
  <c r="L27" i="115" s="1"/>
  <c r="J59" i="115"/>
  <c r="L59" i="115" s="1"/>
  <c r="J91" i="115"/>
  <c r="L91" i="115" s="1"/>
  <c r="J63" i="115"/>
  <c r="L63" i="115" s="1"/>
  <c r="J95" i="115"/>
  <c r="L95" i="115" s="1"/>
  <c r="J32" i="115"/>
  <c r="L32" i="115" s="1"/>
  <c r="J52" i="115"/>
  <c r="L52" i="115" s="1"/>
  <c r="J35" i="115"/>
  <c r="L35" i="115" s="1"/>
  <c r="J105" i="115"/>
  <c r="L105" i="115" s="1"/>
  <c r="J61" i="115"/>
  <c r="L61" i="115" s="1"/>
  <c r="J74" i="115"/>
  <c r="L74" i="115" s="1"/>
  <c r="J93" i="115"/>
  <c r="L93" i="115" s="1"/>
  <c r="J224" i="115"/>
  <c r="L224" i="115" s="1"/>
  <c r="J13" i="115"/>
  <c r="L13" i="115" s="1"/>
  <c r="J29" i="115"/>
  <c r="L29" i="115" s="1"/>
  <c r="J45" i="115"/>
  <c r="L45" i="115" s="1"/>
  <c r="J57" i="115"/>
  <c r="L57" i="115" s="1"/>
  <c r="J70" i="115"/>
  <c r="L70" i="115" s="1"/>
  <c r="J89" i="115"/>
  <c r="L89" i="115" s="1"/>
  <c r="J99" i="115"/>
  <c r="L99" i="115" s="1"/>
  <c r="J116" i="115"/>
  <c r="L116" i="115" s="1"/>
  <c r="J125" i="115"/>
  <c r="L125" i="115" s="1"/>
  <c r="J156" i="115"/>
  <c r="L156" i="115" s="1"/>
  <c r="J68" i="115"/>
  <c r="L68" i="115" s="1"/>
  <c r="J97" i="115"/>
  <c r="L97" i="115" s="1"/>
  <c r="J129" i="115"/>
  <c r="L129" i="115" s="1"/>
  <c r="J9" i="115"/>
  <c r="L9" i="115" s="1"/>
  <c r="J25" i="115"/>
  <c r="L25" i="115" s="1"/>
  <c r="J41" i="115"/>
  <c r="L41" i="115" s="1"/>
  <c r="J62" i="115"/>
  <c r="L62" i="115" s="1"/>
  <c r="J81" i="115"/>
  <c r="L81" i="115" s="1"/>
  <c r="J94" i="115"/>
  <c r="L94" i="115" s="1"/>
  <c r="J117" i="115"/>
  <c r="L117" i="115" s="1"/>
  <c r="J131" i="115"/>
  <c r="L131" i="115" s="1"/>
  <c r="J161" i="115"/>
  <c r="L161" i="115" s="1"/>
  <c r="J110" i="115"/>
  <c r="L110" i="115" s="1"/>
  <c r="J157" i="115"/>
  <c r="L157" i="115" s="1"/>
  <c r="J179" i="115"/>
  <c r="L179" i="115" s="1"/>
  <c r="J184" i="115"/>
  <c r="L184" i="115" s="1"/>
  <c r="J240" i="115"/>
  <c r="L240" i="115" s="1"/>
  <c r="J122" i="115"/>
  <c r="L122" i="115" s="1"/>
  <c r="J153" i="115"/>
  <c r="L153" i="115" s="1"/>
  <c r="J171" i="115"/>
  <c r="L171" i="115" s="1"/>
  <c r="J219" i="115"/>
  <c r="L219" i="115" s="1"/>
  <c r="J134" i="115"/>
  <c r="L134" i="115" s="1"/>
  <c r="J147" i="115"/>
  <c r="L147" i="115" s="1"/>
  <c r="J166" i="115"/>
  <c r="L166" i="115" s="1"/>
  <c r="J203" i="115"/>
  <c r="L203" i="115" s="1"/>
  <c r="J214" i="115"/>
  <c r="L214" i="115" s="1"/>
  <c r="J276" i="115"/>
  <c r="L276" i="115" s="1"/>
  <c r="J270" i="115"/>
  <c r="L270" i="115" s="1"/>
  <c r="J16" i="115"/>
  <c r="L16" i="115" s="1"/>
  <c r="J71" i="115"/>
  <c r="L71" i="115" s="1"/>
  <c r="J15" i="115"/>
  <c r="L15" i="115" s="1"/>
  <c r="J28" i="115"/>
  <c r="L28" i="115" s="1"/>
  <c r="J40" i="115"/>
  <c r="L40" i="115" s="1"/>
  <c r="J180" i="115"/>
  <c r="L180" i="115" s="1"/>
  <c r="J39" i="115"/>
  <c r="L39" i="115" s="1"/>
  <c r="J127" i="115"/>
  <c r="L127" i="115" s="1"/>
  <c r="J76" i="115"/>
  <c r="L76" i="115" s="1"/>
  <c r="J130" i="115"/>
  <c r="L130" i="115" s="1"/>
  <c r="J140" i="115"/>
  <c r="L140" i="115" s="1"/>
  <c r="J207" i="115"/>
  <c r="L207" i="115" s="1"/>
  <c r="J275" i="115"/>
  <c r="L275" i="115" s="1"/>
  <c r="J14" i="115"/>
  <c r="L14" i="115" s="1"/>
  <c r="J30" i="115"/>
  <c r="L30" i="115" s="1"/>
  <c r="J46" i="115"/>
  <c r="L46" i="115" s="1"/>
  <c r="J72" i="115"/>
  <c r="L72" i="115" s="1"/>
  <c r="J100" i="115"/>
  <c r="L100" i="115" s="1"/>
  <c r="J109" i="115"/>
  <c r="L109" i="115" s="1"/>
  <c r="J119" i="115"/>
  <c r="L119" i="115" s="1"/>
  <c r="J164" i="115"/>
  <c r="L164" i="115" s="1"/>
  <c r="J69" i="115"/>
  <c r="L69" i="115" s="1"/>
  <c r="J82" i="115"/>
  <c r="L82" i="115" s="1"/>
  <c r="J112" i="115"/>
  <c r="L112" i="115" s="1"/>
  <c r="J159" i="115"/>
  <c r="L159" i="115" s="1"/>
  <c r="J176" i="115"/>
  <c r="L176" i="115" s="1"/>
  <c r="J10" i="115"/>
  <c r="L10" i="115" s="1"/>
  <c r="J26" i="115"/>
  <c r="L26" i="115" s="1"/>
  <c r="J42" i="115"/>
  <c r="L42" i="115" s="1"/>
  <c r="J64" i="115"/>
  <c r="L64" i="115" s="1"/>
  <c r="J101" i="115"/>
  <c r="L101" i="115" s="1"/>
  <c r="J225" i="115"/>
  <c r="L225" i="115" s="1"/>
  <c r="J139" i="115"/>
  <c r="L139" i="115" s="1"/>
  <c r="J158" i="115"/>
  <c r="L158" i="115" s="1"/>
  <c r="J185" i="115"/>
  <c r="L185" i="115" s="1"/>
  <c r="J241" i="115"/>
  <c r="L241" i="115" s="1"/>
  <c r="J135" i="115"/>
  <c r="L135" i="115" s="1"/>
  <c r="J154" i="115"/>
  <c r="L154" i="115" s="1"/>
  <c r="J167" i="115"/>
  <c r="L167" i="115" s="1"/>
  <c r="J178" i="115"/>
  <c r="L178" i="115" s="1"/>
  <c r="J189" i="115"/>
  <c r="L189" i="115" s="1"/>
  <c r="J254" i="115"/>
  <c r="L254" i="115" s="1"/>
  <c r="J149" i="115"/>
  <c r="L149" i="115" s="1"/>
  <c r="J194" i="115"/>
  <c r="L194" i="115" s="1"/>
  <c r="J227" i="115"/>
  <c r="L227" i="115" s="1"/>
  <c r="J204" i="115"/>
  <c r="L204" i="115" s="1"/>
  <c r="J255" i="115"/>
  <c r="L255" i="115" s="1"/>
  <c r="J190" i="115"/>
  <c r="L190" i="115" s="1"/>
  <c r="J200" i="115"/>
  <c r="L200" i="115" s="1"/>
  <c r="J220" i="115"/>
  <c r="L220" i="115" s="1"/>
  <c r="J280" i="115"/>
  <c r="L280" i="115" s="1"/>
  <c r="J211" i="115"/>
  <c r="L211" i="115" s="1"/>
  <c r="J233" i="115"/>
  <c r="L233" i="115" s="1"/>
  <c r="J247" i="115"/>
  <c r="L247" i="115" s="1"/>
  <c r="J259" i="115"/>
  <c r="L259" i="115" s="1"/>
  <c r="J283" i="115"/>
  <c r="L283" i="115" s="1"/>
  <c r="J261" i="115"/>
  <c r="L261" i="115" s="1"/>
  <c r="J234" i="115"/>
  <c r="L234" i="115" s="1"/>
  <c r="J245" i="115"/>
  <c r="L245" i="115" s="1"/>
  <c r="J262" i="115"/>
  <c r="L262" i="115" s="1"/>
  <c r="J273" i="115"/>
  <c r="L273" i="115" s="1"/>
  <c r="J281" i="115"/>
  <c r="L281" i="115" s="1"/>
  <c r="J298" i="115"/>
  <c r="L298" i="115" s="1"/>
  <c r="J266" i="115"/>
  <c r="L266" i="115" s="1"/>
  <c r="J279" i="115"/>
  <c r="L279" i="115" s="1"/>
  <c r="J277" i="115"/>
  <c r="L277" i="115" s="1"/>
  <c r="J293" i="115"/>
  <c r="L293" i="115" s="1"/>
  <c r="J236" i="115"/>
  <c r="L236" i="115" s="1"/>
  <c r="J242" i="115"/>
  <c r="L242" i="115" s="1"/>
  <c r="J264" i="115"/>
  <c r="L264" i="115" s="1"/>
  <c r="J295" i="115"/>
  <c r="L295" i="115" s="1"/>
  <c r="J269" i="115"/>
  <c r="L269" i="115" s="1"/>
  <c r="J285" i="115"/>
  <c r="L285" i="115" s="1"/>
  <c r="J183" i="115"/>
  <c r="L183" i="115" s="1"/>
  <c r="J196" i="115"/>
  <c r="L196" i="115" s="1"/>
  <c r="J243" i="115"/>
  <c r="L243" i="115" s="1"/>
  <c r="J258" i="115"/>
  <c r="L258" i="115" s="1"/>
  <c r="J252" i="115"/>
  <c r="L252" i="115" s="1"/>
  <c r="J286" i="115"/>
  <c r="L286" i="115" s="1"/>
  <c r="J11" i="115"/>
  <c r="L11" i="115" s="1"/>
  <c r="J24" i="115"/>
  <c r="L24" i="115" s="1"/>
  <c r="J36" i="115"/>
  <c r="L36" i="115" s="1"/>
  <c r="J48" i="115"/>
  <c r="L48" i="115" s="1"/>
  <c r="J75" i="115"/>
  <c r="L75" i="115" s="1"/>
  <c r="J121" i="115"/>
  <c r="L121" i="115" s="1"/>
  <c r="J47" i="115"/>
  <c r="L47" i="115" s="1"/>
  <c r="J79" i="115"/>
  <c r="L79" i="115" s="1"/>
  <c r="J43" i="115"/>
  <c r="L43" i="115" s="1"/>
  <c r="J44" i="115"/>
  <c r="L44" i="115" s="1"/>
  <c r="J56" i="115"/>
  <c r="L56" i="115" s="1"/>
  <c r="J132" i="115"/>
  <c r="L132" i="115" s="1"/>
  <c r="J58" i="115"/>
  <c r="L58" i="115" s="1"/>
  <c r="J77" i="115"/>
  <c r="L77" i="115" s="1"/>
  <c r="J90" i="115"/>
  <c r="L90" i="115" s="1"/>
  <c r="J148" i="115"/>
  <c r="L148" i="115" s="1"/>
  <c r="J209" i="115"/>
  <c r="L209" i="115" s="1"/>
  <c r="J5" i="115"/>
  <c r="L5" i="115" s="1"/>
  <c r="J21" i="115"/>
  <c r="L21" i="115" s="1"/>
  <c r="J37" i="115"/>
  <c r="L37" i="115" s="1"/>
  <c r="J53" i="115"/>
  <c r="L53" i="115" s="1"/>
  <c r="J73" i="115"/>
  <c r="L73" i="115" s="1"/>
  <c r="J86" i="115"/>
  <c r="L86" i="115" s="1"/>
  <c r="J103" i="115"/>
  <c r="L103" i="115" s="1"/>
  <c r="J114" i="115"/>
  <c r="L114" i="115" s="1"/>
  <c r="J143" i="115"/>
  <c r="L143" i="115" s="1"/>
  <c r="J84" i="115"/>
  <c r="L84" i="115" s="1"/>
  <c r="J113" i="115"/>
  <c r="L113" i="115" s="1"/>
  <c r="J144" i="115"/>
  <c r="L144" i="115" s="1"/>
  <c r="J162" i="115"/>
  <c r="L162" i="115" s="1"/>
  <c r="J177" i="115"/>
  <c r="L177" i="115" s="1"/>
  <c r="J17" i="115"/>
  <c r="L17" i="115" s="1"/>
  <c r="J33" i="115"/>
  <c r="L33" i="115" s="1"/>
  <c r="J49" i="115"/>
  <c r="L49" i="115" s="1"/>
  <c r="J65" i="115"/>
  <c r="L65" i="115" s="1"/>
  <c r="J78" i="115"/>
  <c r="L78" i="115" s="1"/>
  <c r="J123" i="115"/>
  <c r="L123" i="115" s="1"/>
  <c r="J226" i="115"/>
  <c r="L226" i="115" s="1"/>
  <c r="J126" i="115"/>
  <c r="L126" i="115" s="1"/>
  <c r="J141" i="115"/>
  <c r="L141" i="115" s="1"/>
  <c r="J175" i="115"/>
  <c r="L175" i="115" s="1"/>
  <c r="J181" i="115"/>
  <c r="L181" i="115" s="1"/>
  <c r="J197" i="115"/>
  <c r="L197" i="115" s="1"/>
  <c r="J106" i="115"/>
  <c r="L106" i="115" s="1"/>
  <c r="J137" i="115"/>
  <c r="L137" i="115" s="1"/>
  <c r="J169" i="115"/>
  <c r="L169" i="115" s="1"/>
  <c r="J213" i="115"/>
  <c r="L213" i="115" s="1"/>
  <c r="J229" i="115"/>
  <c r="L229" i="115" s="1"/>
  <c r="J102" i="115"/>
  <c r="L102" i="115" s="1"/>
  <c r="J150" i="115"/>
  <c r="L150" i="115" s="1"/>
  <c r="J163" i="115"/>
  <c r="L163" i="115" s="1"/>
  <c r="J173" i="115"/>
  <c r="L173" i="115" s="1"/>
  <c r="J205" i="115"/>
  <c r="L205" i="115" s="1"/>
  <c r="J296" i="115"/>
  <c r="L296" i="115" s="1"/>
  <c r="J191" i="115"/>
  <c r="L191" i="115" s="1"/>
  <c r="J215" i="115"/>
  <c r="L215" i="115" s="1"/>
  <c r="J222" i="115"/>
  <c r="L222" i="115" s="1"/>
  <c r="J251" i="115"/>
  <c r="L251" i="115" s="1"/>
  <c r="J174" i="115"/>
  <c r="L174" i="115" s="1"/>
  <c r="J198" i="115"/>
  <c r="L198" i="115" s="1"/>
  <c r="J212" i="115"/>
  <c r="L212" i="115" s="1"/>
  <c r="J228" i="115"/>
  <c r="L228" i="115" s="1"/>
  <c r="J263" i="115"/>
  <c r="L263" i="115" s="1"/>
  <c r="J267" i="115"/>
  <c r="L267" i="115" s="1"/>
  <c r="J290" i="115"/>
  <c r="L290" i="115" s="1"/>
  <c r="J235" i="115"/>
  <c r="L235" i="115" s="1"/>
  <c r="J268" i="115"/>
  <c r="L268" i="115" s="1"/>
  <c r="J249" i="115"/>
  <c r="L249" i="115" s="1"/>
  <c r="J274" i="115"/>
  <c r="L274" i="115" s="1"/>
  <c r="J284" i="115"/>
  <c r="L284" i="115" s="1"/>
  <c r="J289" i="115"/>
  <c r="L289" i="115" s="1"/>
  <c r="J248" i="115"/>
  <c r="L248" i="115" s="1"/>
  <c r="J282" i="115"/>
  <c r="L282" i="115" s="1"/>
  <c r="J278" i="115"/>
  <c r="L278" i="115" s="1"/>
  <c r="J294" i="115"/>
  <c r="L294" i="115" s="1"/>
  <c r="J231" i="115"/>
  <c r="L231" i="115" s="1"/>
  <c r="J271" i="115"/>
  <c r="L271" i="115" s="1"/>
  <c r="J118" i="115"/>
  <c r="L118" i="115" s="1"/>
  <c r="J199" i="115"/>
  <c r="L199" i="115" s="1"/>
  <c r="J253" i="115"/>
  <c r="L253" i="115" s="1"/>
  <c r="J246" i="115"/>
  <c r="L246" i="115" s="1"/>
  <c r="J265" i="115"/>
  <c r="L265" i="115" s="1"/>
  <c r="J297" i="115"/>
  <c r="L297" i="115" s="1"/>
  <c r="O248" i="115" l="1"/>
  <c r="P248" i="115" s="1"/>
  <c r="S248" i="115"/>
  <c r="O198" i="115"/>
  <c r="P198" i="115" s="1"/>
  <c r="S198" i="115"/>
  <c r="O229" i="115"/>
  <c r="P229" i="115" s="1"/>
  <c r="S229" i="115"/>
  <c r="O78" i="115"/>
  <c r="P78" i="115" s="1"/>
  <c r="S78" i="115"/>
  <c r="O103" i="115"/>
  <c r="P103" i="115" s="1"/>
  <c r="S103" i="115"/>
  <c r="O79" i="115"/>
  <c r="P79" i="115" s="1"/>
  <c r="S79" i="115"/>
  <c r="O280" i="115"/>
  <c r="P280" i="115" s="1"/>
  <c r="S280" i="115"/>
  <c r="O168" i="115"/>
  <c r="P168" i="115" s="1"/>
  <c r="S168" i="115"/>
  <c r="O297" i="115"/>
  <c r="P297" i="115" s="1"/>
  <c r="S297" i="115"/>
  <c r="O294" i="115"/>
  <c r="P294" i="115" s="1"/>
  <c r="S294" i="115"/>
  <c r="O289" i="115"/>
  <c r="P289" i="115" s="1"/>
  <c r="S289" i="115"/>
  <c r="O263" i="115"/>
  <c r="P263" i="115" s="1"/>
  <c r="S263" i="115"/>
  <c r="O191" i="115"/>
  <c r="P191" i="115" s="1"/>
  <c r="S191" i="115"/>
  <c r="O265" i="115"/>
  <c r="P265" i="115" s="1"/>
  <c r="S265" i="115"/>
  <c r="O118" i="115"/>
  <c r="P118" i="115" s="1"/>
  <c r="S118" i="115"/>
  <c r="O278" i="115"/>
  <c r="P278" i="115" s="1"/>
  <c r="S278" i="115"/>
  <c r="O284" i="115"/>
  <c r="P284" i="115" s="1"/>
  <c r="S284" i="115"/>
  <c r="O235" i="115"/>
  <c r="P235" i="115" s="1"/>
  <c r="S235" i="115"/>
  <c r="O228" i="115"/>
  <c r="P228" i="115" s="1"/>
  <c r="S228" i="115"/>
  <c r="O251" i="115"/>
  <c r="P251" i="115" s="1"/>
  <c r="S251" i="115"/>
  <c r="O296" i="115"/>
  <c r="P296" i="115" s="1"/>
  <c r="S296" i="115"/>
  <c r="O150" i="115"/>
  <c r="P150" i="115" s="1"/>
  <c r="S150" i="115"/>
  <c r="O169" i="115"/>
  <c r="P169" i="115" s="1"/>
  <c r="S169" i="115"/>
  <c r="O181" i="115"/>
  <c r="P181" i="115" s="1"/>
  <c r="S181" i="115"/>
  <c r="O226" i="115"/>
  <c r="P226" i="115" s="1"/>
  <c r="S226" i="115"/>
  <c r="O49" i="115"/>
  <c r="P49" i="115" s="1"/>
  <c r="S49" i="115"/>
  <c r="O162" i="115"/>
  <c r="P162" i="115" s="1"/>
  <c r="S162" i="115"/>
  <c r="O143" i="115"/>
  <c r="P143" i="115" s="1"/>
  <c r="S143" i="115"/>
  <c r="O73" i="115"/>
  <c r="P73" i="115" s="1"/>
  <c r="S73" i="115"/>
  <c r="O5" i="115"/>
  <c r="P5" i="115" s="1"/>
  <c r="S5" i="115"/>
  <c r="O77" i="115"/>
  <c r="P77" i="115" s="1"/>
  <c r="S77" i="115"/>
  <c r="O44" i="115"/>
  <c r="P44" i="115" s="1"/>
  <c r="S44" i="115"/>
  <c r="O121" i="115"/>
  <c r="P121" i="115" s="1"/>
  <c r="S121" i="115"/>
  <c r="O24" i="115"/>
  <c r="P24" i="115" s="1"/>
  <c r="S24" i="115"/>
  <c r="O258" i="115"/>
  <c r="P258" i="115" s="1"/>
  <c r="S258" i="115"/>
  <c r="O285" i="115"/>
  <c r="P285" i="115" s="1"/>
  <c r="S285" i="115"/>
  <c r="O242" i="115"/>
  <c r="P242" i="115" s="1"/>
  <c r="S242" i="115"/>
  <c r="O279" i="115"/>
  <c r="P279" i="115" s="1"/>
  <c r="S279" i="115"/>
  <c r="O273" i="115"/>
  <c r="P273" i="115" s="1"/>
  <c r="S273" i="115"/>
  <c r="O261" i="115"/>
  <c r="P261" i="115" s="1"/>
  <c r="S261" i="115"/>
  <c r="O233" i="115"/>
  <c r="P233" i="115" s="1"/>
  <c r="S233" i="115"/>
  <c r="O200" i="115"/>
  <c r="P200" i="115" s="1"/>
  <c r="S200" i="115"/>
  <c r="O227" i="115"/>
  <c r="P227" i="115" s="1"/>
  <c r="S227" i="115"/>
  <c r="O189" i="115"/>
  <c r="P189" i="115" s="1"/>
  <c r="S189" i="115"/>
  <c r="O135" i="115"/>
  <c r="P135" i="115" s="1"/>
  <c r="S135" i="115"/>
  <c r="O139" i="115"/>
  <c r="P139" i="115" s="1"/>
  <c r="S139" i="115"/>
  <c r="O42" i="115"/>
  <c r="P42" i="115" s="1"/>
  <c r="S42" i="115"/>
  <c r="O159" i="115"/>
  <c r="P159" i="115" s="1"/>
  <c r="S159" i="115"/>
  <c r="O164" i="115"/>
  <c r="P164" i="115" s="1"/>
  <c r="S164" i="115"/>
  <c r="O72" i="115"/>
  <c r="P72" i="115" s="1"/>
  <c r="S72" i="115"/>
  <c r="O275" i="115"/>
  <c r="P275" i="115" s="1"/>
  <c r="S275" i="115"/>
  <c r="O76" i="115"/>
  <c r="P76" i="115" s="1"/>
  <c r="S76" i="115"/>
  <c r="O40" i="115"/>
  <c r="P40" i="115" s="1"/>
  <c r="S40" i="115"/>
  <c r="O16" i="115"/>
  <c r="P16" i="115" s="1"/>
  <c r="S16" i="115"/>
  <c r="O203" i="115"/>
  <c r="P203" i="115" s="1"/>
  <c r="S203" i="115"/>
  <c r="O219" i="115"/>
  <c r="P219" i="115" s="1"/>
  <c r="S219" i="115"/>
  <c r="O240" i="115"/>
  <c r="P240" i="115" s="1"/>
  <c r="S240" i="115"/>
  <c r="O110" i="115"/>
  <c r="P110" i="115" s="1"/>
  <c r="S110" i="115"/>
  <c r="O94" i="115"/>
  <c r="P94" i="115" s="1"/>
  <c r="S94" i="115"/>
  <c r="O25" i="115"/>
  <c r="P25" i="115" s="1"/>
  <c r="S25" i="115"/>
  <c r="O68" i="115"/>
  <c r="P68" i="115" s="1"/>
  <c r="S68" i="115"/>
  <c r="O99" i="115"/>
  <c r="P99" i="115" s="1"/>
  <c r="S99" i="115"/>
  <c r="O45" i="115"/>
  <c r="P45" i="115" s="1"/>
  <c r="S45" i="115"/>
  <c r="O93" i="115"/>
  <c r="P93" i="115" s="1"/>
  <c r="S93" i="115"/>
  <c r="O35" i="115"/>
  <c r="P35" i="115" s="1"/>
  <c r="S35" i="115"/>
  <c r="O63" i="115"/>
  <c r="P63" i="115" s="1"/>
  <c r="S63" i="115"/>
  <c r="O8" i="115"/>
  <c r="P8" i="115" s="1"/>
  <c r="S8" i="115"/>
  <c r="O237" i="115"/>
  <c r="P237" i="115" s="1"/>
  <c r="S237" i="115"/>
  <c r="O244" i="115"/>
  <c r="P244" i="115" s="1"/>
  <c r="S244" i="115"/>
  <c r="O223" i="115"/>
  <c r="P223" i="115" s="1"/>
  <c r="S223" i="115"/>
  <c r="O238" i="115"/>
  <c r="P238" i="115" s="1"/>
  <c r="S238" i="115"/>
  <c r="O208" i="115"/>
  <c r="P208" i="115" s="1"/>
  <c r="S208" i="115"/>
  <c r="O239" i="115"/>
  <c r="P239" i="115" s="1"/>
  <c r="S239" i="115"/>
  <c r="O170" i="115"/>
  <c r="P170" i="115" s="1"/>
  <c r="S170" i="115"/>
  <c r="O201" i="115"/>
  <c r="P201" i="115" s="1"/>
  <c r="S201" i="115"/>
  <c r="O160" i="115"/>
  <c r="P160" i="115" s="1"/>
  <c r="S160" i="115"/>
  <c r="O34" i="115"/>
  <c r="P34" i="115" s="1"/>
  <c r="S34" i="115"/>
  <c r="O96" i="115"/>
  <c r="P96" i="115" s="1"/>
  <c r="S96" i="115"/>
  <c r="O188" i="115"/>
  <c r="P188" i="115" s="1"/>
  <c r="S188" i="115"/>
  <c r="O88" i="115"/>
  <c r="P88" i="115" s="1"/>
  <c r="S88" i="115"/>
  <c r="O6" i="115"/>
  <c r="P6" i="115" s="1"/>
  <c r="S6" i="115"/>
  <c r="O104" i="115"/>
  <c r="P104" i="115" s="1"/>
  <c r="S104" i="115"/>
  <c r="O111" i="115"/>
  <c r="P111" i="115" s="1"/>
  <c r="S111" i="115"/>
  <c r="O87" i="115"/>
  <c r="P87" i="115" s="1"/>
  <c r="S87" i="115"/>
  <c r="O67" i="115"/>
  <c r="P67" i="115" s="1"/>
  <c r="S67" i="115"/>
  <c r="O136" i="115"/>
  <c r="P136" i="115" s="1"/>
  <c r="S136" i="115"/>
  <c r="O288" i="115"/>
  <c r="P288" i="115" s="1"/>
  <c r="S288" i="115"/>
  <c r="O231" i="115"/>
  <c r="P231" i="115" s="1"/>
  <c r="S231" i="115"/>
  <c r="O249" i="115"/>
  <c r="P249" i="115" s="1"/>
  <c r="S249" i="115"/>
  <c r="O215" i="115"/>
  <c r="P215" i="115" s="1"/>
  <c r="S215" i="115"/>
  <c r="O106" i="115"/>
  <c r="P106" i="115" s="1"/>
  <c r="S106" i="115"/>
  <c r="O17" i="115"/>
  <c r="P17" i="115" s="1"/>
  <c r="S17" i="115"/>
  <c r="O37" i="115"/>
  <c r="P37" i="115" s="1"/>
  <c r="S37" i="115"/>
  <c r="O132" i="115"/>
  <c r="P132" i="115" s="1"/>
  <c r="S132" i="115"/>
  <c r="O286" i="115"/>
  <c r="P286" i="115" s="1"/>
  <c r="S286" i="115"/>
  <c r="O295" i="115"/>
  <c r="P295" i="115" s="1"/>
  <c r="S295" i="115"/>
  <c r="O298" i="115"/>
  <c r="P298" i="115" s="1"/>
  <c r="S298" i="115"/>
  <c r="O259" i="115"/>
  <c r="P259" i="115" s="1"/>
  <c r="S259" i="115"/>
  <c r="O149" i="115"/>
  <c r="P149" i="115" s="1"/>
  <c r="S149" i="115"/>
  <c r="O185" i="115"/>
  <c r="P185" i="115" s="1"/>
  <c r="S185" i="115"/>
  <c r="O10" i="115"/>
  <c r="P10" i="115" s="1"/>
  <c r="S10" i="115"/>
  <c r="O109" i="115"/>
  <c r="P109" i="115" s="1"/>
  <c r="S109" i="115"/>
  <c r="O140" i="115"/>
  <c r="P140" i="115" s="1"/>
  <c r="S140" i="115"/>
  <c r="O15" i="115"/>
  <c r="P15" i="115" s="1"/>
  <c r="S15" i="115"/>
  <c r="O147" i="115"/>
  <c r="P147" i="115" s="1"/>
  <c r="S147" i="115"/>
  <c r="O179" i="115"/>
  <c r="P179" i="115" s="1"/>
  <c r="S179" i="115"/>
  <c r="O62" i="115"/>
  <c r="P62" i="115" s="1"/>
  <c r="S62" i="115"/>
  <c r="O125" i="115"/>
  <c r="P125" i="115" s="1"/>
  <c r="S125" i="115"/>
  <c r="O70" i="115"/>
  <c r="P70" i="115" s="1"/>
  <c r="S70" i="115"/>
  <c r="O32" i="115"/>
  <c r="P32" i="115" s="1"/>
  <c r="S32" i="115"/>
  <c r="O287" i="115"/>
  <c r="P287" i="115" s="1"/>
  <c r="S287" i="115"/>
  <c r="O195" i="115"/>
  <c r="P195" i="115" s="1"/>
  <c r="S195" i="115"/>
  <c r="O206" i="115"/>
  <c r="P206" i="115" s="1"/>
  <c r="S206" i="115"/>
  <c r="O165" i="115"/>
  <c r="P165" i="115" s="1"/>
  <c r="S165" i="115"/>
  <c r="O138" i="115"/>
  <c r="P138" i="115" s="1"/>
  <c r="S138" i="115"/>
  <c r="O80" i="115"/>
  <c r="P80" i="115" s="1"/>
  <c r="S80" i="115"/>
  <c r="O66" i="115"/>
  <c r="P66" i="115" s="1"/>
  <c r="S66" i="115"/>
  <c r="O19" i="115"/>
  <c r="P19" i="115" s="1"/>
  <c r="S19" i="115"/>
  <c r="O246" i="115"/>
  <c r="P246" i="115" s="1"/>
  <c r="S246" i="115"/>
  <c r="O271" i="115"/>
  <c r="P271" i="115" s="1"/>
  <c r="S271" i="115"/>
  <c r="O282" i="115"/>
  <c r="P282" i="115" s="1"/>
  <c r="S282" i="115"/>
  <c r="O274" i="115"/>
  <c r="P274" i="115" s="1"/>
  <c r="S274" i="115"/>
  <c r="O290" i="115"/>
  <c r="P290" i="115" s="1"/>
  <c r="S290" i="115"/>
  <c r="O212" i="115"/>
  <c r="P212" i="115" s="1"/>
  <c r="S212" i="115"/>
  <c r="O222" i="115"/>
  <c r="P222" i="115" s="1"/>
  <c r="S222" i="115"/>
  <c r="O205" i="115"/>
  <c r="P205" i="115" s="1"/>
  <c r="S205" i="115"/>
  <c r="O102" i="115"/>
  <c r="P102" i="115" s="1"/>
  <c r="S102" i="115"/>
  <c r="O137" i="115"/>
  <c r="P137" i="115" s="1"/>
  <c r="S137" i="115"/>
  <c r="O175" i="115"/>
  <c r="P175" i="115" s="1"/>
  <c r="S175" i="115"/>
  <c r="O123" i="115"/>
  <c r="P123" i="115" s="1"/>
  <c r="S123" i="115"/>
  <c r="O33" i="115"/>
  <c r="P33" i="115" s="1"/>
  <c r="S33" i="115"/>
  <c r="O144" i="115"/>
  <c r="P144" i="115" s="1"/>
  <c r="S144" i="115"/>
  <c r="O114" i="115"/>
  <c r="P114" i="115" s="1"/>
  <c r="S114" i="115"/>
  <c r="O53" i="115"/>
  <c r="P53" i="115" s="1"/>
  <c r="S53" i="115"/>
  <c r="O209" i="115"/>
  <c r="P209" i="115" s="1"/>
  <c r="S209" i="115"/>
  <c r="O58" i="115"/>
  <c r="P58" i="115" s="1"/>
  <c r="S58" i="115"/>
  <c r="O43" i="115"/>
  <c r="P43" i="115" s="1"/>
  <c r="S43" i="115"/>
  <c r="O75" i="115"/>
  <c r="P75" i="115" s="1"/>
  <c r="S75" i="115"/>
  <c r="O11" i="115"/>
  <c r="P11" i="115" s="1"/>
  <c r="S11" i="115"/>
  <c r="O243" i="115"/>
  <c r="P243" i="115" s="1"/>
  <c r="S243" i="115"/>
  <c r="O269" i="115"/>
  <c r="P269" i="115" s="1"/>
  <c r="S269" i="115"/>
  <c r="O236" i="115"/>
  <c r="P236" i="115" s="1"/>
  <c r="S236" i="115"/>
  <c r="O266" i="115"/>
  <c r="P266" i="115" s="1"/>
  <c r="S266" i="115"/>
  <c r="O262" i="115"/>
  <c r="P262" i="115" s="1"/>
  <c r="S262" i="115"/>
  <c r="O283" i="115"/>
  <c r="P283" i="115" s="1"/>
  <c r="S283" i="115"/>
  <c r="O211" i="115"/>
  <c r="P211" i="115" s="1"/>
  <c r="S211" i="115"/>
  <c r="O190" i="115"/>
  <c r="P190" i="115" s="1"/>
  <c r="S190" i="115"/>
  <c r="O194" i="115"/>
  <c r="P194" i="115" s="1"/>
  <c r="S194" i="115"/>
  <c r="O178" i="115"/>
  <c r="P178" i="115" s="1"/>
  <c r="S178" i="115"/>
  <c r="O241" i="115"/>
  <c r="P241" i="115" s="1"/>
  <c r="S241" i="115"/>
  <c r="O225" i="115"/>
  <c r="P225" i="115" s="1"/>
  <c r="S225" i="115"/>
  <c r="O26" i="115"/>
  <c r="P26" i="115" s="1"/>
  <c r="S26" i="115"/>
  <c r="O112" i="115"/>
  <c r="P112" i="115" s="1"/>
  <c r="S112" i="115"/>
  <c r="O119" i="115"/>
  <c r="P119" i="115" s="1"/>
  <c r="S119" i="115"/>
  <c r="O46" i="115"/>
  <c r="P46" i="115" s="1"/>
  <c r="S46" i="115"/>
  <c r="O207" i="115"/>
  <c r="P207" i="115" s="1"/>
  <c r="S207" i="115"/>
  <c r="O127" i="115"/>
  <c r="P127" i="115" s="1"/>
  <c r="S127" i="115"/>
  <c r="O28" i="115"/>
  <c r="P28" i="115" s="1"/>
  <c r="S28" i="115"/>
  <c r="O270" i="115"/>
  <c r="P270" i="115" s="1"/>
  <c r="S270" i="115"/>
  <c r="O166" i="115"/>
  <c r="P166" i="115" s="1"/>
  <c r="S166" i="115"/>
  <c r="O171" i="115"/>
  <c r="P171" i="115" s="1"/>
  <c r="S171" i="115"/>
  <c r="O184" i="115"/>
  <c r="P184" i="115" s="1"/>
  <c r="S184" i="115"/>
  <c r="O161" i="115"/>
  <c r="P161" i="115" s="1"/>
  <c r="S161" i="115"/>
  <c r="O81" i="115"/>
  <c r="P81" i="115" s="1"/>
  <c r="S81" i="115"/>
  <c r="O9" i="115"/>
  <c r="P9" i="115" s="1"/>
  <c r="S9" i="115"/>
  <c r="O156" i="115"/>
  <c r="P156" i="115" s="1"/>
  <c r="S156" i="115"/>
  <c r="O89" i="115"/>
  <c r="P89" i="115" s="1"/>
  <c r="S89" i="115"/>
  <c r="O29" i="115"/>
  <c r="P29" i="115" s="1"/>
  <c r="S29" i="115"/>
  <c r="O74" i="115"/>
  <c r="P74" i="115" s="1"/>
  <c r="S74" i="115"/>
  <c r="O52" i="115"/>
  <c r="P52" i="115" s="1"/>
  <c r="S52" i="115"/>
  <c r="O91" i="115"/>
  <c r="P91" i="115" s="1"/>
  <c r="S91" i="115"/>
  <c r="O12" i="115"/>
  <c r="P12" i="115" s="1"/>
  <c r="S12" i="115"/>
  <c r="O292" i="115"/>
  <c r="P292" i="115" s="1"/>
  <c r="S292" i="115"/>
  <c r="O250" i="115"/>
  <c r="P250" i="115" s="1"/>
  <c r="S250" i="115"/>
  <c r="O216" i="115"/>
  <c r="P216" i="115" s="1"/>
  <c r="S216" i="115"/>
  <c r="O218" i="115"/>
  <c r="P218" i="115" s="1"/>
  <c r="S218" i="115"/>
  <c r="O186" i="115"/>
  <c r="P186" i="115" s="1"/>
  <c r="S186" i="115"/>
  <c r="O217" i="115"/>
  <c r="P217" i="115" s="1"/>
  <c r="S217" i="115"/>
  <c r="O151" i="115"/>
  <c r="P151" i="115" s="1"/>
  <c r="S151" i="115"/>
  <c r="O155" i="115"/>
  <c r="P155" i="115" s="1"/>
  <c r="S155" i="115"/>
  <c r="O107" i="115"/>
  <c r="P107" i="115" s="1"/>
  <c r="S107" i="115"/>
  <c r="O18" i="115"/>
  <c r="P18" i="115" s="1"/>
  <c r="S18" i="115"/>
  <c r="O85" i="115"/>
  <c r="P85" i="115" s="1"/>
  <c r="S85" i="115"/>
  <c r="O146" i="115"/>
  <c r="P146" i="115" s="1"/>
  <c r="S146" i="115"/>
  <c r="O54" i="115"/>
  <c r="P54" i="115" s="1"/>
  <c r="S54" i="115"/>
  <c r="O221" i="115"/>
  <c r="P221" i="115" s="1"/>
  <c r="S221" i="115"/>
  <c r="O92" i="115"/>
  <c r="P92" i="115" s="1"/>
  <c r="S92" i="115"/>
  <c r="O51" i="115"/>
  <c r="P51" i="115" s="1"/>
  <c r="S51" i="115"/>
  <c r="O55" i="115"/>
  <c r="P55" i="115" s="1"/>
  <c r="S55" i="115"/>
  <c r="O83" i="115"/>
  <c r="P83" i="115" s="1"/>
  <c r="S83" i="115"/>
  <c r="O152" i="115"/>
  <c r="P152" i="115" s="1"/>
  <c r="S152" i="115"/>
  <c r="O291" i="115"/>
  <c r="P291" i="115" s="1"/>
  <c r="S291" i="115"/>
  <c r="O253" i="115"/>
  <c r="P253" i="115" s="1"/>
  <c r="S253" i="115"/>
  <c r="O267" i="115"/>
  <c r="P267" i="115" s="1"/>
  <c r="S267" i="115"/>
  <c r="O173" i="115"/>
  <c r="P173" i="115" s="1"/>
  <c r="S173" i="115"/>
  <c r="O141" i="115"/>
  <c r="P141" i="115" s="1"/>
  <c r="S141" i="115"/>
  <c r="O113" i="115"/>
  <c r="P113" i="115" s="1"/>
  <c r="S113" i="115"/>
  <c r="O148" i="115"/>
  <c r="P148" i="115" s="1"/>
  <c r="S148" i="115"/>
  <c r="O48" i="115"/>
  <c r="P48" i="115" s="1"/>
  <c r="S48" i="115"/>
  <c r="O196" i="115"/>
  <c r="P196" i="115" s="1"/>
  <c r="S196" i="115"/>
  <c r="O293" i="115"/>
  <c r="P293" i="115" s="1"/>
  <c r="S293" i="115"/>
  <c r="O245" i="115"/>
  <c r="P245" i="115" s="1"/>
  <c r="S245" i="115"/>
  <c r="O255" i="115"/>
  <c r="P255" i="115" s="1"/>
  <c r="S255" i="115"/>
  <c r="O167" i="115"/>
  <c r="P167" i="115" s="1"/>
  <c r="S167" i="115"/>
  <c r="O101" i="115"/>
  <c r="P101" i="115" s="1"/>
  <c r="S101" i="115"/>
  <c r="O82" i="115"/>
  <c r="P82" i="115" s="1"/>
  <c r="S82" i="115"/>
  <c r="O30" i="115"/>
  <c r="P30" i="115" s="1"/>
  <c r="S30" i="115"/>
  <c r="O39" i="115"/>
  <c r="P39" i="115" s="1"/>
  <c r="S39" i="115"/>
  <c r="O276" i="115"/>
  <c r="P276" i="115" s="1"/>
  <c r="S276" i="115"/>
  <c r="O153" i="115"/>
  <c r="P153" i="115" s="1"/>
  <c r="S153" i="115"/>
  <c r="O131" i="115"/>
  <c r="P131" i="115" s="1"/>
  <c r="S131" i="115"/>
  <c r="O129" i="115"/>
  <c r="P129" i="115" s="1"/>
  <c r="S129" i="115"/>
  <c r="O13" i="115"/>
  <c r="P13" i="115" s="1"/>
  <c r="S13" i="115"/>
  <c r="O61" i="115"/>
  <c r="P61" i="115" s="1"/>
  <c r="S61" i="115"/>
  <c r="O59" i="115"/>
  <c r="P59" i="115" s="1"/>
  <c r="S59" i="115"/>
  <c r="O256" i="115"/>
  <c r="P256" i="115" s="1"/>
  <c r="S256" i="115"/>
  <c r="O202" i="115"/>
  <c r="P202" i="115" s="1"/>
  <c r="S202" i="115"/>
  <c r="O192" i="115"/>
  <c r="P192" i="115" s="1"/>
  <c r="S192" i="115"/>
  <c r="O142" i="115"/>
  <c r="P142" i="115" s="1"/>
  <c r="S142" i="115"/>
  <c r="O145" i="115"/>
  <c r="P145" i="115" s="1"/>
  <c r="S145" i="115"/>
  <c r="O115" i="115"/>
  <c r="P115" i="115" s="1"/>
  <c r="S115" i="115"/>
  <c r="O38" i="115"/>
  <c r="P38" i="115" s="1"/>
  <c r="S38" i="115"/>
  <c r="O172" i="115"/>
  <c r="P172" i="115" s="1"/>
  <c r="S172" i="115"/>
  <c r="O60" i="115"/>
  <c r="P60" i="115" s="1"/>
  <c r="S60" i="115"/>
  <c r="O23" i="115"/>
  <c r="P23" i="115" s="1"/>
  <c r="S23" i="115"/>
  <c r="O108" i="115"/>
  <c r="P108" i="115" s="1"/>
  <c r="S108" i="115"/>
  <c r="O199" i="115"/>
  <c r="P199" i="115" s="1"/>
  <c r="S199" i="115"/>
  <c r="O268" i="115"/>
  <c r="P268" i="115" s="1"/>
  <c r="S268" i="115"/>
  <c r="O174" i="115"/>
  <c r="P174" i="115" s="1"/>
  <c r="S174" i="115"/>
  <c r="O163" i="115"/>
  <c r="P163" i="115" s="1"/>
  <c r="S163" i="115"/>
  <c r="O213" i="115"/>
  <c r="P213" i="115" s="1"/>
  <c r="S213" i="115"/>
  <c r="O197" i="115"/>
  <c r="P197" i="115" s="1"/>
  <c r="S197" i="115"/>
  <c r="O126" i="115"/>
  <c r="P126" i="115" s="1"/>
  <c r="S126" i="115"/>
  <c r="O65" i="115"/>
  <c r="P65" i="115" s="1"/>
  <c r="S65" i="115"/>
  <c r="O177" i="115"/>
  <c r="P177" i="115" s="1"/>
  <c r="S177" i="115"/>
  <c r="O84" i="115"/>
  <c r="P84" i="115" s="1"/>
  <c r="S84" i="115"/>
  <c r="O86" i="115"/>
  <c r="P86" i="115" s="1"/>
  <c r="S86" i="115"/>
  <c r="O21" i="115"/>
  <c r="P21" i="115" s="1"/>
  <c r="S21" i="115"/>
  <c r="O90" i="115"/>
  <c r="P90" i="115" s="1"/>
  <c r="S90" i="115"/>
  <c r="O56" i="115"/>
  <c r="P56" i="115" s="1"/>
  <c r="S56" i="115"/>
  <c r="O47" i="115"/>
  <c r="P47" i="115" s="1"/>
  <c r="S47" i="115"/>
  <c r="O36" i="115"/>
  <c r="P36" i="115" s="1"/>
  <c r="S36" i="115"/>
  <c r="O252" i="115"/>
  <c r="P252" i="115" s="1"/>
  <c r="S252" i="115"/>
  <c r="O183" i="115"/>
  <c r="P183" i="115" s="1"/>
  <c r="S183" i="115"/>
  <c r="O264" i="115"/>
  <c r="P264" i="115" s="1"/>
  <c r="S264" i="115"/>
  <c r="O277" i="115"/>
  <c r="P277" i="115" s="1"/>
  <c r="S277" i="115"/>
  <c r="O281" i="115"/>
  <c r="P281" i="115" s="1"/>
  <c r="S281" i="115"/>
  <c r="O234" i="115"/>
  <c r="P234" i="115" s="1"/>
  <c r="S234" i="115"/>
  <c r="O247" i="115"/>
  <c r="P247" i="115" s="1"/>
  <c r="S247" i="115"/>
  <c r="O220" i="115"/>
  <c r="P220" i="115" s="1"/>
  <c r="S220" i="115"/>
  <c r="O204" i="115"/>
  <c r="P204" i="115" s="1"/>
  <c r="S204" i="115"/>
  <c r="O254" i="115"/>
  <c r="P254" i="115" s="1"/>
  <c r="S254" i="115"/>
  <c r="O154" i="115"/>
  <c r="P154" i="115" s="1"/>
  <c r="S154" i="115"/>
  <c r="O158" i="115"/>
  <c r="P158" i="115" s="1"/>
  <c r="S158" i="115"/>
  <c r="O64" i="115"/>
  <c r="P64" i="115" s="1"/>
  <c r="S64" i="115"/>
  <c r="O176" i="115"/>
  <c r="P176" i="115" s="1"/>
  <c r="S176" i="115"/>
  <c r="O69" i="115"/>
  <c r="P69" i="115" s="1"/>
  <c r="S69" i="115"/>
  <c r="O100" i="115"/>
  <c r="P100" i="115" s="1"/>
  <c r="S100" i="115"/>
  <c r="O14" i="115"/>
  <c r="P14" i="115" s="1"/>
  <c r="S14" i="115"/>
  <c r="O130" i="115"/>
  <c r="P130" i="115" s="1"/>
  <c r="S130" i="115"/>
  <c r="O180" i="115"/>
  <c r="P180" i="115" s="1"/>
  <c r="S180" i="115"/>
  <c r="O71" i="115"/>
  <c r="P71" i="115" s="1"/>
  <c r="S71" i="115"/>
  <c r="O214" i="115"/>
  <c r="P214" i="115" s="1"/>
  <c r="S214" i="115"/>
  <c r="O134" i="115"/>
  <c r="P134" i="115" s="1"/>
  <c r="S134" i="115"/>
  <c r="O122" i="115"/>
  <c r="P122" i="115" s="1"/>
  <c r="S122" i="115"/>
  <c r="O157" i="115"/>
  <c r="P157" i="115" s="1"/>
  <c r="S157" i="115"/>
  <c r="O117" i="115"/>
  <c r="P117" i="115" s="1"/>
  <c r="S117" i="115"/>
  <c r="O41" i="115"/>
  <c r="P41" i="115" s="1"/>
  <c r="S41" i="115"/>
  <c r="O97" i="115"/>
  <c r="P97" i="115" s="1"/>
  <c r="S97" i="115"/>
  <c r="O116" i="115"/>
  <c r="P116" i="115" s="1"/>
  <c r="S116" i="115"/>
  <c r="O57" i="115"/>
  <c r="P57" i="115" s="1"/>
  <c r="S57" i="115"/>
  <c r="O224" i="115"/>
  <c r="P224" i="115" s="1"/>
  <c r="S224" i="115"/>
  <c r="O105" i="115"/>
  <c r="P105" i="115" s="1"/>
  <c r="S105" i="115"/>
  <c r="O95" i="115"/>
  <c r="P95" i="115" s="1"/>
  <c r="S95" i="115"/>
  <c r="O27" i="115"/>
  <c r="P27" i="115" s="1"/>
  <c r="S27" i="115"/>
  <c r="O230" i="115"/>
  <c r="P230" i="115" s="1"/>
  <c r="S230" i="115"/>
  <c r="O299" i="115"/>
  <c r="P299" i="115" s="1"/>
  <c r="S299" i="115"/>
  <c r="O260" i="115"/>
  <c r="P260" i="115" s="1"/>
  <c r="S260" i="115"/>
  <c r="O182" i="115"/>
  <c r="P182" i="115" s="1"/>
  <c r="S182" i="115"/>
  <c r="O272" i="115"/>
  <c r="P272" i="115" s="1"/>
  <c r="S272" i="115"/>
  <c r="O133" i="115"/>
  <c r="P133" i="115" s="1"/>
  <c r="S133" i="115"/>
  <c r="O187" i="115"/>
  <c r="P187" i="115" s="1"/>
  <c r="S187" i="115"/>
  <c r="O257" i="115"/>
  <c r="P257" i="115" s="1"/>
  <c r="S257" i="115"/>
  <c r="O210" i="115"/>
  <c r="P210" i="115" s="1"/>
  <c r="S210" i="115"/>
  <c r="O50" i="115"/>
  <c r="P50" i="115" s="1"/>
  <c r="S50" i="115"/>
  <c r="O128" i="115"/>
  <c r="P128" i="115" s="1"/>
  <c r="S128" i="115"/>
  <c r="O232" i="115"/>
  <c r="P232" i="115" s="1"/>
  <c r="S232" i="115"/>
  <c r="O98" i="115"/>
  <c r="P98" i="115" s="1"/>
  <c r="S98" i="115"/>
  <c r="O22" i="115"/>
  <c r="P22" i="115" s="1"/>
  <c r="S22" i="115"/>
  <c r="O120" i="115"/>
  <c r="P120" i="115" s="1"/>
  <c r="S120" i="115"/>
  <c r="O31" i="115"/>
  <c r="P31" i="115" s="1"/>
  <c r="S31" i="115"/>
  <c r="O7" i="115"/>
  <c r="P7" i="115" s="1"/>
  <c r="S7" i="115"/>
  <c r="O20" i="115"/>
  <c r="P20" i="115" s="1"/>
  <c r="S20" i="115"/>
  <c r="O124" i="115"/>
  <c r="P124" i="115" s="1"/>
  <c r="S124" i="115"/>
  <c r="O193" i="115"/>
  <c r="P193" i="115" s="1"/>
  <c r="S193" i="115"/>
  <c r="J301" i="115"/>
  <c r="L301" i="115"/>
  <c r="O4" i="115"/>
  <c r="P4" i="115" s="1"/>
  <c r="T4" i="115" l="1" a="1"/>
  <c r="T4" i="115" s="1"/>
  <c r="G158" i="6"/>
  <c r="B11" i="74"/>
  <c r="B10" i="74"/>
  <c r="B524" i="74" l="1"/>
  <c r="B523" i="74"/>
  <c r="B399" i="74"/>
  <c r="B398" i="74"/>
  <c r="B274" i="74"/>
  <c r="B273" i="74"/>
  <c r="B525" i="74"/>
  <c r="M147" i="6"/>
  <c r="B400" i="74" s="1"/>
  <c r="Y65" i="6"/>
  <c r="B453" i="74" s="1"/>
  <c r="M65" i="6"/>
  <c r="B328" i="74" s="1"/>
  <c r="AB147" i="6" l="1"/>
  <c r="AF147" i="6" s="1"/>
  <c r="AB65" i="6"/>
  <c r="B203" i="74" s="1"/>
  <c r="K16" i="1"/>
  <c r="H51" i="23" s="1"/>
  <c r="K15" i="1"/>
  <c r="H31" i="23" l="1"/>
  <c r="H38" i="23"/>
  <c r="H41" i="23"/>
  <c r="D51" i="24"/>
  <c r="B1312" i="74" s="1"/>
  <c r="H44" i="23"/>
  <c r="K44" i="1"/>
  <c r="B13" i="74"/>
  <c r="B12" i="74"/>
  <c r="J7" i="23"/>
  <c r="B570" i="74" s="1"/>
  <c r="D25" i="24"/>
  <c r="B1295" i="74" s="1"/>
  <c r="U45" i="24"/>
  <c r="B1316" i="74" s="1"/>
  <c r="R48" i="30"/>
  <c r="B1436" i="74" s="1"/>
  <c r="D43" i="24"/>
  <c r="R38" i="23"/>
  <c r="U43" i="24"/>
  <c r="U42" i="24"/>
  <c r="B1313" i="74" s="1"/>
  <c r="R46" i="23"/>
  <c r="U46" i="24"/>
  <c r="B1317" i="74" s="1"/>
  <c r="U44" i="24"/>
  <c r="B1315" i="74" s="1"/>
  <c r="R44" i="23"/>
  <c r="R41" i="23"/>
  <c r="H46" i="23"/>
  <c r="D20" i="30"/>
  <c r="B1415" i="74" s="1"/>
  <c r="D22" i="24"/>
  <c r="B1292" i="74" s="1"/>
  <c r="D19" i="24"/>
  <c r="B1291" i="74" s="1"/>
  <c r="H69" i="23"/>
  <c r="D30" i="30"/>
  <c r="B1423" i="74" s="1"/>
  <c r="B275" i="74"/>
  <c r="AF65" i="6"/>
  <c r="J6" i="12"/>
  <c r="J301" i="12"/>
  <c r="J300" i="12"/>
  <c r="J299" i="12"/>
  <c r="J298" i="12"/>
  <c r="J297" i="12"/>
  <c r="J296" i="12"/>
  <c r="J295" i="12"/>
  <c r="J294" i="12"/>
  <c r="J293" i="12"/>
  <c r="J292" i="12"/>
  <c r="J291" i="12"/>
  <c r="J290" i="12"/>
  <c r="J289" i="12"/>
  <c r="J288" i="12"/>
  <c r="J287" i="12"/>
  <c r="J286" i="12"/>
  <c r="J285" i="12"/>
  <c r="J284" i="12"/>
  <c r="J283" i="12"/>
  <c r="J282" i="12"/>
  <c r="J281" i="12"/>
  <c r="J280" i="12"/>
  <c r="J279" i="12"/>
  <c r="J278" i="12"/>
  <c r="J277" i="12"/>
  <c r="J276" i="12"/>
  <c r="J275" i="12"/>
  <c r="J274" i="12"/>
  <c r="J273" i="12"/>
  <c r="J272" i="12"/>
  <c r="J271" i="12"/>
  <c r="J270" i="12"/>
  <c r="J269" i="12"/>
  <c r="J268" i="12"/>
  <c r="J267" i="12"/>
  <c r="J266" i="12"/>
  <c r="J265" i="12"/>
  <c r="J264" i="12"/>
  <c r="J263" i="12"/>
  <c r="J262" i="12"/>
  <c r="J261" i="12"/>
  <c r="J260" i="12"/>
  <c r="J259" i="12"/>
  <c r="J258" i="12"/>
  <c r="J257" i="12"/>
  <c r="J256" i="12"/>
  <c r="J255" i="12"/>
  <c r="J254" i="12"/>
  <c r="J253" i="12"/>
  <c r="J252" i="12"/>
  <c r="J251" i="12"/>
  <c r="J250" i="12"/>
  <c r="J249" i="12"/>
  <c r="J248" i="12"/>
  <c r="J247" i="12"/>
  <c r="J246" i="12"/>
  <c r="J245" i="12"/>
  <c r="J244" i="12"/>
  <c r="J243" i="12"/>
  <c r="J242" i="12"/>
  <c r="J241" i="12"/>
  <c r="J240" i="12"/>
  <c r="J239" i="12"/>
  <c r="J238" i="12"/>
  <c r="J237" i="12"/>
  <c r="J236" i="12"/>
  <c r="J235" i="12"/>
  <c r="J234" i="12"/>
  <c r="J233" i="12"/>
  <c r="J232" i="12"/>
  <c r="J231" i="12"/>
  <c r="J230" i="12"/>
  <c r="J229" i="12"/>
  <c r="J228" i="12"/>
  <c r="J227" i="12"/>
  <c r="J22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202" i="12"/>
  <c r="J201" i="12"/>
  <c r="J200" i="12"/>
  <c r="J199" i="12"/>
  <c r="J198" i="12"/>
  <c r="J197" i="12"/>
  <c r="J196" i="12"/>
  <c r="J195" i="12"/>
  <c r="J194" i="12"/>
  <c r="J193" i="12"/>
  <c r="J192" i="12"/>
  <c r="J191" i="12"/>
  <c r="J190" i="12"/>
  <c r="J189" i="12"/>
  <c r="J188" i="12"/>
  <c r="J187" i="12"/>
  <c r="J186" i="12"/>
  <c r="J185" i="12"/>
  <c r="J184" i="12"/>
  <c r="J183" i="12"/>
  <c r="J18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57" i="12"/>
  <c r="J156" i="12"/>
  <c r="J155" i="12"/>
  <c r="J154" i="12"/>
  <c r="J153" i="12"/>
  <c r="J152" i="12"/>
  <c r="J151" i="12"/>
  <c r="J150" i="12"/>
  <c r="J149" i="12"/>
  <c r="J148" i="12"/>
  <c r="J147" i="12"/>
  <c r="J146" i="12"/>
  <c r="J145" i="12"/>
  <c r="J144" i="12"/>
  <c r="J143" i="12"/>
  <c r="J142" i="12"/>
  <c r="J141" i="12"/>
  <c r="J140" i="12"/>
  <c r="J13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106" i="12"/>
  <c r="J105" i="12"/>
  <c r="J104" i="12"/>
  <c r="J103" i="12"/>
  <c r="J102" i="12"/>
  <c r="J101" i="12"/>
  <c r="J100" i="12"/>
  <c r="J99" i="12"/>
  <c r="J98" i="12"/>
  <c r="J97" i="12"/>
  <c r="J96"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J61" i="12"/>
  <c r="J60" i="12"/>
  <c r="J59" i="12"/>
  <c r="J58" i="12"/>
  <c r="J57" i="12"/>
  <c r="J56" i="12"/>
  <c r="J55" i="12"/>
  <c r="J54" i="12"/>
  <c r="J53" i="12"/>
  <c r="J52" i="12"/>
  <c r="J51" i="12"/>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18" i="12"/>
  <c r="J17" i="12"/>
  <c r="J16" i="12"/>
  <c r="J15" i="12"/>
  <c r="J14" i="12"/>
  <c r="J13" i="12"/>
  <c r="J12" i="12"/>
  <c r="J11" i="12"/>
  <c r="J10" i="12"/>
  <c r="J9" i="12"/>
  <c r="J8" i="12"/>
  <c r="J7" i="12"/>
  <c r="B27" i="52"/>
  <c r="B28" i="52"/>
  <c r="B29" i="52"/>
  <c r="B30" i="52"/>
  <c r="B31" i="52"/>
  <c r="B32" i="52"/>
  <c r="B33" i="52"/>
  <c r="B34" i="52"/>
  <c r="B35" i="52"/>
  <c r="B36" i="52"/>
  <c r="B37" i="52"/>
  <c r="B38" i="52"/>
  <c r="B39" i="52"/>
  <c r="B40" i="52"/>
  <c r="B41" i="52"/>
  <c r="B42" i="52"/>
  <c r="B43" i="52"/>
  <c r="B44" i="52"/>
  <c r="B45" i="52"/>
  <c r="B46" i="52"/>
  <c r="B47" i="52"/>
  <c r="B48" i="52"/>
  <c r="B49" i="52"/>
  <c r="B50" i="52"/>
  <c r="B51" i="52"/>
  <c r="B52" i="52"/>
  <c r="B53" i="52"/>
  <c r="B54" i="52"/>
  <c r="B55" i="52"/>
  <c r="B56" i="52"/>
  <c r="B57" i="52"/>
  <c r="B58" i="52"/>
  <c r="B59" i="52"/>
  <c r="B60" i="52"/>
  <c r="B61" i="52"/>
  <c r="B62" i="52"/>
  <c r="B63" i="52"/>
  <c r="B64" i="52"/>
  <c r="B65" i="52"/>
  <c r="B66" i="52"/>
  <c r="B67" i="52"/>
  <c r="B68" i="52"/>
  <c r="B69" i="52"/>
  <c r="B70" i="52"/>
  <c r="B71" i="52"/>
  <c r="B72" i="52"/>
  <c r="B73" i="52"/>
  <c r="B74" i="52"/>
  <c r="B75" i="52"/>
  <c r="B76" i="52"/>
  <c r="B77" i="52"/>
  <c r="B78" i="52"/>
  <c r="B79" i="52"/>
  <c r="B80" i="52"/>
  <c r="B81" i="52"/>
  <c r="B82" i="52"/>
  <c r="B83" i="52"/>
  <c r="B84" i="52"/>
  <c r="B85" i="52"/>
  <c r="B86" i="52"/>
  <c r="B87" i="52"/>
  <c r="B88" i="52"/>
  <c r="B89" i="52"/>
  <c r="B90" i="52"/>
  <c r="B91" i="52"/>
  <c r="B92" i="52"/>
  <c r="B93" i="52"/>
  <c r="B94" i="52"/>
  <c r="B95" i="52"/>
  <c r="B96" i="52"/>
  <c r="B97" i="52"/>
  <c r="B98" i="52"/>
  <c r="B99" i="52"/>
  <c r="B100" i="52"/>
  <c r="B101" i="52"/>
  <c r="B102" i="52"/>
  <c r="B103" i="52"/>
  <c r="B104" i="52"/>
  <c r="B105" i="52"/>
  <c r="B106" i="52"/>
  <c r="B107" i="52"/>
  <c r="B108" i="52"/>
  <c r="B109" i="52"/>
  <c r="B110" i="52"/>
  <c r="B111" i="52"/>
  <c r="B112" i="52"/>
  <c r="B113" i="52"/>
  <c r="B114" i="52"/>
  <c r="B115" i="52"/>
  <c r="B116" i="52"/>
  <c r="B117" i="52"/>
  <c r="B118" i="52"/>
  <c r="B119" i="52"/>
  <c r="B120" i="52"/>
  <c r="B121" i="52"/>
  <c r="B122" i="52"/>
  <c r="B123" i="52"/>
  <c r="B124" i="52"/>
  <c r="B125" i="52"/>
  <c r="B126" i="52"/>
  <c r="B127" i="52"/>
  <c r="B128" i="52"/>
  <c r="B129" i="52"/>
  <c r="B130" i="52"/>
  <c r="B131" i="52"/>
  <c r="B132" i="52"/>
  <c r="B133" i="52"/>
  <c r="B134" i="52"/>
  <c r="B135" i="52"/>
  <c r="B136" i="52"/>
  <c r="B137" i="52"/>
  <c r="B138" i="52"/>
  <c r="B139" i="52"/>
  <c r="B140" i="52"/>
  <c r="B141" i="52"/>
  <c r="B142" i="52"/>
  <c r="B143" i="52"/>
  <c r="B144" i="52"/>
  <c r="B145" i="52"/>
  <c r="B146" i="52"/>
  <c r="B147" i="52"/>
  <c r="B148" i="52"/>
  <c r="B149" i="52"/>
  <c r="B150" i="52"/>
  <c r="B151" i="52"/>
  <c r="B152" i="52"/>
  <c r="B153" i="52"/>
  <c r="B154" i="52"/>
  <c r="B155" i="52"/>
  <c r="B156" i="52"/>
  <c r="B157" i="52"/>
  <c r="B158" i="52"/>
  <c r="B159" i="52"/>
  <c r="B160" i="52"/>
  <c r="B161" i="52"/>
  <c r="B162" i="52"/>
  <c r="B163" i="52"/>
  <c r="B164" i="52"/>
  <c r="B165" i="52"/>
  <c r="B166" i="52"/>
  <c r="B167" i="52"/>
  <c r="B168" i="52"/>
  <c r="B169" i="52"/>
  <c r="B170" i="52"/>
  <c r="B171" i="52"/>
  <c r="B172" i="52"/>
  <c r="B173" i="52"/>
  <c r="B174" i="52"/>
  <c r="B175" i="52"/>
  <c r="B176" i="52"/>
  <c r="B177" i="52"/>
  <c r="B178" i="52"/>
  <c r="B179" i="52"/>
  <c r="B180" i="52"/>
  <c r="B181" i="52"/>
  <c r="B182" i="52"/>
  <c r="B183" i="52"/>
  <c r="B184" i="52"/>
  <c r="B185" i="52"/>
  <c r="B186" i="52"/>
  <c r="B187" i="52"/>
  <c r="B188" i="52"/>
  <c r="B189" i="52"/>
  <c r="B190" i="52"/>
  <c r="B191" i="52"/>
  <c r="B192" i="52"/>
  <c r="B193" i="52"/>
  <c r="B194" i="52"/>
  <c r="B195" i="52"/>
  <c r="B196" i="52"/>
  <c r="B197" i="52"/>
  <c r="B198" i="52"/>
  <c r="B199" i="52"/>
  <c r="B200" i="52"/>
  <c r="B201" i="52"/>
  <c r="B202" i="52"/>
  <c r="B203" i="52"/>
  <c r="B204" i="52"/>
  <c r="B205" i="52"/>
  <c r="B206" i="52"/>
  <c r="B207" i="52"/>
  <c r="B208" i="52"/>
  <c r="B209" i="52"/>
  <c r="B210" i="52"/>
  <c r="B211" i="52"/>
  <c r="B212" i="52"/>
  <c r="B213" i="52"/>
  <c r="B214" i="52"/>
  <c r="B215" i="52"/>
  <c r="B216" i="52"/>
  <c r="B217" i="52"/>
  <c r="B218" i="52"/>
  <c r="B219" i="52"/>
  <c r="B220" i="52"/>
  <c r="B221" i="52"/>
  <c r="B222" i="52"/>
  <c r="B223" i="52"/>
  <c r="B224" i="52"/>
  <c r="B225" i="52"/>
  <c r="B226" i="52"/>
  <c r="B227" i="52"/>
  <c r="B228" i="52"/>
  <c r="B229" i="52"/>
  <c r="B230" i="52"/>
  <c r="B231" i="52"/>
  <c r="B232" i="52"/>
  <c r="B233" i="52"/>
  <c r="B234" i="52"/>
  <c r="B235" i="52"/>
  <c r="B236" i="52"/>
  <c r="B237" i="52"/>
  <c r="B238" i="52"/>
  <c r="B239" i="52"/>
  <c r="B240" i="52"/>
  <c r="B241" i="52"/>
  <c r="B242" i="52"/>
  <c r="B243" i="52"/>
  <c r="B244" i="52"/>
  <c r="B245" i="52"/>
  <c r="B246" i="52"/>
  <c r="B247" i="52"/>
  <c r="B248" i="52"/>
  <c r="B249" i="52"/>
  <c r="B250" i="52"/>
  <c r="B251" i="52"/>
  <c r="B252" i="52"/>
  <c r="B253" i="52"/>
  <c r="B254" i="52"/>
  <c r="B255" i="52"/>
  <c r="B256" i="52"/>
  <c r="B257" i="52"/>
  <c r="B258" i="52"/>
  <c r="B259" i="52"/>
  <c r="B260" i="52"/>
  <c r="B261" i="52"/>
  <c r="B262" i="52"/>
  <c r="B263" i="52"/>
  <c r="B264" i="52"/>
  <c r="B265" i="52"/>
  <c r="B266" i="52"/>
  <c r="B267" i="52"/>
  <c r="B268" i="52"/>
  <c r="B269" i="52"/>
  <c r="B270" i="52"/>
  <c r="B271" i="52"/>
  <c r="B272" i="52"/>
  <c r="B273" i="52"/>
  <c r="B274" i="52"/>
  <c r="B275" i="52"/>
  <c r="B276" i="52"/>
  <c r="B277" i="52"/>
  <c r="B278" i="52"/>
  <c r="B279" i="52"/>
  <c r="B280" i="52"/>
  <c r="B281" i="52"/>
  <c r="B282" i="52"/>
  <c r="B283" i="52"/>
  <c r="B284" i="52"/>
  <c r="B285" i="52"/>
  <c r="B286" i="52"/>
  <c r="B287" i="52"/>
  <c r="B288" i="52"/>
  <c r="B289" i="52"/>
  <c r="B290" i="52"/>
  <c r="B291" i="52"/>
  <c r="B292" i="52"/>
  <c r="B293" i="52"/>
  <c r="B294" i="52"/>
  <c r="B295" i="52"/>
  <c r="B296" i="52"/>
  <c r="B297" i="52"/>
  <c r="B298" i="52"/>
  <c r="B299" i="52"/>
  <c r="B300" i="52"/>
  <c r="B301" i="52"/>
  <c r="B302" i="52"/>
  <c r="B303" i="52"/>
  <c r="B304" i="52"/>
  <c r="B305" i="52"/>
  <c r="B306" i="52"/>
  <c r="B307" i="52"/>
  <c r="B308" i="52"/>
  <c r="B309" i="52"/>
  <c r="B310" i="52"/>
  <c r="B311" i="52"/>
  <c r="B312" i="52"/>
  <c r="B313" i="52"/>
  <c r="B314" i="52"/>
  <c r="B315" i="52"/>
  <c r="B316" i="52"/>
  <c r="B317" i="52"/>
  <c r="B318" i="52"/>
  <c r="B319" i="52"/>
  <c r="B320" i="52"/>
  <c r="B321" i="52"/>
  <c r="B322" i="52"/>
  <c r="B323" i="52"/>
  <c r="B324" i="52"/>
  <c r="B325" i="52"/>
  <c r="B326" i="52"/>
  <c r="B327" i="52"/>
  <c r="B328" i="52"/>
  <c r="B329" i="52"/>
  <c r="B330" i="52"/>
  <c r="B331" i="52"/>
  <c r="B332" i="52"/>
  <c r="B333" i="52"/>
  <c r="B334" i="52"/>
  <c r="B335" i="52"/>
  <c r="B336" i="52"/>
  <c r="B337" i="52"/>
  <c r="B338" i="52"/>
  <c r="B339" i="52"/>
  <c r="B340" i="52"/>
  <c r="B341" i="52"/>
  <c r="B342" i="52"/>
  <c r="B343" i="52"/>
  <c r="B344" i="52"/>
  <c r="B345" i="52"/>
  <c r="B346" i="52"/>
  <c r="B347" i="52"/>
  <c r="B348" i="52"/>
  <c r="B349" i="52"/>
  <c r="B350" i="52"/>
  <c r="B351" i="52"/>
  <c r="B352" i="52"/>
  <c r="B353" i="52"/>
  <c r="B354" i="52"/>
  <c r="B355" i="52"/>
  <c r="B356" i="52"/>
  <c r="B357" i="52"/>
  <c r="B358" i="52"/>
  <c r="B359" i="52"/>
  <c r="B360" i="52"/>
  <c r="B361" i="52"/>
  <c r="B362" i="52"/>
  <c r="B363" i="52"/>
  <c r="B364" i="52"/>
  <c r="B365" i="52"/>
  <c r="B366" i="52"/>
  <c r="B367" i="52"/>
  <c r="B368" i="52"/>
  <c r="B369" i="52"/>
  <c r="B370" i="52"/>
  <c r="B371" i="52"/>
  <c r="B372" i="52"/>
  <c r="B373" i="52"/>
  <c r="B374" i="52"/>
  <c r="B375" i="52"/>
  <c r="B376" i="52"/>
  <c r="B377" i="52"/>
  <c r="B378" i="52"/>
  <c r="B379" i="52"/>
  <c r="B380" i="52"/>
  <c r="B381" i="52"/>
  <c r="B382" i="52"/>
  <c r="B383" i="52"/>
  <c r="B384" i="52"/>
  <c r="B385" i="52"/>
  <c r="B386" i="52"/>
  <c r="B387" i="52"/>
  <c r="B388" i="52"/>
  <c r="B389" i="52"/>
  <c r="B390" i="52"/>
  <c r="B391" i="52"/>
  <c r="B392" i="52"/>
  <c r="B393" i="52"/>
  <c r="B394" i="52"/>
  <c r="B395" i="52"/>
  <c r="B396" i="52"/>
  <c r="B397" i="52"/>
  <c r="B398" i="52"/>
  <c r="B399" i="52"/>
  <c r="B400" i="52"/>
  <c r="B401" i="52"/>
  <c r="B402" i="52"/>
  <c r="B403" i="52"/>
  <c r="B404" i="52"/>
  <c r="B405" i="52"/>
  <c r="B406" i="52"/>
  <c r="B407" i="52"/>
  <c r="B408" i="52"/>
  <c r="B409" i="52"/>
  <c r="B410" i="52"/>
  <c r="B411" i="52"/>
  <c r="B412" i="52"/>
  <c r="B413" i="52"/>
  <c r="B414" i="52"/>
  <c r="B415" i="52"/>
  <c r="B416" i="52"/>
  <c r="B417" i="52"/>
  <c r="B418" i="52"/>
  <c r="B419" i="52"/>
  <c r="B420" i="52"/>
  <c r="B421" i="52"/>
  <c r="B422" i="52"/>
  <c r="B423" i="52"/>
  <c r="B424" i="52"/>
  <c r="B425" i="52"/>
  <c r="B426" i="52"/>
  <c r="B427" i="52"/>
  <c r="B428" i="52"/>
  <c r="B429" i="52"/>
  <c r="B430" i="52"/>
  <c r="B431" i="52"/>
  <c r="B432" i="52"/>
  <c r="B433" i="52"/>
  <c r="B434" i="52"/>
  <c r="B435" i="52"/>
  <c r="B436" i="52"/>
  <c r="B437" i="52"/>
  <c r="B438" i="52"/>
  <c r="B439" i="52"/>
  <c r="B440" i="52"/>
  <c r="B441" i="52"/>
  <c r="B442" i="52"/>
  <c r="B443" i="52"/>
  <c r="B444" i="52"/>
  <c r="B445" i="52"/>
  <c r="B446" i="52"/>
  <c r="B447" i="52"/>
  <c r="B448" i="52"/>
  <c r="B449" i="52"/>
  <c r="B450" i="52"/>
  <c r="B451" i="52"/>
  <c r="B452" i="52"/>
  <c r="B453" i="52"/>
  <c r="B454" i="52"/>
  <c r="B455" i="52"/>
  <c r="B456" i="52"/>
  <c r="B457" i="52"/>
  <c r="B458" i="52"/>
  <c r="B22" i="52"/>
  <c r="B23" i="52"/>
  <c r="B24" i="52"/>
  <c r="B25" i="52"/>
  <c r="B26" i="52"/>
  <c r="B15" i="52"/>
  <c r="B16" i="52"/>
  <c r="B17" i="52"/>
  <c r="B18" i="52"/>
  <c r="B19" i="52"/>
  <c r="B20" i="52"/>
  <c r="B21" i="52"/>
  <c r="B5" i="52"/>
  <c r="B6" i="52"/>
  <c r="B7" i="52"/>
  <c r="B8" i="52"/>
  <c r="B9" i="52"/>
  <c r="B10" i="52"/>
  <c r="B11" i="52"/>
  <c r="B12" i="52"/>
  <c r="B13" i="52"/>
  <c r="B14" i="52"/>
  <c r="B4" i="52"/>
  <c r="Q38" i="23" l="1"/>
  <c r="J11" i="23"/>
  <c r="E47" i="24" s="1"/>
  <c r="H45" i="23"/>
  <c r="Q41" i="23"/>
  <c r="Q46" i="23"/>
  <c r="H39" i="23"/>
  <c r="H47" i="23"/>
  <c r="Q44" i="23"/>
  <c r="E48" i="24"/>
  <c r="H42" i="23"/>
  <c r="B1314" i="74"/>
  <c r="D48" i="24"/>
  <c r="B1311" i="74" s="1"/>
  <c r="B641" i="74"/>
  <c r="G48" i="24" l="1"/>
  <c r="B572" i="74"/>
  <c r="N67" i="23"/>
  <c r="AF124" i="6"/>
  <c r="B1222" i="74" l="1"/>
  <c r="M48" i="24"/>
  <c r="X120" i="6"/>
  <c r="B1265" i="74" l="1"/>
  <c r="Y48" i="24"/>
  <c r="P15" i="6"/>
  <c r="Y46" i="6"/>
  <c r="Y44" i="6"/>
  <c r="D15" i="6" l="1"/>
  <c r="O1" i="52"/>
  <c r="B548" i="74" l="1"/>
  <c r="B542" i="74"/>
  <c r="B539" i="74"/>
  <c r="M13" i="6"/>
  <c r="AB22" i="6" l="1"/>
  <c r="AF23" i="6" s="1"/>
  <c r="B499" i="74" l="1"/>
  <c r="B498" i="74"/>
  <c r="B374" i="74"/>
  <c r="B373" i="74"/>
  <c r="M123" i="6"/>
  <c r="Y123" i="6"/>
  <c r="B500" i="74" s="1"/>
  <c r="B249" i="74"/>
  <c r="B248" i="74"/>
  <c r="S205" i="1"/>
  <c r="AA123" i="6" l="1"/>
  <c r="B250" i="74" s="1"/>
  <c r="B375" i="74"/>
  <c r="B693" i="74" l="1"/>
  <c r="J158" i="6" l="1"/>
  <c r="D3" i="101" l="1"/>
  <c r="D4" i="101"/>
  <c r="D5" i="101"/>
  <c r="D6" i="101"/>
  <c r="D7" i="101"/>
  <c r="D8" i="101"/>
  <c r="D9" i="101"/>
  <c r="D10" i="101"/>
  <c r="D11" i="101"/>
  <c r="D12" i="101"/>
  <c r="D13" i="101"/>
  <c r="D14" i="101"/>
  <c r="D15" i="101"/>
  <c r="D16" i="101"/>
  <c r="D17" i="101"/>
  <c r="D18" i="101"/>
  <c r="D19" i="101"/>
  <c r="D20" i="101"/>
  <c r="D21" i="101"/>
  <c r="D22" i="101"/>
  <c r="D23" i="101"/>
  <c r="D24" i="101"/>
  <c r="D25" i="101"/>
  <c r="D26" i="101"/>
  <c r="D27" i="101"/>
  <c r="D28" i="101"/>
  <c r="D29" i="101"/>
  <c r="D30" i="101"/>
  <c r="D31" i="101"/>
  <c r="D32" i="101"/>
  <c r="D33" i="101"/>
  <c r="D34" i="101"/>
  <c r="D35" i="101"/>
  <c r="D36" i="101"/>
  <c r="D37" i="101"/>
  <c r="D38" i="101"/>
  <c r="D39" i="101"/>
  <c r="D40" i="101"/>
  <c r="D41" i="101"/>
  <c r="D42" i="101"/>
  <c r="D43" i="101"/>
  <c r="D44" i="101"/>
  <c r="D45" i="101"/>
  <c r="D46" i="101"/>
  <c r="D47" i="101"/>
  <c r="D48" i="101"/>
  <c r="D49" i="101"/>
  <c r="D50" i="101"/>
  <c r="D51" i="101"/>
  <c r="D52" i="101"/>
  <c r="D53" i="101"/>
  <c r="D54" i="101"/>
  <c r="D55" i="101"/>
  <c r="D56" i="101"/>
  <c r="D57" i="101"/>
  <c r="D58" i="101"/>
  <c r="D59" i="101"/>
  <c r="D60" i="101"/>
  <c r="D61" i="101"/>
  <c r="D62" i="101"/>
  <c r="D63" i="101"/>
  <c r="D64" i="101"/>
  <c r="D65" i="101"/>
  <c r="D66" i="101"/>
  <c r="D67" i="101"/>
  <c r="D68" i="101"/>
  <c r="D69" i="101"/>
  <c r="D70" i="101"/>
  <c r="D71" i="101"/>
  <c r="D72" i="101"/>
  <c r="D73" i="101"/>
  <c r="D74" i="101"/>
  <c r="D75" i="101"/>
  <c r="D76" i="101"/>
  <c r="D77" i="101"/>
  <c r="D78" i="101"/>
  <c r="D79" i="101"/>
  <c r="D80" i="101"/>
  <c r="D81" i="101"/>
  <c r="D82" i="101"/>
  <c r="D83" i="101"/>
  <c r="D84" i="101"/>
  <c r="D85" i="101"/>
  <c r="D86" i="101"/>
  <c r="D87" i="101"/>
  <c r="D88" i="101"/>
  <c r="D89" i="101"/>
  <c r="D90" i="101"/>
  <c r="D91" i="101"/>
  <c r="D92" i="101"/>
  <c r="D93" i="101"/>
  <c r="D94" i="101"/>
  <c r="D95" i="101"/>
  <c r="D96" i="101"/>
  <c r="D97" i="101"/>
  <c r="D98" i="101"/>
  <c r="D99" i="101"/>
  <c r="D100" i="101"/>
  <c r="D101" i="101"/>
  <c r="D102" i="101"/>
  <c r="D103" i="101"/>
  <c r="D104" i="101"/>
  <c r="D105" i="101"/>
  <c r="D106" i="101"/>
  <c r="D107" i="101"/>
  <c r="D108" i="101"/>
  <c r="D109" i="101"/>
  <c r="D110" i="101"/>
  <c r="D111" i="101"/>
  <c r="D112" i="101"/>
  <c r="D113" i="101"/>
  <c r="D114" i="101"/>
  <c r="D115" i="101"/>
  <c r="D116" i="101"/>
  <c r="D117" i="101"/>
  <c r="D118" i="101"/>
  <c r="D119" i="101"/>
  <c r="D120" i="101"/>
  <c r="D121" i="101"/>
  <c r="D122" i="101"/>
  <c r="D123" i="101"/>
  <c r="D124" i="101"/>
  <c r="D125" i="101"/>
  <c r="D126" i="101"/>
  <c r="D127" i="101"/>
  <c r="D128" i="101"/>
  <c r="D129" i="101"/>
  <c r="D130" i="101"/>
  <c r="D131" i="101"/>
  <c r="D132" i="101"/>
  <c r="D133" i="101"/>
  <c r="D134" i="101"/>
  <c r="D135" i="101"/>
  <c r="D136" i="101"/>
  <c r="D137" i="101"/>
  <c r="D138" i="101"/>
  <c r="D139" i="101"/>
  <c r="D140" i="101"/>
  <c r="D141" i="101"/>
  <c r="D142" i="101"/>
  <c r="D143" i="101"/>
  <c r="D144" i="101"/>
  <c r="D145" i="101"/>
  <c r="D146" i="101"/>
  <c r="D147" i="101"/>
  <c r="D148" i="101"/>
  <c r="D149" i="101"/>
  <c r="D150" i="101"/>
  <c r="D151" i="101"/>
  <c r="D152" i="101"/>
  <c r="D153" i="101"/>
  <c r="D154" i="101"/>
  <c r="D155" i="101"/>
  <c r="D156" i="101"/>
  <c r="D157" i="101"/>
  <c r="D158" i="101"/>
  <c r="D159" i="101"/>
  <c r="D160" i="101"/>
  <c r="D161" i="101"/>
  <c r="D162" i="101"/>
  <c r="D163" i="101"/>
  <c r="D164" i="101"/>
  <c r="D165" i="101"/>
  <c r="D166" i="101"/>
  <c r="D167" i="101"/>
  <c r="D168" i="101"/>
  <c r="D169" i="101"/>
  <c r="D170" i="101"/>
  <c r="D171" i="101"/>
  <c r="D172" i="101"/>
  <c r="D173" i="101"/>
  <c r="D174" i="101"/>
  <c r="D175" i="101"/>
  <c r="D176" i="101"/>
  <c r="D177" i="101"/>
  <c r="D178" i="101"/>
  <c r="D179" i="101"/>
  <c r="D180" i="101"/>
  <c r="D181" i="101"/>
  <c r="D182" i="101"/>
  <c r="D183" i="101"/>
  <c r="D184" i="101"/>
  <c r="D185" i="101"/>
  <c r="D186" i="101"/>
  <c r="D187" i="101"/>
  <c r="D188" i="101"/>
  <c r="D189" i="101"/>
  <c r="D190" i="101"/>
  <c r="D191" i="101"/>
  <c r="D192" i="101"/>
  <c r="D193" i="101"/>
  <c r="D194" i="101"/>
  <c r="D195" i="101"/>
  <c r="D196" i="101"/>
  <c r="D197" i="101"/>
  <c r="D198" i="101"/>
  <c r="D199" i="101"/>
  <c r="D200" i="101"/>
  <c r="D201" i="101"/>
  <c r="D202" i="101"/>
  <c r="D203" i="101"/>
  <c r="D204" i="101"/>
  <c r="D205" i="101"/>
  <c r="D206" i="101"/>
  <c r="D207" i="101"/>
  <c r="D208" i="101"/>
  <c r="D209" i="101"/>
  <c r="D210" i="101"/>
  <c r="D211" i="101"/>
  <c r="D212" i="101"/>
  <c r="D213" i="101"/>
  <c r="D214" i="101"/>
  <c r="D215" i="101"/>
  <c r="D216" i="101"/>
  <c r="D217" i="101"/>
  <c r="D218" i="101"/>
  <c r="D219" i="101"/>
  <c r="D220" i="101"/>
  <c r="D221" i="101"/>
  <c r="D222" i="101"/>
  <c r="D223" i="101"/>
  <c r="D224" i="101"/>
  <c r="D225" i="101"/>
  <c r="D226" i="101"/>
  <c r="D227" i="101"/>
  <c r="D228" i="101"/>
  <c r="D229" i="101"/>
  <c r="D230" i="101"/>
  <c r="D231" i="101"/>
  <c r="D232" i="101"/>
  <c r="D233" i="101"/>
  <c r="D234" i="101"/>
  <c r="D235" i="101"/>
  <c r="D236" i="101"/>
  <c r="D237" i="101"/>
  <c r="D238" i="101"/>
  <c r="D239" i="101"/>
  <c r="D240" i="101"/>
  <c r="D241" i="101"/>
  <c r="D242" i="101"/>
  <c r="D243" i="101"/>
  <c r="D244" i="101"/>
  <c r="D245" i="101"/>
  <c r="D246" i="101"/>
  <c r="D247" i="101"/>
  <c r="D248" i="101"/>
  <c r="D249" i="101"/>
  <c r="D250" i="101"/>
  <c r="D251" i="101"/>
  <c r="D252" i="101"/>
  <c r="D253" i="101"/>
  <c r="D254" i="101"/>
  <c r="D255" i="101"/>
  <c r="D256" i="101"/>
  <c r="D257" i="101"/>
  <c r="D258" i="101"/>
  <c r="D259" i="101"/>
  <c r="D260" i="101"/>
  <c r="D261" i="101"/>
  <c r="D262" i="101"/>
  <c r="D263" i="101"/>
  <c r="D264" i="101"/>
  <c r="D265" i="101"/>
  <c r="D266" i="101"/>
  <c r="D267" i="101"/>
  <c r="D268" i="101"/>
  <c r="D269" i="101"/>
  <c r="D270" i="101"/>
  <c r="D271" i="101"/>
  <c r="D272" i="101"/>
  <c r="D273" i="101"/>
  <c r="D274" i="101"/>
  <c r="D275" i="101"/>
  <c r="D276" i="101"/>
  <c r="D277" i="101"/>
  <c r="D278" i="101"/>
  <c r="D279" i="101"/>
  <c r="D280" i="101"/>
  <c r="D281" i="101"/>
  <c r="D282" i="101"/>
  <c r="D283" i="101"/>
  <c r="D284" i="101"/>
  <c r="D285" i="101"/>
  <c r="D286" i="101"/>
  <c r="D287" i="101"/>
  <c r="D288" i="101"/>
  <c r="D289" i="101"/>
  <c r="D290" i="101"/>
  <c r="D291" i="101"/>
  <c r="D292" i="101"/>
  <c r="D293" i="101"/>
  <c r="D294" i="101"/>
  <c r="D295" i="101"/>
  <c r="D296" i="101"/>
  <c r="D297" i="101"/>
  <c r="D2" i="101"/>
  <c r="S45" i="6" l="1"/>
  <c r="B449" i="74" l="1"/>
  <c r="B448" i="74"/>
  <c r="B324" i="74"/>
  <c r="B323" i="74"/>
  <c r="B199" i="74"/>
  <c r="B198" i="74"/>
  <c r="V127" i="6"/>
  <c r="S127" i="6"/>
  <c r="J127" i="6"/>
  <c r="J134" i="6" s="1"/>
  <c r="G127" i="6"/>
  <c r="Y62" i="6"/>
  <c r="M62" i="6"/>
  <c r="B325" i="74" s="1"/>
  <c r="AB62" i="6" l="1"/>
  <c r="B450" i="74"/>
  <c r="B200" i="74" l="1"/>
  <c r="AF62" i="6"/>
  <c r="V38" i="6" l="1"/>
  <c r="B428" i="74" s="1"/>
  <c r="S38" i="6"/>
  <c r="B427" i="74" s="1"/>
  <c r="J38" i="6"/>
  <c r="G38" i="6"/>
  <c r="B457" i="74"/>
  <c r="B332" i="74"/>
  <c r="B1411" i="74"/>
  <c r="B1412" i="74"/>
  <c r="B1413" i="74"/>
  <c r="B1414" i="74"/>
  <c r="B1410" i="74"/>
  <c r="B1409" i="74"/>
  <c r="B671" i="74"/>
  <c r="B497" i="74"/>
  <c r="B372" i="74"/>
  <c r="B529" i="74"/>
  <c r="B515" i="74"/>
  <c r="B509" i="74"/>
  <c r="B504" i="74"/>
  <c r="B495" i="74"/>
  <c r="B493" i="74"/>
  <c r="B490" i="74"/>
  <c r="B484" i="74"/>
  <c r="B481" i="74"/>
  <c r="B478" i="74"/>
  <c r="B473" i="74"/>
  <c r="B468" i="74"/>
  <c r="B465" i="74"/>
  <c r="B460" i="74"/>
  <c r="B458" i="74"/>
  <c r="B446" i="74"/>
  <c r="B443" i="74"/>
  <c r="B440" i="74"/>
  <c r="B437" i="74"/>
  <c r="B434" i="74"/>
  <c r="B431" i="74"/>
  <c r="B426" i="74"/>
  <c r="B423" i="74"/>
  <c r="B418" i="74"/>
  <c r="B412" i="74"/>
  <c r="B528" i="74"/>
  <c r="B514" i="74"/>
  <c r="B508" i="74"/>
  <c r="B503" i="74"/>
  <c r="B496" i="74"/>
  <c r="B492" i="74"/>
  <c r="B489" i="74"/>
  <c r="B483" i="74"/>
  <c r="B480" i="74"/>
  <c r="B477" i="74"/>
  <c r="B472" i="74"/>
  <c r="B467" i="74"/>
  <c r="B464" i="74"/>
  <c r="B459" i="74"/>
  <c r="B445" i="74"/>
  <c r="B442" i="74"/>
  <c r="B439" i="74"/>
  <c r="B436" i="74"/>
  <c r="B433" i="74"/>
  <c r="B430" i="74"/>
  <c r="B425" i="74"/>
  <c r="B422" i="74"/>
  <c r="B417" i="74"/>
  <c r="B411" i="74"/>
  <c r="B404" i="74"/>
  <c r="B403" i="74"/>
  <c r="B390" i="74"/>
  <c r="B389" i="74"/>
  <c r="B384" i="74"/>
  <c r="B383" i="74"/>
  <c r="B379" i="74"/>
  <c r="B378" i="74"/>
  <c r="B371" i="74"/>
  <c r="B370" i="74"/>
  <c r="B368" i="74"/>
  <c r="B367" i="74"/>
  <c r="B365" i="74"/>
  <c r="B364" i="74"/>
  <c r="B359" i="74"/>
  <c r="B358" i="74"/>
  <c r="B356" i="74"/>
  <c r="B355" i="74"/>
  <c r="B353" i="74"/>
  <c r="B352" i="74"/>
  <c r="B348" i="74"/>
  <c r="B347" i="74"/>
  <c r="B343" i="74"/>
  <c r="B342" i="74"/>
  <c r="B340" i="74"/>
  <c r="B339" i="74"/>
  <c r="B335" i="74"/>
  <c r="B334" i="74"/>
  <c r="B321" i="74"/>
  <c r="B320" i="74"/>
  <c r="B318" i="74"/>
  <c r="B317" i="74"/>
  <c r="B315" i="74"/>
  <c r="B314" i="74"/>
  <c r="B312" i="74"/>
  <c r="B311" i="74"/>
  <c r="B309" i="74"/>
  <c r="B308" i="74"/>
  <c r="B306" i="74"/>
  <c r="B305" i="74"/>
  <c r="B301" i="74"/>
  <c r="B300" i="74"/>
  <c r="B298" i="74"/>
  <c r="B297" i="74"/>
  <c r="B293" i="74"/>
  <c r="B292" i="74"/>
  <c r="B287" i="74"/>
  <c r="B286" i="74"/>
  <c r="B302" i="74" l="1"/>
  <c r="B303" i="74"/>
  <c r="B279" i="74"/>
  <c r="B278" i="74"/>
  <c r="B265" i="74"/>
  <c r="B264" i="74"/>
  <c r="B259" i="74"/>
  <c r="B258" i="74"/>
  <c r="B254" i="74"/>
  <c r="B253" i="74"/>
  <c r="B247" i="74"/>
  <c r="B246" i="74"/>
  <c r="B245" i="74"/>
  <c r="B243" i="74"/>
  <c r="B242" i="74"/>
  <c r="B240" i="74"/>
  <c r="B239" i="74"/>
  <c r="B234" i="74"/>
  <c r="B233" i="74"/>
  <c r="B231" i="74"/>
  <c r="B230" i="74"/>
  <c r="B228" i="74"/>
  <c r="B227" i="74"/>
  <c r="B223" i="74"/>
  <c r="B222" i="74"/>
  <c r="B218" i="74"/>
  <c r="B217" i="74"/>
  <c r="B215" i="74"/>
  <c r="B214" i="74"/>
  <c r="B210" i="74"/>
  <c r="B209" i="74"/>
  <c r="B207" i="74"/>
  <c r="B196" i="74"/>
  <c r="B195" i="74"/>
  <c r="B193" i="74"/>
  <c r="B192" i="74"/>
  <c r="B190" i="74"/>
  <c r="B189" i="74"/>
  <c r="B187" i="74"/>
  <c r="B186" i="74"/>
  <c r="B184" i="74"/>
  <c r="B183" i="74"/>
  <c r="B181" i="74"/>
  <c r="B180" i="74"/>
  <c r="B178" i="74"/>
  <c r="B177" i="74"/>
  <c r="B176" i="74"/>
  <c r="B175" i="74"/>
  <c r="B173" i="74"/>
  <c r="B172" i="74"/>
  <c r="B168" i="74"/>
  <c r="B167" i="74"/>
  <c r="B162" i="74"/>
  <c r="B161" i="74"/>
  <c r="Z301" i="12" l="1"/>
  <c r="Z300" i="12"/>
  <c r="Z299" i="12"/>
  <c r="Z298" i="12"/>
  <c r="Z297" i="12"/>
  <c r="Z296" i="12"/>
  <c r="Z295" i="12"/>
  <c r="Z294" i="12"/>
  <c r="Z293" i="12"/>
  <c r="Z292" i="12"/>
  <c r="Z291" i="12"/>
  <c r="Z290" i="12"/>
  <c r="Z289" i="12"/>
  <c r="Z288" i="12"/>
  <c r="Z287" i="12"/>
  <c r="Z286" i="12"/>
  <c r="Z285" i="12"/>
  <c r="Z284" i="12"/>
  <c r="Z283" i="12"/>
  <c r="Z282" i="12"/>
  <c r="Z281" i="12"/>
  <c r="Z280" i="12"/>
  <c r="Z279" i="12"/>
  <c r="Z278" i="12"/>
  <c r="Z277" i="12"/>
  <c r="Z276" i="12"/>
  <c r="Z275" i="12"/>
  <c r="Z274" i="12"/>
  <c r="Z273" i="12"/>
  <c r="Z272" i="12"/>
  <c r="Z271" i="12"/>
  <c r="Z270" i="12"/>
  <c r="Z269" i="12"/>
  <c r="Z268" i="12"/>
  <c r="Z267" i="12"/>
  <c r="Z266" i="12"/>
  <c r="Z265" i="12"/>
  <c r="Z264" i="12"/>
  <c r="Z263" i="12"/>
  <c r="Z262" i="12"/>
  <c r="Z261" i="12"/>
  <c r="Z260" i="12"/>
  <c r="Z259" i="12"/>
  <c r="Z258" i="12"/>
  <c r="Z257" i="12"/>
  <c r="Z256" i="12"/>
  <c r="Z255" i="12"/>
  <c r="Z254" i="12"/>
  <c r="Z253" i="12"/>
  <c r="Z252" i="12"/>
  <c r="Z251" i="12"/>
  <c r="Z250" i="12"/>
  <c r="Z249" i="12"/>
  <c r="Z248" i="12"/>
  <c r="Z247" i="12"/>
  <c r="Z246" i="12"/>
  <c r="Z245" i="12"/>
  <c r="Z244" i="12"/>
  <c r="Z243" i="12"/>
  <c r="Z242" i="12"/>
  <c r="Z241" i="12"/>
  <c r="Z240" i="12"/>
  <c r="Z239" i="12"/>
  <c r="Z238" i="12"/>
  <c r="Z237" i="12"/>
  <c r="Z236" i="12"/>
  <c r="Z235" i="12"/>
  <c r="Z234" i="12"/>
  <c r="Z233" i="12"/>
  <c r="Z232" i="12"/>
  <c r="Z231" i="12"/>
  <c r="Z230" i="12"/>
  <c r="Z229" i="12"/>
  <c r="Z228" i="12"/>
  <c r="Z227" i="12"/>
  <c r="Z226" i="12"/>
  <c r="Z225" i="12"/>
  <c r="Z224" i="12"/>
  <c r="Z223" i="12"/>
  <c r="Z222" i="12"/>
  <c r="Z221" i="12"/>
  <c r="Z220" i="12"/>
  <c r="Z219" i="12"/>
  <c r="Z218" i="12"/>
  <c r="Z217" i="12"/>
  <c r="Z216" i="12"/>
  <c r="Z215" i="12"/>
  <c r="Z214" i="12"/>
  <c r="Z213" i="12"/>
  <c r="Z212" i="12"/>
  <c r="Z211" i="12"/>
  <c r="Z210" i="12"/>
  <c r="Z209" i="12"/>
  <c r="Z208" i="12"/>
  <c r="Z207" i="12"/>
  <c r="Z206" i="12"/>
  <c r="Z205" i="12"/>
  <c r="Z204" i="12"/>
  <c r="Z203" i="12"/>
  <c r="Z202" i="12"/>
  <c r="Z201" i="12"/>
  <c r="Z200" i="12"/>
  <c r="Z199" i="12"/>
  <c r="Z198" i="12"/>
  <c r="Z197" i="12"/>
  <c r="Z196" i="12"/>
  <c r="Z195" i="12"/>
  <c r="Z194" i="12"/>
  <c r="Z193" i="12"/>
  <c r="Z192" i="12"/>
  <c r="Z191" i="12"/>
  <c r="Z190" i="12"/>
  <c r="Z189" i="12"/>
  <c r="Z188" i="12"/>
  <c r="Z187" i="12"/>
  <c r="Z186" i="12"/>
  <c r="Z185" i="12"/>
  <c r="Z184" i="12"/>
  <c r="Z183" i="12"/>
  <c r="Z182" i="12"/>
  <c r="Z181" i="12"/>
  <c r="Z180" i="12"/>
  <c r="Z179" i="12"/>
  <c r="Z178" i="12"/>
  <c r="Z177" i="12"/>
  <c r="Z176" i="12"/>
  <c r="Z175" i="12"/>
  <c r="Z174" i="12"/>
  <c r="Z173" i="12"/>
  <c r="Z172" i="12"/>
  <c r="Z171" i="12"/>
  <c r="Z170" i="12"/>
  <c r="Z169" i="12"/>
  <c r="Z168" i="12"/>
  <c r="Z167" i="12"/>
  <c r="Z166" i="12"/>
  <c r="Z165" i="12"/>
  <c r="Z164" i="12"/>
  <c r="Z163" i="12"/>
  <c r="Z162" i="12"/>
  <c r="Z161" i="12"/>
  <c r="Z160" i="12"/>
  <c r="Z159" i="12"/>
  <c r="Z158" i="12"/>
  <c r="Z157" i="12"/>
  <c r="Z156" i="12"/>
  <c r="Z155" i="12"/>
  <c r="Z154" i="12"/>
  <c r="Z153" i="12"/>
  <c r="Z152" i="12"/>
  <c r="Z151" i="12"/>
  <c r="Z150" i="12"/>
  <c r="Z149" i="12"/>
  <c r="Z148" i="12"/>
  <c r="Z147" i="12"/>
  <c r="Z146" i="12"/>
  <c r="Z145" i="12"/>
  <c r="Z144" i="12"/>
  <c r="Z143" i="12"/>
  <c r="Z142" i="12"/>
  <c r="Z141" i="12"/>
  <c r="Z140" i="12"/>
  <c r="Z139" i="12"/>
  <c r="Z138" i="12"/>
  <c r="Z137" i="12"/>
  <c r="Z136" i="12"/>
  <c r="Z135" i="12"/>
  <c r="Z134" i="12"/>
  <c r="Z133" i="12"/>
  <c r="Z132" i="12"/>
  <c r="Z131" i="12"/>
  <c r="Z130" i="12"/>
  <c r="Z129" i="12"/>
  <c r="Z128" i="12"/>
  <c r="Z127" i="12"/>
  <c r="Z126" i="12"/>
  <c r="Z125" i="12"/>
  <c r="Z124" i="12"/>
  <c r="Z123" i="12"/>
  <c r="Z122" i="12"/>
  <c r="Z121" i="12"/>
  <c r="Z120" i="12"/>
  <c r="Z119" i="12"/>
  <c r="Z118" i="12"/>
  <c r="Z117" i="12"/>
  <c r="Z116" i="12"/>
  <c r="Z115" i="12"/>
  <c r="Z114" i="12"/>
  <c r="Z113" i="12"/>
  <c r="Z112" i="12"/>
  <c r="Z111" i="12"/>
  <c r="Z110" i="12"/>
  <c r="Z109" i="12"/>
  <c r="Z108" i="12"/>
  <c r="Z107" i="12"/>
  <c r="Z106" i="12"/>
  <c r="Z105" i="12"/>
  <c r="Z104" i="12"/>
  <c r="Z103" i="12"/>
  <c r="Z102" i="12"/>
  <c r="Z101" i="12"/>
  <c r="Z100" i="12"/>
  <c r="Z99" i="12"/>
  <c r="Z98" i="12"/>
  <c r="Z97" i="12"/>
  <c r="Z96" i="12"/>
  <c r="Z95" i="12"/>
  <c r="Z94" i="12"/>
  <c r="Z93" i="12"/>
  <c r="Z92" i="12"/>
  <c r="Z91" i="12"/>
  <c r="Z90" i="12"/>
  <c r="Z89" i="12"/>
  <c r="Z88" i="12"/>
  <c r="Z87" i="12"/>
  <c r="Z86" i="12"/>
  <c r="Z85" i="12"/>
  <c r="Z84" i="12"/>
  <c r="Z83" i="12"/>
  <c r="Z82" i="12"/>
  <c r="Z81" i="12"/>
  <c r="Z80" i="12"/>
  <c r="Z79" i="12"/>
  <c r="Z78" i="12"/>
  <c r="Z77" i="12"/>
  <c r="Z76" i="12"/>
  <c r="Z75" i="12"/>
  <c r="Z74" i="12"/>
  <c r="Z73" i="12"/>
  <c r="Z72" i="12"/>
  <c r="Z71" i="12"/>
  <c r="Z70" i="12"/>
  <c r="Z69" i="12"/>
  <c r="Z68" i="12"/>
  <c r="Z67" i="12"/>
  <c r="Z66" i="12"/>
  <c r="Z65" i="12"/>
  <c r="Z64" i="12"/>
  <c r="Z63" i="12"/>
  <c r="Z62" i="12"/>
  <c r="Z61" i="12"/>
  <c r="Z60" i="12"/>
  <c r="Z59" i="12"/>
  <c r="Z58" i="12"/>
  <c r="Z57" i="12"/>
  <c r="Z56" i="12"/>
  <c r="Z55" i="12"/>
  <c r="Z54" i="12"/>
  <c r="Z53" i="12"/>
  <c r="Z52" i="12"/>
  <c r="Z51" i="12"/>
  <c r="Z50" i="12"/>
  <c r="Z49" i="12"/>
  <c r="Z48" i="12"/>
  <c r="Z47" i="12"/>
  <c r="Z46" i="12"/>
  <c r="Z45" i="12"/>
  <c r="Z44" i="12"/>
  <c r="Z43" i="12"/>
  <c r="Z42" i="12"/>
  <c r="Z41" i="12"/>
  <c r="Z40" i="12"/>
  <c r="Z39" i="12"/>
  <c r="Z38" i="12"/>
  <c r="Z37" i="12"/>
  <c r="Z36" i="12"/>
  <c r="Z35" i="12"/>
  <c r="Z34" i="12"/>
  <c r="Z33" i="12"/>
  <c r="Z32" i="12"/>
  <c r="Z31" i="12"/>
  <c r="Z30" i="12"/>
  <c r="Z29" i="12"/>
  <c r="Z28" i="12"/>
  <c r="Z27" i="12"/>
  <c r="Z26" i="12"/>
  <c r="Z25" i="12"/>
  <c r="Z24" i="12"/>
  <c r="Z23" i="12"/>
  <c r="Z22" i="12"/>
  <c r="Z21" i="12"/>
  <c r="Z20" i="12"/>
  <c r="Z19" i="12"/>
  <c r="Z18" i="12"/>
  <c r="Z17" i="12"/>
  <c r="Z16" i="12"/>
  <c r="Z15" i="12"/>
  <c r="Z14" i="12"/>
  <c r="Z13" i="12"/>
  <c r="Z12" i="12"/>
  <c r="Z11" i="12"/>
  <c r="Z10" i="12"/>
  <c r="Z9" i="12"/>
  <c r="Z8" i="12"/>
  <c r="Z7" i="12"/>
  <c r="Z6" i="12"/>
  <c r="AH6" i="12"/>
  <c r="AP6" i="12"/>
  <c r="AX6" i="12"/>
  <c r="BF6" i="12"/>
  <c r="BN6" i="12"/>
  <c r="BW6" i="12"/>
  <c r="CE6" i="12"/>
  <c r="AH7" i="12"/>
  <c r="AP7" i="12"/>
  <c r="AX7" i="12"/>
  <c r="BF7" i="12"/>
  <c r="BN7" i="12"/>
  <c r="BW7" i="12"/>
  <c r="CE7" i="12"/>
  <c r="AH8" i="12"/>
  <c r="AP8" i="12"/>
  <c r="AX8" i="12"/>
  <c r="BF8" i="12"/>
  <c r="BN8" i="12"/>
  <c r="BW8" i="12"/>
  <c r="CE8" i="12"/>
  <c r="AH9" i="12"/>
  <c r="AP9" i="12"/>
  <c r="AX9" i="12"/>
  <c r="BF9" i="12"/>
  <c r="BN9" i="12"/>
  <c r="BW9" i="12"/>
  <c r="CE9" i="12"/>
  <c r="AH10" i="12"/>
  <c r="AP10" i="12"/>
  <c r="AX10" i="12"/>
  <c r="BF10" i="12"/>
  <c r="BN10" i="12"/>
  <c r="BW10" i="12"/>
  <c r="CE10" i="12"/>
  <c r="AH11" i="12"/>
  <c r="AP11" i="12"/>
  <c r="AX11" i="12"/>
  <c r="BF11" i="12"/>
  <c r="BN11" i="12"/>
  <c r="BW11" i="12"/>
  <c r="CE11" i="12"/>
  <c r="AH12" i="12"/>
  <c r="AP12" i="12"/>
  <c r="AX12" i="12"/>
  <c r="BF12" i="12"/>
  <c r="BN12" i="12"/>
  <c r="BW12" i="12"/>
  <c r="CE12" i="12"/>
  <c r="AH13" i="12"/>
  <c r="AP13" i="12"/>
  <c r="AX13" i="12"/>
  <c r="BF13" i="12"/>
  <c r="BN13" i="12"/>
  <c r="BW13" i="12"/>
  <c r="CE13" i="12"/>
  <c r="AH14" i="12"/>
  <c r="AP14" i="12"/>
  <c r="AX14" i="12"/>
  <c r="BF14" i="12"/>
  <c r="BN14" i="12"/>
  <c r="BW14" i="12"/>
  <c r="CE14" i="12"/>
  <c r="AH15" i="12"/>
  <c r="AP15" i="12"/>
  <c r="AX15" i="12"/>
  <c r="BF15" i="12"/>
  <c r="BN15" i="12"/>
  <c r="BW15" i="12"/>
  <c r="CE15" i="12"/>
  <c r="AH16" i="12"/>
  <c r="AP16" i="12"/>
  <c r="AX16" i="12"/>
  <c r="BF16" i="12"/>
  <c r="BN16" i="12"/>
  <c r="BW16" i="12"/>
  <c r="CE16" i="12"/>
  <c r="AH17" i="12"/>
  <c r="AP17" i="12"/>
  <c r="AX17" i="12"/>
  <c r="BF17" i="12"/>
  <c r="BN17" i="12"/>
  <c r="BW17" i="12"/>
  <c r="CE17" i="12"/>
  <c r="AH18" i="12"/>
  <c r="AP18" i="12"/>
  <c r="AX18" i="12"/>
  <c r="BF18" i="12"/>
  <c r="BN18" i="12"/>
  <c r="BW18" i="12"/>
  <c r="CE18" i="12"/>
  <c r="AH19" i="12"/>
  <c r="AP19" i="12"/>
  <c r="AX19" i="12"/>
  <c r="BF19" i="12"/>
  <c r="BN19" i="12"/>
  <c r="BW19" i="12"/>
  <c r="CE19" i="12"/>
  <c r="AH20" i="12"/>
  <c r="AP20" i="12"/>
  <c r="AX20" i="12"/>
  <c r="BF20" i="12"/>
  <c r="BN20" i="12"/>
  <c r="BW20" i="12"/>
  <c r="CE20" i="12"/>
  <c r="AH21" i="12"/>
  <c r="AP21" i="12"/>
  <c r="AX21" i="12"/>
  <c r="BF21" i="12"/>
  <c r="BN21" i="12"/>
  <c r="BW21" i="12"/>
  <c r="CE21" i="12"/>
  <c r="AH22" i="12"/>
  <c r="AP22" i="12"/>
  <c r="AX22" i="12"/>
  <c r="BF22" i="12"/>
  <c r="BN22" i="12"/>
  <c r="BW22" i="12"/>
  <c r="CE22" i="12"/>
  <c r="AH23" i="12"/>
  <c r="AP23" i="12"/>
  <c r="AX23" i="12"/>
  <c r="BF23" i="12"/>
  <c r="BN23" i="12"/>
  <c r="BW23" i="12"/>
  <c r="CE23" i="12"/>
  <c r="AH24" i="12"/>
  <c r="AP24" i="12"/>
  <c r="AX24" i="12"/>
  <c r="BF24" i="12"/>
  <c r="BN24" i="12"/>
  <c r="BW24" i="12"/>
  <c r="CE24" i="12"/>
  <c r="AH25" i="12"/>
  <c r="AP25" i="12"/>
  <c r="AX25" i="12"/>
  <c r="BF25" i="12"/>
  <c r="BN25" i="12"/>
  <c r="BW25" i="12"/>
  <c r="CE25" i="12"/>
  <c r="AH26" i="12"/>
  <c r="AP26" i="12"/>
  <c r="AX26" i="12"/>
  <c r="BF26" i="12"/>
  <c r="BN26" i="12"/>
  <c r="BW26" i="12"/>
  <c r="CE26" i="12"/>
  <c r="AH27" i="12"/>
  <c r="AP27" i="12"/>
  <c r="AX27" i="12"/>
  <c r="BF27" i="12"/>
  <c r="BN27" i="12"/>
  <c r="BW27" i="12"/>
  <c r="CE27" i="12"/>
  <c r="AH28" i="12"/>
  <c r="AP28" i="12"/>
  <c r="AX28" i="12"/>
  <c r="BF28" i="12"/>
  <c r="BN28" i="12"/>
  <c r="BW28" i="12"/>
  <c r="CE28" i="12"/>
  <c r="AH29" i="12"/>
  <c r="AP29" i="12"/>
  <c r="AX29" i="12"/>
  <c r="BF29" i="12"/>
  <c r="BN29" i="12"/>
  <c r="BW29" i="12"/>
  <c r="CE29" i="12"/>
  <c r="AH30" i="12"/>
  <c r="AP30" i="12"/>
  <c r="AX30" i="12"/>
  <c r="BF30" i="12"/>
  <c r="BN30" i="12"/>
  <c r="BW30" i="12"/>
  <c r="CE30" i="12"/>
  <c r="AH31" i="12"/>
  <c r="AP31" i="12"/>
  <c r="AX31" i="12"/>
  <c r="BF31" i="12"/>
  <c r="BN31" i="12"/>
  <c r="BW31" i="12"/>
  <c r="CE31" i="12"/>
  <c r="AH32" i="12"/>
  <c r="AP32" i="12"/>
  <c r="AX32" i="12"/>
  <c r="BF32" i="12"/>
  <c r="BN32" i="12"/>
  <c r="BW32" i="12"/>
  <c r="CE32" i="12"/>
  <c r="AH33" i="12"/>
  <c r="AP33" i="12"/>
  <c r="AX33" i="12"/>
  <c r="BF33" i="12"/>
  <c r="BN33" i="12"/>
  <c r="BW33" i="12"/>
  <c r="CE33" i="12"/>
  <c r="AH34" i="12"/>
  <c r="AP34" i="12"/>
  <c r="AX34" i="12"/>
  <c r="BF34" i="12"/>
  <c r="BN34" i="12"/>
  <c r="BW34" i="12"/>
  <c r="CE34" i="12"/>
  <c r="AH35" i="12"/>
  <c r="AP35" i="12"/>
  <c r="AX35" i="12"/>
  <c r="BF35" i="12"/>
  <c r="BN35" i="12"/>
  <c r="BW35" i="12"/>
  <c r="CE35" i="12"/>
  <c r="AH36" i="12"/>
  <c r="AP36" i="12"/>
  <c r="AX36" i="12"/>
  <c r="BF36" i="12"/>
  <c r="BN36" i="12"/>
  <c r="BW36" i="12"/>
  <c r="CE36" i="12"/>
  <c r="AH37" i="12"/>
  <c r="AP37" i="12"/>
  <c r="AX37" i="12"/>
  <c r="BF37" i="12"/>
  <c r="BN37" i="12"/>
  <c r="BW37" i="12"/>
  <c r="CE37" i="12"/>
  <c r="AH38" i="12"/>
  <c r="AP38" i="12"/>
  <c r="AX38" i="12"/>
  <c r="BF38" i="12"/>
  <c r="BN38" i="12"/>
  <c r="BW38" i="12"/>
  <c r="CE38" i="12"/>
  <c r="AH39" i="12"/>
  <c r="AP39" i="12"/>
  <c r="AX39" i="12"/>
  <c r="BF39" i="12"/>
  <c r="BN39" i="12"/>
  <c r="BW39" i="12"/>
  <c r="CE39" i="12"/>
  <c r="AH40" i="12"/>
  <c r="AP40" i="12"/>
  <c r="AX40" i="12"/>
  <c r="BF40" i="12"/>
  <c r="BN40" i="12"/>
  <c r="BW40" i="12"/>
  <c r="CE40" i="12"/>
  <c r="AH41" i="12"/>
  <c r="AP41" i="12"/>
  <c r="AX41" i="12"/>
  <c r="BF41" i="12"/>
  <c r="BN41" i="12"/>
  <c r="BW41" i="12"/>
  <c r="CE41" i="12"/>
  <c r="AH42" i="12"/>
  <c r="AP42" i="12"/>
  <c r="AX42" i="12"/>
  <c r="AY42" i="12"/>
  <c r="BF42" i="12" s="1"/>
  <c r="BG42" i="12"/>
  <c r="BN42" i="12" s="1"/>
  <c r="BP42" i="12"/>
  <c r="BW42" i="12" s="1"/>
  <c r="BX42" i="12"/>
  <c r="CE42" i="12" s="1"/>
  <c r="AH43" i="12"/>
  <c r="AP43" i="12"/>
  <c r="AX43" i="12"/>
  <c r="BF43" i="12"/>
  <c r="BN43" i="12"/>
  <c r="BW43" i="12"/>
  <c r="CE43" i="12"/>
  <c r="AH44" i="12"/>
  <c r="AP44" i="12"/>
  <c r="AX44" i="12"/>
  <c r="BF44" i="12"/>
  <c r="BN44" i="12"/>
  <c r="BW44" i="12"/>
  <c r="CE44" i="12"/>
  <c r="AH45" i="12"/>
  <c r="AP45" i="12"/>
  <c r="AX45" i="12"/>
  <c r="BF45" i="12"/>
  <c r="BN45" i="12"/>
  <c r="BW45" i="12"/>
  <c r="CE45" i="12"/>
  <c r="AH46" i="12"/>
  <c r="AP46" i="12"/>
  <c r="AX46" i="12"/>
  <c r="BF46" i="12"/>
  <c r="BN46" i="12"/>
  <c r="BW46" i="12"/>
  <c r="CE46" i="12"/>
  <c r="AH47" i="12"/>
  <c r="AP47" i="12"/>
  <c r="AX47" i="12"/>
  <c r="BF47" i="12"/>
  <c r="BN47" i="12"/>
  <c r="BW47" i="12"/>
  <c r="CE47" i="12"/>
  <c r="AH48" i="12"/>
  <c r="AP48" i="12"/>
  <c r="AX48" i="12"/>
  <c r="BF48" i="12"/>
  <c r="BN48" i="12"/>
  <c r="BW48" i="12"/>
  <c r="CE48" i="12"/>
  <c r="AH49" i="12"/>
  <c r="AP49" i="12"/>
  <c r="AX49" i="12"/>
  <c r="BF49" i="12"/>
  <c r="BN49" i="12"/>
  <c r="BW49" i="12"/>
  <c r="CE49" i="12"/>
  <c r="AH50" i="12"/>
  <c r="AP50" i="12"/>
  <c r="AX50" i="12"/>
  <c r="BF50" i="12"/>
  <c r="BN50" i="12"/>
  <c r="BW50" i="12"/>
  <c r="CE50" i="12"/>
  <c r="AH51" i="12"/>
  <c r="AP51" i="12"/>
  <c r="AX51" i="12"/>
  <c r="BF51" i="12"/>
  <c r="BN51" i="12"/>
  <c r="BW51" i="12"/>
  <c r="CE51" i="12"/>
  <c r="AH52" i="12"/>
  <c r="AP52" i="12"/>
  <c r="AX52" i="12"/>
  <c r="BF52" i="12"/>
  <c r="BN52" i="12"/>
  <c r="BW52" i="12"/>
  <c r="CE52" i="12"/>
  <c r="AH53" i="12"/>
  <c r="AP53" i="12"/>
  <c r="AX53" i="12"/>
  <c r="BF53" i="12"/>
  <c r="BN53" i="12"/>
  <c r="BW53" i="12"/>
  <c r="CE53" i="12"/>
  <c r="AH54" i="12"/>
  <c r="AP54" i="12"/>
  <c r="AX54" i="12"/>
  <c r="BF54" i="12"/>
  <c r="BN54" i="12"/>
  <c r="BW54" i="12"/>
  <c r="CE54" i="12"/>
  <c r="AH55" i="12"/>
  <c r="AP55" i="12"/>
  <c r="AX55" i="12"/>
  <c r="BF55" i="12"/>
  <c r="BN55" i="12"/>
  <c r="BW55" i="12"/>
  <c r="CE55" i="12"/>
  <c r="AH56" i="12"/>
  <c r="AP56" i="12"/>
  <c r="AX56" i="12"/>
  <c r="BF56" i="12"/>
  <c r="BN56" i="12"/>
  <c r="BW56" i="12"/>
  <c r="CE56" i="12"/>
  <c r="AH57" i="12"/>
  <c r="AP57" i="12"/>
  <c r="AX57" i="12"/>
  <c r="BF57" i="12"/>
  <c r="BN57" i="12"/>
  <c r="BW57" i="12"/>
  <c r="CE57" i="12"/>
  <c r="AH58" i="12"/>
  <c r="AP58" i="12"/>
  <c r="AX58" i="12"/>
  <c r="BF58" i="12"/>
  <c r="BN58" i="12"/>
  <c r="BW58" i="12"/>
  <c r="CE58" i="12"/>
  <c r="AH59" i="12"/>
  <c r="AP59" i="12"/>
  <c r="AX59" i="12"/>
  <c r="BF59" i="12"/>
  <c r="BN59" i="12"/>
  <c r="BW59" i="12"/>
  <c r="CE59" i="12"/>
  <c r="AH60" i="12"/>
  <c r="AP60" i="12"/>
  <c r="AX60" i="12"/>
  <c r="BF60" i="12"/>
  <c r="BN60" i="12"/>
  <c r="BW60" i="12"/>
  <c r="CE60" i="12"/>
  <c r="AH61" i="12"/>
  <c r="AP61" i="12"/>
  <c r="AX61" i="12"/>
  <c r="BF61" i="12"/>
  <c r="BN61" i="12"/>
  <c r="BW61" i="12"/>
  <c r="CE61" i="12"/>
  <c r="AH62" i="12"/>
  <c r="AP62" i="12"/>
  <c r="AX62" i="12"/>
  <c r="BF62" i="12"/>
  <c r="BN62" i="12"/>
  <c r="BW62" i="12"/>
  <c r="CE62" i="12"/>
  <c r="AH63" i="12"/>
  <c r="AP63" i="12"/>
  <c r="AX63" i="12"/>
  <c r="BF63" i="12"/>
  <c r="BN63" i="12"/>
  <c r="BW63" i="12"/>
  <c r="CE63" i="12"/>
  <c r="AH64" i="12"/>
  <c r="AP64" i="12"/>
  <c r="AX64" i="12"/>
  <c r="BF64" i="12"/>
  <c r="BN64" i="12"/>
  <c r="BW64" i="12"/>
  <c r="CE64" i="12"/>
  <c r="AH65" i="12"/>
  <c r="AP65" i="12"/>
  <c r="AX65" i="12"/>
  <c r="BF65" i="12"/>
  <c r="BN65" i="12"/>
  <c r="BW65" i="12"/>
  <c r="CE65" i="12"/>
  <c r="AH66" i="12"/>
  <c r="AP66" i="12"/>
  <c r="AX66" i="12"/>
  <c r="BF66" i="12"/>
  <c r="BN66" i="12"/>
  <c r="BW66" i="12"/>
  <c r="CE66" i="12"/>
  <c r="AH67" i="12"/>
  <c r="AP67" i="12"/>
  <c r="AX67" i="12"/>
  <c r="BF67" i="12"/>
  <c r="BN67" i="12"/>
  <c r="BW67" i="12"/>
  <c r="CE67" i="12"/>
  <c r="AH68" i="12"/>
  <c r="AP68" i="12"/>
  <c r="AX68" i="12"/>
  <c r="BF68" i="12"/>
  <c r="BN68" i="12"/>
  <c r="BW68" i="12"/>
  <c r="CE68" i="12"/>
  <c r="AH69" i="12"/>
  <c r="AP69" i="12"/>
  <c r="AX69" i="12"/>
  <c r="BF69" i="12"/>
  <c r="BN69" i="12"/>
  <c r="BW69" i="12"/>
  <c r="CE69" i="12"/>
  <c r="AH70" i="12"/>
  <c r="AP70" i="12"/>
  <c r="AX70" i="12"/>
  <c r="BF70" i="12"/>
  <c r="BN70" i="12"/>
  <c r="BW70" i="12"/>
  <c r="CE70" i="12"/>
  <c r="AH71" i="12"/>
  <c r="AP71" i="12"/>
  <c r="AX71" i="12"/>
  <c r="BF71" i="12"/>
  <c r="BN71" i="12"/>
  <c r="BW71" i="12"/>
  <c r="CE71" i="12"/>
  <c r="AH72" i="12"/>
  <c r="AP72" i="12"/>
  <c r="AX72" i="12"/>
  <c r="BF72" i="12"/>
  <c r="BN72" i="12"/>
  <c r="BW72" i="12"/>
  <c r="CE72" i="12"/>
  <c r="AH73" i="12"/>
  <c r="AP73" i="12"/>
  <c r="AX73" i="12"/>
  <c r="BF73" i="12"/>
  <c r="BN73" i="12"/>
  <c r="BW73" i="12"/>
  <c r="CE73" i="12"/>
  <c r="AH74" i="12"/>
  <c r="AP74" i="12"/>
  <c r="AX74" i="12"/>
  <c r="BF74" i="12"/>
  <c r="BN74" i="12"/>
  <c r="BW74" i="12"/>
  <c r="CE74" i="12"/>
  <c r="AH75" i="12"/>
  <c r="AP75" i="12"/>
  <c r="AX75" i="12"/>
  <c r="BF75" i="12"/>
  <c r="BN75" i="12"/>
  <c r="BW75" i="12"/>
  <c r="CE75" i="12"/>
  <c r="AH76" i="12"/>
  <c r="AP76" i="12"/>
  <c r="AX76" i="12"/>
  <c r="BF76" i="12"/>
  <c r="BN76" i="12"/>
  <c r="BW76" i="12"/>
  <c r="CE76" i="12"/>
  <c r="AH77" i="12"/>
  <c r="AP77" i="12"/>
  <c r="AX77" i="12"/>
  <c r="BF77" i="12"/>
  <c r="BN77" i="12"/>
  <c r="BW77" i="12"/>
  <c r="CE77" i="12"/>
  <c r="AH78" i="12"/>
  <c r="AP78" i="12"/>
  <c r="AX78" i="12"/>
  <c r="BF78" i="12"/>
  <c r="BN78" i="12"/>
  <c r="BW78" i="12"/>
  <c r="CE78" i="12"/>
  <c r="AH79" i="12"/>
  <c r="AP79" i="12"/>
  <c r="AX79" i="12"/>
  <c r="BF79" i="12"/>
  <c r="BN79" i="12"/>
  <c r="BW79" i="12"/>
  <c r="CE79" i="12"/>
  <c r="AH80" i="12"/>
  <c r="AP80" i="12"/>
  <c r="AX80" i="12"/>
  <c r="BF80" i="12"/>
  <c r="BN80" i="12"/>
  <c r="BW80" i="12"/>
  <c r="CE80" i="12"/>
  <c r="AH81" i="12"/>
  <c r="AP81" i="12"/>
  <c r="AX81" i="12"/>
  <c r="BF81" i="12"/>
  <c r="BN81" i="12"/>
  <c r="BW81" i="12"/>
  <c r="CE81" i="12"/>
  <c r="AH82" i="12"/>
  <c r="AP82" i="12"/>
  <c r="AX82" i="12"/>
  <c r="BF82" i="12"/>
  <c r="BN82" i="12"/>
  <c r="BW82" i="12"/>
  <c r="CE82" i="12"/>
  <c r="AH83" i="12"/>
  <c r="AP83" i="12"/>
  <c r="AX83" i="12"/>
  <c r="BF83" i="12"/>
  <c r="BN83" i="12"/>
  <c r="BW83" i="12"/>
  <c r="CE83" i="12"/>
  <c r="AH84" i="12"/>
  <c r="AP84" i="12"/>
  <c r="AX84" i="12"/>
  <c r="BF84" i="12"/>
  <c r="BN84" i="12"/>
  <c r="BW84" i="12"/>
  <c r="CE84" i="12"/>
  <c r="AH85" i="12"/>
  <c r="AP85" i="12"/>
  <c r="AX85" i="12"/>
  <c r="BF85" i="12"/>
  <c r="BN85" i="12"/>
  <c r="BW85" i="12"/>
  <c r="CE85" i="12"/>
  <c r="AH86" i="12"/>
  <c r="AP86" i="12"/>
  <c r="AX86" i="12"/>
  <c r="BF86" i="12"/>
  <c r="BN86" i="12"/>
  <c r="BW86" i="12"/>
  <c r="CE86" i="12"/>
  <c r="AH87" i="12"/>
  <c r="AP87" i="12"/>
  <c r="AX87" i="12"/>
  <c r="BF87" i="12"/>
  <c r="BN87" i="12"/>
  <c r="BW87" i="12"/>
  <c r="CE87" i="12"/>
  <c r="AH88" i="12"/>
  <c r="AP88" i="12"/>
  <c r="AX88" i="12"/>
  <c r="BF88" i="12"/>
  <c r="BN88" i="12"/>
  <c r="BW88" i="12"/>
  <c r="CE88" i="12"/>
  <c r="AH89" i="12"/>
  <c r="AP89" i="12"/>
  <c r="AX89" i="12"/>
  <c r="BF89" i="12"/>
  <c r="BN89" i="12"/>
  <c r="BW89" i="12"/>
  <c r="CE89" i="12"/>
  <c r="AH90" i="12"/>
  <c r="AP90" i="12"/>
  <c r="AX90" i="12"/>
  <c r="BF90" i="12"/>
  <c r="BN90" i="12"/>
  <c r="BW90" i="12"/>
  <c r="CE90" i="12"/>
  <c r="AH91" i="12"/>
  <c r="AP91" i="12"/>
  <c r="AX91" i="12"/>
  <c r="BF91" i="12"/>
  <c r="BN91" i="12"/>
  <c r="BW91" i="12"/>
  <c r="CE91" i="12"/>
  <c r="AH92" i="12"/>
  <c r="AP92" i="12"/>
  <c r="AX92" i="12"/>
  <c r="BF92" i="12"/>
  <c r="BN92" i="12"/>
  <c r="BW92" i="12"/>
  <c r="CE92" i="12"/>
  <c r="AH93" i="12"/>
  <c r="AP93" i="12"/>
  <c r="AX93" i="12"/>
  <c r="BF93" i="12"/>
  <c r="BN93" i="12"/>
  <c r="BW93" i="12"/>
  <c r="CE93" i="12"/>
  <c r="AH94" i="12"/>
  <c r="AP94" i="12"/>
  <c r="AX94" i="12"/>
  <c r="BF94" i="12"/>
  <c r="BN94" i="12"/>
  <c r="BW94" i="12"/>
  <c r="CE94" i="12"/>
  <c r="AH95" i="12"/>
  <c r="AP95" i="12"/>
  <c r="AX95" i="12"/>
  <c r="BF95" i="12"/>
  <c r="BN95" i="12"/>
  <c r="BW95" i="12"/>
  <c r="CE95" i="12"/>
  <c r="AH96" i="12"/>
  <c r="AP96" i="12"/>
  <c r="AX96" i="12"/>
  <c r="BF96" i="12"/>
  <c r="BN96" i="12"/>
  <c r="BW96" i="12"/>
  <c r="CE96" i="12"/>
  <c r="AH97" i="12"/>
  <c r="AP97" i="12"/>
  <c r="AX97" i="12"/>
  <c r="BF97" i="12"/>
  <c r="BN97" i="12"/>
  <c r="BW97" i="12"/>
  <c r="CE97" i="12"/>
  <c r="AH98" i="12"/>
  <c r="AP98" i="12"/>
  <c r="AX98" i="12"/>
  <c r="BF98" i="12"/>
  <c r="BN98" i="12"/>
  <c r="BW98" i="12"/>
  <c r="CE98" i="12"/>
  <c r="AH99" i="12"/>
  <c r="AP99" i="12"/>
  <c r="AX99" i="12"/>
  <c r="BF99" i="12"/>
  <c r="BN99" i="12"/>
  <c r="BW99" i="12"/>
  <c r="CE99" i="12"/>
  <c r="AH100" i="12"/>
  <c r="AP100" i="12"/>
  <c r="AX100" i="12"/>
  <c r="BF100" i="12"/>
  <c r="BN100" i="12"/>
  <c r="BW100" i="12"/>
  <c r="CE100" i="12"/>
  <c r="AH101" i="12"/>
  <c r="AP101" i="12"/>
  <c r="AX101" i="12"/>
  <c r="BF101" i="12"/>
  <c r="BN101" i="12"/>
  <c r="BW101" i="12"/>
  <c r="CE101" i="12"/>
  <c r="AH102" i="12"/>
  <c r="AP102" i="12"/>
  <c r="AX102" i="12"/>
  <c r="BF102" i="12"/>
  <c r="BN102" i="12"/>
  <c r="BW102" i="12"/>
  <c r="CE102" i="12"/>
  <c r="AH103" i="12"/>
  <c r="AP103" i="12"/>
  <c r="AX103" i="12"/>
  <c r="BF103" i="12"/>
  <c r="BN103" i="12"/>
  <c r="BW103" i="12"/>
  <c r="CE103" i="12"/>
  <c r="AH104" i="12"/>
  <c r="AP104" i="12"/>
  <c r="AX104" i="12"/>
  <c r="BF104" i="12"/>
  <c r="BN104" i="12"/>
  <c r="BW104" i="12"/>
  <c r="CE104" i="12"/>
  <c r="AH105" i="12"/>
  <c r="AP105" i="12"/>
  <c r="AX105" i="12"/>
  <c r="BF105" i="12"/>
  <c r="BN105" i="12"/>
  <c r="BW105" i="12"/>
  <c r="CE105" i="12"/>
  <c r="AH106" i="12"/>
  <c r="AP106" i="12"/>
  <c r="AX106" i="12"/>
  <c r="BF106" i="12"/>
  <c r="BN106" i="12"/>
  <c r="BW106" i="12"/>
  <c r="CE106" i="12"/>
  <c r="AH107" i="12"/>
  <c r="AP107" i="12"/>
  <c r="AX107" i="12"/>
  <c r="BF107" i="12"/>
  <c r="BN107" i="12"/>
  <c r="BW107" i="12"/>
  <c r="CE107" i="12"/>
  <c r="AH108" i="12"/>
  <c r="AP108" i="12"/>
  <c r="AX108" i="12"/>
  <c r="BF108" i="12"/>
  <c r="BN108" i="12"/>
  <c r="BW108" i="12"/>
  <c r="CE108" i="12"/>
  <c r="AH109" i="12"/>
  <c r="AP109" i="12"/>
  <c r="AX109" i="12"/>
  <c r="BF109" i="12"/>
  <c r="BN109" i="12"/>
  <c r="BW109" i="12"/>
  <c r="CE109" i="12"/>
  <c r="AH110" i="12"/>
  <c r="AP110" i="12"/>
  <c r="AX110" i="12"/>
  <c r="BF110" i="12"/>
  <c r="BN110" i="12"/>
  <c r="BW110" i="12"/>
  <c r="CE110" i="12"/>
  <c r="AH111" i="12"/>
  <c r="AP111" i="12"/>
  <c r="AX111" i="12"/>
  <c r="BF111" i="12"/>
  <c r="BN111" i="12"/>
  <c r="BW111" i="12"/>
  <c r="CE111" i="12"/>
  <c r="AH112" i="12"/>
  <c r="AP112" i="12"/>
  <c r="AX112" i="12"/>
  <c r="BF112" i="12"/>
  <c r="BN112" i="12"/>
  <c r="BW112" i="12"/>
  <c r="CE112" i="12"/>
  <c r="AH113" i="12"/>
  <c r="AP113" i="12"/>
  <c r="AX113" i="12"/>
  <c r="BF113" i="12"/>
  <c r="BN113" i="12"/>
  <c r="BW113" i="12"/>
  <c r="CE113" i="12"/>
  <c r="AH114" i="12"/>
  <c r="AP114" i="12"/>
  <c r="AX114" i="12"/>
  <c r="BF114" i="12"/>
  <c r="BN114" i="12"/>
  <c r="BW114" i="12"/>
  <c r="CE114" i="12"/>
  <c r="AH115" i="12"/>
  <c r="AP115" i="12"/>
  <c r="AX115" i="12"/>
  <c r="BF115" i="12"/>
  <c r="BN115" i="12"/>
  <c r="BW115" i="12"/>
  <c r="CE115" i="12"/>
  <c r="AH116" i="12"/>
  <c r="AP116" i="12"/>
  <c r="AX116" i="12"/>
  <c r="BF116" i="12"/>
  <c r="BN116" i="12"/>
  <c r="BW116" i="12"/>
  <c r="CE116" i="12"/>
  <c r="AH117" i="12"/>
  <c r="AP117" i="12"/>
  <c r="AX117" i="12"/>
  <c r="BF117" i="12"/>
  <c r="BN117" i="12"/>
  <c r="BW117" i="12"/>
  <c r="CE117" i="12"/>
  <c r="AH118" i="12"/>
  <c r="AP118" i="12"/>
  <c r="AX118" i="12"/>
  <c r="BF118" i="12"/>
  <c r="BN118" i="12"/>
  <c r="BW118" i="12"/>
  <c r="CE118" i="12"/>
  <c r="AH119" i="12"/>
  <c r="AP119" i="12"/>
  <c r="AX119" i="12"/>
  <c r="BF119" i="12"/>
  <c r="BN119" i="12"/>
  <c r="BW119" i="12"/>
  <c r="CE119" i="12"/>
  <c r="AH120" i="12"/>
  <c r="AP120" i="12"/>
  <c r="AX120" i="12"/>
  <c r="BF120" i="12"/>
  <c r="BN120" i="12"/>
  <c r="BW120" i="12"/>
  <c r="CE120" i="12"/>
  <c r="AH121" i="12"/>
  <c r="AP121" i="12"/>
  <c r="AX121" i="12"/>
  <c r="BF121" i="12"/>
  <c r="BN121" i="12"/>
  <c r="BW121" i="12"/>
  <c r="CE121" i="12"/>
  <c r="AH122" i="12"/>
  <c r="AP122" i="12"/>
  <c r="AX122" i="12"/>
  <c r="BF122" i="12"/>
  <c r="BN122" i="12"/>
  <c r="BW122" i="12"/>
  <c r="CE122" i="12"/>
  <c r="AH123" i="12"/>
  <c r="AP123" i="12"/>
  <c r="AX123" i="12"/>
  <c r="BF123" i="12"/>
  <c r="BN123" i="12"/>
  <c r="BW123" i="12"/>
  <c r="CE123" i="12"/>
  <c r="AH124" i="12"/>
  <c r="AP124" i="12"/>
  <c r="AX124" i="12"/>
  <c r="BF124" i="12"/>
  <c r="BN124" i="12"/>
  <c r="BW124" i="12"/>
  <c r="CE124" i="12"/>
  <c r="AH125" i="12"/>
  <c r="AP125" i="12"/>
  <c r="AX125" i="12"/>
  <c r="BF125" i="12"/>
  <c r="BN125" i="12"/>
  <c r="BW125" i="12"/>
  <c r="CE125" i="12"/>
  <c r="AH126" i="12"/>
  <c r="AP126" i="12"/>
  <c r="AX126" i="12"/>
  <c r="BF126" i="12"/>
  <c r="BN126" i="12"/>
  <c r="BW126" i="12"/>
  <c r="CE126" i="12"/>
  <c r="AH127" i="12"/>
  <c r="AP127" i="12"/>
  <c r="AX127" i="12"/>
  <c r="BF127" i="12"/>
  <c r="BN127" i="12"/>
  <c r="BW127" i="12"/>
  <c r="CE127" i="12"/>
  <c r="AH128" i="12"/>
  <c r="AP128" i="12"/>
  <c r="AX128" i="12"/>
  <c r="BF128" i="12"/>
  <c r="BN128" i="12"/>
  <c r="BW128" i="12"/>
  <c r="CE128" i="12"/>
  <c r="AH129" i="12"/>
  <c r="AP129" i="12"/>
  <c r="AX129" i="12"/>
  <c r="BF129" i="12"/>
  <c r="BN129" i="12"/>
  <c r="BW129" i="12"/>
  <c r="CE129" i="12"/>
  <c r="AH130" i="12"/>
  <c r="AP130" i="12"/>
  <c r="AX130" i="12"/>
  <c r="BF130" i="12"/>
  <c r="BN130" i="12"/>
  <c r="BW130" i="12"/>
  <c r="CE130" i="12"/>
  <c r="AH131" i="12"/>
  <c r="AP131" i="12"/>
  <c r="AX131" i="12"/>
  <c r="BF131" i="12"/>
  <c r="BN131" i="12"/>
  <c r="BW131" i="12"/>
  <c r="CE131" i="12"/>
  <c r="AH132" i="12"/>
  <c r="AP132" i="12"/>
  <c r="AX132" i="12"/>
  <c r="BF132" i="12"/>
  <c r="BN132" i="12"/>
  <c r="BW132" i="12"/>
  <c r="CE132" i="12"/>
  <c r="AH133" i="12"/>
  <c r="AP133" i="12"/>
  <c r="AX133" i="12"/>
  <c r="BF133" i="12"/>
  <c r="BN133" i="12"/>
  <c r="BW133" i="12"/>
  <c r="CE133" i="12"/>
  <c r="AH134" i="12"/>
  <c r="AP134" i="12"/>
  <c r="AX134" i="12"/>
  <c r="BF134" i="12"/>
  <c r="BN134" i="12"/>
  <c r="BW134" i="12"/>
  <c r="CE134" i="12"/>
  <c r="AH135" i="12"/>
  <c r="AP135" i="12"/>
  <c r="AX135" i="12"/>
  <c r="BF135" i="12"/>
  <c r="BN135" i="12"/>
  <c r="BW135" i="12"/>
  <c r="CE135" i="12"/>
  <c r="AH136" i="12"/>
  <c r="AP136" i="12"/>
  <c r="AX136" i="12"/>
  <c r="BF136" i="12"/>
  <c r="BN136" i="12"/>
  <c r="BW136" i="12"/>
  <c r="CE136" i="12"/>
  <c r="AH137" i="12"/>
  <c r="AP137" i="12"/>
  <c r="AX137" i="12"/>
  <c r="BF137" i="12"/>
  <c r="BN137" i="12"/>
  <c r="BW137" i="12"/>
  <c r="CE137" i="12"/>
  <c r="AH138" i="12"/>
  <c r="AP138" i="12"/>
  <c r="AX138" i="12"/>
  <c r="BF138" i="12"/>
  <c r="BN138" i="12"/>
  <c r="BW138" i="12"/>
  <c r="CE138" i="12"/>
  <c r="AH139" i="12"/>
  <c r="AP139" i="12"/>
  <c r="AX139" i="12"/>
  <c r="BF139" i="12"/>
  <c r="BN139" i="12"/>
  <c r="BW139" i="12"/>
  <c r="CE139" i="12"/>
  <c r="AH140" i="12"/>
  <c r="AP140" i="12"/>
  <c r="AX140" i="12"/>
  <c r="BF140" i="12"/>
  <c r="BN140" i="12"/>
  <c r="BW140" i="12"/>
  <c r="CE140" i="12"/>
  <c r="AH141" i="12"/>
  <c r="AP141" i="12"/>
  <c r="AX141" i="12"/>
  <c r="BF141" i="12"/>
  <c r="BN141" i="12"/>
  <c r="BW141" i="12"/>
  <c r="CE141" i="12"/>
  <c r="AH142" i="12"/>
  <c r="AP142" i="12"/>
  <c r="AX142" i="12"/>
  <c r="BF142" i="12"/>
  <c r="BN142" i="12"/>
  <c r="BW142" i="12"/>
  <c r="CE142" i="12"/>
  <c r="AH143" i="12"/>
  <c r="AP143" i="12"/>
  <c r="AX143" i="12"/>
  <c r="BF143" i="12"/>
  <c r="BN143" i="12"/>
  <c r="BW143" i="12"/>
  <c r="CE143" i="12"/>
  <c r="AH144" i="12"/>
  <c r="AP144" i="12"/>
  <c r="AX144" i="12"/>
  <c r="BF144" i="12"/>
  <c r="BN144" i="12"/>
  <c r="BW144" i="12"/>
  <c r="CE144" i="12"/>
  <c r="AH145" i="12"/>
  <c r="AP145" i="12"/>
  <c r="AX145" i="12"/>
  <c r="BF145" i="12"/>
  <c r="BN145" i="12"/>
  <c r="BW145" i="12"/>
  <c r="CE145" i="12"/>
  <c r="AH146" i="12"/>
  <c r="AP146" i="12"/>
  <c r="AX146" i="12"/>
  <c r="BF146" i="12"/>
  <c r="BN146" i="12"/>
  <c r="BW146" i="12"/>
  <c r="CE146" i="12"/>
  <c r="AH147" i="12"/>
  <c r="AP147" i="12"/>
  <c r="AX147" i="12"/>
  <c r="BF147" i="12"/>
  <c r="BN147" i="12"/>
  <c r="BW147" i="12"/>
  <c r="CE147" i="12"/>
  <c r="AH148" i="12"/>
  <c r="AP148" i="12"/>
  <c r="AX148" i="12"/>
  <c r="BF148" i="12"/>
  <c r="BN148" i="12"/>
  <c r="BW148" i="12"/>
  <c r="CE148" i="12"/>
  <c r="AH149" i="12"/>
  <c r="AP149" i="12"/>
  <c r="AX149" i="12"/>
  <c r="BF149" i="12"/>
  <c r="BN149" i="12"/>
  <c r="BW149" i="12"/>
  <c r="CE149" i="12"/>
  <c r="AH150" i="12"/>
  <c r="AP150" i="12"/>
  <c r="AX150" i="12"/>
  <c r="BF150" i="12"/>
  <c r="BN150" i="12"/>
  <c r="BW150" i="12"/>
  <c r="CE150" i="12"/>
  <c r="AH151" i="12"/>
  <c r="AP151" i="12"/>
  <c r="AX151" i="12"/>
  <c r="BF151" i="12"/>
  <c r="BN151" i="12"/>
  <c r="BW151" i="12"/>
  <c r="CE151" i="12"/>
  <c r="AH152" i="12"/>
  <c r="AP152" i="12"/>
  <c r="AX152" i="12"/>
  <c r="BF152" i="12"/>
  <c r="BN152" i="12"/>
  <c r="BW152" i="12"/>
  <c r="CE152" i="12"/>
  <c r="AH153" i="12"/>
  <c r="AP153" i="12"/>
  <c r="AX153" i="12"/>
  <c r="BF153" i="12"/>
  <c r="BN153" i="12"/>
  <c r="BW153" i="12"/>
  <c r="CE153" i="12"/>
  <c r="AH154" i="12"/>
  <c r="AP154" i="12"/>
  <c r="AX154" i="12"/>
  <c r="BF154" i="12"/>
  <c r="BN154" i="12"/>
  <c r="BW154" i="12"/>
  <c r="CE154" i="12"/>
  <c r="AH155" i="12"/>
  <c r="AP155" i="12"/>
  <c r="AX155" i="12"/>
  <c r="BF155" i="12"/>
  <c r="BN155" i="12"/>
  <c r="BW155" i="12"/>
  <c r="CE155" i="12"/>
  <c r="AH156" i="12"/>
  <c r="AP156" i="12"/>
  <c r="AX156" i="12"/>
  <c r="BF156" i="12"/>
  <c r="BN156" i="12"/>
  <c r="BW156" i="12"/>
  <c r="CE156" i="12"/>
  <c r="AH157" i="12"/>
  <c r="AP157" i="12"/>
  <c r="AX157" i="12"/>
  <c r="BF157" i="12"/>
  <c r="BN157" i="12"/>
  <c r="BW157" i="12"/>
  <c r="CE157" i="12"/>
  <c r="AH158" i="12"/>
  <c r="AP158" i="12"/>
  <c r="AX158" i="12"/>
  <c r="BF158" i="12"/>
  <c r="BN158" i="12"/>
  <c r="BW158" i="12"/>
  <c r="CE158" i="12"/>
  <c r="AH159" i="12"/>
  <c r="AP159" i="12"/>
  <c r="AX159" i="12"/>
  <c r="BF159" i="12"/>
  <c r="BN159" i="12"/>
  <c r="BW159" i="12"/>
  <c r="CE159" i="12"/>
  <c r="AH160" i="12"/>
  <c r="AP160" i="12"/>
  <c r="AX160" i="12"/>
  <c r="BF160" i="12"/>
  <c r="BN160" i="12"/>
  <c r="BW160" i="12"/>
  <c r="CE160" i="12"/>
  <c r="AH161" i="12"/>
  <c r="AP161" i="12"/>
  <c r="AX161" i="12"/>
  <c r="BF161" i="12"/>
  <c r="BN161" i="12"/>
  <c r="BW161" i="12"/>
  <c r="CE161" i="12"/>
  <c r="AH162" i="12"/>
  <c r="AP162" i="12"/>
  <c r="AX162" i="12"/>
  <c r="BF162" i="12"/>
  <c r="BN162" i="12"/>
  <c r="BW162" i="12"/>
  <c r="CE162" i="12"/>
  <c r="AH163" i="12"/>
  <c r="AP163" i="12"/>
  <c r="AX163" i="12"/>
  <c r="BF163" i="12"/>
  <c r="BN163" i="12"/>
  <c r="BW163" i="12"/>
  <c r="CE163" i="12"/>
  <c r="AH164" i="12"/>
  <c r="AP164" i="12"/>
  <c r="AX164" i="12"/>
  <c r="BF164" i="12"/>
  <c r="BN164" i="12"/>
  <c r="BW164" i="12"/>
  <c r="CE164" i="12"/>
  <c r="AH165" i="12"/>
  <c r="AP165" i="12"/>
  <c r="AX165" i="12"/>
  <c r="BF165" i="12"/>
  <c r="BN165" i="12"/>
  <c r="BW165" i="12"/>
  <c r="CE165" i="12"/>
  <c r="AH166" i="12"/>
  <c r="AP166" i="12"/>
  <c r="AX166" i="12"/>
  <c r="BF166" i="12"/>
  <c r="BN166" i="12"/>
  <c r="BW166" i="12"/>
  <c r="CE166" i="12"/>
  <c r="AH167" i="12"/>
  <c r="AP167" i="12"/>
  <c r="AX167" i="12"/>
  <c r="BF167" i="12"/>
  <c r="BN167" i="12"/>
  <c r="BW167" i="12"/>
  <c r="CE167" i="12"/>
  <c r="AH168" i="12"/>
  <c r="AP168" i="12"/>
  <c r="AX168" i="12"/>
  <c r="BF168" i="12"/>
  <c r="BN168" i="12"/>
  <c r="BW168" i="12"/>
  <c r="CE168" i="12"/>
  <c r="AH169" i="12"/>
  <c r="AP169" i="12"/>
  <c r="AX169" i="12"/>
  <c r="BF169" i="12"/>
  <c r="BN169" i="12"/>
  <c r="BW169" i="12"/>
  <c r="CE169" i="12"/>
  <c r="AH170" i="12"/>
  <c r="AP170" i="12"/>
  <c r="AX170" i="12"/>
  <c r="BF170" i="12"/>
  <c r="BN170" i="12"/>
  <c r="BW170" i="12"/>
  <c r="CE170" i="12"/>
  <c r="AH171" i="12"/>
  <c r="AP171" i="12"/>
  <c r="AX171" i="12"/>
  <c r="BF171" i="12"/>
  <c r="BN171" i="12"/>
  <c r="BW171" i="12"/>
  <c r="CE171" i="12"/>
  <c r="AH172" i="12"/>
  <c r="AP172" i="12"/>
  <c r="AX172" i="12"/>
  <c r="BF172" i="12"/>
  <c r="BN172" i="12"/>
  <c r="BW172" i="12"/>
  <c r="CE172" i="12"/>
  <c r="AH173" i="12"/>
  <c r="AP173" i="12"/>
  <c r="AX173" i="12"/>
  <c r="BF173" i="12"/>
  <c r="BN173" i="12"/>
  <c r="BW173" i="12"/>
  <c r="CE173" i="12"/>
  <c r="AH174" i="12"/>
  <c r="AP174" i="12"/>
  <c r="AX174" i="12"/>
  <c r="BF174" i="12"/>
  <c r="BN174" i="12"/>
  <c r="BW174" i="12"/>
  <c r="CE174" i="12"/>
  <c r="AH175" i="12"/>
  <c r="AP175" i="12"/>
  <c r="AX175" i="12"/>
  <c r="BF175" i="12"/>
  <c r="BN175" i="12"/>
  <c r="BW175" i="12"/>
  <c r="CE175" i="12"/>
  <c r="AH176" i="12"/>
  <c r="AP176" i="12"/>
  <c r="AX176" i="12"/>
  <c r="BF176" i="12"/>
  <c r="BN176" i="12"/>
  <c r="BW176" i="12"/>
  <c r="CE176" i="12"/>
  <c r="AH177" i="12"/>
  <c r="AP177" i="12"/>
  <c r="AX177" i="12"/>
  <c r="BF177" i="12"/>
  <c r="BN177" i="12"/>
  <c r="BW177" i="12"/>
  <c r="CE177" i="12"/>
  <c r="AH178" i="12"/>
  <c r="AP178" i="12"/>
  <c r="AX178" i="12"/>
  <c r="BF178" i="12"/>
  <c r="BN178" i="12"/>
  <c r="BW178" i="12"/>
  <c r="CE178" i="12"/>
  <c r="AH179" i="12"/>
  <c r="AP179" i="12"/>
  <c r="AX179" i="12"/>
  <c r="BF179" i="12"/>
  <c r="BN179" i="12"/>
  <c r="BW179" i="12"/>
  <c r="CE179" i="12"/>
  <c r="AH180" i="12"/>
  <c r="AP180" i="12"/>
  <c r="AX180" i="12"/>
  <c r="BF180" i="12"/>
  <c r="BN180" i="12"/>
  <c r="BW180" i="12"/>
  <c r="CE180" i="12"/>
  <c r="AH181" i="12"/>
  <c r="AP181" i="12"/>
  <c r="AX181" i="12"/>
  <c r="BF181" i="12"/>
  <c r="BN181" i="12"/>
  <c r="BW181" i="12"/>
  <c r="CE181" i="12"/>
  <c r="AH182" i="12"/>
  <c r="AP182" i="12"/>
  <c r="AX182" i="12"/>
  <c r="BF182" i="12"/>
  <c r="BN182" i="12"/>
  <c r="BW182" i="12"/>
  <c r="CE182" i="12"/>
  <c r="AH183" i="12"/>
  <c r="AP183" i="12"/>
  <c r="AX183" i="12"/>
  <c r="BF183" i="12"/>
  <c r="BN183" i="12"/>
  <c r="BW183" i="12"/>
  <c r="CE183" i="12"/>
  <c r="AH184" i="12"/>
  <c r="AP184" i="12"/>
  <c r="AX184" i="12"/>
  <c r="BF184" i="12"/>
  <c r="BN184" i="12"/>
  <c r="BW184" i="12"/>
  <c r="CE184" i="12"/>
  <c r="AH185" i="12"/>
  <c r="AP185" i="12"/>
  <c r="AX185" i="12"/>
  <c r="BF185" i="12"/>
  <c r="BN185" i="12"/>
  <c r="BW185" i="12"/>
  <c r="CE185" i="12"/>
  <c r="AH186" i="12"/>
  <c r="AP186" i="12"/>
  <c r="AX186" i="12"/>
  <c r="BF186" i="12"/>
  <c r="BN186" i="12"/>
  <c r="BW186" i="12"/>
  <c r="CE186" i="12"/>
  <c r="AH187" i="12"/>
  <c r="AP187" i="12"/>
  <c r="AX187" i="12"/>
  <c r="BF187" i="12"/>
  <c r="BN187" i="12"/>
  <c r="BW187" i="12"/>
  <c r="CE187" i="12"/>
  <c r="AH188" i="12"/>
  <c r="AP188" i="12"/>
  <c r="AX188" i="12"/>
  <c r="BF188" i="12"/>
  <c r="BN188" i="12"/>
  <c r="BW188" i="12"/>
  <c r="CE188" i="12"/>
  <c r="AH189" i="12"/>
  <c r="AP189" i="12"/>
  <c r="AX189" i="12"/>
  <c r="BF189" i="12"/>
  <c r="BN189" i="12"/>
  <c r="BW189" i="12"/>
  <c r="CE189" i="12"/>
  <c r="AH190" i="12"/>
  <c r="AP190" i="12"/>
  <c r="AX190" i="12"/>
  <c r="BF190" i="12"/>
  <c r="BN190" i="12"/>
  <c r="BW190" i="12"/>
  <c r="CE190" i="12"/>
  <c r="AH191" i="12"/>
  <c r="AP191" i="12"/>
  <c r="AX191" i="12"/>
  <c r="BF191" i="12"/>
  <c r="BN191" i="12"/>
  <c r="BW191" i="12"/>
  <c r="CE191" i="12"/>
  <c r="AH192" i="12"/>
  <c r="AP192" i="12"/>
  <c r="AX192" i="12"/>
  <c r="BF192" i="12"/>
  <c r="BN192" i="12"/>
  <c r="BW192" i="12"/>
  <c r="CE192" i="12"/>
  <c r="AH193" i="12"/>
  <c r="AP193" i="12"/>
  <c r="AX193" i="12"/>
  <c r="BF193" i="12"/>
  <c r="BN193" i="12"/>
  <c r="BW193" i="12"/>
  <c r="CE193" i="12"/>
  <c r="AH194" i="12"/>
  <c r="AP194" i="12"/>
  <c r="AX194" i="12"/>
  <c r="BF194" i="12"/>
  <c r="BN194" i="12"/>
  <c r="BW194" i="12"/>
  <c r="CE194" i="12"/>
  <c r="AH195" i="12"/>
  <c r="AP195" i="12"/>
  <c r="AX195" i="12"/>
  <c r="BF195" i="12"/>
  <c r="BN195" i="12"/>
  <c r="BW195" i="12"/>
  <c r="CE195" i="12"/>
  <c r="AH196" i="12"/>
  <c r="AP196" i="12"/>
  <c r="AX196" i="12"/>
  <c r="BF196" i="12"/>
  <c r="BN196" i="12"/>
  <c r="BW196" i="12"/>
  <c r="CE196" i="12"/>
  <c r="AH197" i="12"/>
  <c r="AP197" i="12"/>
  <c r="AX197" i="12"/>
  <c r="BF197" i="12"/>
  <c r="BN197" i="12"/>
  <c r="BW197" i="12"/>
  <c r="CE197" i="12"/>
  <c r="AH198" i="12"/>
  <c r="AP198" i="12"/>
  <c r="AX198" i="12"/>
  <c r="BF198" i="12"/>
  <c r="BN198" i="12"/>
  <c r="BW198" i="12"/>
  <c r="CE198" i="12"/>
  <c r="AH199" i="12"/>
  <c r="AP199" i="12"/>
  <c r="AX199" i="12"/>
  <c r="BF199" i="12"/>
  <c r="BN199" i="12"/>
  <c r="BW199" i="12"/>
  <c r="CE199" i="12"/>
  <c r="AH200" i="12"/>
  <c r="AP200" i="12"/>
  <c r="AX200" i="12"/>
  <c r="BF200" i="12"/>
  <c r="BN200" i="12"/>
  <c r="BW200" i="12"/>
  <c r="CE200" i="12"/>
  <c r="AH201" i="12"/>
  <c r="AP201" i="12"/>
  <c r="AX201" i="12"/>
  <c r="BF201" i="12"/>
  <c r="BN201" i="12"/>
  <c r="BW201" i="12"/>
  <c r="CE201" i="12"/>
  <c r="AH202" i="12"/>
  <c r="AP202" i="12"/>
  <c r="AX202" i="12"/>
  <c r="BF202" i="12"/>
  <c r="BN202" i="12"/>
  <c r="BW202" i="12"/>
  <c r="CE202" i="12"/>
  <c r="AH203" i="12"/>
  <c r="AP203" i="12"/>
  <c r="AX203" i="12"/>
  <c r="BF203" i="12"/>
  <c r="BN203" i="12"/>
  <c r="BW203" i="12"/>
  <c r="CE203" i="12"/>
  <c r="AH204" i="12"/>
  <c r="AP204" i="12"/>
  <c r="AX204" i="12"/>
  <c r="BF204" i="12"/>
  <c r="BN204" i="12"/>
  <c r="BW204" i="12"/>
  <c r="CE204" i="12"/>
  <c r="AH205" i="12"/>
  <c r="AP205" i="12"/>
  <c r="AX205" i="12"/>
  <c r="BF205" i="12"/>
  <c r="BN205" i="12"/>
  <c r="BW205" i="12"/>
  <c r="CE205" i="12"/>
  <c r="AH206" i="12"/>
  <c r="AP206" i="12"/>
  <c r="AX206" i="12"/>
  <c r="BF206" i="12"/>
  <c r="BN206" i="12"/>
  <c r="BW206" i="12"/>
  <c r="CE206" i="12"/>
  <c r="AH207" i="12"/>
  <c r="AP207" i="12"/>
  <c r="AX207" i="12"/>
  <c r="BF207" i="12"/>
  <c r="BN207" i="12"/>
  <c r="BW207" i="12"/>
  <c r="CE207" i="12"/>
  <c r="AH208" i="12"/>
  <c r="AP208" i="12"/>
  <c r="AX208" i="12"/>
  <c r="BF208" i="12"/>
  <c r="BN208" i="12"/>
  <c r="BW208" i="12"/>
  <c r="CE208" i="12"/>
  <c r="AH209" i="12"/>
  <c r="AP209" i="12"/>
  <c r="AX209" i="12"/>
  <c r="BF209" i="12"/>
  <c r="BN209" i="12"/>
  <c r="BW209" i="12"/>
  <c r="CE209" i="12"/>
  <c r="AH210" i="12"/>
  <c r="AP210" i="12"/>
  <c r="AX210" i="12"/>
  <c r="BF210" i="12"/>
  <c r="BN210" i="12"/>
  <c r="BW210" i="12"/>
  <c r="CE210" i="12"/>
  <c r="AH211" i="12"/>
  <c r="AP211" i="12"/>
  <c r="AX211" i="12"/>
  <c r="BF211" i="12"/>
  <c r="BN211" i="12"/>
  <c r="BW211" i="12"/>
  <c r="CE211" i="12"/>
  <c r="AH212" i="12"/>
  <c r="AP212" i="12"/>
  <c r="AX212" i="12"/>
  <c r="BF212" i="12"/>
  <c r="BN212" i="12"/>
  <c r="BW212" i="12"/>
  <c r="CE212" i="12"/>
  <c r="AH213" i="12"/>
  <c r="AP213" i="12"/>
  <c r="AX213" i="12"/>
  <c r="BF213" i="12"/>
  <c r="BN213" i="12"/>
  <c r="BW213" i="12"/>
  <c r="CE213" i="12"/>
  <c r="AH214" i="12"/>
  <c r="AP214" i="12"/>
  <c r="AX214" i="12"/>
  <c r="BF214" i="12"/>
  <c r="BN214" i="12"/>
  <c r="BW214" i="12"/>
  <c r="CE214" i="12"/>
  <c r="AH215" i="12"/>
  <c r="AP215" i="12"/>
  <c r="AX215" i="12"/>
  <c r="BF215" i="12"/>
  <c r="BN215" i="12"/>
  <c r="BW215" i="12"/>
  <c r="CE215" i="12"/>
  <c r="AH216" i="12"/>
  <c r="AP216" i="12"/>
  <c r="AX216" i="12"/>
  <c r="BF216" i="12"/>
  <c r="BN216" i="12"/>
  <c r="BW216" i="12"/>
  <c r="CE216" i="12"/>
  <c r="AH217" i="12"/>
  <c r="AP217" i="12"/>
  <c r="AX217" i="12"/>
  <c r="BF217" i="12"/>
  <c r="BN217" i="12"/>
  <c r="BW217" i="12"/>
  <c r="CE217" i="12"/>
  <c r="AH218" i="12"/>
  <c r="AP218" i="12"/>
  <c r="AX218" i="12"/>
  <c r="BF218" i="12"/>
  <c r="BN218" i="12"/>
  <c r="BW218" i="12"/>
  <c r="CE218" i="12"/>
  <c r="AH219" i="12"/>
  <c r="AP219" i="12"/>
  <c r="AX219" i="12"/>
  <c r="BF219" i="12"/>
  <c r="BN219" i="12"/>
  <c r="BW219" i="12"/>
  <c r="CE219" i="12"/>
  <c r="AH220" i="12"/>
  <c r="AP220" i="12"/>
  <c r="AX220" i="12"/>
  <c r="BF220" i="12"/>
  <c r="BN220" i="12"/>
  <c r="BW220" i="12"/>
  <c r="CE220" i="12"/>
  <c r="AH221" i="12"/>
  <c r="AP221" i="12"/>
  <c r="AX221" i="12"/>
  <c r="BF221" i="12"/>
  <c r="BN221" i="12"/>
  <c r="BW221" i="12"/>
  <c r="CE221" i="12"/>
  <c r="AH222" i="12"/>
  <c r="AP222" i="12"/>
  <c r="AX222" i="12"/>
  <c r="BF222" i="12"/>
  <c r="BN222" i="12"/>
  <c r="BW222" i="12"/>
  <c r="CE222" i="12"/>
  <c r="AH223" i="12"/>
  <c r="AP223" i="12"/>
  <c r="AX223" i="12"/>
  <c r="BF223" i="12"/>
  <c r="BN223" i="12"/>
  <c r="BW223" i="12"/>
  <c r="CE223" i="12"/>
  <c r="AH224" i="12"/>
  <c r="AP224" i="12"/>
  <c r="AX224" i="12"/>
  <c r="BF224" i="12"/>
  <c r="BN224" i="12"/>
  <c r="BW224" i="12"/>
  <c r="CE224" i="12"/>
  <c r="AH225" i="12"/>
  <c r="AP225" i="12"/>
  <c r="AX225" i="12"/>
  <c r="BF225" i="12"/>
  <c r="BN225" i="12"/>
  <c r="BW225" i="12"/>
  <c r="CE225" i="12"/>
  <c r="AH226" i="12"/>
  <c r="AP226" i="12"/>
  <c r="AX226" i="12"/>
  <c r="BF226" i="12"/>
  <c r="BN226" i="12"/>
  <c r="BW226" i="12"/>
  <c r="CE226" i="12"/>
  <c r="AH227" i="12"/>
  <c r="AP227" i="12"/>
  <c r="AX227" i="12"/>
  <c r="BF227" i="12"/>
  <c r="BN227" i="12"/>
  <c r="BW227" i="12"/>
  <c r="CE227" i="12"/>
  <c r="AH228" i="12"/>
  <c r="AP228" i="12"/>
  <c r="AX228" i="12"/>
  <c r="BF228" i="12"/>
  <c r="BN228" i="12"/>
  <c r="BW228" i="12"/>
  <c r="CE228" i="12"/>
  <c r="AH229" i="12"/>
  <c r="AP229" i="12"/>
  <c r="AX229" i="12"/>
  <c r="BF229" i="12"/>
  <c r="BN229" i="12"/>
  <c r="BW229" i="12"/>
  <c r="CE229" i="12"/>
  <c r="AH230" i="12"/>
  <c r="AP230" i="12"/>
  <c r="AX230" i="12"/>
  <c r="BF230" i="12"/>
  <c r="BN230" i="12"/>
  <c r="BW230" i="12"/>
  <c r="CE230" i="12"/>
  <c r="AH231" i="12"/>
  <c r="AP231" i="12"/>
  <c r="AX231" i="12"/>
  <c r="BF231" i="12"/>
  <c r="BN231" i="12"/>
  <c r="BW231" i="12"/>
  <c r="CE231" i="12"/>
  <c r="AH232" i="12"/>
  <c r="AP232" i="12"/>
  <c r="AX232" i="12"/>
  <c r="BF232" i="12"/>
  <c r="BN232" i="12"/>
  <c r="BW232" i="12"/>
  <c r="CE232" i="12"/>
  <c r="AH233" i="12"/>
  <c r="AP233" i="12"/>
  <c r="AX233" i="12"/>
  <c r="BF233" i="12"/>
  <c r="BN233" i="12"/>
  <c r="BW233" i="12"/>
  <c r="CE233" i="12"/>
  <c r="AH234" i="12"/>
  <c r="AP234" i="12"/>
  <c r="AX234" i="12"/>
  <c r="BF234" i="12"/>
  <c r="BN234" i="12"/>
  <c r="BW234" i="12"/>
  <c r="CE234" i="12"/>
  <c r="AH235" i="12"/>
  <c r="AP235" i="12"/>
  <c r="AX235" i="12"/>
  <c r="BF235" i="12"/>
  <c r="BN235" i="12"/>
  <c r="BW235" i="12"/>
  <c r="CE235" i="12"/>
  <c r="AH236" i="12"/>
  <c r="AP236" i="12"/>
  <c r="AX236" i="12"/>
  <c r="BF236" i="12"/>
  <c r="BN236" i="12"/>
  <c r="BW236" i="12"/>
  <c r="CE236" i="12"/>
  <c r="AH237" i="12"/>
  <c r="AP237" i="12"/>
  <c r="AX237" i="12"/>
  <c r="BF237" i="12"/>
  <c r="BN237" i="12"/>
  <c r="BW237" i="12"/>
  <c r="CE237" i="12"/>
  <c r="AH238" i="12"/>
  <c r="AP238" i="12"/>
  <c r="AX238" i="12"/>
  <c r="BF238" i="12"/>
  <c r="BN238" i="12"/>
  <c r="BW238" i="12"/>
  <c r="CE238" i="12"/>
  <c r="AH239" i="12"/>
  <c r="AP239" i="12"/>
  <c r="AX239" i="12"/>
  <c r="BF239" i="12"/>
  <c r="BN239" i="12"/>
  <c r="BW239" i="12"/>
  <c r="CE239" i="12"/>
  <c r="AH240" i="12"/>
  <c r="AP240" i="12"/>
  <c r="AX240" i="12"/>
  <c r="BF240" i="12"/>
  <c r="BN240" i="12"/>
  <c r="BW240" i="12"/>
  <c r="CE240" i="12"/>
  <c r="AH241" i="12"/>
  <c r="AP241" i="12"/>
  <c r="AX241" i="12"/>
  <c r="BF241" i="12"/>
  <c r="BN241" i="12"/>
  <c r="BW241" i="12"/>
  <c r="CE241" i="12"/>
  <c r="AH242" i="12"/>
  <c r="AP242" i="12"/>
  <c r="AX242" i="12"/>
  <c r="BF242" i="12"/>
  <c r="BN242" i="12"/>
  <c r="BW242" i="12"/>
  <c r="CE242" i="12"/>
  <c r="AH243" i="12"/>
  <c r="AP243" i="12"/>
  <c r="AX243" i="12"/>
  <c r="BF243" i="12"/>
  <c r="BN243" i="12"/>
  <c r="BW243" i="12"/>
  <c r="CE243" i="12"/>
  <c r="AH244" i="12"/>
  <c r="AP244" i="12"/>
  <c r="AX244" i="12"/>
  <c r="BF244" i="12"/>
  <c r="BN244" i="12"/>
  <c r="BW244" i="12"/>
  <c r="CE244" i="12"/>
  <c r="AH245" i="12"/>
  <c r="AP245" i="12"/>
  <c r="AX245" i="12"/>
  <c r="BF245" i="12"/>
  <c r="BN245" i="12"/>
  <c r="BW245" i="12"/>
  <c r="CE245" i="12"/>
  <c r="AH246" i="12"/>
  <c r="AP246" i="12"/>
  <c r="AX246" i="12"/>
  <c r="BF246" i="12"/>
  <c r="BN246" i="12"/>
  <c r="BW246" i="12"/>
  <c r="CE246" i="12"/>
  <c r="AH247" i="12"/>
  <c r="AP247" i="12"/>
  <c r="AX247" i="12"/>
  <c r="BF247" i="12"/>
  <c r="BN247" i="12"/>
  <c r="BW247" i="12"/>
  <c r="CE247" i="12"/>
  <c r="AH248" i="12"/>
  <c r="AP248" i="12"/>
  <c r="AX248" i="12"/>
  <c r="BF248" i="12"/>
  <c r="BN248" i="12"/>
  <c r="BW248" i="12"/>
  <c r="CE248" i="12"/>
  <c r="AH249" i="12"/>
  <c r="AP249" i="12"/>
  <c r="AX249" i="12"/>
  <c r="BF249" i="12"/>
  <c r="BN249" i="12"/>
  <c r="BW249" i="12"/>
  <c r="CE249" i="12"/>
  <c r="AH250" i="12"/>
  <c r="AP250" i="12"/>
  <c r="AX250" i="12"/>
  <c r="BF250" i="12"/>
  <c r="BN250" i="12"/>
  <c r="BW250" i="12"/>
  <c r="CE250" i="12"/>
  <c r="AH251" i="12"/>
  <c r="AP251" i="12"/>
  <c r="AX251" i="12"/>
  <c r="BF251" i="12"/>
  <c r="BN251" i="12"/>
  <c r="BW251" i="12"/>
  <c r="CE251" i="12"/>
  <c r="AH252" i="12"/>
  <c r="AP252" i="12"/>
  <c r="AX252" i="12"/>
  <c r="BF252" i="12"/>
  <c r="BN252" i="12"/>
  <c r="BW252" i="12"/>
  <c r="CE252" i="12"/>
  <c r="AH253" i="12"/>
  <c r="AP253" i="12"/>
  <c r="AX253" i="12"/>
  <c r="BF253" i="12"/>
  <c r="BN253" i="12"/>
  <c r="BW253" i="12"/>
  <c r="CE253" i="12"/>
  <c r="AH254" i="12"/>
  <c r="AP254" i="12"/>
  <c r="AX254" i="12"/>
  <c r="BF254" i="12"/>
  <c r="BN254" i="12"/>
  <c r="BW254" i="12"/>
  <c r="CE254" i="12"/>
  <c r="AH255" i="12"/>
  <c r="AP255" i="12"/>
  <c r="AX255" i="12"/>
  <c r="BF255" i="12"/>
  <c r="BN255" i="12"/>
  <c r="BW255" i="12"/>
  <c r="CE255" i="12"/>
  <c r="AH256" i="12"/>
  <c r="AP256" i="12"/>
  <c r="AX256" i="12"/>
  <c r="BF256" i="12"/>
  <c r="BN256" i="12"/>
  <c r="BW256" i="12"/>
  <c r="CE256" i="12"/>
  <c r="AH257" i="12"/>
  <c r="AP257" i="12"/>
  <c r="AX257" i="12"/>
  <c r="BF257" i="12"/>
  <c r="BN257" i="12"/>
  <c r="BW257" i="12"/>
  <c r="CE257" i="12"/>
  <c r="AH258" i="12"/>
  <c r="AP258" i="12"/>
  <c r="AX258" i="12"/>
  <c r="BF258" i="12"/>
  <c r="BN258" i="12"/>
  <c r="BW258" i="12"/>
  <c r="CE258" i="12"/>
  <c r="AH259" i="12"/>
  <c r="AP259" i="12"/>
  <c r="AX259" i="12"/>
  <c r="BF259" i="12"/>
  <c r="BN259" i="12"/>
  <c r="BW259" i="12"/>
  <c r="CE259" i="12"/>
  <c r="AH260" i="12"/>
  <c r="AP260" i="12"/>
  <c r="AX260" i="12"/>
  <c r="BF260" i="12"/>
  <c r="BN260" i="12"/>
  <c r="BW260" i="12"/>
  <c r="CE260" i="12"/>
  <c r="AH261" i="12"/>
  <c r="AP261" i="12"/>
  <c r="AX261" i="12"/>
  <c r="BF261" i="12"/>
  <c r="BN261" i="12"/>
  <c r="BW261" i="12"/>
  <c r="CE261" i="12"/>
  <c r="AH262" i="12"/>
  <c r="AP262" i="12"/>
  <c r="AX262" i="12"/>
  <c r="BF262" i="12"/>
  <c r="BN262" i="12"/>
  <c r="BW262" i="12"/>
  <c r="CE262" i="12"/>
  <c r="AH263" i="12"/>
  <c r="AP263" i="12"/>
  <c r="AX263" i="12"/>
  <c r="BF263" i="12"/>
  <c r="BN263" i="12"/>
  <c r="BW263" i="12"/>
  <c r="CE263" i="12"/>
  <c r="AH264" i="12"/>
  <c r="AP264" i="12"/>
  <c r="AX264" i="12"/>
  <c r="BF264" i="12"/>
  <c r="BN264" i="12"/>
  <c r="BW264" i="12"/>
  <c r="CE264" i="12"/>
  <c r="AH265" i="12"/>
  <c r="AP265" i="12"/>
  <c r="AX265" i="12"/>
  <c r="BF265" i="12"/>
  <c r="BN265" i="12"/>
  <c r="BW265" i="12"/>
  <c r="CE265" i="12"/>
  <c r="AH266" i="12"/>
  <c r="AP266" i="12"/>
  <c r="AX266" i="12"/>
  <c r="BF266" i="12"/>
  <c r="BN266" i="12"/>
  <c r="BW266" i="12"/>
  <c r="CE266" i="12"/>
  <c r="AH267" i="12"/>
  <c r="AP267" i="12"/>
  <c r="AX267" i="12"/>
  <c r="BF267" i="12"/>
  <c r="BN267" i="12"/>
  <c r="BW267" i="12"/>
  <c r="CE267" i="12"/>
  <c r="AH268" i="12"/>
  <c r="AP268" i="12"/>
  <c r="AX268" i="12"/>
  <c r="BF268" i="12"/>
  <c r="BN268" i="12"/>
  <c r="BW268" i="12"/>
  <c r="CE268" i="12"/>
  <c r="AH269" i="12"/>
  <c r="AP269" i="12"/>
  <c r="AX269" i="12"/>
  <c r="BF269" i="12"/>
  <c r="BN269" i="12"/>
  <c r="BW269" i="12"/>
  <c r="CE269" i="12"/>
  <c r="AH270" i="12"/>
  <c r="AP270" i="12"/>
  <c r="AX270" i="12"/>
  <c r="BF270" i="12"/>
  <c r="BN270" i="12"/>
  <c r="BW270" i="12"/>
  <c r="CE270" i="12"/>
  <c r="AH271" i="12"/>
  <c r="AP271" i="12"/>
  <c r="AX271" i="12"/>
  <c r="BF271" i="12"/>
  <c r="BN271" i="12"/>
  <c r="BW271" i="12"/>
  <c r="CE271" i="12"/>
  <c r="AH272" i="12"/>
  <c r="AP272" i="12"/>
  <c r="AX272" i="12"/>
  <c r="BF272" i="12"/>
  <c r="BN272" i="12"/>
  <c r="BW272" i="12"/>
  <c r="CE272" i="12"/>
  <c r="AH273" i="12"/>
  <c r="AP273" i="12"/>
  <c r="AX273" i="12"/>
  <c r="BF273" i="12"/>
  <c r="BN273" i="12"/>
  <c r="BW273" i="12"/>
  <c r="CE273" i="12"/>
  <c r="AH274" i="12"/>
  <c r="AP274" i="12"/>
  <c r="AX274" i="12"/>
  <c r="BF274" i="12"/>
  <c r="BN274" i="12"/>
  <c r="BW274" i="12"/>
  <c r="CE274" i="12"/>
  <c r="AH275" i="12"/>
  <c r="AP275" i="12"/>
  <c r="AX275" i="12"/>
  <c r="BF275" i="12"/>
  <c r="BN275" i="12"/>
  <c r="BW275" i="12"/>
  <c r="CE275" i="12"/>
  <c r="AH276" i="12"/>
  <c r="AP276" i="12"/>
  <c r="AX276" i="12"/>
  <c r="BF276" i="12"/>
  <c r="BN276" i="12"/>
  <c r="BW276" i="12"/>
  <c r="CE276" i="12"/>
  <c r="AH277" i="12"/>
  <c r="AP277" i="12"/>
  <c r="AX277" i="12"/>
  <c r="BF277" i="12"/>
  <c r="BN277" i="12"/>
  <c r="BW277" i="12"/>
  <c r="CE277" i="12"/>
  <c r="AH278" i="12"/>
  <c r="AP278" i="12"/>
  <c r="AX278" i="12"/>
  <c r="BF278" i="12"/>
  <c r="BN278" i="12"/>
  <c r="BW278" i="12"/>
  <c r="CE278" i="12"/>
  <c r="AH279" i="12"/>
  <c r="AP279" i="12"/>
  <c r="AX279" i="12"/>
  <c r="BF279" i="12"/>
  <c r="BN279" i="12"/>
  <c r="BW279" i="12"/>
  <c r="CE279" i="12"/>
  <c r="AH280" i="12"/>
  <c r="AP280" i="12"/>
  <c r="AX280" i="12"/>
  <c r="BF280" i="12"/>
  <c r="BN280" i="12"/>
  <c r="BW280" i="12"/>
  <c r="CE280" i="12"/>
  <c r="AH281" i="12"/>
  <c r="AP281" i="12"/>
  <c r="AX281" i="12"/>
  <c r="BF281" i="12"/>
  <c r="BN281" i="12"/>
  <c r="BW281" i="12"/>
  <c r="CE281" i="12"/>
  <c r="AH282" i="12"/>
  <c r="AP282" i="12"/>
  <c r="AX282" i="12"/>
  <c r="BF282" i="12"/>
  <c r="BN282" i="12"/>
  <c r="BW282" i="12"/>
  <c r="CE282" i="12"/>
  <c r="AH283" i="12"/>
  <c r="AP283" i="12"/>
  <c r="AX283" i="12"/>
  <c r="BF283" i="12"/>
  <c r="BN283" i="12"/>
  <c r="BW283" i="12"/>
  <c r="CE283" i="12"/>
  <c r="AH284" i="12"/>
  <c r="AP284" i="12"/>
  <c r="AX284" i="12"/>
  <c r="BF284" i="12"/>
  <c r="BN284" i="12"/>
  <c r="BW284" i="12"/>
  <c r="CE284" i="12"/>
  <c r="AH285" i="12"/>
  <c r="AP285" i="12"/>
  <c r="AX285" i="12"/>
  <c r="BF285" i="12"/>
  <c r="BN285" i="12"/>
  <c r="BW285" i="12"/>
  <c r="CE285" i="12"/>
  <c r="AH286" i="12"/>
  <c r="AP286" i="12"/>
  <c r="AX286" i="12"/>
  <c r="BF286" i="12"/>
  <c r="BN286" i="12"/>
  <c r="BW286" i="12"/>
  <c r="CE286" i="12"/>
  <c r="AH287" i="12"/>
  <c r="AP287" i="12"/>
  <c r="AX287" i="12"/>
  <c r="BF287" i="12"/>
  <c r="BN287" i="12"/>
  <c r="BW287" i="12"/>
  <c r="CE287" i="12"/>
  <c r="AH288" i="12"/>
  <c r="AP288" i="12"/>
  <c r="AX288" i="12"/>
  <c r="BF288" i="12"/>
  <c r="BN288" i="12"/>
  <c r="BW288" i="12"/>
  <c r="CE288" i="12"/>
  <c r="AH289" i="12"/>
  <c r="AP289" i="12"/>
  <c r="AX289" i="12"/>
  <c r="BF289" i="12"/>
  <c r="BN289" i="12"/>
  <c r="BW289" i="12"/>
  <c r="CE289" i="12"/>
  <c r="AH290" i="12"/>
  <c r="AP290" i="12"/>
  <c r="AX290" i="12"/>
  <c r="BF290" i="12"/>
  <c r="BN290" i="12"/>
  <c r="BW290" i="12"/>
  <c r="CE290" i="12"/>
  <c r="AH291" i="12"/>
  <c r="AP291" i="12"/>
  <c r="AX291" i="12"/>
  <c r="BF291" i="12"/>
  <c r="BN291" i="12"/>
  <c r="BW291" i="12"/>
  <c r="CE291" i="12"/>
  <c r="AH292" i="12"/>
  <c r="AP292" i="12"/>
  <c r="AX292" i="12"/>
  <c r="BF292" i="12"/>
  <c r="BN292" i="12"/>
  <c r="BW292" i="12"/>
  <c r="CE292" i="12"/>
  <c r="AH293" i="12"/>
  <c r="AP293" i="12"/>
  <c r="AX293" i="12"/>
  <c r="BF293" i="12"/>
  <c r="BN293" i="12"/>
  <c r="BW293" i="12"/>
  <c r="CE293" i="12"/>
  <c r="AH294" i="12"/>
  <c r="AP294" i="12"/>
  <c r="AX294" i="12"/>
  <c r="BF294" i="12"/>
  <c r="BN294" i="12"/>
  <c r="BW294" i="12"/>
  <c r="CE294" i="12"/>
  <c r="AH295" i="12"/>
  <c r="AP295" i="12"/>
  <c r="AX295" i="12"/>
  <c r="BF295" i="12"/>
  <c r="BN295" i="12"/>
  <c r="BW295" i="12"/>
  <c r="CE295" i="12"/>
  <c r="AH296" i="12"/>
  <c r="AP296" i="12"/>
  <c r="AX296" i="12"/>
  <c r="BF296" i="12"/>
  <c r="BN296" i="12"/>
  <c r="BW296" i="12"/>
  <c r="CE296" i="12"/>
  <c r="AH297" i="12"/>
  <c r="AP297" i="12"/>
  <c r="AX297" i="12"/>
  <c r="BF297" i="12"/>
  <c r="BN297" i="12"/>
  <c r="BW297" i="12"/>
  <c r="CE297" i="12"/>
  <c r="AH298" i="12"/>
  <c r="AP298" i="12"/>
  <c r="AX298" i="12"/>
  <c r="BF298" i="12"/>
  <c r="BN298" i="12"/>
  <c r="BW298" i="12"/>
  <c r="CE298" i="12"/>
  <c r="AH299" i="12"/>
  <c r="AP299" i="12"/>
  <c r="AX299" i="12"/>
  <c r="BF299" i="12"/>
  <c r="BN299" i="12"/>
  <c r="BW299" i="12"/>
  <c r="CE299" i="12"/>
  <c r="AH300" i="12"/>
  <c r="AP300" i="12"/>
  <c r="AX300" i="12"/>
  <c r="BF300" i="12"/>
  <c r="BN300" i="12"/>
  <c r="BW300" i="12"/>
  <c r="CE300" i="12"/>
  <c r="AH301" i="12"/>
  <c r="AP301" i="12"/>
  <c r="AX301" i="12"/>
  <c r="BF301" i="12"/>
  <c r="BN301" i="12"/>
  <c r="BW301" i="12"/>
  <c r="CE301" i="12"/>
  <c r="E51" i="30" l="1"/>
  <c r="E50" i="30"/>
  <c r="E49" i="30"/>
  <c r="E48" i="30"/>
  <c r="E47" i="30"/>
  <c r="B333" i="74" l="1"/>
  <c r="B208" i="74"/>
  <c r="C168" i="1" l="1"/>
  <c r="B622" i="74"/>
  <c r="Y144" i="6"/>
  <c r="Y141" i="6"/>
  <c r="Y114" i="6"/>
  <c r="Y111" i="6"/>
  <c r="Y108" i="6"/>
  <c r="Y105" i="6"/>
  <c r="Y102" i="6"/>
  <c r="V89" i="6"/>
  <c r="S89" i="6"/>
  <c r="Y86" i="6"/>
  <c r="Y83" i="6"/>
  <c r="Y59" i="6"/>
  <c r="Y56" i="6"/>
  <c r="Y53" i="6"/>
  <c r="Y50" i="6"/>
  <c r="Y29" i="6"/>
  <c r="Y13" i="6"/>
  <c r="B160" i="74"/>
  <c r="B413" i="74" l="1"/>
  <c r="AB13" i="6"/>
  <c r="H51" i="24" s="1"/>
  <c r="B432" i="74"/>
  <c r="B447" i="74"/>
  <c r="B510" i="74"/>
  <c r="V18" i="6"/>
  <c r="S18" i="6"/>
  <c r="B444" i="74"/>
  <c r="B485" i="74"/>
  <c r="B424" i="74"/>
  <c r="B435" i="74"/>
  <c r="B438" i="74"/>
  <c r="B466" i="74"/>
  <c r="B479" i="74"/>
  <c r="B491" i="74"/>
  <c r="B441" i="74"/>
  <c r="B469" i="74"/>
  <c r="B482" i="74"/>
  <c r="B494" i="74"/>
  <c r="B516" i="74"/>
  <c r="B414" i="74"/>
  <c r="V158" i="6"/>
  <c r="B527" i="74"/>
  <c r="B402" i="74"/>
  <c r="B277" i="74"/>
  <c r="S75" i="6"/>
  <c r="S96" i="6"/>
  <c r="B474" i="74" s="1"/>
  <c r="B470" i="74"/>
  <c r="S134" i="6"/>
  <c r="B501" i="74"/>
  <c r="V75" i="6"/>
  <c r="V96" i="6"/>
  <c r="B475" i="74" s="1"/>
  <c r="B471" i="74"/>
  <c r="V134" i="6"/>
  <c r="B502" i="74"/>
  <c r="S158" i="6"/>
  <c r="AF151" i="6" s="1"/>
  <c r="B526" i="74"/>
  <c r="B401" i="74"/>
  <c r="B276" i="74"/>
  <c r="V45" i="6"/>
  <c r="S47" i="6" s="1"/>
  <c r="Y38" i="6"/>
  <c r="M51" i="24" l="1"/>
  <c r="B1266" i="74" s="1"/>
  <c r="B1242" i="74"/>
  <c r="AF90" i="6"/>
  <c r="B505" i="74"/>
  <c r="AF128" i="6"/>
  <c r="AF91" i="6"/>
  <c r="B462" i="74"/>
  <c r="AF72" i="6"/>
  <c r="B506" i="74"/>
  <c r="AF129" i="6"/>
  <c r="B461" i="74"/>
  <c r="AF71" i="6"/>
  <c r="B531" i="74"/>
  <c r="AF152" i="6"/>
  <c r="B429" i="74"/>
  <c r="Y158" i="6"/>
  <c r="B530" i="74"/>
  <c r="Y75" i="6"/>
  <c r="Y134" i="6"/>
  <c r="Y96" i="6"/>
  <c r="C167" i="1"/>
  <c r="E40" i="30"/>
  <c r="B1403" i="74"/>
  <c r="B1283" i="74"/>
  <c r="E34" i="30"/>
  <c r="B476" i="74" l="1"/>
  <c r="B532" i="74"/>
  <c r="B507" i="74"/>
  <c r="B463" i="74"/>
  <c r="B640" i="74" l="1"/>
  <c r="B289" i="74" l="1"/>
  <c r="G18" i="6"/>
  <c r="M29" i="6"/>
  <c r="AB29" i="6" s="1"/>
  <c r="AF29" i="6" s="1"/>
  <c r="B174" i="74" l="1"/>
  <c r="B299" i="74"/>
  <c r="S25" i="6"/>
  <c r="B415" i="74"/>
  <c r="V25" i="6"/>
  <c r="B416" i="74"/>
  <c r="S166" i="6" l="1"/>
  <c r="AF21" i="6"/>
  <c r="V166" i="6"/>
  <c r="AF22" i="6"/>
  <c r="B419" i="74"/>
  <c r="Y25" i="6"/>
  <c r="B420" i="74"/>
  <c r="Y166" i="6" l="1"/>
  <c r="B533" i="74"/>
  <c r="B421" i="74"/>
  <c r="B534" i="74"/>
  <c r="B1394" i="74"/>
  <c r="E23" i="30"/>
  <c r="B535" i="74" l="1"/>
  <c r="C256" i="52" l="1"/>
  <c r="C136" i="52"/>
  <c r="A6" i="52"/>
  <c r="A7" i="52"/>
  <c r="C111" i="52"/>
  <c r="C135" i="52"/>
  <c r="C166" i="52"/>
  <c r="C255" i="52"/>
  <c r="C282" i="52"/>
  <c r="C295" i="52"/>
  <c r="C306" i="52"/>
  <c r="C313" i="52"/>
  <c r="C336" i="52"/>
  <c r="C359" i="52"/>
  <c r="C368" i="52"/>
  <c r="C385" i="52"/>
  <c r="C407" i="52"/>
  <c r="C449" i="52"/>
  <c r="A5" i="52"/>
  <c r="C424" i="52" l="1"/>
  <c r="C401" i="52"/>
  <c r="C400" i="52"/>
  <c r="C216" i="52"/>
  <c r="C129" i="52"/>
  <c r="C330" i="52"/>
  <c r="C329" i="52"/>
  <c r="C248" i="52"/>
  <c r="C247" i="52"/>
  <c r="C25" i="52"/>
  <c r="C24" i="52"/>
  <c r="C341" i="52"/>
  <c r="C130" i="52" l="1"/>
  <c r="C442" i="52"/>
  <c r="C92" i="52"/>
  <c r="C290" i="52"/>
  <c r="B1272" i="74"/>
  <c r="R68" i="12" l="1"/>
  <c r="R287" i="12"/>
  <c r="R181" i="12"/>
  <c r="R219" i="12"/>
  <c r="R301" i="12" l="1"/>
  <c r="R300" i="12"/>
  <c r="R299" i="12"/>
  <c r="R298" i="12"/>
  <c r="R297" i="12"/>
  <c r="R296" i="12"/>
  <c r="R295" i="12"/>
  <c r="R294" i="12"/>
  <c r="R293" i="12"/>
  <c r="R292" i="12"/>
  <c r="R291" i="12"/>
  <c r="R290" i="12"/>
  <c r="R289" i="12"/>
  <c r="R288" i="12"/>
  <c r="R286" i="12"/>
  <c r="R285" i="12"/>
  <c r="R284" i="12"/>
  <c r="R283" i="12"/>
  <c r="R282" i="12"/>
  <c r="R281" i="12"/>
  <c r="R280" i="12"/>
  <c r="R279" i="12"/>
  <c r="R278" i="12"/>
  <c r="R277" i="12"/>
  <c r="R276" i="12"/>
  <c r="R275" i="12"/>
  <c r="R274" i="12"/>
  <c r="R273" i="12"/>
  <c r="R272" i="12"/>
  <c r="R271" i="12"/>
  <c r="R270" i="12"/>
  <c r="R269" i="12"/>
  <c r="R268" i="12"/>
  <c r="R267" i="12"/>
  <c r="R266" i="12"/>
  <c r="R265" i="12"/>
  <c r="R264" i="12"/>
  <c r="R263" i="12"/>
  <c r="R262" i="12"/>
  <c r="R261" i="12"/>
  <c r="R260" i="12"/>
  <c r="R259" i="12"/>
  <c r="R258" i="12"/>
  <c r="R257" i="12"/>
  <c r="R256" i="12"/>
  <c r="R255" i="12"/>
  <c r="R254" i="12"/>
  <c r="R253" i="12"/>
  <c r="R252" i="12"/>
  <c r="R251" i="12"/>
  <c r="R250" i="12"/>
  <c r="R249" i="12"/>
  <c r="R248" i="12"/>
  <c r="R247" i="12"/>
  <c r="R246" i="12"/>
  <c r="R245" i="12"/>
  <c r="R244" i="12"/>
  <c r="R243" i="12"/>
  <c r="R242" i="12"/>
  <c r="R241" i="12"/>
  <c r="R240" i="12"/>
  <c r="R239" i="12"/>
  <c r="R238" i="12"/>
  <c r="R237" i="12"/>
  <c r="R236" i="12"/>
  <c r="R235" i="12"/>
  <c r="R234" i="12"/>
  <c r="R233" i="12"/>
  <c r="R232" i="12"/>
  <c r="R231" i="12"/>
  <c r="R230" i="12"/>
  <c r="R229" i="12"/>
  <c r="R228" i="12"/>
  <c r="R227" i="12"/>
  <c r="R226" i="12"/>
  <c r="R225" i="12"/>
  <c r="R224" i="12"/>
  <c r="R223" i="12"/>
  <c r="R222" i="12"/>
  <c r="R221" i="12"/>
  <c r="R220" i="12"/>
  <c r="R218" i="12"/>
  <c r="R217" i="12"/>
  <c r="R216" i="12"/>
  <c r="R215" i="12"/>
  <c r="R214" i="12"/>
  <c r="R213" i="12"/>
  <c r="R212" i="12"/>
  <c r="R211" i="12"/>
  <c r="R210" i="12"/>
  <c r="R209" i="12"/>
  <c r="R208" i="12"/>
  <c r="R207" i="12"/>
  <c r="R206" i="12"/>
  <c r="R205" i="12"/>
  <c r="R204" i="12"/>
  <c r="R203" i="12"/>
  <c r="R202" i="12"/>
  <c r="R201" i="12"/>
  <c r="R200" i="12"/>
  <c r="R199" i="12"/>
  <c r="R198" i="12"/>
  <c r="R197" i="12"/>
  <c r="R196" i="12"/>
  <c r="R195" i="12"/>
  <c r="R194" i="12"/>
  <c r="R193" i="12"/>
  <c r="R192" i="12"/>
  <c r="R191" i="12"/>
  <c r="R190" i="12"/>
  <c r="R189" i="12"/>
  <c r="R188" i="12"/>
  <c r="R187" i="12"/>
  <c r="R186" i="12"/>
  <c r="R185" i="12"/>
  <c r="R184" i="12"/>
  <c r="R183" i="12"/>
  <c r="R182" i="12"/>
  <c r="R180" i="12"/>
  <c r="R179" i="12"/>
  <c r="R178" i="12"/>
  <c r="R177" i="12"/>
  <c r="R176" i="12"/>
  <c r="R175" i="12"/>
  <c r="R174" i="12"/>
  <c r="R173" i="12"/>
  <c r="R172" i="12"/>
  <c r="R171" i="12"/>
  <c r="R170" i="12"/>
  <c r="R169" i="12"/>
  <c r="R168" i="12"/>
  <c r="R167" i="12"/>
  <c r="R166" i="12"/>
  <c r="R165" i="12"/>
  <c r="R164" i="12"/>
  <c r="R163" i="12"/>
  <c r="R162" i="12"/>
  <c r="R161" i="12"/>
  <c r="R160" i="12"/>
  <c r="R159" i="12"/>
  <c r="R158" i="12"/>
  <c r="R157" i="12"/>
  <c r="R156" i="12"/>
  <c r="R155" i="12"/>
  <c r="R154" i="12"/>
  <c r="R153" i="12"/>
  <c r="R152" i="12"/>
  <c r="R151" i="12"/>
  <c r="R150" i="12"/>
  <c r="R149" i="12"/>
  <c r="R148" i="12"/>
  <c r="R147" i="12"/>
  <c r="R146" i="12"/>
  <c r="R145" i="12"/>
  <c r="R144" i="12"/>
  <c r="R143" i="12"/>
  <c r="R142" i="12"/>
  <c r="R141" i="12"/>
  <c r="R140" i="12"/>
  <c r="R139" i="12"/>
  <c r="R138" i="12"/>
  <c r="R137" i="12"/>
  <c r="R136" i="12"/>
  <c r="R135" i="12"/>
  <c r="R134" i="12"/>
  <c r="R133" i="12"/>
  <c r="R132" i="12"/>
  <c r="R131" i="12"/>
  <c r="R130" i="12"/>
  <c r="R129" i="12"/>
  <c r="R128" i="12"/>
  <c r="R127" i="12"/>
  <c r="R126" i="12"/>
  <c r="R125" i="12"/>
  <c r="R124" i="12"/>
  <c r="R123" i="12"/>
  <c r="R122" i="12"/>
  <c r="R121" i="12"/>
  <c r="R120" i="12"/>
  <c r="R119" i="12"/>
  <c r="R118" i="12"/>
  <c r="R117" i="12"/>
  <c r="R116" i="12"/>
  <c r="R115" i="12"/>
  <c r="R114" i="12"/>
  <c r="R113" i="12"/>
  <c r="R112" i="12"/>
  <c r="R111" i="12"/>
  <c r="R110" i="12"/>
  <c r="R109" i="12"/>
  <c r="R108" i="12"/>
  <c r="R107" i="12"/>
  <c r="R106" i="12"/>
  <c r="R105" i="12"/>
  <c r="R104" i="12"/>
  <c r="R103" i="12"/>
  <c r="R102" i="12"/>
  <c r="R101" i="12"/>
  <c r="R100" i="12"/>
  <c r="R99" i="12"/>
  <c r="R98" i="12"/>
  <c r="R97" i="12"/>
  <c r="R96" i="12"/>
  <c r="R95" i="12"/>
  <c r="R94" i="12"/>
  <c r="R93" i="12"/>
  <c r="R92" i="12"/>
  <c r="R91" i="12"/>
  <c r="R90" i="12"/>
  <c r="R89" i="12"/>
  <c r="R88" i="12"/>
  <c r="R87" i="12"/>
  <c r="R86" i="12"/>
  <c r="R85" i="12"/>
  <c r="R84" i="12"/>
  <c r="R83" i="12"/>
  <c r="R82" i="12"/>
  <c r="R81" i="12"/>
  <c r="R80" i="12"/>
  <c r="R79" i="12"/>
  <c r="R78" i="12"/>
  <c r="R77" i="12"/>
  <c r="R76" i="12"/>
  <c r="R75" i="12"/>
  <c r="R74" i="12"/>
  <c r="R73" i="12"/>
  <c r="R72" i="12"/>
  <c r="R71" i="12"/>
  <c r="R70" i="12"/>
  <c r="R69" i="12"/>
  <c r="R67" i="12"/>
  <c r="R66" i="12"/>
  <c r="R65" i="12"/>
  <c r="R64" i="12"/>
  <c r="R63" i="12"/>
  <c r="R62" i="12"/>
  <c r="R61" i="12"/>
  <c r="R60" i="12"/>
  <c r="R59" i="12"/>
  <c r="R58" i="12"/>
  <c r="R57" i="12"/>
  <c r="R56" i="12"/>
  <c r="R55" i="12"/>
  <c r="R54" i="12"/>
  <c r="R53" i="12"/>
  <c r="R52" i="12"/>
  <c r="R51" i="12"/>
  <c r="R50" i="12"/>
  <c r="R49" i="12"/>
  <c r="R48" i="12"/>
  <c r="R47" i="12"/>
  <c r="R46" i="12"/>
  <c r="R45" i="12"/>
  <c r="R44" i="12"/>
  <c r="R43" i="12"/>
  <c r="R42" i="12"/>
  <c r="R41" i="12"/>
  <c r="R40" i="12"/>
  <c r="R39" i="12"/>
  <c r="R38" i="12"/>
  <c r="R37" i="12"/>
  <c r="R36" i="12"/>
  <c r="R35" i="12"/>
  <c r="R34" i="12"/>
  <c r="R33" i="12"/>
  <c r="R32" i="12"/>
  <c r="R31" i="12"/>
  <c r="R30" i="12"/>
  <c r="R29" i="12"/>
  <c r="R28" i="12"/>
  <c r="R27" i="12"/>
  <c r="R26" i="12"/>
  <c r="R25" i="12"/>
  <c r="R24" i="12"/>
  <c r="R23" i="12"/>
  <c r="R22" i="12"/>
  <c r="R21" i="12"/>
  <c r="R20" i="12"/>
  <c r="R19" i="12"/>
  <c r="R18" i="12"/>
  <c r="R17" i="12"/>
  <c r="R16" i="12"/>
  <c r="R15" i="12"/>
  <c r="R14" i="12"/>
  <c r="R13" i="12"/>
  <c r="R12" i="12"/>
  <c r="R11" i="12"/>
  <c r="R10" i="12"/>
  <c r="R9" i="12"/>
  <c r="R8" i="12"/>
  <c r="R7" i="12"/>
  <c r="R6" i="12"/>
  <c r="B621" i="74" l="1"/>
  <c r="Q205" i="1" l="1"/>
  <c r="M205" i="1" l="1"/>
  <c r="B606" i="74"/>
  <c r="N65" i="23"/>
  <c r="B596" i="74" l="1"/>
  <c r="B376" i="74" l="1"/>
  <c r="B251" i="74"/>
  <c r="B131" i="74" l="1"/>
  <c r="B130" i="74"/>
  <c r="B129" i="74"/>
  <c r="B128" i="74" l="1"/>
  <c r="W205" i="1"/>
  <c r="M144" i="6"/>
  <c r="C252" i="1" l="1"/>
  <c r="A252" i="1" s="1"/>
  <c r="B391" i="74"/>
  <c r="AB144" i="6"/>
  <c r="AF144" i="6" s="1"/>
  <c r="B651" i="74"/>
  <c r="B266" i="74" l="1"/>
  <c r="E38" i="24"/>
  <c r="M59" i="6"/>
  <c r="AB59" i="6" s="1"/>
  <c r="AF59" i="6" s="1"/>
  <c r="B322" i="74" l="1"/>
  <c r="M1" i="52"/>
  <c r="M313" i="52" s="1"/>
  <c r="B197" i="74" l="1"/>
  <c r="E26" i="24"/>
  <c r="B635" i="74" l="1"/>
  <c r="B630" i="74"/>
  <c r="J69" i="23"/>
  <c r="B604" i="74" s="1"/>
  <c r="H65" i="23"/>
  <c r="B593" i="74" s="1"/>
  <c r="S279" i="1"/>
  <c r="M279" i="1"/>
  <c r="M96" i="1"/>
  <c r="M185" i="1" s="1"/>
  <c r="J65" i="23"/>
  <c r="B594" i="74" s="1"/>
  <c r="T279" i="1"/>
  <c r="E279" i="1"/>
  <c r="B15" i="74" s="1"/>
  <c r="A63" i="1"/>
  <c r="Q96" i="1"/>
  <c r="Q175" i="1" s="1"/>
  <c r="B634" i="74"/>
  <c r="B603" i="74"/>
  <c r="K281" i="1"/>
  <c r="R279" i="1"/>
  <c r="N279" i="1"/>
  <c r="O96" i="1"/>
  <c r="O175" i="1" s="1"/>
  <c r="L69" i="23"/>
  <c r="F69" i="23" s="1"/>
  <c r="P279" i="1"/>
  <c r="B633" i="74"/>
  <c r="B629" i="74"/>
  <c r="L65" i="23"/>
  <c r="U279" i="1"/>
  <c r="Q279" i="1"/>
  <c r="K279" i="1"/>
  <c r="B16" i="74" s="1"/>
  <c r="B631" i="74"/>
  <c r="J53" i="23"/>
  <c r="X57" i="1"/>
  <c r="X208" i="1"/>
  <c r="AG124" i="6"/>
  <c r="AG122" i="6"/>
  <c r="AG120" i="6"/>
  <c r="O279" i="1"/>
  <c r="J10" i="41" s="1"/>
  <c r="K118" i="22"/>
  <c r="D51" i="30"/>
  <c r="B1439" i="74" s="1"/>
  <c r="D48" i="30"/>
  <c r="B1435" i="74" s="1"/>
  <c r="D50" i="30"/>
  <c r="D47" i="30"/>
  <c r="D49" i="30"/>
  <c r="B1437" i="74" s="1"/>
  <c r="D41" i="30"/>
  <c r="B1432" i="74" s="1"/>
  <c r="D27" i="24"/>
  <c r="B1297" i="74" s="1"/>
  <c r="D34" i="30"/>
  <c r="B1427" i="74" s="1"/>
  <c r="D37" i="24"/>
  <c r="B1305" i="74" s="1"/>
  <c r="D38" i="24"/>
  <c r="B1306" i="74" s="1"/>
  <c r="D33" i="30"/>
  <c r="B1426" i="74" s="1"/>
  <c r="B14" i="74"/>
  <c r="D23" i="30"/>
  <c r="B1418" i="74" s="1"/>
  <c r="B628" i="74"/>
  <c r="B627" i="74"/>
  <c r="B623" i="74"/>
  <c r="B624" i="74"/>
  <c r="B626" i="74"/>
  <c r="W279" i="1"/>
  <c r="V279" i="1"/>
  <c r="X205" i="1"/>
  <c r="H64" i="23"/>
  <c r="R51" i="23"/>
  <c r="D31" i="30"/>
  <c r="B1424" i="74" s="1"/>
  <c r="R31" i="23"/>
  <c r="D39" i="30"/>
  <c r="B1430" i="74" s="1"/>
  <c r="D32" i="30"/>
  <c r="B1425" i="74" s="1"/>
  <c r="D29" i="30"/>
  <c r="B1422" i="74" s="1"/>
  <c r="D47" i="24"/>
  <c r="D36" i="24"/>
  <c r="B1304" i="74" s="1"/>
  <c r="D33" i="24"/>
  <c r="B1301" i="74" s="1"/>
  <c r="D23" i="24"/>
  <c r="B1293" i="74" s="1"/>
  <c r="D25" i="30"/>
  <c r="B1420" i="74" s="1"/>
  <c r="D44" i="30"/>
  <c r="B1433" i="74" s="1"/>
  <c r="D38" i="30"/>
  <c r="B1429" i="74" s="1"/>
  <c r="D28" i="30"/>
  <c r="B1421" i="74" s="1"/>
  <c r="D22" i="30"/>
  <c r="B1417" i="74" s="1"/>
  <c r="B1308" i="74"/>
  <c r="D35" i="24"/>
  <c r="B1303" i="74" s="1"/>
  <c r="D32" i="24"/>
  <c r="B1300" i="74" s="1"/>
  <c r="D26" i="24"/>
  <c r="B1296" i="74" s="1"/>
  <c r="S35" i="41"/>
  <c r="D21" i="30"/>
  <c r="B1416" i="74" s="1"/>
  <c r="D40" i="24"/>
  <c r="B1307" i="74" s="1"/>
  <c r="D34" i="24"/>
  <c r="B1302" i="74" s="1"/>
  <c r="D31" i="24"/>
  <c r="B1299" i="74" s="1"/>
  <c r="D40" i="30"/>
  <c r="B1431" i="74" s="1"/>
  <c r="D24" i="30"/>
  <c r="B1419" i="74" s="1"/>
  <c r="D28" i="24"/>
  <c r="B1298" i="74" s="1"/>
  <c r="D24" i="24"/>
  <c r="B1294" i="74" s="1"/>
  <c r="D37" i="30"/>
  <c r="B1428" i="74" s="1"/>
  <c r="B1310" i="74" l="1"/>
  <c r="G47" i="24"/>
  <c r="B638" i="74"/>
  <c r="K54" i="1"/>
  <c r="G50" i="30"/>
  <c r="B1340" i="74" s="1"/>
  <c r="B1438" i="74"/>
  <c r="G47" i="30"/>
  <c r="B1337" i="74" s="1"/>
  <c r="B1434" i="74"/>
  <c r="B86" i="74"/>
  <c r="G48" i="41"/>
  <c r="Q214" i="1"/>
  <c r="B142" i="74" s="1"/>
  <c r="Q217" i="1"/>
  <c r="B146" i="74" s="1"/>
  <c r="O217" i="1"/>
  <c r="B145" i="74" s="1"/>
  <c r="O214" i="1"/>
  <c r="B141" i="74" s="1"/>
  <c r="H52" i="23"/>
  <c r="C6" i="41"/>
  <c r="C7" i="6"/>
  <c r="G48" i="30"/>
  <c r="G49" i="30"/>
  <c r="G51" i="30"/>
  <c r="V11" i="6"/>
  <c r="J31" i="41"/>
  <c r="J11" i="6"/>
  <c r="G38" i="24"/>
  <c r="B1217" i="74" s="1"/>
  <c r="G34" i="30"/>
  <c r="B1330" i="74" s="1"/>
  <c r="B636" i="74"/>
  <c r="G23" i="30"/>
  <c r="B1321" i="74" s="1"/>
  <c r="Q51" i="23"/>
  <c r="C77" i="23" s="1"/>
  <c r="B595" i="74"/>
  <c r="F65" i="23"/>
  <c r="B605" i="74"/>
  <c r="Q31" i="23"/>
  <c r="C76" i="23" s="1"/>
  <c r="H50" i="30" l="1"/>
  <c r="M50" i="30" s="1"/>
  <c r="B1389" i="74" s="1"/>
  <c r="H47" i="30"/>
  <c r="B1361" i="74" s="1"/>
  <c r="F67" i="23"/>
  <c r="H49" i="30"/>
  <c r="B1363" i="74" s="1"/>
  <c r="B1339" i="74"/>
  <c r="H48" i="30"/>
  <c r="B1338" i="74"/>
  <c r="H51" i="30"/>
  <c r="B1341" i="74"/>
  <c r="H34" i="30"/>
  <c r="B1354" i="74" s="1"/>
  <c r="H38" i="24"/>
  <c r="M38" i="24" s="1"/>
  <c r="H23" i="30"/>
  <c r="M23" i="30" s="1"/>
  <c r="B1370" i="74" s="1"/>
  <c r="Q69" i="23"/>
  <c r="B602" i="74"/>
  <c r="B601" i="74"/>
  <c r="L67" i="23"/>
  <c r="H67" i="23"/>
  <c r="J67" i="23"/>
  <c r="B592" i="74"/>
  <c r="Q65" i="23"/>
  <c r="B1364" i="74" l="1"/>
  <c r="M47" i="30"/>
  <c r="B1386" i="74" s="1"/>
  <c r="M49" i="30"/>
  <c r="B1388" i="74" s="1"/>
  <c r="M51" i="30"/>
  <c r="B1365" i="74"/>
  <c r="M48" i="30"/>
  <c r="B1387" i="74" s="1"/>
  <c r="B1362" i="74"/>
  <c r="M34" i="30"/>
  <c r="Y34" i="30" s="1"/>
  <c r="B1260" i="74"/>
  <c r="B1239" i="74"/>
  <c r="B1345" i="74"/>
  <c r="B599" i="74"/>
  <c r="B598" i="74"/>
  <c r="B600" i="74"/>
  <c r="B597" i="74"/>
  <c r="Q67" i="23"/>
  <c r="H75" i="22"/>
  <c r="F81" i="22" s="1"/>
  <c r="H35" i="22"/>
  <c r="B639" i="74" s="1"/>
  <c r="I6" i="51"/>
  <c r="J20" i="41" l="1"/>
  <c r="B1390" i="74"/>
  <c r="B1379" i="74"/>
  <c r="B543" i="74" l="1"/>
  <c r="M20" i="41"/>
  <c r="E43" i="24" s="1"/>
  <c r="AF13" i="6"/>
  <c r="B288" i="74"/>
  <c r="I18" i="22"/>
  <c r="I87" i="22" s="1"/>
  <c r="Y58" i="51"/>
  <c r="M141" i="6"/>
  <c r="AB141" i="6" s="1"/>
  <c r="Q37" i="1" l="1"/>
  <c r="B544" i="74"/>
  <c r="B260" i="74"/>
  <c r="B385" i="74"/>
  <c r="B163" i="74"/>
  <c r="E19" i="24"/>
  <c r="E22" i="30"/>
  <c r="G89" i="6" l="1"/>
  <c r="B345" i="74" l="1"/>
  <c r="B220" i="74"/>
  <c r="L1" i="52"/>
  <c r="L365" i="52" s="1"/>
  <c r="B620" i="74" l="1"/>
  <c r="AC26" i="24" l="1"/>
  <c r="AC25" i="24"/>
  <c r="B1267" i="74" l="1"/>
  <c r="B670" i="74" l="1"/>
  <c r="B377" i="74" l="1"/>
  <c r="B252" i="74"/>
  <c r="M105" i="6"/>
  <c r="AB105" i="6" s="1"/>
  <c r="AF105" i="6" s="1"/>
  <c r="B357" i="74" l="1"/>
  <c r="B232" i="74" l="1"/>
  <c r="E32" i="24"/>
  <c r="C285" i="52"/>
  <c r="C437" i="52"/>
  <c r="G45" i="6"/>
  <c r="K1" i="52" l="1"/>
  <c r="K313" i="52" l="1"/>
  <c r="K92" i="52"/>
  <c r="L92" i="52" s="1"/>
  <c r="M92" i="52" s="1"/>
  <c r="B290" i="74"/>
  <c r="B164" i="74"/>
  <c r="B637" i="74" l="1"/>
  <c r="K37" i="1"/>
  <c r="C69" i="1" s="1"/>
  <c r="K41" i="1" l="1"/>
  <c r="B617" i="74"/>
  <c r="H32" i="23"/>
  <c r="S208" i="1" l="1"/>
  <c r="M208" i="1" s="1"/>
  <c r="B135" i="74" l="1"/>
  <c r="C53" i="41"/>
  <c r="J48" i="41"/>
  <c r="G53" i="41"/>
  <c r="B625" i="74"/>
  <c r="B632" i="74" s="1"/>
  <c r="C48" i="41"/>
  <c r="S196" i="1" l="1"/>
  <c r="AC20" i="30"/>
  <c r="B696" i="74" l="1"/>
  <c r="B695" i="74"/>
  <c r="B691" i="74"/>
  <c r="B690" i="74"/>
  <c r="B688" i="74"/>
  <c r="B687" i="74"/>
  <c r="B686" i="74"/>
  <c r="B685" i="74"/>
  <c r="B684" i="74"/>
  <c r="B683" i="74"/>
  <c r="B676" i="74"/>
  <c r="B675" i="74"/>
  <c r="B674" i="74"/>
  <c r="B672" i="74"/>
  <c r="B669" i="74"/>
  <c r="B668" i="74"/>
  <c r="B666" i="74"/>
  <c r="B665" i="74"/>
  <c r="B664" i="74"/>
  <c r="B662" i="74"/>
  <c r="B661" i="74"/>
  <c r="B660" i="74"/>
  <c r="B659" i="74"/>
  <c r="B658" i="74"/>
  <c r="B657" i="74"/>
  <c r="B656" i="74"/>
  <c r="B655" i="74"/>
  <c r="B654" i="74"/>
  <c r="B652" i="74"/>
  <c r="B1408" i="74"/>
  <c r="B1407" i="74"/>
  <c r="B1406" i="74"/>
  <c r="B1405" i="74"/>
  <c r="B1404" i="74"/>
  <c r="B1402" i="74"/>
  <c r="B1401" i="74"/>
  <c r="B1400" i="74"/>
  <c r="B1399" i="74"/>
  <c r="B1398" i="74"/>
  <c r="B1397" i="74"/>
  <c r="B1396" i="74"/>
  <c r="B1395" i="74"/>
  <c r="B1393" i="74"/>
  <c r="B1392" i="74"/>
  <c r="B1391" i="74"/>
  <c r="B1287" i="74"/>
  <c r="B1286" i="74"/>
  <c r="B1285" i="74"/>
  <c r="B1284" i="74"/>
  <c r="B1281" i="74"/>
  <c r="B1280" i="74"/>
  <c r="B1279" i="74"/>
  <c r="B1278" i="74"/>
  <c r="B1277" i="74"/>
  <c r="B1276" i="74"/>
  <c r="B1275" i="74"/>
  <c r="B1274" i="74"/>
  <c r="B1273" i="74"/>
  <c r="B1270" i="74"/>
  <c r="B1269" i="74"/>
  <c r="B1268" i="74"/>
  <c r="B1271" i="74"/>
  <c r="B1440" i="74"/>
  <c r="B1290" i="74"/>
  <c r="B1157" i="74"/>
  <c r="B1156" i="74"/>
  <c r="B1155" i="74"/>
  <c r="B1154" i="74"/>
  <c r="B1153" i="74"/>
  <c r="B1152" i="74"/>
  <c r="B1151" i="74"/>
  <c r="B1150" i="74"/>
  <c r="B1149" i="74"/>
  <c r="B1148" i="74"/>
  <c r="B1147" i="74"/>
  <c r="B1146" i="74"/>
  <c r="B1145" i="74"/>
  <c r="B1144" i="74"/>
  <c r="B1143" i="74"/>
  <c r="B1142" i="74"/>
  <c r="B1141" i="74"/>
  <c r="B1140" i="74"/>
  <c r="B1139" i="74"/>
  <c r="B1138" i="74"/>
  <c r="B1137" i="74"/>
  <c r="B1136" i="74"/>
  <c r="B1135" i="74"/>
  <c r="B1134" i="74"/>
  <c r="B1133" i="74"/>
  <c r="B1132" i="74"/>
  <c r="B1131" i="74"/>
  <c r="B1130" i="74"/>
  <c r="B1129" i="74"/>
  <c r="B1128" i="74"/>
  <c r="B1127" i="74"/>
  <c r="B1126" i="74"/>
  <c r="B1125" i="74"/>
  <c r="B1124" i="74"/>
  <c r="B1123" i="74"/>
  <c r="B1122" i="74"/>
  <c r="B1121" i="74"/>
  <c r="B1120" i="74"/>
  <c r="B1119" i="74"/>
  <c r="B1118" i="74"/>
  <c r="B1117" i="74"/>
  <c r="B1031" i="74"/>
  <c r="B1030" i="74"/>
  <c r="B1029" i="74"/>
  <c r="B1028" i="74"/>
  <c r="B1027" i="74"/>
  <c r="B1026" i="74"/>
  <c r="B1025" i="74"/>
  <c r="B1024" i="74"/>
  <c r="B1023" i="74"/>
  <c r="B1022" i="74"/>
  <c r="B1021" i="74"/>
  <c r="B1020" i="74"/>
  <c r="B1019" i="74"/>
  <c r="B1018" i="74"/>
  <c r="B1017" i="74"/>
  <c r="B1016" i="74"/>
  <c r="B1015" i="74"/>
  <c r="B1014" i="74"/>
  <c r="B1013" i="74"/>
  <c r="B1012" i="74"/>
  <c r="B1011" i="74"/>
  <c r="B1010" i="74"/>
  <c r="B1009" i="74"/>
  <c r="B1008" i="74"/>
  <c r="B1007" i="74"/>
  <c r="B1006" i="74"/>
  <c r="B1005" i="74"/>
  <c r="B1004" i="74"/>
  <c r="B1003" i="74"/>
  <c r="B1002" i="74"/>
  <c r="B1001" i="74"/>
  <c r="B1000" i="74"/>
  <c r="B999" i="74"/>
  <c r="B998" i="74"/>
  <c r="B997" i="74"/>
  <c r="B996" i="74"/>
  <c r="B995" i="74"/>
  <c r="B994" i="74"/>
  <c r="B993" i="74"/>
  <c r="B992" i="74"/>
  <c r="B991" i="74"/>
  <c r="B989" i="74"/>
  <c r="B988" i="74"/>
  <c r="B987" i="74"/>
  <c r="B986" i="74"/>
  <c r="B985" i="74"/>
  <c r="B984" i="74"/>
  <c r="B983" i="74"/>
  <c r="B982" i="74"/>
  <c r="B981" i="74"/>
  <c r="B980" i="74"/>
  <c r="B979" i="74"/>
  <c r="B978" i="74"/>
  <c r="B977" i="74"/>
  <c r="B976" i="74"/>
  <c r="B975" i="74"/>
  <c r="B974" i="74"/>
  <c r="B973" i="74"/>
  <c r="B972" i="74"/>
  <c r="B971" i="74"/>
  <c r="B970" i="74"/>
  <c r="B969" i="74"/>
  <c r="B968" i="74"/>
  <c r="B967" i="74"/>
  <c r="B966" i="74"/>
  <c r="B965" i="74"/>
  <c r="B964" i="74"/>
  <c r="B963" i="74"/>
  <c r="B962" i="74"/>
  <c r="B961" i="74"/>
  <c r="B960" i="74"/>
  <c r="B959" i="74"/>
  <c r="B958" i="74"/>
  <c r="B957" i="74"/>
  <c r="B956" i="74"/>
  <c r="B955" i="74"/>
  <c r="B954" i="74"/>
  <c r="B953" i="74"/>
  <c r="B952" i="74"/>
  <c r="B951" i="74"/>
  <c r="B950" i="74"/>
  <c r="B949" i="74"/>
  <c r="B947" i="74"/>
  <c r="B946" i="74"/>
  <c r="B945" i="74"/>
  <c r="B944" i="74"/>
  <c r="B943" i="74"/>
  <c r="B942" i="74"/>
  <c r="B941" i="74"/>
  <c r="B940" i="74"/>
  <c r="B939" i="74"/>
  <c r="B938" i="74"/>
  <c r="B937" i="74"/>
  <c r="B936" i="74"/>
  <c r="B935" i="74"/>
  <c r="B934" i="74"/>
  <c r="B933" i="74"/>
  <c r="B932" i="74"/>
  <c r="B931" i="74"/>
  <c r="B930" i="74"/>
  <c r="B929" i="74"/>
  <c r="B928" i="74"/>
  <c r="B927" i="74"/>
  <c r="B926" i="74"/>
  <c r="B925" i="74"/>
  <c r="B924" i="74"/>
  <c r="B923" i="74"/>
  <c r="B922" i="74"/>
  <c r="B921" i="74"/>
  <c r="B920" i="74"/>
  <c r="B919" i="74"/>
  <c r="B918" i="74"/>
  <c r="B917" i="74"/>
  <c r="B916" i="74"/>
  <c r="B915" i="74"/>
  <c r="B914" i="74"/>
  <c r="B913" i="74"/>
  <c r="B912" i="74"/>
  <c r="B911" i="74"/>
  <c r="B910" i="74"/>
  <c r="B909" i="74"/>
  <c r="B908" i="74"/>
  <c r="B907" i="74"/>
  <c r="B863" i="74"/>
  <c r="B862" i="74"/>
  <c r="B861" i="74"/>
  <c r="B860" i="74"/>
  <c r="B859" i="74"/>
  <c r="B858" i="74"/>
  <c r="B857" i="74"/>
  <c r="B856" i="74"/>
  <c r="B855" i="74"/>
  <c r="B854" i="74"/>
  <c r="B853" i="74"/>
  <c r="B852" i="74"/>
  <c r="B851" i="74"/>
  <c r="B850" i="74"/>
  <c r="B849" i="74"/>
  <c r="B848" i="74"/>
  <c r="B847" i="74"/>
  <c r="B846" i="74"/>
  <c r="B845" i="74"/>
  <c r="B844" i="74"/>
  <c r="B843" i="74"/>
  <c r="B842" i="74"/>
  <c r="B841" i="74"/>
  <c r="B840" i="74"/>
  <c r="B839" i="74"/>
  <c r="B838" i="74"/>
  <c r="B837" i="74"/>
  <c r="B836" i="74"/>
  <c r="B835" i="74"/>
  <c r="B834" i="74"/>
  <c r="B833" i="74"/>
  <c r="B832" i="74"/>
  <c r="B831" i="74"/>
  <c r="B830" i="74"/>
  <c r="B829" i="74"/>
  <c r="B828" i="74"/>
  <c r="B827" i="74"/>
  <c r="B826" i="74"/>
  <c r="B825" i="74"/>
  <c r="B824" i="74"/>
  <c r="B823" i="74"/>
  <c r="B822" i="74"/>
  <c r="B821" i="74"/>
  <c r="B820" i="74"/>
  <c r="B819" i="74"/>
  <c r="B818" i="74"/>
  <c r="B817" i="74"/>
  <c r="B816" i="74"/>
  <c r="B815" i="74"/>
  <c r="B814" i="74"/>
  <c r="B813" i="74"/>
  <c r="B812" i="74"/>
  <c r="B811" i="74"/>
  <c r="B810" i="74"/>
  <c r="B809" i="74"/>
  <c r="B808" i="74"/>
  <c r="B807" i="74"/>
  <c r="B806" i="74"/>
  <c r="B805" i="74"/>
  <c r="B804" i="74"/>
  <c r="B803" i="74"/>
  <c r="B802" i="74"/>
  <c r="B801" i="74"/>
  <c r="B800" i="74"/>
  <c r="B799" i="74"/>
  <c r="B798" i="74"/>
  <c r="B797" i="74"/>
  <c r="B796" i="74"/>
  <c r="B795" i="74"/>
  <c r="B794" i="74"/>
  <c r="B793" i="74"/>
  <c r="B792" i="74"/>
  <c r="B791" i="74"/>
  <c r="B790" i="74"/>
  <c r="B789" i="74"/>
  <c r="B788" i="74"/>
  <c r="B787" i="74"/>
  <c r="B786" i="74"/>
  <c r="B785" i="74"/>
  <c r="B784" i="74"/>
  <c r="B783" i="74"/>
  <c r="B782" i="74"/>
  <c r="B781" i="74"/>
  <c r="B779" i="74"/>
  <c r="B778" i="74"/>
  <c r="B777" i="74"/>
  <c r="B776" i="74"/>
  <c r="B775" i="74"/>
  <c r="B774" i="74"/>
  <c r="B773" i="74"/>
  <c r="B772" i="74"/>
  <c r="B771" i="74"/>
  <c r="B770" i="74"/>
  <c r="B769" i="74"/>
  <c r="B768" i="74"/>
  <c r="B767" i="74"/>
  <c r="B766" i="74"/>
  <c r="B765" i="74"/>
  <c r="B764" i="74"/>
  <c r="B763" i="74"/>
  <c r="B762" i="74"/>
  <c r="B761" i="74"/>
  <c r="B760" i="74"/>
  <c r="B759" i="74"/>
  <c r="B758" i="74"/>
  <c r="B757" i="74"/>
  <c r="B756" i="74"/>
  <c r="B755" i="74"/>
  <c r="B754" i="74"/>
  <c r="B753" i="74"/>
  <c r="B752" i="74"/>
  <c r="B751" i="74"/>
  <c r="B750" i="74"/>
  <c r="B749" i="74"/>
  <c r="B748" i="74"/>
  <c r="B747" i="74"/>
  <c r="B746" i="74"/>
  <c r="B745" i="74"/>
  <c r="B744" i="74"/>
  <c r="B743" i="74"/>
  <c r="B742" i="74"/>
  <c r="B741" i="74"/>
  <c r="B740" i="74"/>
  <c r="B739" i="74"/>
  <c r="B650" i="74"/>
  <c r="B649" i="74"/>
  <c r="B648" i="74"/>
  <c r="B589" i="74"/>
  <c r="B588" i="74"/>
  <c r="B587" i="74"/>
  <c r="B586" i="74"/>
  <c r="B585" i="74"/>
  <c r="B584" i="74"/>
  <c r="B583" i="74"/>
  <c r="B581" i="74"/>
  <c r="B580" i="74"/>
  <c r="B579" i="74"/>
  <c r="B577" i="74"/>
  <c r="B576" i="74"/>
  <c r="B575" i="74"/>
  <c r="B574" i="74"/>
  <c r="B573" i="74"/>
  <c r="B564" i="74"/>
  <c r="B551" i="74"/>
  <c r="B26" i="74"/>
  <c r="B9" i="74"/>
  <c r="B8" i="74"/>
  <c r="B7" i="74"/>
  <c r="B3" i="74"/>
  <c r="J1" i="52" l="1"/>
  <c r="J464" i="52" l="1"/>
  <c r="K464" i="52" s="1"/>
  <c r="L464" i="52" s="1"/>
  <c r="M464" i="52" s="1"/>
  <c r="J446" i="52"/>
  <c r="K446" i="52" s="1"/>
  <c r="L446" i="52" s="1"/>
  <c r="M446" i="52" s="1"/>
  <c r="J454" i="52"/>
  <c r="K454" i="52" s="1"/>
  <c r="L454" i="52" s="1"/>
  <c r="M454" i="52" s="1"/>
  <c r="J445" i="52"/>
  <c r="K445" i="52" s="1"/>
  <c r="L445" i="52" s="1"/>
  <c r="M445" i="52" s="1"/>
  <c r="J433" i="52"/>
  <c r="K433" i="52" s="1"/>
  <c r="L433" i="52" s="1"/>
  <c r="M433" i="52" s="1"/>
  <c r="J428" i="52"/>
  <c r="K428" i="52" s="1"/>
  <c r="L428" i="52" s="1"/>
  <c r="M428" i="52" s="1"/>
  <c r="J424" i="52"/>
  <c r="K424" i="52" s="1"/>
  <c r="L424" i="52" s="1"/>
  <c r="M424" i="52" s="1"/>
  <c r="J420" i="52"/>
  <c r="K420" i="52" s="1"/>
  <c r="L420" i="52" s="1"/>
  <c r="M420" i="52" s="1"/>
  <c r="J416" i="52"/>
  <c r="K416" i="52" s="1"/>
  <c r="L416" i="52" s="1"/>
  <c r="M416" i="52" s="1"/>
  <c r="J382" i="52"/>
  <c r="K382" i="52" s="1"/>
  <c r="L382" i="52" s="1"/>
  <c r="M382" i="52" s="1"/>
  <c r="J378" i="52"/>
  <c r="K378" i="52" s="1"/>
  <c r="L378" i="52" s="1"/>
  <c r="M378" i="52" s="1"/>
  <c r="J369" i="52"/>
  <c r="K369" i="52" s="1"/>
  <c r="L369" i="52" s="1"/>
  <c r="M369" i="52" s="1"/>
  <c r="J361" i="52"/>
  <c r="K361" i="52" s="1"/>
  <c r="L361" i="52" s="1"/>
  <c r="M361" i="52" s="1"/>
  <c r="J357" i="52"/>
  <c r="K357" i="52" s="1"/>
  <c r="L357" i="52" s="1"/>
  <c r="M357" i="52" s="1"/>
  <c r="J462" i="52"/>
  <c r="K462" i="52" s="1"/>
  <c r="L462" i="52" s="1"/>
  <c r="M462" i="52" s="1"/>
  <c r="J458" i="52"/>
  <c r="K458" i="52" s="1"/>
  <c r="L458" i="52" s="1"/>
  <c r="M458" i="52" s="1"/>
  <c r="J453" i="52"/>
  <c r="K453" i="52" s="1"/>
  <c r="L453" i="52" s="1"/>
  <c r="M453" i="52" s="1"/>
  <c r="J432" i="52"/>
  <c r="K432" i="52" s="1"/>
  <c r="L432" i="52" s="1"/>
  <c r="M432" i="52" s="1"/>
  <c r="J427" i="52"/>
  <c r="K427" i="52" s="1"/>
  <c r="L427" i="52" s="1"/>
  <c r="M427" i="52" s="1"/>
  <c r="J423" i="52"/>
  <c r="K423" i="52" s="1"/>
  <c r="L423" i="52" s="1"/>
  <c r="M423" i="52" s="1"/>
  <c r="J419" i="52"/>
  <c r="K419" i="52" s="1"/>
  <c r="L419" i="52" s="1"/>
  <c r="M419" i="52" s="1"/>
  <c r="J425" i="52"/>
  <c r="K425" i="52" s="1"/>
  <c r="L425" i="52" s="1"/>
  <c r="M425" i="52" s="1"/>
  <c r="J417" i="52"/>
  <c r="K417" i="52" s="1"/>
  <c r="L417" i="52" s="1"/>
  <c r="M417" i="52" s="1"/>
  <c r="J381" i="52"/>
  <c r="K381" i="52" s="1"/>
  <c r="L381" i="52" s="1"/>
  <c r="M381" i="52" s="1"/>
  <c r="J370" i="52"/>
  <c r="K370" i="52" s="1"/>
  <c r="L370" i="52" s="1"/>
  <c r="M370" i="52" s="1"/>
  <c r="J360" i="52"/>
  <c r="K360" i="52" s="1"/>
  <c r="L360" i="52" s="1"/>
  <c r="M360" i="52" s="1"/>
  <c r="J358" i="52"/>
  <c r="K358" i="52" s="1"/>
  <c r="L358" i="52" s="1"/>
  <c r="M358" i="52" s="1"/>
  <c r="J355" i="52"/>
  <c r="K355" i="52" s="1"/>
  <c r="L355" i="52" s="1"/>
  <c r="M355" i="52" s="1"/>
  <c r="J347" i="52"/>
  <c r="K347" i="52" s="1"/>
  <c r="L347" i="52" s="1"/>
  <c r="M347" i="52" s="1"/>
  <c r="J338" i="52"/>
  <c r="K338" i="52" s="1"/>
  <c r="L338" i="52" s="1"/>
  <c r="M338" i="52" s="1"/>
  <c r="J319" i="52"/>
  <c r="K319" i="52" s="1"/>
  <c r="L319" i="52" s="1"/>
  <c r="M319" i="52" s="1"/>
  <c r="J294" i="52"/>
  <c r="K294" i="52" s="1"/>
  <c r="L294" i="52" s="1"/>
  <c r="M294" i="52" s="1"/>
  <c r="J290" i="52"/>
  <c r="K290" i="52" s="1"/>
  <c r="L290" i="52" s="1"/>
  <c r="M290" i="52" s="1"/>
  <c r="J285" i="52"/>
  <c r="K285" i="52" s="1"/>
  <c r="L285" i="52" s="1"/>
  <c r="M285" i="52" s="1"/>
  <c r="J281" i="52"/>
  <c r="K281" i="52" s="1"/>
  <c r="L281" i="52" s="1"/>
  <c r="M281" i="52" s="1"/>
  <c r="J276" i="52"/>
  <c r="K276" i="52" s="1"/>
  <c r="L276" i="52" s="1"/>
  <c r="M276" i="52" s="1"/>
  <c r="J273" i="52"/>
  <c r="K273" i="52" s="1"/>
  <c r="L273" i="52" s="1"/>
  <c r="M273" i="52" s="1"/>
  <c r="J268" i="52"/>
  <c r="K268" i="52" s="1"/>
  <c r="L268" i="52" s="1"/>
  <c r="M268" i="52" s="1"/>
  <c r="J265" i="52"/>
  <c r="K265" i="52" s="1"/>
  <c r="L265" i="52" s="1"/>
  <c r="M265" i="52" s="1"/>
  <c r="J244" i="52"/>
  <c r="K244" i="52" s="1"/>
  <c r="L244" i="52" s="1"/>
  <c r="M244" i="52" s="1"/>
  <c r="J236" i="52"/>
  <c r="K236" i="52" s="1"/>
  <c r="L236" i="52" s="1"/>
  <c r="M236" i="52" s="1"/>
  <c r="J228" i="52"/>
  <c r="K228" i="52" s="1"/>
  <c r="L228" i="52" s="1"/>
  <c r="M228" i="52" s="1"/>
  <c r="J225" i="52"/>
  <c r="K225" i="52" s="1"/>
  <c r="L225" i="52" s="1"/>
  <c r="M225" i="52" s="1"/>
  <c r="J215" i="52"/>
  <c r="K215" i="52" s="1"/>
  <c r="L215" i="52" s="1"/>
  <c r="M215" i="52" s="1"/>
  <c r="J209" i="52"/>
  <c r="K209" i="52" s="1"/>
  <c r="L209" i="52" s="1"/>
  <c r="M209" i="52" s="1"/>
  <c r="J206" i="52"/>
  <c r="K206" i="52" s="1"/>
  <c r="L206" i="52" s="1"/>
  <c r="M206" i="52" s="1"/>
  <c r="J204" i="52"/>
  <c r="K204" i="52" s="1"/>
  <c r="L204" i="52" s="1"/>
  <c r="M204" i="52" s="1"/>
  <c r="J199" i="52"/>
  <c r="K199" i="52" s="1"/>
  <c r="L199" i="52" s="1"/>
  <c r="M199" i="52" s="1"/>
  <c r="J193" i="52"/>
  <c r="K193" i="52" s="1"/>
  <c r="L193" i="52" s="1"/>
  <c r="M193" i="52" s="1"/>
  <c r="J188" i="52"/>
  <c r="K188" i="52" s="1"/>
  <c r="L188" i="52" s="1"/>
  <c r="M188" i="52" s="1"/>
  <c r="J174" i="52"/>
  <c r="K174" i="52" s="1"/>
  <c r="L174" i="52" s="1"/>
  <c r="M174" i="52" s="1"/>
  <c r="J172" i="52"/>
  <c r="K172" i="52" s="1"/>
  <c r="L172" i="52" s="1"/>
  <c r="M172" i="52" s="1"/>
  <c r="J159" i="52"/>
  <c r="K159" i="52" s="1"/>
  <c r="L159" i="52" s="1"/>
  <c r="M159" i="52" s="1"/>
  <c r="J154" i="52"/>
  <c r="K154" i="52" s="1"/>
  <c r="L154" i="52" s="1"/>
  <c r="M154" i="52" s="1"/>
  <c r="J146" i="52"/>
  <c r="K146" i="52" s="1"/>
  <c r="L146" i="52" s="1"/>
  <c r="M146" i="52" s="1"/>
  <c r="J143" i="52"/>
  <c r="K143" i="52" s="1"/>
  <c r="L143" i="52" s="1"/>
  <c r="M143" i="52" s="1"/>
  <c r="J127" i="52"/>
  <c r="K127" i="52" s="1"/>
  <c r="L127" i="52" s="1"/>
  <c r="M127" i="52" s="1"/>
  <c r="J124" i="52"/>
  <c r="K124" i="52" s="1"/>
  <c r="L124" i="52" s="1"/>
  <c r="M124" i="52" s="1"/>
  <c r="J116" i="52"/>
  <c r="K116" i="52" s="1"/>
  <c r="L116" i="52" s="1"/>
  <c r="M116" i="52" s="1"/>
  <c r="J422" i="52"/>
  <c r="K422" i="52" s="1"/>
  <c r="L422" i="52" s="1"/>
  <c r="M422" i="52" s="1"/>
  <c r="J389" i="52"/>
  <c r="K389" i="52" s="1"/>
  <c r="L389" i="52" s="1"/>
  <c r="M389" i="52" s="1"/>
  <c r="J380" i="52"/>
  <c r="K380" i="52" s="1"/>
  <c r="L380" i="52" s="1"/>
  <c r="M380" i="52" s="1"/>
  <c r="J363" i="52"/>
  <c r="K363" i="52" s="1"/>
  <c r="L363" i="52" s="1"/>
  <c r="M363" i="52" s="1"/>
  <c r="J356" i="52"/>
  <c r="K356" i="52" s="1"/>
  <c r="L356" i="52" s="1"/>
  <c r="M356" i="52" s="1"/>
  <c r="J350" i="52"/>
  <c r="K350" i="52" s="1"/>
  <c r="L350" i="52" s="1"/>
  <c r="M350" i="52" s="1"/>
  <c r="J344" i="52"/>
  <c r="K344" i="52" s="1"/>
  <c r="L344" i="52" s="1"/>
  <c r="M344" i="52" s="1"/>
  <c r="J312" i="52"/>
  <c r="K312" i="52" s="1"/>
  <c r="L312" i="52" s="1"/>
  <c r="M312" i="52" s="1"/>
  <c r="J293" i="52"/>
  <c r="K293" i="52" s="1"/>
  <c r="L293" i="52" s="1"/>
  <c r="M293" i="52" s="1"/>
  <c r="J287" i="52"/>
  <c r="K287" i="52" s="1"/>
  <c r="L287" i="52" s="1"/>
  <c r="M287" i="52" s="1"/>
  <c r="J284" i="52"/>
  <c r="K284" i="52" s="1"/>
  <c r="L284" i="52" s="1"/>
  <c r="M284" i="52" s="1"/>
  <c r="J278" i="52"/>
  <c r="K278" i="52" s="1"/>
  <c r="L278" i="52" s="1"/>
  <c r="M278" i="52" s="1"/>
  <c r="J275" i="52"/>
  <c r="K275" i="52" s="1"/>
  <c r="L275" i="52" s="1"/>
  <c r="M275" i="52" s="1"/>
  <c r="J267" i="52"/>
  <c r="K267" i="52" s="1"/>
  <c r="L267" i="52" s="1"/>
  <c r="M267" i="52" s="1"/>
  <c r="J257" i="52"/>
  <c r="K257" i="52" s="1"/>
  <c r="L257" i="52" s="1"/>
  <c r="M257" i="52" s="1"/>
  <c r="J253" i="52"/>
  <c r="K253" i="52" s="1"/>
  <c r="L253" i="52" s="1"/>
  <c r="M253" i="52" s="1"/>
  <c r="J243" i="52"/>
  <c r="K243" i="52" s="1"/>
  <c r="L243" i="52" s="1"/>
  <c r="M243" i="52" s="1"/>
  <c r="J238" i="52"/>
  <c r="K238" i="52" s="1"/>
  <c r="L238" i="52" s="1"/>
  <c r="M238" i="52" s="1"/>
  <c r="J230" i="52"/>
  <c r="K230" i="52" s="1"/>
  <c r="L230" i="52" s="1"/>
  <c r="M230" i="52" s="1"/>
  <c r="J227" i="52"/>
  <c r="K227" i="52" s="1"/>
  <c r="L227" i="52" s="1"/>
  <c r="M227" i="52" s="1"/>
  <c r="J219" i="52"/>
  <c r="K219" i="52" s="1"/>
  <c r="L219" i="52" s="1"/>
  <c r="M219" i="52" s="1"/>
  <c r="J213" i="52"/>
  <c r="K213" i="52" s="1"/>
  <c r="L213" i="52" s="1"/>
  <c r="M213" i="52" s="1"/>
  <c r="J210" i="52"/>
  <c r="K210" i="52" s="1"/>
  <c r="L210" i="52" s="1"/>
  <c r="M210" i="52" s="1"/>
  <c r="J208" i="52"/>
  <c r="K208" i="52" s="1"/>
  <c r="L208" i="52" s="1"/>
  <c r="M208" i="52" s="1"/>
  <c r="J203" i="52"/>
  <c r="K203" i="52" s="1"/>
  <c r="L203" i="52" s="1"/>
  <c r="M203" i="52" s="1"/>
  <c r="J197" i="52"/>
  <c r="K197" i="52" s="1"/>
  <c r="L197" i="52" s="1"/>
  <c r="M197" i="52" s="1"/>
  <c r="J194" i="52"/>
  <c r="K194" i="52" s="1"/>
  <c r="L194" i="52" s="1"/>
  <c r="M194" i="52" s="1"/>
  <c r="J187" i="52"/>
  <c r="K187" i="52" s="1"/>
  <c r="L187" i="52" s="1"/>
  <c r="M187" i="52" s="1"/>
  <c r="J181" i="52"/>
  <c r="K181" i="52" s="1"/>
  <c r="L181" i="52" s="1"/>
  <c r="M181" i="52" s="1"/>
  <c r="J176" i="52"/>
  <c r="K176" i="52" s="1"/>
  <c r="L176" i="52" s="1"/>
  <c r="M176" i="52" s="1"/>
  <c r="J164" i="52"/>
  <c r="K164" i="52" s="1"/>
  <c r="L164" i="52" s="1"/>
  <c r="M164" i="52" s="1"/>
  <c r="J156" i="52"/>
  <c r="K156" i="52" s="1"/>
  <c r="L156" i="52" s="1"/>
  <c r="M156" i="52" s="1"/>
  <c r="J153" i="52"/>
  <c r="K153" i="52" s="1"/>
  <c r="L153" i="52" s="1"/>
  <c r="M153" i="52" s="1"/>
  <c r="J148" i="52"/>
  <c r="K148" i="52" s="1"/>
  <c r="L148" i="52" s="1"/>
  <c r="M148" i="52" s="1"/>
  <c r="J131" i="52"/>
  <c r="K131" i="52" s="1"/>
  <c r="L131" i="52" s="1"/>
  <c r="M131" i="52" s="1"/>
  <c r="J126" i="52"/>
  <c r="K126" i="52" s="1"/>
  <c r="L126" i="52" s="1"/>
  <c r="M126" i="52" s="1"/>
  <c r="J121" i="52"/>
  <c r="K121" i="52" s="1"/>
  <c r="L121" i="52" s="1"/>
  <c r="M121" i="52" s="1"/>
  <c r="J118" i="52"/>
  <c r="K118" i="52" s="1"/>
  <c r="L118" i="52" s="1"/>
  <c r="M118" i="52" s="1"/>
  <c r="J114" i="52"/>
  <c r="K114" i="52" s="1"/>
  <c r="L114" i="52" s="1"/>
  <c r="M114" i="52" s="1"/>
  <c r="J108" i="52"/>
  <c r="K108" i="52" s="1"/>
  <c r="L108" i="52" s="1"/>
  <c r="M108" i="52" s="1"/>
  <c r="J421" i="52"/>
  <c r="K421" i="52" s="1"/>
  <c r="L421" i="52" s="1"/>
  <c r="M421" i="52" s="1"/>
  <c r="J408" i="52"/>
  <c r="K408" i="52" s="1"/>
  <c r="L408" i="52" s="1"/>
  <c r="M408" i="52" s="1"/>
  <c r="J379" i="52"/>
  <c r="K379" i="52" s="1"/>
  <c r="L379" i="52" s="1"/>
  <c r="M379" i="52" s="1"/>
  <c r="J371" i="52"/>
  <c r="K371" i="52" s="1"/>
  <c r="L371" i="52" s="1"/>
  <c r="M371" i="52" s="1"/>
  <c r="J362" i="52"/>
  <c r="K362" i="52" s="1"/>
  <c r="L362" i="52" s="1"/>
  <c r="M362" i="52" s="1"/>
  <c r="J346" i="52"/>
  <c r="K346" i="52" s="1"/>
  <c r="L346" i="52" s="1"/>
  <c r="M346" i="52" s="1"/>
  <c r="J327" i="52"/>
  <c r="K327" i="52" s="1"/>
  <c r="L327" i="52" s="1"/>
  <c r="M327" i="52" s="1"/>
  <c r="J325" i="52"/>
  <c r="K325" i="52" s="1"/>
  <c r="L325" i="52" s="1"/>
  <c r="M325" i="52" s="1"/>
  <c r="J306" i="52"/>
  <c r="K306" i="52" s="1"/>
  <c r="L306" i="52" s="1"/>
  <c r="M306" i="52" s="1"/>
  <c r="J295" i="52"/>
  <c r="K295" i="52" s="1"/>
  <c r="L295" i="52" s="1"/>
  <c r="M295" i="52" s="1"/>
  <c r="J277" i="52"/>
  <c r="K277" i="52" s="1"/>
  <c r="L277" i="52" s="1"/>
  <c r="M277" i="52" s="1"/>
  <c r="J272" i="52"/>
  <c r="K272" i="52" s="1"/>
  <c r="L272" i="52" s="1"/>
  <c r="M272" i="52" s="1"/>
  <c r="J256" i="52"/>
  <c r="K256" i="52" s="1"/>
  <c r="L256" i="52" s="1"/>
  <c r="M256" i="52" s="1"/>
  <c r="J239" i="52"/>
  <c r="K239" i="52" s="1"/>
  <c r="L239" i="52" s="1"/>
  <c r="M239" i="52" s="1"/>
  <c r="J231" i="52"/>
  <c r="K231" i="52" s="1"/>
  <c r="L231" i="52" s="1"/>
  <c r="M231" i="52" s="1"/>
  <c r="J226" i="52"/>
  <c r="K226" i="52" s="1"/>
  <c r="L226" i="52" s="1"/>
  <c r="M226" i="52" s="1"/>
  <c r="J221" i="52"/>
  <c r="K221" i="52" s="1"/>
  <c r="L221" i="52" s="1"/>
  <c r="M221" i="52" s="1"/>
  <c r="J218" i="52"/>
  <c r="K218" i="52" s="1"/>
  <c r="L218" i="52" s="1"/>
  <c r="M218" i="52" s="1"/>
  <c r="J205" i="52"/>
  <c r="K205" i="52" s="1"/>
  <c r="L205" i="52" s="1"/>
  <c r="M205" i="52" s="1"/>
  <c r="J200" i="52"/>
  <c r="K200" i="52" s="1"/>
  <c r="L200" i="52" s="1"/>
  <c r="M200" i="52" s="1"/>
  <c r="J195" i="52"/>
  <c r="K195" i="52" s="1"/>
  <c r="L195" i="52" s="1"/>
  <c r="M195" i="52" s="1"/>
  <c r="J184" i="52"/>
  <c r="K184" i="52" s="1"/>
  <c r="L184" i="52" s="1"/>
  <c r="M184" i="52" s="1"/>
  <c r="J180" i="52"/>
  <c r="K180" i="52" s="1"/>
  <c r="L180" i="52" s="1"/>
  <c r="M180" i="52" s="1"/>
  <c r="J158" i="52"/>
  <c r="K158" i="52" s="1"/>
  <c r="L158" i="52" s="1"/>
  <c r="M158" i="52" s="1"/>
  <c r="J149" i="52"/>
  <c r="K149" i="52" s="1"/>
  <c r="L149" i="52" s="1"/>
  <c r="M149" i="52" s="1"/>
  <c r="J133" i="52"/>
  <c r="K133" i="52" s="1"/>
  <c r="L133" i="52" s="1"/>
  <c r="M133" i="52" s="1"/>
  <c r="J117" i="52"/>
  <c r="K117" i="52" s="1"/>
  <c r="L117" i="52" s="1"/>
  <c r="M117" i="52" s="1"/>
  <c r="J107" i="52"/>
  <c r="K107" i="52" s="1"/>
  <c r="L107" i="52" s="1"/>
  <c r="M107" i="52" s="1"/>
  <c r="J95" i="52"/>
  <c r="K95" i="52" s="1"/>
  <c r="L95" i="52" s="1"/>
  <c r="M95" i="52" s="1"/>
  <c r="J93" i="52"/>
  <c r="K93" i="52" s="1"/>
  <c r="L93" i="52" s="1"/>
  <c r="M93" i="52" s="1"/>
  <c r="J86" i="52"/>
  <c r="K86" i="52" s="1"/>
  <c r="L86" i="52" s="1"/>
  <c r="M86" i="52" s="1"/>
  <c r="J83" i="52"/>
  <c r="K83" i="52" s="1"/>
  <c r="L83" i="52" s="1"/>
  <c r="M83" i="52" s="1"/>
  <c r="J76" i="52"/>
  <c r="K76" i="52" s="1"/>
  <c r="L76" i="52" s="1"/>
  <c r="M76" i="52" s="1"/>
  <c r="J71" i="52"/>
  <c r="K71" i="52" s="1"/>
  <c r="L71" i="52" s="1"/>
  <c r="M71" i="52" s="1"/>
  <c r="J69" i="52"/>
  <c r="K69" i="52" s="1"/>
  <c r="L69" i="52" s="1"/>
  <c r="M69" i="52" s="1"/>
  <c r="J66" i="52"/>
  <c r="K66" i="52" s="1"/>
  <c r="L66" i="52" s="1"/>
  <c r="M66" i="52" s="1"/>
  <c r="J50" i="52"/>
  <c r="K50" i="52" s="1"/>
  <c r="L50" i="52" s="1"/>
  <c r="M50" i="52" s="1"/>
  <c r="J77" i="52"/>
  <c r="K77" i="52" s="1"/>
  <c r="L77" i="52" s="1"/>
  <c r="M77" i="52" s="1"/>
  <c r="J42" i="52"/>
  <c r="K42" i="52" s="1"/>
  <c r="L42" i="52" s="1"/>
  <c r="M42" i="52" s="1"/>
  <c r="J443" i="52"/>
  <c r="K443" i="52" s="1"/>
  <c r="L443" i="52" s="1"/>
  <c r="M443" i="52" s="1"/>
  <c r="J426" i="52"/>
  <c r="K426" i="52" s="1"/>
  <c r="L426" i="52" s="1"/>
  <c r="M426" i="52" s="1"/>
  <c r="J292" i="52"/>
  <c r="K292" i="52" s="1"/>
  <c r="L292" i="52" s="1"/>
  <c r="M292" i="52" s="1"/>
  <c r="J232" i="52"/>
  <c r="K232" i="52" s="1"/>
  <c r="L232" i="52" s="1"/>
  <c r="M232" i="52" s="1"/>
  <c r="J214" i="52"/>
  <c r="K214" i="52" s="1"/>
  <c r="L214" i="52" s="1"/>
  <c r="M214" i="52" s="1"/>
  <c r="J196" i="52"/>
  <c r="K196" i="52" s="1"/>
  <c r="L196" i="52" s="1"/>
  <c r="M196" i="52" s="1"/>
  <c r="J122" i="52"/>
  <c r="K122" i="52" s="1"/>
  <c r="L122" i="52" s="1"/>
  <c r="M122" i="52" s="1"/>
  <c r="J113" i="52"/>
  <c r="K113" i="52" s="1"/>
  <c r="L113" i="52" s="1"/>
  <c r="M113" i="52" s="1"/>
  <c r="J106" i="52"/>
  <c r="K106" i="52" s="1"/>
  <c r="L106" i="52" s="1"/>
  <c r="M106" i="52" s="1"/>
  <c r="J103" i="52"/>
  <c r="K103" i="52" s="1"/>
  <c r="L103" i="52" s="1"/>
  <c r="M103" i="52" s="1"/>
  <c r="J72" i="52"/>
  <c r="K72" i="52" s="1"/>
  <c r="L72" i="52" s="1"/>
  <c r="M72" i="52" s="1"/>
  <c r="J62" i="52"/>
  <c r="K62" i="52" s="1"/>
  <c r="L62" i="52" s="1"/>
  <c r="M62" i="52" s="1"/>
  <c r="J49" i="52"/>
  <c r="K49" i="52" s="1"/>
  <c r="L49" i="52" s="1"/>
  <c r="M49" i="52" s="1"/>
  <c r="J22" i="52"/>
  <c r="K22" i="52" s="1"/>
  <c r="L22" i="52" s="1"/>
  <c r="M22" i="52" s="1"/>
  <c r="J16" i="52"/>
  <c r="K16" i="52" s="1"/>
  <c r="L16" i="52" s="1"/>
  <c r="M16" i="52" s="1"/>
  <c r="J12" i="52"/>
  <c r="K12" i="52" s="1"/>
  <c r="L12" i="52" s="1"/>
  <c r="M12" i="52" s="1"/>
  <c r="J418" i="52"/>
  <c r="K418" i="52" s="1"/>
  <c r="L418" i="52" s="1"/>
  <c r="M418" i="52" s="1"/>
  <c r="J345" i="52"/>
  <c r="K345" i="52" s="1"/>
  <c r="L345" i="52" s="1"/>
  <c r="M345" i="52" s="1"/>
  <c r="J299" i="52"/>
  <c r="K299" i="52" s="1"/>
  <c r="L299" i="52" s="1"/>
  <c r="M299" i="52" s="1"/>
  <c r="J288" i="52"/>
  <c r="K288" i="52" s="1"/>
  <c r="L288" i="52" s="1"/>
  <c r="M288" i="52" s="1"/>
  <c r="J282" i="52"/>
  <c r="K282" i="52" s="1"/>
  <c r="L282" i="52" s="1"/>
  <c r="M282" i="52" s="1"/>
  <c r="J242" i="52"/>
  <c r="K242" i="52" s="1"/>
  <c r="L242" i="52" s="1"/>
  <c r="M242" i="52" s="1"/>
  <c r="J237" i="52"/>
  <c r="K237" i="52" s="1"/>
  <c r="L237" i="52" s="1"/>
  <c r="M237" i="52" s="1"/>
  <c r="J229" i="52"/>
  <c r="K229" i="52" s="1"/>
  <c r="L229" i="52" s="1"/>
  <c r="M229" i="52" s="1"/>
  <c r="J224" i="52"/>
  <c r="K224" i="52" s="1"/>
  <c r="L224" i="52" s="1"/>
  <c r="M224" i="52" s="1"/>
  <c r="J217" i="52"/>
  <c r="K217" i="52" s="1"/>
  <c r="L217" i="52" s="1"/>
  <c r="M217" i="52" s="1"/>
  <c r="J212" i="52"/>
  <c r="K212" i="52" s="1"/>
  <c r="L212" i="52" s="1"/>
  <c r="M212" i="52" s="1"/>
  <c r="J207" i="52"/>
  <c r="K207" i="52" s="1"/>
  <c r="L207" i="52" s="1"/>
  <c r="M207" i="52" s="1"/>
  <c r="J198" i="52"/>
  <c r="K198" i="52" s="1"/>
  <c r="L198" i="52" s="1"/>
  <c r="M198" i="52" s="1"/>
  <c r="J169" i="52"/>
  <c r="K169" i="52" s="1"/>
  <c r="L169" i="52" s="1"/>
  <c r="M169" i="52" s="1"/>
  <c r="J157" i="52"/>
  <c r="K157" i="52" s="1"/>
  <c r="L157" i="52" s="1"/>
  <c r="M157" i="52" s="1"/>
  <c r="J152" i="52"/>
  <c r="K152" i="52" s="1"/>
  <c r="L152" i="52" s="1"/>
  <c r="M152" i="52" s="1"/>
  <c r="J147" i="52"/>
  <c r="K147" i="52" s="1"/>
  <c r="L147" i="52" s="1"/>
  <c r="M147" i="52" s="1"/>
  <c r="J132" i="52"/>
  <c r="K132" i="52" s="1"/>
  <c r="L132" i="52" s="1"/>
  <c r="M132" i="52" s="1"/>
  <c r="J125" i="52"/>
  <c r="K125" i="52" s="1"/>
  <c r="L125" i="52" s="1"/>
  <c r="M125" i="52" s="1"/>
  <c r="J111" i="52"/>
  <c r="K111" i="52" s="1"/>
  <c r="L111" i="52" s="1"/>
  <c r="M111" i="52" s="1"/>
  <c r="J105" i="52"/>
  <c r="K105" i="52" s="1"/>
  <c r="L105" i="52" s="1"/>
  <c r="M105" i="52" s="1"/>
  <c r="J99" i="52"/>
  <c r="K99" i="52" s="1"/>
  <c r="L99" i="52" s="1"/>
  <c r="M99" i="52" s="1"/>
  <c r="J97" i="52"/>
  <c r="K97" i="52" s="1"/>
  <c r="L97" i="52" s="1"/>
  <c r="M97" i="52" s="1"/>
  <c r="J94" i="52"/>
  <c r="K94" i="52" s="1"/>
  <c r="L94" i="52" s="1"/>
  <c r="M94" i="52" s="1"/>
  <c r="J87" i="52"/>
  <c r="K87" i="52" s="1"/>
  <c r="L87" i="52" s="1"/>
  <c r="M87" i="52" s="1"/>
  <c r="J75" i="52"/>
  <c r="K75" i="52" s="1"/>
  <c r="L75" i="52" s="1"/>
  <c r="M75" i="52" s="1"/>
  <c r="J73" i="52"/>
  <c r="K73" i="52" s="1"/>
  <c r="L73" i="52" s="1"/>
  <c r="M73" i="52" s="1"/>
  <c r="J70" i="52"/>
  <c r="K70" i="52" s="1"/>
  <c r="L70" i="52" s="1"/>
  <c r="M70" i="52" s="1"/>
  <c r="J54" i="52"/>
  <c r="K54" i="52" s="1"/>
  <c r="L54" i="52" s="1"/>
  <c r="M54" i="52" s="1"/>
  <c r="J48" i="52"/>
  <c r="K48" i="52" s="1"/>
  <c r="L48" i="52" s="1"/>
  <c r="M48" i="52" s="1"/>
  <c r="J43" i="52"/>
  <c r="K43" i="52" s="1"/>
  <c r="L43" i="52" s="1"/>
  <c r="M43" i="52" s="1"/>
  <c r="J41" i="52"/>
  <c r="K41" i="52" s="1"/>
  <c r="L41" i="52" s="1"/>
  <c r="M41" i="52" s="1"/>
  <c r="J35" i="52"/>
  <c r="K35" i="52" s="1"/>
  <c r="L35" i="52" s="1"/>
  <c r="M35" i="52" s="1"/>
  <c r="J33" i="52"/>
  <c r="K33" i="52" s="1"/>
  <c r="L33" i="52" s="1"/>
  <c r="M33" i="52" s="1"/>
  <c r="J27" i="52"/>
  <c r="K27" i="52" s="1"/>
  <c r="L27" i="52" s="1"/>
  <c r="M27" i="52" s="1"/>
  <c r="J21" i="52"/>
  <c r="K21" i="52" s="1"/>
  <c r="L21" i="52" s="1"/>
  <c r="M21" i="52" s="1"/>
  <c r="J17" i="52"/>
  <c r="K17" i="52" s="1"/>
  <c r="L17" i="52" s="1"/>
  <c r="M17" i="52" s="1"/>
  <c r="J11" i="52"/>
  <c r="K11" i="52" s="1"/>
  <c r="L11" i="52" s="1"/>
  <c r="M11" i="52" s="1"/>
  <c r="J387" i="52"/>
  <c r="K387" i="52" s="1"/>
  <c r="L387" i="52" s="1"/>
  <c r="M387" i="52" s="1"/>
  <c r="J383" i="52"/>
  <c r="K383" i="52" s="1"/>
  <c r="L383" i="52" s="1"/>
  <c r="M383" i="52" s="1"/>
  <c r="J359" i="52"/>
  <c r="K359" i="52" s="1"/>
  <c r="L359" i="52" s="1"/>
  <c r="M359" i="52" s="1"/>
  <c r="J328" i="52"/>
  <c r="K328" i="52" s="1"/>
  <c r="L328" i="52" s="1"/>
  <c r="M328" i="52" s="1"/>
  <c r="J274" i="52"/>
  <c r="K274" i="52" s="1"/>
  <c r="L274" i="52" s="1"/>
  <c r="M274" i="52" s="1"/>
  <c r="J269" i="52"/>
  <c r="K269" i="52" s="1"/>
  <c r="L269" i="52" s="1"/>
  <c r="M269" i="52" s="1"/>
  <c r="J264" i="52"/>
  <c r="K264" i="52" s="1"/>
  <c r="L264" i="52" s="1"/>
  <c r="M264" i="52" s="1"/>
  <c r="J249" i="52"/>
  <c r="K249" i="52" s="1"/>
  <c r="L249" i="52" s="1"/>
  <c r="M249" i="52" s="1"/>
  <c r="J201" i="52"/>
  <c r="K201" i="52" s="1"/>
  <c r="L201" i="52" s="1"/>
  <c r="M201" i="52" s="1"/>
  <c r="J160" i="52"/>
  <c r="K160" i="52" s="1"/>
  <c r="L160" i="52" s="1"/>
  <c r="M160" i="52" s="1"/>
  <c r="J109" i="52"/>
  <c r="K109" i="52" s="1"/>
  <c r="L109" i="52" s="1"/>
  <c r="M109" i="52" s="1"/>
  <c r="J67" i="52"/>
  <c r="K67" i="52" s="1"/>
  <c r="L67" i="52" s="1"/>
  <c r="M67" i="52" s="1"/>
  <c r="J34" i="52"/>
  <c r="K34" i="52" s="1"/>
  <c r="L34" i="52" s="1"/>
  <c r="M34" i="52" s="1"/>
  <c r="J429" i="52"/>
  <c r="K429" i="52" s="1"/>
  <c r="L429" i="52" s="1"/>
  <c r="M429" i="52" s="1"/>
  <c r="J388" i="52"/>
  <c r="K388" i="52" s="1"/>
  <c r="L388" i="52" s="1"/>
  <c r="M388" i="52" s="1"/>
  <c r="J384" i="52"/>
  <c r="K384" i="52" s="1"/>
  <c r="L384" i="52" s="1"/>
  <c r="M384" i="52" s="1"/>
  <c r="J337" i="52"/>
  <c r="K337" i="52" s="1"/>
  <c r="L337" i="52" s="1"/>
  <c r="M337" i="52" s="1"/>
  <c r="J298" i="52"/>
  <c r="K298" i="52" s="1"/>
  <c r="L298" i="52" s="1"/>
  <c r="M298" i="52" s="1"/>
  <c r="J266" i="52"/>
  <c r="K266" i="52" s="1"/>
  <c r="L266" i="52" s="1"/>
  <c r="M266" i="52" s="1"/>
  <c r="J245" i="52"/>
  <c r="K245" i="52" s="1"/>
  <c r="L245" i="52" s="1"/>
  <c r="M245" i="52" s="1"/>
  <c r="J223" i="52"/>
  <c r="K223" i="52" s="1"/>
  <c r="L223" i="52" s="1"/>
  <c r="M223" i="52" s="1"/>
  <c r="J211" i="52"/>
  <c r="K211" i="52" s="1"/>
  <c r="L211" i="52" s="1"/>
  <c r="M211" i="52" s="1"/>
  <c r="J202" i="52"/>
  <c r="K202" i="52" s="1"/>
  <c r="L202" i="52" s="1"/>
  <c r="M202" i="52" s="1"/>
  <c r="J186" i="52"/>
  <c r="K186" i="52" s="1"/>
  <c r="L186" i="52" s="1"/>
  <c r="M186" i="52" s="1"/>
  <c r="J155" i="52"/>
  <c r="K155" i="52" s="1"/>
  <c r="L155" i="52" s="1"/>
  <c r="M155" i="52" s="1"/>
  <c r="J136" i="52"/>
  <c r="K136" i="52" s="1"/>
  <c r="L136" i="52" s="1"/>
  <c r="M136" i="52" s="1"/>
  <c r="J123" i="52"/>
  <c r="K123" i="52" s="1"/>
  <c r="L123" i="52" s="1"/>
  <c r="M123" i="52" s="1"/>
  <c r="J115" i="52"/>
  <c r="K115" i="52" s="1"/>
  <c r="L115" i="52" s="1"/>
  <c r="M115" i="52" s="1"/>
  <c r="J98" i="52"/>
  <c r="K98" i="52" s="1"/>
  <c r="L98" i="52" s="1"/>
  <c r="M98" i="52" s="1"/>
  <c r="J91" i="52"/>
  <c r="K91" i="52" s="1"/>
  <c r="L91" i="52" s="1"/>
  <c r="M91" i="52" s="1"/>
  <c r="J85" i="52"/>
  <c r="K85" i="52" s="1"/>
  <c r="L85" i="52" s="1"/>
  <c r="M85" i="52" s="1"/>
  <c r="J74" i="52"/>
  <c r="K74" i="52" s="1"/>
  <c r="L74" i="52" s="1"/>
  <c r="M74" i="52" s="1"/>
  <c r="J68" i="52"/>
  <c r="K68" i="52" s="1"/>
  <c r="L68" i="52" s="1"/>
  <c r="M68" i="52" s="1"/>
  <c r="J61" i="52"/>
  <c r="K61" i="52" s="1"/>
  <c r="L61" i="52" s="1"/>
  <c r="M61" i="52" s="1"/>
  <c r="J96" i="52"/>
  <c r="K96" i="52" s="1"/>
  <c r="L96" i="52" s="1"/>
  <c r="M96" i="52" s="1"/>
  <c r="J84" i="52"/>
  <c r="K84" i="52" s="1"/>
  <c r="L84" i="52" s="1"/>
  <c r="M84" i="52" s="1"/>
  <c r="J51" i="52"/>
  <c r="K51" i="52" s="1"/>
  <c r="L51" i="52" s="1"/>
  <c r="M51" i="52" s="1"/>
  <c r="J18" i="52"/>
  <c r="K18" i="52" s="1"/>
  <c r="L18" i="52" s="1"/>
  <c r="M18" i="52" s="1"/>
  <c r="J14" i="52"/>
  <c r="K14" i="52" s="1"/>
  <c r="L14" i="52" s="1"/>
  <c r="M14" i="52" s="1"/>
  <c r="J9" i="52"/>
  <c r="K9" i="52" s="1"/>
  <c r="L9" i="52" s="1"/>
  <c r="M9" i="52" s="1"/>
  <c r="AC47" i="24"/>
  <c r="M56" i="41" l="1"/>
  <c r="B565" i="74" l="1"/>
  <c r="B673" i="74"/>
  <c r="H125" i="22"/>
  <c r="B618" i="74" l="1"/>
  <c r="Q53" i="23" l="1"/>
  <c r="B590" i="74"/>
  <c r="G6" i="51" l="1"/>
  <c r="M6" i="51"/>
  <c r="O6" i="51"/>
  <c r="J35" i="41" s="1"/>
  <c r="Q6" i="51"/>
  <c r="G39" i="6" s="1"/>
  <c r="W6" i="51"/>
  <c r="X116" i="6" l="1"/>
  <c r="J17" i="41"/>
  <c r="B906" i="74"/>
  <c r="J33" i="41"/>
  <c r="M33" i="41" s="1"/>
  <c r="K49" i="1" s="1"/>
  <c r="J37" i="41"/>
  <c r="J38" i="41" s="1"/>
  <c r="Q7" i="51"/>
  <c r="B780" i="74"/>
  <c r="B990" i="74"/>
  <c r="B738" i="74"/>
  <c r="B1116" i="74"/>
  <c r="B948" i="74"/>
  <c r="M7" i="51"/>
  <c r="M58" i="51" s="1"/>
  <c r="O7" i="51"/>
  <c r="O58" i="51" s="1"/>
  <c r="J18" i="6"/>
  <c r="B540" i="74" l="1"/>
  <c r="M17" i="41"/>
  <c r="AB18" i="6"/>
  <c r="AF18" i="6" s="1"/>
  <c r="B291" i="74"/>
  <c r="B165" i="74"/>
  <c r="G58" i="51"/>
  <c r="J53" i="41"/>
  <c r="B554" i="74"/>
  <c r="B541" i="74" l="1"/>
  <c r="Q35" i="1"/>
  <c r="C439" i="52"/>
  <c r="C440" i="52"/>
  <c r="C132" i="52"/>
  <c r="C103" i="52"/>
  <c r="C134" i="52" l="1"/>
  <c r="C133" i="52"/>
  <c r="B552" i="74" l="1"/>
  <c r="M35" i="41"/>
  <c r="K56" i="1" s="1"/>
  <c r="R35" i="41" l="1"/>
  <c r="B553" i="74"/>
  <c r="B28" i="74"/>
  <c r="S114" i="1" l="1"/>
  <c r="O114" i="1" s="1"/>
  <c r="Q114" i="1" l="1"/>
  <c r="B61" i="74"/>
  <c r="M47" i="24" l="1"/>
  <c r="B1221" i="74" l="1"/>
  <c r="Y47" i="24" l="1"/>
  <c r="B1264" i="74"/>
  <c r="G26" i="24" l="1"/>
  <c r="B1206" i="74" s="1"/>
  <c r="H26" i="24" l="1"/>
  <c r="B1228" i="74" s="1"/>
  <c r="C254" i="52"/>
  <c r="C312" i="52"/>
  <c r="C384" i="52"/>
  <c r="C386" i="52"/>
  <c r="C387" i="52"/>
  <c r="C389" i="52"/>
  <c r="C390" i="52"/>
  <c r="C391" i="52"/>
  <c r="C392" i="52"/>
  <c r="C393" i="52"/>
  <c r="C394" i="52"/>
  <c r="C396" i="52"/>
  <c r="C397" i="52"/>
  <c r="C398" i="52"/>
  <c r="C402" i="52"/>
  <c r="C403" i="52"/>
  <c r="C405" i="52"/>
  <c r="C406" i="52"/>
  <c r="C408" i="52"/>
  <c r="C409" i="52"/>
  <c r="C410" i="52"/>
  <c r="C412" i="52"/>
  <c r="C413" i="52"/>
  <c r="C414" i="52"/>
  <c r="C416" i="52"/>
  <c r="C421" i="52"/>
  <c r="C422" i="52"/>
  <c r="C425" i="52"/>
  <c r="C426" i="52"/>
  <c r="C428" i="52"/>
  <c r="C429" i="52"/>
  <c r="C430" i="52"/>
  <c r="C431" i="52"/>
  <c r="C432" i="52"/>
  <c r="C433" i="52"/>
  <c r="C434" i="52"/>
  <c r="C435" i="52"/>
  <c r="C436" i="52"/>
  <c r="C438" i="52"/>
  <c r="C441" i="52"/>
  <c r="C443" i="52"/>
  <c r="C444" i="52"/>
  <c r="C445" i="52"/>
  <c r="C446" i="52"/>
  <c r="C447" i="52"/>
  <c r="C450" i="52"/>
  <c r="C451" i="52"/>
  <c r="C452" i="52"/>
  <c r="C453" i="52"/>
  <c r="C454" i="52"/>
  <c r="C455" i="52"/>
  <c r="C456" i="52"/>
  <c r="C457" i="52"/>
  <c r="C458" i="52"/>
  <c r="J25" i="6"/>
  <c r="J33" i="23"/>
  <c r="J89" i="6"/>
  <c r="M56" i="6"/>
  <c r="AB56" i="6" s="1"/>
  <c r="AF141" i="6"/>
  <c r="W58" i="51"/>
  <c r="AC44" i="30"/>
  <c r="AC41" i="30"/>
  <c r="AC40" i="30"/>
  <c r="AC39" i="30"/>
  <c r="AC38" i="30"/>
  <c r="AC37" i="30"/>
  <c r="AC33" i="30"/>
  <c r="AC32" i="30"/>
  <c r="AC31" i="30"/>
  <c r="AC30" i="30"/>
  <c r="AC29" i="30"/>
  <c r="AC28" i="30"/>
  <c r="AC21" i="30"/>
  <c r="AC22" i="30"/>
  <c r="AC24" i="30"/>
  <c r="AC25" i="30"/>
  <c r="AC44" i="24"/>
  <c r="AC43" i="24"/>
  <c r="AC40" i="24"/>
  <c r="AC37" i="24"/>
  <c r="AC36" i="24"/>
  <c r="AC35" i="24"/>
  <c r="AC34" i="24"/>
  <c r="AC33" i="24"/>
  <c r="AC32" i="24"/>
  <c r="AC31" i="24"/>
  <c r="AC28" i="24"/>
  <c r="AC27" i="24"/>
  <c r="AC24" i="24"/>
  <c r="AC23" i="24"/>
  <c r="AC22" i="24"/>
  <c r="AC19" i="24"/>
  <c r="S96" i="1"/>
  <c r="K96" i="1" s="1"/>
  <c r="M44" i="6"/>
  <c r="E38" i="30"/>
  <c r="E41" i="30"/>
  <c r="E39" i="30"/>
  <c r="E37" i="30"/>
  <c r="E32" i="30"/>
  <c r="E33" i="30"/>
  <c r="E31" i="30"/>
  <c r="E30" i="30"/>
  <c r="E29" i="30"/>
  <c r="E28" i="30"/>
  <c r="E24" i="30"/>
  <c r="E21" i="30"/>
  <c r="E20" i="30"/>
  <c r="G37" i="24"/>
  <c r="M83" i="6"/>
  <c r="AB83" i="6" s="1"/>
  <c r="AF83" i="6" s="1"/>
  <c r="F83" i="22"/>
  <c r="B7" i="30"/>
  <c r="B6" i="30"/>
  <c r="B5" i="30"/>
  <c r="P19" i="24"/>
  <c r="B5" i="24"/>
  <c r="B7" i="24"/>
  <c r="B6" i="24"/>
  <c r="M114" i="6"/>
  <c r="M111" i="6"/>
  <c r="M108" i="6"/>
  <c r="M102" i="6"/>
  <c r="AB102" i="6" s="1"/>
  <c r="AF102" i="6" s="1"/>
  <c r="M86" i="6"/>
  <c r="AB86" i="6" s="1"/>
  <c r="AF86" i="6" s="1"/>
  <c r="M53" i="6"/>
  <c r="AB53" i="6" s="1"/>
  <c r="AF53" i="6" s="1"/>
  <c r="M50" i="6"/>
  <c r="AB50" i="6" s="1"/>
  <c r="AF50" i="6" s="1"/>
  <c r="M46" i="6"/>
  <c r="C17" i="22"/>
  <c r="C16" i="22"/>
  <c r="C15" i="22"/>
  <c r="H110" i="22"/>
  <c r="H76" i="22"/>
  <c r="AC52" i="24" l="1"/>
  <c r="J58" i="23"/>
  <c r="Q58" i="23" s="1"/>
  <c r="AB46" i="6"/>
  <c r="AF46" i="6"/>
  <c r="AF20" i="6"/>
  <c r="AB111" i="6"/>
  <c r="AF111" i="6"/>
  <c r="AB108" i="6"/>
  <c r="AF108" i="6" s="1"/>
  <c r="AB114" i="6"/>
  <c r="B307" i="74"/>
  <c r="AB44" i="6"/>
  <c r="E22" i="24" s="1"/>
  <c r="AF154" i="6"/>
  <c r="B406" i="74"/>
  <c r="B281" i="74"/>
  <c r="B346" i="74"/>
  <c r="B221" i="74"/>
  <c r="B354" i="74"/>
  <c r="B360" i="74"/>
  <c r="B316" i="74"/>
  <c r="B366" i="74"/>
  <c r="B341" i="74"/>
  <c r="B313" i="74"/>
  <c r="B185" i="74"/>
  <c r="B310" i="74"/>
  <c r="H91" i="22"/>
  <c r="C92" i="22" s="1"/>
  <c r="B344" i="74"/>
  <c r="B319" i="74"/>
  <c r="AF150" i="6"/>
  <c r="B405" i="74"/>
  <c r="B280" i="74"/>
  <c r="B295" i="74"/>
  <c r="B170" i="74"/>
  <c r="I58" i="51"/>
  <c r="B369" i="74"/>
  <c r="H107" i="22"/>
  <c r="B689" i="74" s="1"/>
  <c r="M26" i="24"/>
  <c r="B1249" i="74" s="1"/>
  <c r="C4" i="52"/>
  <c r="J45" i="6"/>
  <c r="G47" i="6" s="1"/>
  <c r="E44" i="30"/>
  <c r="G44" i="30" s="1"/>
  <c r="B1336" i="74" s="1"/>
  <c r="AC45" i="30"/>
  <c r="J96" i="6"/>
  <c r="C56" i="41"/>
  <c r="B5" i="74"/>
  <c r="M109" i="1"/>
  <c r="B549" i="74"/>
  <c r="AF44" i="6"/>
  <c r="M92" i="1"/>
  <c r="M167" i="1" s="1"/>
  <c r="M158" i="6"/>
  <c r="AB158" i="6" s="1"/>
  <c r="B558" i="74"/>
  <c r="Q33" i="23"/>
  <c r="B582" i="74"/>
  <c r="Q24" i="23"/>
  <c r="B578" i="74"/>
  <c r="G60" i="41"/>
  <c r="B59" i="74"/>
  <c r="B34" i="74"/>
  <c r="B20" i="74"/>
  <c r="B653" i="74"/>
  <c r="G25" i="6"/>
  <c r="G134" i="6"/>
  <c r="B4" i="74"/>
  <c r="C75" i="1"/>
  <c r="AF56" i="6"/>
  <c r="B562" i="74"/>
  <c r="G96" i="6"/>
  <c r="R56" i="41"/>
  <c r="S120" i="1"/>
  <c r="G19" i="24"/>
  <c r="C43" i="52"/>
  <c r="C26" i="52"/>
  <c r="C29" i="52"/>
  <c r="C249" i="52"/>
  <c r="C225" i="52"/>
  <c r="C180" i="52"/>
  <c r="C154" i="52"/>
  <c r="C296" i="52"/>
  <c r="C253" i="52"/>
  <c r="C229" i="52"/>
  <c r="C33" i="52"/>
  <c r="C72" i="52"/>
  <c r="C299" i="52"/>
  <c r="C236" i="52"/>
  <c r="C234" i="52"/>
  <c r="C220" i="52"/>
  <c r="C156" i="52"/>
  <c r="C21" i="52"/>
  <c r="C300" i="52"/>
  <c r="C345" i="52"/>
  <c r="C238" i="52"/>
  <c r="C226" i="52"/>
  <c r="C370" i="52"/>
  <c r="C380" i="52"/>
  <c r="C381" i="52"/>
  <c r="C63" i="52"/>
  <c r="C173" i="52"/>
  <c r="C93" i="52"/>
  <c r="C79" i="52"/>
  <c r="C62" i="52"/>
  <c r="C34" i="52"/>
  <c r="C364" i="52"/>
  <c r="C193" i="52"/>
  <c r="C192" i="52"/>
  <c r="C190" i="52"/>
  <c r="C95" i="52"/>
  <c r="C294" i="52"/>
  <c r="C187" i="52"/>
  <c r="C148" i="52"/>
  <c r="C55" i="52"/>
  <c r="C23" i="52"/>
  <c r="C152" i="52"/>
  <c r="C383" i="52"/>
  <c r="C266" i="52"/>
  <c r="C119" i="52"/>
  <c r="C61" i="52"/>
  <c r="C56" i="52"/>
  <c r="C14" i="52"/>
  <c r="C314" i="52"/>
  <c r="C301" i="52"/>
  <c r="C252" i="52"/>
  <c r="C172" i="52"/>
  <c r="C164" i="52"/>
  <c r="C145" i="52"/>
  <c r="C39" i="52"/>
  <c r="C37" i="52"/>
  <c r="C6" i="52"/>
  <c r="C353" i="52"/>
  <c r="C337" i="52"/>
  <c r="C267" i="52"/>
  <c r="C224" i="52"/>
  <c r="C222" i="52"/>
  <c r="C219" i="52"/>
  <c r="C196" i="52"/>
  <c r="C176" i="52"/>
  <c r="C174" i="52"/>
  <c r="C165" i="52"/>
  <c r="C100" i="52"/>
  <c r="C97" i="52"/>
  <c r="C45" i="52"/>
  <c r="C40" i="52"/>
  <c r="C316" i="52"/>
  <c r="C291" i="52"/>
  <c r="C167" i="52"/>
  <c r="C146" i="52"/>
  <c r="C366" i="52"/>
  <c r="C332" i="52"/>
  <c r="C325" i="52"/>
  <c r="C323" i="52"/>
  <c r="C292" i="52"/>
  <c r="C268" i="52"/>
  <c r="C195" i="52"/>
  <c r="C188" i="52"/>
  <c r="C181" i="52"/>
  <c r="C160" i="52"/>
  <c r="C121" i="52"/>
  <c r="C179" i="52"/>
  <c r="C168" i="52"/>
  <c r="C143" i="52"/>
  <c r="C107" i="52"/>
  <c r="C102" i="52"/>
  <c r="C87" i="52"/>
  <c r="C71" i="52"/>
  <c r="C66" i="52"/>
  <c r="C54" i="52"/>
  <c r="C11" i="52"/>
  <c r="C328" i="52"/>
  <c r="C288" i="52"/>
  <c r="C271" i="52"/>
  <c r="C250" i="52"/>
  <c r="C241" i="52"/>
  <c r="C184" i="52"/>
  <c r="C182" i="52"/>
  <c r="C99" i="52"/>
  <c r="C98" i="52"/>
  <c r="C96" i="52"/>
  <c r="C85" i="52"/>
  <c r="C59" i="52"/>
  <c r="C57" i="52"/>
  <c r="C44" i="52"/>
  <c r="C42" i="52"/>
  <c r="C38" i="52"/>
  <c r="C32" i="52"/>
  <c r="C20" i="52"/>
  <c r="C13" i="52"/>
  <c r="C317" i="52"/>
  <c r="C221" i="52"/>
  <c r="C189" i="52"/>
  <c r="C170" i="52"/>
  <c r="C141" i="52"/>
  <c r="C122" i="52"/>
  <c r="C105" i="52"/>
  <c r="C90" i="52"/>
  <c r="C82" i="52"/>
  <c r="C64" i="52"/>
  <c r="C49" i="52"/>
  <c r="C15" i="52"/>
  <c r="C9" i="52"/>
  <c r="C114" i="52"/>
  <c r="C365" i="52"/>
  <c r="C362" i="52"/>
  <c r="C335" i="52"/>
  <c r="C307" i="52"/>
  <c r="C113" i="52"/>
  <c r="C101" i="52"/>
  <c r="C81" i="52"/>
  <c r="C69" i="52"/>
  <c r="C67" i="52"/>
  <c r="C48" i="52"/>
  <c r="C46" i="52"/>
  <c r="C31" i="52"/>
  <c r="C51" i="52"/>
  <c r="C14" i="22"/>
  <c r="C44" i="1"/>
  <c r="C279" i="1"/>
  <c r="R20" i="41"/>
  <c r="C331" i="52"/>
  <c r="C321" i="52"/>
  <c r="C315" i="52"/>
  <c r="C305" i="52"/>
  <c r="C289" i="52"/>
  <c r="C260" i="52"/>
  <c r="C374" i="52"/>
  <c r="C361" i="52"/>
  <c r="C351" i="52"/>
  <c r="C346" i="52"/>
  <c r="C344" i="52"/>
  <c r="C338" i="52"/>
  <c r="C324" i="52"/>
  <c r="C308" i="52"/>
  <c r="C279" i="52"/>
  <c r="C264" i="52"/>
  <c r="C375" i="52"/>
  <c r="C319" i="52"/>
  <c r="C376" i="52"/>
  <c r="C265" i="52"/>
  <c r="C262" i="52"/>
  <c r="C257" i="52"/>
  <c r="C108" i="52"/>
  <c r="C126" i="52"/>
  <c r="C118" i="52"/>
  <c r="C322" i="52"/>
  <c r="C310" i="52"/>
  <c r="C217" i="52"/>
  <c r="C185" i="52"/>
  <c r="C78" i="52"/>
  <c r="C16" i="52"/>
  <c r="C8" i="52"/>
  <c r="C372" i="52"/>
  <c r="C358" i="52"/>
  <c r="C356" i="52"/>
  <c r="C355" i="52"/>
  <c r="C352" i="52"/>
  <c r="C349" i="52"/>
  <c r="C347" i="52"/>
  <c r="C269" i="52"/>
  <c r="C251" i="52"/>
  <c r="C177" i="52"/>
  <c r="C162" i="52"/>
  <c r="C150" i="52"/>
  <c r="C144" i="52"/>
  <c r="C89" i="52"/>
  <c r="C80" i="52"/>
  <c r="C70" i="52"/>
  <c r="C30" i="52"/>
  <c r="C28" i="52"/>
  <c r="C327" i="52"/>
  <c r="C286" i="52"/>
  <c r="C242" i="52"/>
  <c r="C128" i="52"/>
  <c r="C18" i="52"/>
  <c r="C12" i="52"/>
  <c r="C281" i="52"/>
  <c r="C303" i="52"/>
  <c r="C258" i="52"/>
  <c r="C237" i="52"/>
  <c r="C158" i="52"/>
  <c r="C139" i="52"/>
  <c r="C124" i="52"/>
  <c r="C116" i="52"/>
  <c r="C83" i="52"/>
  <c r="C367" i="52"/>
  <c r="C357" i="52"/>
  <c r="C339" i="52"/>
  <c r="C320" i="52"/>
  <c r="C311" i="52"/>
  <c r="C304" i="52"/>
  <c r="C287" i="52"/>
  <c r="C280" i="52"/>
  <c r="C270" i="52"/>
  <c r="C240" i="52"/>
  <c r="C235" i="52"/>
  <c r="C228" i="52"/>
  <c r="C218" i="52"/>
  <c r="C186" i="52"/>
  <c r="C183" i="52"/>
  <c r="C178" i="52"/>
  <c r="C175" i="52"/>
  <c r="C171" i="52"/>
  <c r="C169" i="52"/>
  <c r="C163" i="52"/>
  <c r="C112" i="52"/>
  <c r="C106" i="52"/>
  <c r="C104" i="52"/>
  <c r="C68" i="52"/>
  <c r="C65" i="52"/>
  <c r="C60" i="52"/>
  <c r="C58" i="52"/>
  <c r="C53" i="52"/>
  <c r="C47" i="52"/>
  <c r="C27" i="52"/>
  <c r="C22" i="52"/>
  <c r="C19" i="52"/>
  <c r="C17" i="52"/>
  <c r="C10" i="52"/>
  <c r="C52" i="52"/>
  <c r="C382" i="52"/>
  <c r="C371" i="52"/>
  <c r="C369" i="52"/>
  <c r="C363" i="52"/>
  <c r="C360" i="52"/>
  <c r="C350" i="52"/>
  <c r="C348" i="52"/>
  <c r="C340" i="52"/>
  <c r="C334" i="52"/>
  <c r="C326" i="52"/>
  <c r="C318" i="52"/>
  <c r="C309" i="52"/>
  <c r="C302" i="52"/>
  <c r="C293" i="52"/>
  <c r="C278" i="52"/>
  <c r="C86" i="52"/>
  <c r="C84" i="52"/>
  <c r="G75" i="6"/>
  <c r="S56" i="41"/>
  <c r="A1" i="55"/>
  <c r="C423" i="52"/>
  <c r="C415" i="52"/>
  <c r="C379" i="52"/>
  <c r="C427" i="52"/>
  <c r="C417" i="52"/>
  <c r="C404" i="52"/>
  <c r="C388" i="52"/>
  <c r="C378" i="52"/>
  <c r="C342" i="52"/>
  <c r="C298" i="52"/>
  <c r="C297" i="52"/>
  <c r="C273" i="52"/>
  <c r="C245" i="52"/>
  <c r="C418" i="52"/>
  <c r="C395" i="52"/>
  <c r="C377" i="52"/>
  <c r="C354" i="52"/>
  <c r="C343" i="52"/>
  <c r="C333" i="52"/>
  <c r="C277" i="52"/>
  <c r="C275" i="52"/>
  <c r="C399" i="52"/>
  <c r="C284" i="52"/>
  <c r="C263" i="52"/>
  <c r="C261" i="52"/>
  <c r="C259" i="52"/>
  <c r="C239" i="52"/>
  <c r="C227" i="52"/>
  <c r="C194" i="52"/>
  <c r="C191" i="52"/>
  <c r="C448" i="52"/>
  <c r="C411" i="52"/>
  <c r="C373" i="52"/>
  <c r="C283" i="52"/>
  <c r="C272" i="52"/>
  <c r="C243" i="52"/>
  <c r="C223" i="52"/>
  <c r="C274" i="52"/>
  <c r="C244" i="52"/>
  <c r="C230" i="52"/>
  <c r="C197" i="52"/>
  <c r="C151" i="52"/>
  <c r="C147" i="52"/>
  <c r="C120" i="52"/>
  <c r="C117" i="52"/>
  <c r="C140" i="52"/>
  <c r="C159" i="52"/>
  <c r="C155" i="52"/>
  <c r="C137" i="52"/>
  <c r="C127" i="52"/>
  <c r="C123" i="52"/>
  <c r="C161" i="52"/>
  <c r="C157" i="52"/>
  <c r="C153" i="52"/>
  <c r="C149" i="52"/>
  <c r="C142" i="52"/>
  <c r="C138" i="52"/>
  <c r="C131" i="52"/>
  <c r="C125" i="52"/>
  <c r="C115" i="52"/>
  <c r="C36" i="52"/>
  <c r="C35" i="52"/>
  <c r="C73" i="52"/>
  <c r="C246" i="52"/>
  <c r="C94" i="52"/>
  <c r="C91" i="52"/>
  <c r="C88" i="52"/>
  <c r="C41" i="52"/>
  <c r="C50" i="52"/>
  <c r="C7" i="52"/>
  <c r="C5" i="52"/>
  <c r="E25" i="30"/>
  <c r="G37" i="30"/>
  <c r="C13" i="22"/>
  <c r="H86" i="22" s="1"/>
  <c r="C2" i="6"/>
  <c r="G38" i="30"/>
  <c r="B4" i="24"/>
  <c r="C160" i="1"/>
  <c r="C2" i="41"/>
  <c r="B4" i="30"/>
  <c r="C2" i="23"/>
  <c r="C81" i="1"/>
  <c r="G28" i="30"/>
  <c r="M112" i="1"/>
  <c r="E3" i="51"/>
  <c r="C3" i="51" s="1"/>
  <c r="AF158" i="6" l="1"/>
  <c r="S124" i="1"/>
  <c r="M124" i="1" s="1"/>
  <c r="N71" i="23"/>
  <c r="L71" i="23" s="1"/>
  <c r="L73" i="23" s="1"/>
  <c r="E44" i="24"/>
  <c r="AF19" i="6"/>
  <c r="G166" i="6"/>
  <c r="Q185" i="1"/>
  <c r="B85" i="74"/>
  <c r="O185" i="1"/>
  <c r="AF121" i="6"/>
  <c r="AF119" i="6"/>
  <c r="AF114" i="6"/>
  <c r="AF123" i="6"/>
  <c r="C124" i="6" s="1"/>
  <c r="H115" i="22"/>
  <c r="B692" i="74" s="1"/>
  <c r="AF117" i="6"/>
  <c r="B134" i="74"/>
  <c r="O116" i="1"/>
  <c r="Q190" i="1"/>
  <c r="O190" i="1"/>
  <c r="Q211" i="1"/>
  <c r="B138" i="74" s="1"/>
  <c r="O211" i="1"/>
  <c r="B137" i="74" s="1"/>
  <c r="Q196" i="1"/>
  <c r="O196" i="1"/>
  <c r="Q187" i="1"/>
  <c r="Q193" i="1"/>
  <c r="Q199" i="1"/>
  <c r="Q202" i="1"/>
  <c r="Q183" i="1"/>
  <c r="O202" i="1"/>
  <c r="O193" i="1"/>
  <c r="O187" i="1"/>
  <c r="O199" i="1"/>
  <c r="O183" i="1"/>
  <c r="B182" i="74"/>
  <c r="G22" i="24"/>
  <c r="B1202" i="74" s="1"/>
  <c r="B194" i="74"/>
  <c r="E25" i="24"/>
  <c r="B241" i="74"/>
  <c r="E34" i="24"/>
  <c r="B235" i="74"/>
  <c r="E33" i="24"/>
  <c r="B349" i="74"/>
  <c r="B224" i="74"/>
  <c r="AF127" i="6"/>
  <c r="B380" i="74"/>
  <c r="B255" i="74"/>
  <c r="B219" i="74"/>
  <c r="E28" i="24"/>
  <c r="B188" i="74"/>
  <c r="E23" i="24"/>
  <c r="G23" i="24" s="1"/>
  <c r="B216" i="74"/>
  <c r="E27" i="24"/>
  <c r="B191" i="74"/>
  <c r="E24" i="24"/>
  <c r="B229" i="74"/>
  <c r="E31" i="24"/>
  <c r="B350" i="74"/>
  <c r="B225" i="74"/>
  <c r="Q116" i="1"/>
  <c r="B407" i="74"/>
  <c r="B294" i="74"/>
  <c r="B169" i="74"/>
  <c r="B336" i="74"/>
  <c r="B211" i="74"/>
  <c r="B381" i="74"/>
  <c r="B256" i="74"/>
  <c r="B244" i="74"/>
  <c r="E35" i="24"/>
  <c r="Y26" i="24"/>
  <c r="J64" i="23"/>
  <c r="O92" i="1"/>
  <c r="O167" i="1" s="1"/>
  <c r="Q92" i="1"/>
  <c r="Q167" i="1" s="1"/>
  <c r="L64" i="23"/>
  <c r="W55" i="1"/>
  <c r="A69" i="1"/>
  <c r="W46" i="1" s="1"/>
  <c r="M38" i="6"/>
  <c r="AB38" i="6" s="1"/>
  <c r="J75" i="6"/>
  <c r="M25" i="6"/>
  <c r="K53" i="1"/>
  <c r="R33" i="41"/>
  <c r="AF69" i="6"/>
  <c r="B23" i="74"/>
  <c r="M118" i="1"/>
  <c r="B561" i="74"/>
  <c r="M134" i="6"/>
  <c r="AB134" i="6" s="1"/>
  <c r="AF134" i="6" s="1"/>
  <c r="AF130" i="6"/>
  <c r="B550" i="74"/>
  <c r="B682" i="74"/>
  <c r="B55" i="74"/>
  <c r="AF89" i="6"/>
  <c r="B559" i="74"/>
  <c r="H38" i="30"/>
  <c r="B1332" i="74"/>
  <c r="G22" i="30"/>
  <c r="B31" i="74"/>
  <c r="G20" i="30"/>
  <c r="B1318" i="74" s="1"/>
  <c r="H19" i="24"/>
  <c r="B1201" i="74"/>
  <c r="B33" i="74"/>
  <c r="B60" i="74"/>
  <c r="H37" i="30"/>
  <c r="B1331" i="74"/>
  <c r="G40" i="30"/>
  <c r="H44" i="30"/>
  <c r="B1360" i="74" s="1"/>
  <c r="B32" i="74"/>
  <c r="H28" i="30"/>
  <c r="B1324" i="74"/>
  <c r="G31" i="30"/>
  <c r="B1327" i="74" s="1"/>
  <c r="M120" i="1"/>
  <c r="B69" i="74"/>
  <c r="B127" i="22"/>
  <c r="F112" i="22"/>
  <c r="H108" i="22"/>
  <c r="F105" i="22"/>
  <c r="AF92" i="6"/>
  <c r="M96" i="6"/>
  <c r="AB96" i="6" s="1"/>
  <c r="AF96" i="6" s="1"/>
  <c r="M114" i="1"/>
  <c r="W114" i="1" s="1"/>
  <c r="C147" i="1" s="1"/>
  <c r="C276" i="52"/>
  <c r="C110" i="52"/>
  <c r="C109" i="52"/>
  <c r="G33" i="30"/>
  <c r="G30" i="30"/>
  <c r="G21" i="30"/>
  <c r="G41" i="30"/>
  <c r="G39" i="30"/>
  <c r="G25" i="30"/>
  <c r="G29" i="30"/>
  <c r="G24" i="30"/>
  <c r="G32" i="30"/>
  <c r="C198" i="52"/>
  <c r="C231" i="52"/>
  <c r="C74" i="52"/>
  <c r="C420" i="52"/>
  <c r="C419" i="52"/>
  <c r="C176" i="6"/>
  <c r="J60" i="41"/>
  <c r="M53" i="41"/>
  <c r="M48" i="41"/>
  <c r="B14" i="51"/>
  <c r="B16" i="51"/>
  <c r="B18" i="51"/>
  <c r="B20" i="51"/>
  <c r="B22" i="51"/>
  <c r="B24" i="51"/>
  <c r="B26" i="51"/>
  <c r="B28" i="51"/>
  <c r="B30" i="51"/>
  <c r="B32" i="51"/>
  <c r="B34" i="51"/>
  <c r="B36" i="51"/>
  <c r="B38" i="51"/>
  <c r="B40" i="51"/>
  <c r="B42" i="51"/>
  <c r="B44" i="51"/>
  <c r="B46" i="51"/>
  <c r="B48" i="51"/>
  <c r="B50" i="51"/>
  <c r="B52" i="51"/>
  <c r="B13" i="51"/>
  <c r="B17" i="51"/>
  <c r="B21" i="51"/>
  <c r="B25" i="51"/>
  <c r="B29" i="51"/>
  <c r="B33" i="51"/>
  <c r="B37" i="51"/>
  <c r="B41" i="51"/>
  <c r="B45" i="51"/>
  <c r="B49" i="51"/>
  <c r="B53" i="51"/>
  <c r="B15" i="51"/>
  <c r="B31" i="51"/>
  <c r="B47" i="51"/>
  <c r="B23" i="51"/>
  <c r="B39" i="51"/>
  <c r="B19" i="51"/>
  <c r="B51" i="51"/>
  <c r="B27" i="51"/>
  <c r="B35" i="51"/>
  <c r="B43" i="51"/>
  <c r="N73" i="23" l="1"/>
  <c r="Q74" i="23" s="1"/>
  <c r="F59" i="23" s="1"/>
  <c r="B611" i="74"/>
  <c r="F71" i="23"/>
  <c r="F73" i="23" s="1"/>
  <c r="AF38" i="6"/>
  <c r="K32" i="1"/>
  <c r="Q31" i="1"/>
  <c r="H71" i="23"/>
  <c r="H73" i="23" s="1"/>
  <c r="O124" i="1"/>
  <c r="J71" i="23"/>
  <c r="J73" i="23" s="1"/>
  <c r="Q124" i="1"/>
  <c r="H121" i="22"/>
  <c r="B694" i="74" s="1"/>
  <c r="J166" i="6"/>
  <c r="G168" i="6" s="1"/>
  <c r="AF70" i="6"/>
  <c r="V122" i="6"/>
  <c r="G12" i="41"/>
  <c r="U22" i="41"/>
  <c r="T22" i="41"/>
  <c r="AB25" i="6"/>
  <c r="B133" i="74"/>
  <c r="H22" i="24"/>
  <c r="M22" i="24" s="1"/>
  <c r="M196" i="1"/>
  <c r="S185" i="1"/>
  <c r="B226" i="74"/>
  <c r="B351" i="74"/>
  <c r="B337" i="74"/>
  <c r="B212" i="74"/>
  <c r="B282" i="74"/>
  <c r="B296" i="74"/>
  <c r="Q33" i="1"/>
  <c r="B304" i="74"/>
  <c r="B408" i="74"/>
  <c r="B283" i="74"/>
  <c r="B257" i="74"/>
  <c r="B382" i="74"/>
  <c r="B121" i="74"/>
  <c r="B122" i="74"/>
  <c r="B126" i="74"/>
  <c r="B610" i="74"/>
  <c r="B125" i="74"/>
  <c r="B93" i="74"/>
  <c r="M75" i="6"/>
  <c r="AB75" i="6" s="1"/>
  <c r="S112" i="1"/>
  <c r="B25" i="74"/>
  <c r="A75" i="1"/>
  <c r="W52" i="1" s="1"/>
  <c r="K55" i="1"/>
  <c r="W120" i="1"/>
  <c r="B96" i="74"/>
  <c r="B109" i="74"/>
  <c r="B94" i="74"/>
  <c r="B30" i="74"/>
  <c r="B27" i="74"/>
  <c r="H127" i="22"/>
  <c r="B68" i="74"/>
  <c r="H20" i="30"/>
  <c r="B1342" i="74" s="1"/>
  <c r="H31" i="30"/>
  <c r="M31" i="30" s="1"/>
  <c r="B567" i="74"/>
  <c r="B66" i="74"/>
  <c r="B115" i="74"/>
  <c r="B63" i="74"/>
  <c r="H39" i="30"/>
  <c r="B1333" i="74"/>
  <c r="H33" i="30"/>
  <c r="B1329" i="74"/>
  <c r="B106" i="74"/>
  <c r="B114" i="74"/>
  <c r="H24" i="30"/>
  <c r="B1322" i="74"/>
  <c r="H41" i="30"/>
  <c r="B1335" i="74"/>
  <c r="H21" i="30"/>
  <c r="B1319" i="74"/>
  <c r="B101" i="74"/>
  <c r="B110" i="74"/>
  <c r="M28" i="30"/>
  <c r="B1348" i="74"/>
  <c r="M44" i="30"/>
  <c r="B1385" i="74" s="1"/>
  <c r="H40" i="30"/>
  <c r="B1334" i="74"/>
  <c r="H22" i="30"/>
  <c r="B1320" i="74"/>
  <c r="M38" i="30"/>
  <c r="B1356" i="74"/>
  <c r="B113" i="74"/>
  <c r="H29" i="30"/>
  <c r="B1325" i="74"/>
  <c r="B64" i="74"/>
  <c r="B105" i="74"/>
  <c r="B102" i="74"/>
  <c r="B98" i="74"/>
  <c r="R53" i="41"/>
  <c r="B563" i="74"/>
  <c r="B560" i="74"/>
  <c r="H32" i="30"/>
  <c r="B1328" i="74"/>
  <c r="H25" i="30"/>
  <c r="B1323" i="74"/>
  <c r="H30" i="30"/>
  <c r="B1326" i="74"/>
  <c r="B58" i="74"/>
  <c r="B97" i="74"/>
  <c r="M37" i="30"/>
  <c r="B1355" i="74"/>
  <c r="M19" i="24"/>
  <c r="B1223" i="74"/>
  <c r="A147" i="1"/>
  <c r="O112" i="1"/>
  <c r="Q58" i="51"/>
  <c r="R17" i="41"/>
  <c r="C233" i="52"/>
  <c r="C232" i="52"/>
  <c r="C75" i="52"/>
  <c r="C199" i="52"/>
  <c r="R48" i="41"/>
  <c r="S116" i="1"/>
  <c r="S118" i="1"/>
  <c r="B616" i="74" l="1"/>
  <c r="A153" i="1"/>
  <c r="C153" i="1"/>
  <c r="B609" i="74"/>
  <c r="B607" i="74"/>
  <c r="AF75" i="6"/>
  <c r="Q30" i="1"/>
  <c r="B608" i="74"/>
  <c r="K124" i="1"/>
  <c r="Q71" i="23"/>
  <c r="E7" i="51"/>
  <c r="E58" i="51" s="1"/>
  <c r="AF25" i="6"/>
  <c r="Q28" i="1"/>
  <c r="T23" i="41"/>
  <c r="J12" i="41"/>
  <c r="B537" i="74" s="1"/>
  <c r="U23" i="41"/>
  <c r="B132" i="74"/>
  <c r="W208" i="1"/>
  <c r="C254" i="1" s="1"/>
  <c r="A254" i="1" s="1"/>
  <c r="G25" i="41"/>
  <c r="B545" i="74" s="1"/>
  <c r="B536" i="74"/>
  <c r="M166" i="6"/>
  <c r="B1224" i="74"/>
  <c r="B18" i="74"/>
  <c r="K34" i="1"/>
  <c r="B19" i="74" s="1"/>
  <c r="B171" i="74"/>
  <c r="B179" i="74"/>
  <c r="B338" i="74"/>
  <c r="B409" i="74"/>
  <c r="B284" i="74"/>
  <c r="Q73" i="23"/>
  <c r="B615" i="74"/>
  <c r="B614" i="74"/>
  <c r="B613" i="74"/>
  <c r="B612" i="74"/>
  <c r="W196" i="1"/>
  <c r="B57" i="74"/>
  <c r="W185" i="1"/>
  <c r="C238" i="1" s="1"/>
  <c r="W118" i="1"/>
  <c r="W112" i="1"/>
  <c r="M20" i="30"/>
  <c r="B1351" i="74"/>
  <c r="B65" i="74"/>
  <c r="B56" i="74"/>
  <c r="B112" i="74"/>
  <c r="B99" i="74"/>
  <c r="Y19" i="24"/>
  <c r="B1244" i="74"/>
  <c r="M30" i="30"/>
  <c r="B1350" i="74"/>
  <c r="M32" i="30"/>
  <c r="B1352" i="74"/>
  <c r="Y31" i="30"/>
  <c r="B1376" i="74"/>
  <c r="Y38" i="30"/>
  <c r="B1381" i="74"/>
  <c r="B1358" i="74"/>
  <c r="M40" i="30"/>
  <c r="Y28" i="30"/>
  <c r="B1373" i="74"/>
  <c r="M41" i="30"/>
  <c r="B1359" i="74"/>
  <c r="M39" i="30"/>
  <c r="B1357" i="74"/>
  <c r="B67" i="74"/>
  <c r="H23" i="24"/>
  <c r="B1203" i="74"/>
  <c r="Y22" i="24"/>
  <c r="B1247" i="74"/>
  <c r="Y37" i="30"/>
  <c r="B1380" i="74"/>
  <c r="M25" i="30"/>
  <c r="B1347" i="74"/>
  <c r="M29" i="30"/>
  <c r="B1349" i="74"/>
  <c r="M22" i="30"/>
  <c r="B1344" i="74"/>
  <c r="Y44" i="30"/>
  <c r="M21" i="30"/>
  <c r="B1343" i="74"/>
  <c r="M24" i="30"/>
  <c r="B1346" i="74"/>
  <c r="M33" i="30"/>
  <c r="B1353" i="74"/>
  <c r="C77" i="52"/>
  <c r="C76" i="52"/>
  <c r="C200" i="52"/>
  <c r="G24" i="24"/>
  <c r="M116" i="1"/>
  <c r="C145" i="1" l="1"/>
  <c r="A145" i="1" s="1"/>
  <c r="C151" i="1"/>
  <c r="A151" i="1" s="1"/>
  <c r="C246" i="1"/>
  <c r="A246" i="1" s="1"/>
  <c r="Q40" i="1"/>
  <c r="B1367" i="74"/>
  <c r="M53" i="30"/>
  <c r="B1366" i="74" s="1"/>
  <c r="B410" i="74"/>
  <c r="C67" i="1"/>
  <c r="A67" i="1" s="1"/>
  <c r="W44" i="1" s="1"/>
  <c r="B645" i="74"/>
  <c r="J25" i="41"/>
  <c r="B546" i="74" s="1"/>
  <c r="B213" i="74"/>
  <c r="AB166" i="6"/>
  <c r="Q79" i="23"/>
  <c r="C78" i="23" s="1"/>
  <c r="R27" i="41"/>
  <c r="Y20" i="30"/>
  <c r="A238" i="1"/>
  <c r="W116" i="1"/>
  <c r="C149" i="1" s="1"/>
  <c r="Y33" i="30"/>
  <c r="B1378" i="74"/>
  <c r="Y21" i="30"/>
  <c r="B1368" i="74"/>
  <c r="Y29" i="30"/>
  <c r="B1374" i="74"/>
  <c r="M23" i="24"/>
  <c r="B1225" i="74"/>
  <c r="Y32" i="30"/>
  <c r="B1377" i="74"/>
  <c r="H24" i="24"/>
  <c r="B1204" i="74"/>
  <c r="B62" i="74"/>
  <c r="Y40" i="30"/>
  <c r="B1383" i="74"/>
  <c r="Y24" i="30"/>
  <c r="B1371" i="74"/>
  <c r="Y22" i="30"/>
  <c r="B1369" i="74"/>
  <c r="Y25" i="30"/>
  <c r="B1372" i="74"/>
  <c r="Y39" i="30"/>
  <c r="B1382" i="74"/>
  <c r="Y41" i="30"/>
  <c r="B1384" i="74"/>
  <c r="Y30" i="30"/>
  <c r="B1375" i="74"/>
  <c r="C201" i="52"/>
  <c r="G25" i="24"/>
  <c r="A149" i="1" l="1"/>
  <c r="AF166" i="6"/>
  <c r="U24" i="41"/>
  <c r="R14" i="41"/>
  <c r="T24" i="41"/>
  <c r="M12" i="41"/>
  <c r="B538" i="74" s="1"/>
  <c r="M25" i="41"/>
  <c r="K27" i="1" s="1"/>
  <c r="B642" i="74"/>
  <c r="R28" i="41"/>
  <c r="B646" i="74"/>
  <c r="E40" i="24"/>
  <c r="B285" i="74"/>
  <c r="B591" i="74"/>
  <c r="B1220" i="74"/>
  <c r="B566" i="74"/>
  <c r="H25" i="24"/>
  <c r="B1227" i="74" s="1"/>
  <c r="B1205" i="74"/>
  <c r="M24" i="24"/>
  <c r="B1226" i="74"/>
  <c r="Y23" i="24"/>
  <c r="B1245" i="74"/>
  <c r="C202" i="52"/>
  <c r="B31" i="24"/>
  <c r="G27" i="24"/>
  <c r="AF172" i="6" l="1"/>
  <c r="C172" i="6" s="1"/>
  <c r="R12" i="41"/>
  <c r="R25" i="41"/>
  <c r="C65" i="1"/>
  <c r="B547" i="74"/>
  <c r="B643" i="74"/>
  <c r="R32" i="41"/>
  <c r="B619" i="74"/>
  <c r="M44" i="24"/>
  <c r="M60" i="41"/>
  <c r="M25" i="24"/>
  <c r="B1248" i="74" s="1"/>
  <c r="Y24" i="24"/>
  <c r="B1246" i="74"/>
  <c r="H27" i="24"/>
  <c r="B1229" i="74" s="1"/>
  <c r="B1207" i="74"/>
  <c r="C203" i="52"/>
  <c r="G28" i="24"/>
  <c r="B32" i="24"/>
  <c r="Y44" i="24" l="1"/>
  <c r="B647" i="74"/>
  <c r="A65" i="1"/>
  <c r="W42" i="1" s="1"/>
  <c r="B74" i="74"/>
  <c r="B568" i="74"/>
  <c r="B1263" i="74"/>
  <c r="K103" i="1"/>
  <c r="B40" i="74" s="1"/>
  <c r="R60" i="41"/>
  <c r="Y25" i="24"/>
  <c r="H28" i="24"/>
  <c r="B1208" i="74"/>
  <c r="M27" i="24"/>
  <c r="C204" i="52"/>
  <c r="G31" i="24"/>
  <c r="B33" i="24"/>
  <c r="B34" i="24" s="1"/>
  <c r="B644" i="74" l="1"/>
  <c r="B17" i="74"/>
  <c r="B73" i="74"/>
  <c r="S103" i="1"/>
  <c r="B44" i="74" s="1"/>
  <c r="M28" i="24"/>
  <c r="B1230" i="74"/>
  <c r="H31" i="24"/>
  <c r="B1209" i="74"/>
  <c r="Y27" i="24"/>
  <c r="B1250" i="74"/>
  <c r="C205" i="52"/>
  <c r="G32" i="24"/>
  <c r="B72" i="74" l="1"/>
  <c r="B71" i="74"/>
  <c r="B70" i="74"/>
  <c r="H32" i="24"/>
  <c r="B1210" i="74"/>
  <c r="M31" i="24"/>
  <c r="B1231" i="74"/>
  <c r="Y28" i="24"/>
  <c r="B1251" i="74"/>
  <c r="C206" i="52"/>
  <c r="G33" i="24"/>
  <c r="H33" i="24" l="1"/>
  <c r="B1211" i="74"/>
  <c r="B1252" i="74"/>
  <c r="Y31" i="24"/>
  <c r="M32" i="24"/>
  <c r="B1232" i="74"/>
  <c r="C207" i="52"/>
  <c r="B35" i="24"/>
  <c r="Y32" i="24" l="1"/>
  <c r="B1253" i="74"/>
  <c r="M33" i="24"/>
  <c r="B1233" i="74"/>
  <c r="C208" i="52"/>
  <c r="G34" i="24"/>
  <c r="B36" i="24"/>
  <c r="H34" i="24" l="1"/>
  <c r="B1234" i="74" s="1"/>
  <c r="B1213" i="74"/>
  <c r="B1254" i="74"/>
  <c r="Y33" i="24"/>
  <c r="C209" i="52"/>
  <c r="B37" i="24"/>
  <c r="B38" i="24" s="1"/>
  <c r="B40" i="24" s="1"/>
  <c r="G35" i="24"/>
  <c r="M34" i="24" l="1"/>
  <c r="Y34" i="24" s="1"/>
  <c r="H35" i="24"/>
  <c r="B1214" i="74"/>
  <c r="C210" i="52"/>
  <c r="G36" i="24"/>
  <c r="B1255" i="74" l="1"/>
  <c r="H36" i="24"/>
  <c r="B1237" i="74" s="1"/>
  <c r="B1215" i="74"/>
  <c r="M35" i="24"/>
  <c r="B1236" i="74"/>
  <c r="C211" i="52"/>
  <c r="B1216" i="74"/>
  <c r="M36" i="24" l="1"/>
  <c r="B1257" i="74" s="1"/>
  <c r="Y35" i="24"/>
  <c r="B1256" i="74"/>
  <c r="H37" i="24"/>
  <c r="C212" i="52"/>
  <c r="Y36" i="24" l="1"/>
  <c r="M37" i="24"/>
  <c r="B1238" i="74"/>
  <c r="C213" i="52"/>
  <c r="B43" i="24"/>
  <c r="B44" i="24" s="1"/>
  <c r="Y37" i="24" l="1"/>
  <c r="B1259" i="74"/>
  <c r="C215" i="52"/>
  <c r="C214" i="52"/>
  <c r="G40" i="24"/>
  <c r="S14" i="51" l="1"/>
  <c r="S19" i="51"/>
  <c r="S51" i="51"/>
  <c r="S17" i="51"/>
  <c r="S47" i="51"/>
  <c r="S46" i="51"/>
  <c r="S37" i="51"/>
  <c r="S50" i="51"/>
  <c r="S20" i="51"/>
  <c r="S25" i="51"/>
  <c r="S30" i="51"/>
  <c r="S18" i="51"/>
  <c r="S52" i="51"/>
  <c r="S13" i="51"/>
  <c r="B1033" i="74" s="1"/>
  <c r="S32" i="51"/>
  <c r="S44" i="51"/>
  <c r="S22" i="51"/>
  <c r="S33" i="51"/>
  <c r="S39" i="51"/>
  <c r="S24" i="51"/>
  <c r="S27" i="51"/>
  <c r="S53" i="51"/>
  <c r="S41" i="51"/>
  <c r="S29" i="51"/>
  <c r="S16" i="51"/>
  <c r="S28" i="51"/>
  <c r="S45" i="51"/>
  <c r="S15" i="51"/>
  <c r="S43" i="51"/>
  <c r="S49" i="51"/>
  <c r="S42" i="51"/>
  <c r="S23" i="51"/>
  <c r="S21" i="51"/>
  <c r="S31" i="51"/>
  <c r="S34" i="51"/>
  <c r="S48" i="51"/>
  <c r="S26" i="51"/>
  <c r="S40" i="51"/>
  <c r="S35" i="51"/>
  <c r="S36" i="51"/>
  <c r="S38" i="51"/>
  <c r="C28" i="51"/>
  <c r="C47" i="51"/>
  <c r="C22" i="51"/>
  <c r="C36" i="51"/>
  <c r="C21" i="51"/>
  <c r="C18" i="51"/>
  <c r="C17" i="51"/>
  <c r="C46" i="51"/>
  <c r="C26" i="51"/>
  <c r="C16" i="51"/>
  <c r="C49" i="51"/>
  <c r="C37" i="51"/>
  <c r="C19" i="51"/>
  <c r="C38" i="51"/>
  <c r="C34" i="51"/>
  <c r="C41" i="51"/>
  <c r="C40" i="51"/>
  <c r="C42" i="51"/>
  <c r="C33" i="51"/>
  <c r="C31" i="51"/>
  <c r="C20" i="51"/>
  <c r="C53" i="51"/>
  <c r="C44" i="51"/>
  <c r="C13" i="51"/>
  <c r="C50" i="51"/>
  <c r="C39" i="51"/>
  <c r="C48" i="51"/>
  <c r="C35" i="51"/>
  <c r="C27" i="51"/>
  <c r="C25" i="51"/>
  <c r="C29" i="51"/>
  <c r="C52" i="51"/>
  <c r="C23" i="51"/>
  <c r="C14" i="51"/>
  <c r="C51" i="51"/>
  <c r="C45" i="51"/>
  <c r="C24" i="51"/>
  <c r="C32" i="51"/>
  <c r="C43" i="51"/>
  <c r="C30" i="51"/>
  <c r="C15" i="51"/>
  <c r="H40" i="24"/>
  <c r="B1240" i="74" s="1"/>
  <c r="B1218" i="74"/>
  <c r="G43" i="24"/>
  <c r="AD13" i="51" l="1"/>
  <c r="AD47" i="51"/>
  <c r="AD46" i="51"/>
  <c r="AD22" i="51"/>
  <c r="AD21" i="51"/>
  <c r="AD17" i="51"/>
  <c r="AE21" i="51"/>
  <c r="AD49" i="51"/>
  <c r="AD18" i="51"/>
  <c r="AD34" i="51"/>
  <c r="AD41" i="51"/>
  <c r="AD38" i="51"/>
  <c r="AD28" i="51"/>
  <c r="AD26" i="51"/>
  <c r="AD42" i="51"/>
  <c r="AD53" i="51"/>
  <c r="AD39" i="51"/>
  <c r="AD33" i="51"/>
  <c r="AD48" i="51"/>
  <c r="AD20" i="51"/>
  <c r="AD50" i="51"/>
  <c r="AD44" i="51"/>
  <c r="AD36" i="51"/>
  <c r="AD31" i="51"/>
  <c r="AD52" i="51"/>
  <c r="AD29" i="51"/>
  <c r="AD25" i="51"/>
  <c r="AD14" i="51"/>
  <c r="AD43" i="51"/>
  <c r="AD27" i="51"/>
  <c r="AD37" i="51"/>
  <c r="AD19" i="51"/>
  <c r="AD40" i="51"/>
  <c r="AD35" i="51"/>
  <c r="AD16" i="51"/>
  <c r="AD51" i="51"/>
  <c r="AE15" i="51"/>
  <c r="AD15" i="51"/>
  <c r="AD24" i="51"/>
  <c r="AD30" i="51"/>
  <c r="AD45" i="51"/>
  <c r="AD32" i="51"/>
  <c r="AD23" i="51"/>
  <c r="AE13" i="51"/>
  <c r="AE17" i="51"/>
  <c r="K17" i="51"/>
  <c r="AE16" i="51"/>
  <c r="AE14" i="51"/>
  <c r="Y14" i="51"/>
  <c r="B705" i="74"/>
  <c r="B719" i="74"/>
  <c r="AE35" i="51"/>
  <c r="B725" i="74"/>
  <c r="AE41" i="51"/>
  <c r="B724" i="74"/>
  <c r="AE40" i="51"/>
  <c r="B735" i="74"/>
  <c r="AE51" i="51"/>
  <c r="B727" i="74"/>
  <c r="AE43" i="51"/>
  <c r="B726" i="74"/>
  <c r="AE42" i="51"/>
  <c r="B736" i="74"/>
  <c r="AE52" i="51"/>
  <c r="B709" i="74"/>
  <c r="AE25" i="51"/>
  <c r="B728" i="74"/>
  <c r="AE44" i="51"/>
  <c r="B732" i="74"/>
  <c r="AE48" i="51"/>
  <c r="B704" i="74"/>
  <c r="AE20" i="51"/>
  <c r="B714" i="74"/>
  <c r="AE30" i="51"/>
  <c r="B722" i="74"/>
  <c r="AE38" i="51"/>
  <c r="B713" i="74"/>
  <c r="AE29" i="51"/>
  <c r="B707" i="74"/>
  <c r="AE23" i="51"/>
  <c r="B734" i="74"/>
  <c r="AE50" i="51"/>
  <c r="B716" i="74"/>
  <c r="AE32" i="51"/>
  <c r="B718" i="74"/>
  <c r="AE34" i="51"/>
  <c r="B702" i="74"/>
  <c r="AE18" i="51"/>
  <c r="B715" i="74"/>
  <c r="AE31" i="51"/>
  <c r="B708" i="74"/>
  <c r="AE24" i="51"/>
  <c r="B720" i="74"/>
  <c r="AE36" i="51"/>
  <c r="B706" i="74"/>
  <c r="AE22" i="51"/>
  <c r="B737" i="74"/>
  <c r="AE53" i="51"/>
  <c r="B731" i="74"/>
  <c r="AE47" i="51"/>
  <c r="B733" i="74"/>
  <c r="AE49" i="51"/>
  <c r="B717" i="74"/>
  <c r="AE33" i="51"/>
  <c r="B711" i="74"/>
  <c r="AE27" i="51"/>
  <c r="B703" i="74"/>
  <c r="AE19" i="51"/>
  <c r="B712" i="74"/>
  <c r="AE28" i="51"/>
  <c r="B730" i="74"/>
  <c r="AE46" i="51"/>
  <c r="B723" i="74"/>
  <c r="AE39" i="51"/>
  <c r="B729" i="74"/>
  <c r="AE45" i="51"/>
  <c r="B721" i="74"/>
  <c r="AE37" i="51"/>
  <c r="B710" i="74"/>
  <c r="AE26" i="51"/>
  <c r="Y13" i="51"/>
  <c r="M40" i="24"/>
  <c r="B1053" i="74"/>
  <c r="B1045" i="74"/>
  <c r="B1059" i="74"/>
  <c r="B1050" i="74"/>
  <c r="B1038" i="74"/>
  <c r="B1052" i="74"/>
  <c r="B1044" i="74"/>
  <c r="B1041" i="74"/>
  <c r="B1064" i="74"/>
  <c r="B1046" i="74"/>
  <c r="B1069" i="74"/>
  <c r="B1040" i="74"/>
  <c r="B1060" i="74"/>
  <c r="B1063" i="74"/>
  <c r="B1057" i="74"/>
  <c r="B1054" i="74"/>
  <c r="B1058" i="74"/>
  <c r="B1062" i="74"/>
  <c r="B1056" i="74"/>
  <c r="B1035" i="74"/>
  <c r="B1049" i="74"/>
  <c r="B1061" i="74"/>
  <c r="B1051" i="74"/>
  <c r="B1034" i="74"/>
  <c r="B1043" i="74"/>
  <c r="B1039" i="74"/>
  <c r="B1072" i="74"/>
  <c r="B1036" i="74"/>
  <c r="B1070" i="74"/>
  <c r="B1048" i="74"/>
  <c r="B1071" i="74"/>
  <c r="B1068" i="74"/>
  <c r="B1073" i="74"/>
  <c r="B1037" i="74"/>
  <c r="B1066" i="74"/>
  <c r="B1067" i="74"/>
  <c r="B1042" i="74"/>
  <c r="B1055" i="74"/>
  <c r="B1065" i="74"/>
  <c r="B1047" i="74"/>
  <c r="B701" i="74"/>
  <c r="H43" i="24"/>
  <c r="B1219" i="74"/>
  <c r="B699" i="74"/>
  <c r="B697" i="74"/>
  <c r="B698" i="74"/>
  <c r="B700" i="74"/>
  <c r="U39" i="51"/>
  <c r="U45" i="51"/>
  <c r="U37" i="51"/>
  <c r="U48" i="51"/>
  <c r="U43" i="51"/>
  <c r="U41" i="51"/>
  <c r="U40" i="51"/>
  <c r="U51" i="51"/>
  <c r="U52" i="51"/>
  <c r="U53" i="51"/>
  <c r="U38" i="51"/>
  <c r="U44" i="51"/>
  <c r="U49" i="51"/>
  <c r="U46" i="51"/>
  <c r="U42" i="51"/>
  <c r="U50" i="51"/>
  <c r="K48" i="51"/>
  <c r="Y48" i="51"/>
  <c r="Y43" i="51"/>
  <c r="K43" i="51"/>
  <c r="Y20" i="51"/>
  <c r="K20" i="51"/>
  <c r="U20" i="51" s="1"/>
  <c r="Y30" i="51"/>
  <c r="K30" i="51"/>
  <c r="U30" i="51" s="1"/>
  <c r="K53" i="51"/>
  <c r="Y53" i="51"/>
  <c r="K25" i="51"/>
  <c r="U25" i="51" s="1"/>
  <c r="Y25" i="51"/>
  <c r="Y38" i="51"/>
  <c r="K38" i="51"/>
  <c r="Y47" i="51"/>
  <c r="K47" i="51"/>
  <c r="U47" i="51" s="1"/>
  <c r="K44" i="51"/>
  <c r="Y44" i="51"/>
  <c r="Y29" i="51"/>
  <c r="K29" i="51"/>
  <c r="U29" i="51" s="1"/>
  <c r="K13" i="51"/>
  <c r="U13" i="51" s="1"/>
  <c r="K14" i="51"/>
  <c r="K16" i="51"/>
  <c r="U16" i="51" s="1"/>
  <c r="Y16" i="51"/>
  <c r="Y50" i="51"/>
  <c r="K50" i="51"/>
  <c r="K21" i="51"/>
  <c r="U21" i="51" s="1"/>
  <c r="Y21" i="51"/>
  <c r="Y18" i="51"/>
  <c r="K18" i="51"/>
  <c r="Y17" i="51"/>
  <c r="Y31" i="51"/>
  <c r="K31" i="51"/>
  <c r="U31" i="51" s="1"/>
  <c r="K24" i="51"/>
  <c r="U24" i="51" s="1"/>
  <c r="Y24" i="51"/>
  <c r="Y49" i="51"/>
  <c r="K49" i="51"/>
  <c r="K35" i="51"/>
  <c r="U35" i="51" s="1"/>
  <c r="Y35" i="51"/>
  <c r="K36" i="51"/>
  <c r="U36" i="51" s="1"/>
  <c r="Y36" i="51"/>
  <c r="Y41" i="51"/>
  <c r="K41" i="51"/>
  <c r="K42" i="51"/>
  <c r="Y42" i="51"/>
  <c r="Y40" i="51"/>
  <c r="K40" i="51"/>
  <c r="Y51" i="51"/>
  <c r="K51" i="51"/>
  <c r="Y22" i="51"/>
  <c r="K22" i="51"/>
  <c r="U22" i="51" s="1"/>
  <c r="Y52" i="51"/>
  <c r="K52" i="51"/>
  <c r="Y23" i="51"/>
  <c r="K23" i="51"/>
  <c r="U23" i="51" s="1"/>
  <c r="K32" i="51"/>
  <c r="U32" i="51" s="1"/>
  <c r="Y32" i="51"/>
  <c r="K34" i="51"/>
  <c r="U34" i="51" s="1"/>
  <c r="Y34" i="51"/>
  <c r="K33" i="51"/>
  <c r="U33" i="51" s="1"/>
  <c r="Y33" i="51"/>
  <c r="Y27" i="51"/>
  <c r="K27" i="51"/>
  <c r="U27" i="51" s="1"/>
  <c r="Y19" i="51"/>
  <c r="K19" i="51"/>
  <c r="Y28" i="51"/>
  <c r="K28" i="51"/>
  <c r="U28" i="51" s="1"/>
  <c r="Y46" i="51"/>
  <c r="K46" i="51"/>
  <c r="K39" i="51"/>
  <c r="Y39" i="51"/>
  <c r="Y45" i="51"/>
  <c r="K45" i="51"/>
  <c r="Y15" i="51"/>
  <c r="K15" i="51"/>
  <c r="Y37" i="51"/>
  <c r="K37" i="51"/>
  <c r="K26" i="51"/>
  <c r="U26" i="51" s="1"/>
  <c r="Y26" i="51"/>
  <c r="Y40" i="24" l="1"/>
  <c r="AD54" i="51"/>
  <c r="AE54" i="51"/>
  <c r="B1200" i="74" s="1"/>
  <c r="B1261" i="74"/>
  <c r="Y6" i="51"/>
  <c r="B866" i="74"/>
  <c r="B1107" i="74"/>
  <c r="B1090" i="74"/>
  <c r="B865" i="74"/>
  <c r="B1159" i="74"/>
  <c r="B1187" i="74"/>
  <c r="B1182" i="74"/>
  <c r="B876" i="74"/>
  <c r="B1176" i="74"/>
  <c r="B895" i="74"/>
  <c r="B1096" i="74"/>
  <c r="B1112" i="74"/>
  <c r="B1104" i="74"/>
  <c r="B1097" i="74"/>
  <c r="B1108" i="74"/>
  <c r="B1185" i="74"/>
  <c r="B871" i="74"/>
  <c r="B1177" i="74"/>
  <c r="B881" i="74"/>
  <c r="B896" i="74"/>
  <c r="B1193" i="74"/>
  <c r="B1199" i="74"/>
  <c r="B1172" i="74"/>
  <c r="B889" i="74"/>
  <c r="B1161" i="74"/>
  <c r="B898" i="74"/>
  <c r="B880" i="74"/>
  <c r="B1173" i="74"/>
  <c r="B885" i="74"/>
  <c r="B875" i="74"/>
  <c r="B1169" i="74"/>
  <c r="B903" i="74"/>
  <c r="B892" i="74"/>
  <c r="B1186" i="74"/>
  <c r="B1181" i="74"/>
  <c r="B901" i="74"/>
  <c r="B883" i="74"/>
  <c r="B869" i="74"/>
  <c r="B1163" i="74"/>
  <c r="B1162" i="74"/>
  <c r="B868" i="74"/>
  <c r="B905" i="74"/>
  <c r="B1189" i="74"/>
  <c r="B1194" i="74"/>
  <c r="B900" i="74"/>
  <c r="B1086" i="74"/>
  <c r="B1091" i="74"/>
  <c r="B1109" i="74"/>
  <c r="B1087" i="74"/>
  <c r="B1092" i="74"/>
  <c r="B1084" i="74"/>
  <c r="B1102" i="74"/>
  <c r="B1103" i="74"/>
  <c r="B1110" i="74"/>
  <c r="B1095" i="74"/>
  <c r="M43" i="24"/>
  <c r="M53" i="24" s="1"/>
  <c r="B1241" i="74"/>
  <c r="B897" i="74"/>
  <c r="B886" i="74"/>
  <c r="B894" i="74"/>
  <c r="B1164" i="74"/>
  <c r="B1171" i="74"/>
  <c r="B882" i="74"/>
  <c r="B1166" i="74"/>
  <c r="B1083" i="74"/>
  <c r="B1094" i="74"/>
  <c r="B1085" i="74"/>
  <c r="B1098" i="74"/>
  <c r="B1088" i="74"/>
  <c r="B891" i="74"/>
  <c r="B1178" i="74"/>
  <c r="B1198" i="74"/>
  <c r="B1168" i="74"/>
  <c r="B1197" i="74"/>
  <c r="B1188" i="74"/>
  <c r="B888" i="74"/>
  <c r="B887" i="74"/>
  <c r="B1195" i="74"/>
  <c r="B870" i="74"/>
  <c r="B1167" i="74"/>
  <c r="B902" i="74"/>
  <c r="B1160" i="74"/>
  <c r="B1190" i="74"/>
  <c r="B878" i="74"/>
  <c r="B1183" i="74"/>
  <c r="B867" i="74"/>
  <c r="B1191" i="74"/>
  <c r="B1192" i="74"/>
  <c r="B1174" i="74"/>
  <c r="B1165" i="74"/>
  <c r="B879" i="74"/>
  <c r="B1179" i="74"/>
  <c r="B1180" i="74"/>
  <c r="B884" i="74"/>
  <c r="B904" i="74"/>
  <c r="B874" i="74"/>
  <c r="B893" i="74"/>
  <c r="B1170" i="74"/>
  <c r="B873" i="74"/>
  <c r="B1196" i="74"/>
  <c r="B1175" i="74"/>
  <c r="B899" i="74"/>
  <c r="B890" i="74"/>
  <c r="B1184" i="74"/>
  <c r="B877" i="74"/>
  <c r="B872" i="74"/>
  <c r="B1093" i="74"/>
  <c r="B1111" i="74"/>
  <c r="B1106" i="74"/>
  <c r="B1100" i="74"/>
  <c r="B1115" i="74"/>
  <c r="B1114" i="74"/>
  <c r="B1113" i="74"/>
  <c r="B1082" i="74"/>
  <c r="B1105" i="74"/>
  <c r="B1099" i="74"/>
  <c r="B1101" i="74"/>
  <c r="B1089" i="74"/>
  <c r="U18" i="51"/>
  <c r="U19" i="51"/>
  <c r="K6" i="51"/>
  <c r="S6" i="51"/>
  <c r="J39" i="41" s="1"/>
  <c r="U17" i="51"/>
  <c r="U15" i="51"/>
  <c r="U14" i="51"/>
  <c r="U6" i="51" l="1"/>
  <c r="S175" i="1" s="1"/>
  <c r="O110" i="1"/>
  <c r="B53" i="74" s="1"/>
  <c r="B1075" i="74"/>
  <c r="B1032" i="74"/>
  <c r="B1077" i="74"/>
  <c r="B1081" i="74"/>
  <c r="B1158" i="74"/>
  <c r="B1080" i="74"/>
  <c r="B1078" i="74"/>
  <c r="K7" i="51"/>
  <c r="K58" i="51" s="1"/>
  <c r="B864" i="74"/>
  <c r="B1076" i="74"/>
  <c r="B1079" i="74"/>
  <c r="B1262" i="74"/>
  <c r="Y43" i="24"/>
  <c r="A8" i="1"/>
  <c r="S7" i="51"/>
  <c r="S58" i="51" s="1"/>
  <c r="S217" i="1" l="1"/>
  <c r="M217" i="1" s="1"/>
  <c r="S214" i="1"/>
  <c r="M214" i="1" s="1"/>
  <c r="S190" i="1"/>
  <c r="M190" i="1" s="1"/>
  <c r="S211" i="1"/>
  <c r="S202" i="1"/>
  <c r="M202" i="1" s="1"/>
  <c r="S187" i="1"/>
  <c r="M187" i="1" s="1"/>
  <c r="S199" i="1"/>
  <c r="M199" i="1" s="1"/>
  <c r="S183" i="1"/>
  <c r="M183" i="1" s="1"/>
  <c r="S193" i="1"/>
  <c r="M193" i="1" s="1"/>
  <c r="J43" i="41"/>
  <c r="K47" i="1" s="1"/>
  <c r="B1074" i="74"/>
  <c r="B555" i="74"/>
  <c r="B1243" i="74"/>
  <c r="C266" i="1"/>
  <c r="U7" i="51"/>
  <c r="U58" i="51" s="1"/>
  <c r="AB58" i="51" s="1"/>
  <c r="I56" i="51" s="1"/>
  <c r="B87" i="74" l="1"/>
  <c r="M175" i="1"/>
  <c r="B147" i="74"/>
  <c r="B143" i="74"/>
  <c r="M211" i="1"/>
  <c r="B139" i="74"/>
  <c r="B124" i="74"/>
  <c r="B127" i="74"/>
  <c r="B123" i="74"/>
  <c r="K60" i="1"/>
  <c r="M100" i="1" s="1"/>
  <c r="M43" i="41"/>
  <c r="B95" i="74"/>
  <c r="B103" i="74"/>
  <c r="B107" i="74"/>
  <c r="B111" i="74"/>
  <c r="B556" i="74"/>
  <c r="B84" i="74" l="1"/>
  <c r="W175" i="1"/>
  <c r="C232" i="1" s="1"/>
  <c r="O171" i="1"/>
  <c r="B81" i="74" s="1"/>
  <c r="B140" i="74"/>
  <c r="W214" i="1"/>
  <c r="C258" i="1" s="1"/>
  <c r="A258" i="1" s="1"/>
  <c r="B144" i="74"/>
  <c r="W217" i="1"/>
  <c r="C260" i="1" s="1"/>
  <c r="A260" i="1" s="1"/>
  <c r="B136" i="74"/>
  <c r="W211" i="1"/>
  <c r="C256" i="1" s="1"/>
  <c r="Q171" i="1"/>
  <c r="B82" i="74" s="1"/>
  <c r="C73" i="1"/>
  <c r="A73" i="1" s="1"/>
  <c r="W50" i="1" s="1"/>
  <c r="S100" i="1"/>
  <c r="W202" i="1"/>
  <c r="C250" i="1" s="1"/>
  <c r="B120" i="74"/>
  <c r="W199" i="1"/>
  <c r="B24" i="74"/>
  <c r="B104" i="74"/>
  <c r="W190" i="1"/>
  <c r="W187" i="1"/>
  <c r="B100" i="74"/>
  <c r="W193" i="1"/>
  <c r="B108" i="74"/>
  <c r="S110" i="1"/>
  <c r="M110" i="1" s="1"/>
  <c r="M171" i="1" s="1"/>
  <c r="B557" i="74"/>
  <c r="R43" i="41"/>
  <c r="A250" i="1" l="1"/>
  <c r="C248" i="1"/>
  <c r="A248" i="1" s="1"/>
  <c r="A256" i="1"/>
  <c r="C240" i="1"/>
  <c r="A240" i="1" s="1"/>
  <c r="C242" i="1"/>
  <c r="A242" i="1" s="1"/>
  <c r="C244" i="1"/>
  <c r="A244" i="1" s="1"/>
  <c r="W100" i="1"/>
  <c r="C135" i="1" s="1"/>
  <c r="S105" i="1"/>
  <c r="R64" i="41"/>
  <c r="B64" i="41" s="1"/>
  <c r="B54" i="74"/>
  <c r="B80" i="74" l="1"/>
  <c r="W110" i="1"/>
  <c r="B52" i="74"/>
  <c r="C143" i="1" l="1"/>
  <c r="A143" i="1" s="1"/>
  <c r="S171" i="1"/>
  <c r="B83" i="74" s="1"/>
  <c r="W183" i="1" l="1"/>
  <c r="C236" i="1" s="1"/>
  <c r="B92" i="74"/>
  <c r="A236" i="1" l="1"/>
  <c r="B21" i="74" l="1"/>
  <c r="C71" i="1" l="1"/>
  <c r="A71" i="1" s="1"/>
  <c r="B22" i="74"/>
  <c r="S108" i="1"/>
  <c r="W48" i="1" l="1"/>
  <c r="C77" i="1"/>
  <c r="A77" i="1" s="1"/>
  <c r="B78" i="1" s="1"/>
  <c r="B29" i="74"/>
  <c r="O100" i="1"/>
  <c r="O105" i="1" s="1"/>
  <c r="O129" i="1" s="1"/>
  <c r="Q100" i="1"/>
  <c r="Q105" i="1" s="1"/>
  <c r="M108" i="1"/>
  <c r="W108" i="1" s="1"/>
  <c r="B51" i="74"/>
  <c r="C141" i="1" l="1"/>
  <c r="A141" i="1" s="1"/>
  <c r="M105" i="1"/>
  <c r="M129" i="1" s="1"/>
  <c r="W126" i="1"/>
  <c r="C155" i="1" s="1"/>
  <c r="A155" i="1" s="1"/>
  <c r="C63" i="1"/>
  <c r="A135" i="1"/>
  <c r="K100" i="1"/>
  <c r="W102" i="1" s="1"/>
  <c r="S129" i="1"/>
  <c r="B39" i="74"/>
  <c r="B50" i="74"/>
  <c r="B38" i="74"/>
  <c r="B37" i="74"/>
  <c r="B36" i="74"/>
  <c r="O179" i="1" l="1"/>
  <c r="O221" i="1" s="1"/>
  <c r="C137" i="1"/>
  <c r="A137" i="1" s="1"/>
  <c r="B35" i="74"/>
  <c r="K105" i="1"/>
  <c r="K129" i="1" s="1"/>
  <c r="B47" i="74"/>
  <c r="B46" i="74"/>
  <c r="Q129" i="1"/>
  <c r="B48" i="74"/>
  <c r="B49" i="74"/>
  <c r="B89" i="74" l="1"/>
  <c r="M179" i="1"/>
  <c r="W106" i="1"/>
  <c r="B45" i="74"/>
  <c r="B75" i="74"/>
  <c r="B77" i="74"/>
  <c r="B78" i="74"/>
  <c r="B79" i="74"/>
  <c r="B76" i="74"/>
  <c r="C139" i="1" l="1"/>
  <c r="A139" i="1" s="1"/>
  <c r="B157" i="1" s="1"/>
  <c r="C133" i="1" s="1"/>
  <c r="M221" i="1"/>
  <c r="B88" i="74"/>
  <c r="Q179" i="1"/>
  <c r="Q221" i="1" s="1"/>
  <c r="B90" i="74" l="1"/>
  <c r="B158" i="74"/>
  <c r="S179" i="1"/>
  <c r="S221" i="1" s="1"/>
  <c r="W171" i="1"/>
  <c r="B156" i="74"/>
  <c r="B157" i="74"/>
  <c r="W179" i="1" l="1"/>
  <c r="C234" i="1" s="1"/>
  <c r="W221" i="1"/>
  <c r="C262" i="1" s="1"/>
  <c r="A262" i="1" s="1"/>
  <c r="B91" i="74"/>
  <c r="C230" i="1"/>
  <c r="A230" i="1" s="1"/>
  <c r="B159" i="74" l="1"/>
  <c r="B264" i="1"/>
  <c r="C22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 Coleman</author>
  </authors>
  <commentList>
    <comment ref="B160" authorId="0" shapeId="0" xr:uid="{5240E3EF-C35C-481E-92CF-60FE44DE5176}">
      <text>
        <r>
          <rPr>
            <b/>
            <sz val="9"/>
            <color indexed="81"/>
            <rFont val="Tahoma"/>
            <family val="2"/>
          </rPr>
          <t>Jo Coleman:</t>
        </r>
        <r>
          <rPr>
            <sz val="9"/>
            <color indexed="81"/>
            <rFont val="Tahoma"/>
            <family val="2"/>
          </rPr>
          <t xml:space="preserve">
this is a date</t>
        </r>
      </text>
    </comment>
    <comment ref="B695" authorId="0" shapeId="0" xr:uid="{F9B4DD4F-079E-4B51-97A0-84E6C45CBC12}">
      <text>
        <r>
          <rPr>
            <b/>
            <sz val="9"/>
            <color indexed="81"/>
            <rFont val="Tahoma"/>
            <family val="2"/>
          </rPr>
          <t>Jo Coleman:</t>
        </r>
        <r>
          <rPr>
            <sz val="9"/>
            <color indexed="81"/>
            <rFont val="Tahoma"/>
            <family val="2"/>
          </rPr>
          <t xml:space="preserve">
date field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Joanna Coleman</author>
    <author>Jonny Corfield</author>
  </authors>
  <commentList>
    <comment ref="K1" authorId="0" shapeId="0" xr:uid="{BF547C41-395A-47EA-A7AA-8BC407BA2031}">
      <text>
        <r>
          <rPr>
            <b/>
            <sz val="9"/>
            <color indexed="81"/>
            <rFont val="Tahoma"/>
            <family val="2"/>
          </rPr>
          <t>Joanna Coleman:</t>
        </r>
        <r>
          <rPr>
            <sz val="9"/>
            <color indexed="81"/>
            <rFont val="Tahoma"/>
            <family val="2"/>
          </rPr>
          <t xml:space="preserve">
Needs updating when have new multiplier
</t>
        </r>
      </text>
    </comment>
    <comment ref="P3" authorId="1" shapeId="0" xr:uid="{16824EA3-42F7-4240-9935-A3E55A7FCA89}">
      <text>
        <r>
          <rPr>
            <b/>
            <sz val="9"/>
            <color indexed="81"/>
            <rFont val="Tahoma"/>
            <family val="2"/>
          </rPr>
          <t>Jonny Corfield:</t>
        </r>
        <r>
          <rPr>
            <sz val="9"/>
            <color indexed="81"/>
            <rFont val="Tahoma"/>
            <family val="2"/>
          </rPr>
          <t xml:space="preserve">
These split baselines are taken from the regulations and then uprated for 24-25 and 25-26. In future years they should be calculated in the form.</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<sst xmlns="http://schemas.openxmlformats.org/spreadsheetml/2006/main" count="29664" uniqueCount="5889">
  <si>
    <t>E5010</t>
  </si>
  <si>
    <t>Colchester</t>
  </si>
  <si>
    <t>E1536</t>
  </si>
  <si>
    <t>Cornwall UA</t>
  </si>
  <si>
    <t>E0801</t>
  </si>
  <si>
    <t>Cotswold</t>
  </si>
  <si>
    <t>E1632</t>
  </si>
  <si>
    <t>Coventry</t>
  </si>
  <si>
    <t>E4602</t>
  </si>
  <si>
    <t>Crawley</t>
  </si>
  <si>
    <t>E3834</t>
  </si>
  <si>
    <t>Croydon</t>
  </si>
  <si>
    <t>E5035</t>
  </si>
  <si>
    <t>Dacorum</t>
  </si>
  <si>
    <t>E1932</t>
  </si>
  <si>
    <t>Darlington</t>
  </si>
  <si>
    <t>E1301</t>
  </si>
  <si>
    <t>Dartford</t>
  </si>
  <si>
    <t>E2233</t>
  </si>
  <si>
    <t>Derby</t>
  </si>
  <si>
    <t>E1001</t>
  </si>
  <si>
    <t>Derbyshire Dales</t>
  </si>
  <si>
    <t>E1035</t>
  </si>
  <si>
    <t>Doncaster</t>
  </si>
  <si>
    <t>E4402</t>
  </si>
  <si>
    <t>Errors</t>
  </si>
  <si>
    <t>TOTAL
(All BA Area)</t>
  </si>
  <si>
    <t>Central
Government</t>
  </si>
  <si>
    <t>Estimated Surplus/Deficit on Collection Fund</t>
  </si>
  <si>
    <t xml:space="preserve">of which: </t>
  </si>
  <si>
    <t>GLA - functions exc police</t>
  </si>
  <si>
    <t>Retained NNDR shares</t>
  </si>
  <si>
    <t>Dover</t>
  </si>
  <si>
    <t>E2234</t>
  </si>
  <si>
    <t>Dudley</t>
  </si>
  <si>
    <t>E4603</t>
  </si>
  <si>
    <t>Durham UA</t>
  </si>
  <si>
    <t>E1302</t>
  </si>
  <si>
    <t>Ealing</t>
  </si>
  <si>
    <t>E5036</t>
  </si>
  <si>
    <t>East Cambridgeshire</t>
  </si>
  <si>
    <t>E0532</t>
  </si>
  <si>
    <t>East Devon</t>
  </si>
  <si>
    <t>E1131</t>
  </si>
  <si>
    <t>East Hampshire</t>
  </si>
  <si>
    <t>E1732</t>
  </si>
  <si>
    <t>East Hertfordshire</t>
  </si>
  <si>
    <t>E1933</t>
  </si>
  <si>
    <t>East Lindsey</t>
  </si>
  <si>
    <t>E2532</t>
  </si>
  <si>
    <t>East Riding of Yorkshire</t>
  </si>
  <si>
    <t>E2001</t>
  </si>
  <si>
    <t>Checking</t>
  </si>
  <si>
    <t>Error</t>
  </si>
  <si>
    <t>East Staffordshire</t>
  </si>
  <si>
    <t>E3432</t>
  </si>
  <si>
    <t>Eastbourne</t>
  </si>
  <si>
    <t>E1432</t>
  </si>
  <si>
    <t>Eastleigh</t>
  </si>
  <si>
    <t>E1733</t>
  </si>
  <si>
    <t>Elmbridge</t>
  </si>
  <si>
    <t>E3631</t>
  </si>
  <si>
    <t>Enfield</t>
  </si>
  <si>
    <t>E5037</t>
  </si>
  <si>
    <t>Epping Forest</t>
  </si>
  <si>
    <t>E1537</t>
  </si>
  <si>
    <t>Epsom &amp; Ewell</t>
  </si>
  <si>
    <t>E3632</t>
  </si>
  <si>
    <t>Erewash</t>
  </si>
  <si>
    <t>E1036</t>
  </si>
  <si>
    <t>Exeter</t>
  </si>
  <si>
    <t>E1132</t>
  </si>
  <si>
    <t>Fareham</t>
  </si>
  <si>
    <t>E1734</t>
  </si>
  <si>
    <t>Fenland</t>
  </si>
  <si>
    <t>E0533</t>
  </si>
  <si>
    <t>Forest of Dean</t>
  </si>
  <si>
    <t>E1633</t>
  </si>
  <si>
    <t>Fylde</t>
  </si>
  <si>
    <t>E2335</t>
  </si>
  <si>
    <t>Gateshead</t>
  </si>
  <si>
    <t>E4501</t>
  </si>
  <si>
    <t>Gedling</t>
  </si>
  <si>
    <t>E3034</t>
  </si>
  <si>
    <t>Gloucester</t>
  </si>
  <si>
    <t>E1634</t>
  </si>
  <si>
    <t>Gosport</t>
  </si>
  <si>
    <t>E1735</t>
  </si>
  <si>
    <t>Gravesham</t>
  </si>
  <si>
    <t>E2236</t>
  </si>
  <si>
    <t>Great Yarmouth</t>
  </si>
  <si>
    <t>E2633</t>
  </si>
  <si>
    <t>Greenwich</t>
  </si>
  <si>
    <t>E5012</t>
  </si>
  <si>
    <t>Guildford</t>
  </si>
  <si>
    <t>E3633</t>
  </si>
  <si>
    <t>Hackney</t>
  </si>
  <si>
    <t>E5013</t>
  </si>
  <si>
    <t>Halton</t>
  </si>
  <si>
    <t>E0601</t>
  </si>
  <si>
    <t>Hammersmith and Fulham</t>
  </si>
  <si>
    <t>E5014</t>
  </si>
  <si>
    <t>Harborough</t>
  </si>
  <si>
    <t>E2433</t>
  </si>
  <si>
    <t>Haringey</t>
  </si>
  <si>
    <t>E5038</t>
  </si>
  <si>
    <t>Harlow</t>
  </si>
  <si>
    <t>E1538</t>
  </si>
  <si>
    <t>Harrow</t>
  </si>
  <si>
    <t>E5039</t>
  </si>
  <si>
    <t>Hart</t>
  </si>
  <si>
    <t>E1736</t>
  </si>
  <si>
    <t>Hartlepool</t>
  </si>
  <si>
    <t>E0701</t>
  </si>
  <si>
    <t>Hastings</t>
  </si>
  <si>
    <t>E1433</t>
  </si>
  <si>
    <t>Havant</t>
  </si>
  <si>
    <t>E1737</t>
  </si>
  <si>
    <t>Havering</t>
  </si>
  <si>
    <t>E5040</t>
  </si>
  <si>
    <t>Herefordshire</t>
  </si>
  <si>
    <t>E1801</t>
  </si>
  <si>
    <t>Hertsmere</t>
  </si>
  <si>
    <t>E1934</t>
  </si>
  <si>
    <t>High Peak</t>
  </si>
  <si>
    <t>E1037</t>
  </si>
  <si>
    <t>Hillingdon</t>
  </si>
  <si>
    <t>E5041</t>
  </si>
  <si>
    <t>Hinckley and Bosworth</t>
  </si>
  <si>
    <t>E2434</t>
  </si>
  <si>
    <t>Horsham</t>
  </si>
  <si>
    <t>E3835</t>
  </si>
  <si>
    <t>Hounslow</t>
  </si>
  <si>
    <t>E5042</t>
  </si>
  <si>
    <t>Huntingdonshire</t>
  </si>
  <si>
    <t>E0551</t>
  </si>
  <si>
    <t>Hyndburn</t>
  </si>
  <si>
    <t>E2336</t>
  </si>
  <si>
    <t>Ipswich</t>
  </si>
  <si>
    <t>E3533</t>
  </si>
  <si>
    <t>Isle of Wight Council</t>
  </si>
  <si>
    <t>E2101</t>
  </si>
  <si>
    <t>Isles of Scilly</t>
  </si>
  <si>
    <t>E4001</t>
  </si>
  <si>
    <t>Islington</t>
  </si>
  <si>
    <t>E5015</t>
  </si>
  <si>
    <t>Kensington and Chelsea</t>
  </si>
  <si>
    <t>E5016</t>
  </si>
  <si>
    <t>Kings Lynn and West Norfolk</t>
  </si>
  <si>
    <t>E2634</t>
  </si>
  <si>
    <t>Kingston upon Hull</t>
  </si>
  <si>
    <t>E2002</t>
  </si>
  <si>
    <t>Kingston upon Thames</t>
  </si>
  <si>
    <t>E5043</t>
  </si>
  <si>
    <t>Kirklees</t>
  </si>
  <si>
    <t>E4703</t>
  </si>
  <si>
    <t>Knowsley</t>
  </si>
  <si>
    <t>E4301</t>
  </si>
  <si>
    <t>Lambeth</t>
  </si>
  <si>
    <t>E5017</t>
  </si>
  <si>
    <t>Lancaster</t>
  </si>
  <si>
    <t>E2337</t>
  </si>
  <si>
    <t>Leeds</t>
  </si>
  <si>
    <t>E4704</t>
  </si>
  <si>
    <t>Leicester</t>
  </si>
  <si>
    <t>E2401</t>
  </si>
  <si>
    <t>Lewes</t>
  </si>
  <si>
    <t>E1435</t>
  </si>
  <si>
    <t>Lewisham</t>
  </si>
  <si>
    <t>E5018</t>
  </si>
  <si>
    <t>Lichfield</t>
  </si>
  <si>
    <t>E3433</t>
  </si>
  <si>
    <t>Lincoln</t>
  </si>
  <si>
    <t>E2533</t>
  </si>
  <si>
    <t>Liverpool</t>
  </si>
  <si>
    <t>E4302</t>
  </si>
  <si>
    <t>Luton</t>
  </si>
  <si>
    <t>E0201</t>
  </si>
  <si>
    <t>Maidstone</t>
  </si>
  <si>
    <t>E2237</t>
  </si>
  <si>
    <t>Maldon</t>
  </si>
  <si>
    <t>E1539</t>
  </si>
  <si>
    <t>Malvern Hills</t>
  </si>
  <si>
    <t>E1851</t>
  </si>
  <si>
    <t>Manchester</t>
  </si>
  <si>
    <t>E4203</t>
  </si>
  <si>
    <t>Mansfield</t>
  </si>
  <si>
    <t>E3035</t>
  </si>
  <si>
    <t>Medway</t>
  </si>
  <si>
    <t>E2201</t>
  </si>
  <si>
    <t>Melton</t>
  </si>
  <si>
    <t>E2436</t>
  </si>
  <si>
    <t>Merton</t>
  </si>
  <si>
    <t>E5044</t>
  </si>
  <si>
    <t>Mid Devon</t>
  </si>
  <si>
    <t>E1133</t>
  </si>
  <si>
    <t>Mid Suffolk</t>
  </si>
  <si>
    <t>E3534</t>
  </si>
  <si>
    <t>Mid Sussex</t>
  </si>
  <si>
    <t>E3836</t>
  </si>
  <si>
    <t>Middlesbrough</t>
  </si>
  <si>
    <t>E0702</t>
  </si>
  <si>
    <t>Milton Keynes</t>
  </si>
  <si>
    <t>E0401</t>
  </si>
  <si>
    <t>Mole Valley</t>
  </si>
  <si>
    <t>E3634</t>
  </si>
  <si>
    <t>New Forest</t>
  </si>
  <si>
    <t>E1738</t>
  </si>
  <si>
    <t>Newark and Sherwood</t>
  </si>
  <si>
    <t>E3036</t>
  </si>
  <si>
    <t>Newcastle-upon-Tyne</t>
  </si>
  <si>
    <t>E4502</t>
  </si>
  <si>
    <t>Newcastle-under-Lyme</t>
  </si>
  <si>
    <t>E3434</t>
  </si>
  <si>
    <t>Newham</t>
  </si>
  <si>
    <t>E5045</t>
  </si>
  <si>
    <t>North Devon</t>
  </si>
  <si>
    <t>E1134</t>
  </si>
  <si>
    <t>North East Derbyshire</t>
  </si>
  <si>
    <t>E1038</t>
  </si>
  <si>
    <t>North East Lincolnshire</t>
  </si>
  <si>
    <t>E2003</t>
  </si>
  <si>
    <t>North Hertfordshire</t>
  </si>
  <si>
    <t>E1935</t>
  </si>
  <si>
    <t>North Kesteven</t>
  </si>
  <si>
    <t>E2534</t>
  </si>
  <si>
    <t>North Lincolnshire</t>
  </si>
  <si>
    <t>E2004</t>
  </si>
  <si>
    <t>North Norfolk</t>
  </si>
  <si>
    <t>E2635</t>
  </si>
  <si>
    <t>North Somerset</t>
  </si>
  <si>
    <t>E0104</t>
  </si>
  <si>
    <t>North Tyneside</t>
  </si>
  <si>
    <t>E4503</t>
  </si>
  <si>
    <t>North Warwickshire</t>
  </si>
  <si>
    <t>E3731</t>
  </si>
  <si>
    <t xml:space="preserve">OPENING BALANCE </t>
  </si>
  <si>
    <t>SUPPLEMENTARY INFORMATION ON HEREDITAMENTS BEING GRANTED RELIEF FROM
NATIONAL NON-DOMESTIC RATES AND THE AMOUNT OF RELIEF GRANTED</t>
  </si>
  <si>
    <t xml:space="preserve">Please complete the following questions on hereditaments that were being granted relief  from
national non-domestic rates and the amount of relief granted </t>
  </si>
  <si>
    <t>i. Relief to be given - industrial property above the exemption threshold</t>
  </si>
  <si>
    <t>ii. Relief to be given - listed building status</t>
  </si>
  <si>
    <t>iii. Relief to be given - Community Amateur Sports Clubs</t>
  </si>
  <si>
    <t>iv. Relief to be given - charities</t>
  </si>
  <si>
    <t>vi. Relief to be given - "non-industrial" above the exemption threshold</t>
  </si>
  <si>
    <t>PART 1B: PAYMENTS</t>
  </si>
  <si>
    <t>This sheet automatically highlights any validation queries and provides space for your explanations</t>
  </si>
  <si>
    <t>%</t>
  </si>
  <si>
    <t>North West Leicestershire</t>
  </si>
  <si>
    <t>E2437</t>
  </si>
  <si>
    <t>Northumberland UA</t>
  </si>
  <si>
    <t>E2901</t>
  </si>
  <si>
    <t>Norwich</t>
  </si>
  <si>
    <t>E2636</t>
  </si>
  <si>
    <t>Nottingham</t>
  </si>
  <si>
    <t>E3001</t>
  </si>
  <si>
    <t>Nuneaton and Bedworth</t>
  </si>
  <si>
    <t>E3732</t>
  </si>
  <si>
    <t>Oadby and Wigston</t>
  </si>
  <si>
    <t>E2438</t>
  </si>
  <si>
    <t>Oldham</t>
  </si>
  <si>
    <t>E4204</t>
  </si>
  <si>
    <t>Oxford</t>
  </si>
  <si>
    <t>E3132</t>
  </si>
  <si>
    <t>Pendle</t>
  </si>
  <si>
    <t>E2338</t>
  </si>
  <si>
    <t>Peterborough</t>
  </si>
  <si>
    <t>E0501</t>
  </si>
  <si>
    <t>Plymouth</t>
  </si>
  <si>
    <t>E1101</t>
  </si>
  <si>
    <t>Portsmouth</t>
  </si>
  <si>
    <t>E1701</t>
  </si>
  <si>
    <t>Preston</t>
  </si>
  <si>
    <t>E2339</t>
  </si>
  <si>
    <t>Reading</t>
  </si>
  <si>
    <t>E0303</t>
  </si>
  <si>
    <t>Redbridge</t>
  </si>
  <si>
    <t>E5046</t>
  </si>
  <si>
    <t>Redcar and Cleveland</t>
  </si>
  <si>
    <t>E0703</t>
  </si>
  <si>
    <t>Redditch</t>
  </si>
  <si>
    <t>E1835</t>
  </si>
  <si>
    <t>Reigate and Banstead</t>
  </si>
  <si>
    <t>E3635</t>
  </si>
  <si>
    <t>Ribble Valley</t>
  </si>
  <si>
    <t>E2340</t>
  </si>
  <si>
    <t>Richmond upon Thames</t>
  </si>
  <si>
    <t>E5047</t>
  </si>
  <si>
    <t>Rochdale</t>
  </si>
  <si>
    <t>E4205</t>
  </si>
  <si>
    <t>Rochford</t>
  </si>
  <si>
    <t>E1540</t>
  </si>
  <si>
    <t>Rossendale</t>
  </si>
  <si>
    <t>E2341</t>
  </si>
  <si>
    <t>Rother</t>
  </si>
  <si>
    <t>E1436</t>
  </si>
  <si>
    <t>Rotherham</t>
  </si>
  <si>
    <t>E4403</t>
  </si>
  <si>
    <t>Rugby</t>
  </si>
  <si>
    <t>E3733</t>
  </si>
  <si>
    <t>Runnymede</t>
  </si>
  <si>
    <t>E3636</t>
  </si>
  <si>
    <t>Rushcliffe</t>
  </si>
  <si>
    <t>E3038</t>
  </si>
  <si>
    <t>Rushmoor</t>
  </si>
  <si>
    <t>E1740</t>
  </si>
  <si>
    <t>Rutland</t>
  </si>
  <si>
    <t>E2402</t>
  </si>
  <si>
    <t>Salford</t>
  </si>
  <si>
    <t>E4206</t>
  </si>
  <si>
    <t>Sandwell</t>
  </si>
  <si>
    <t>E4604</t>
  </si>
  <si>
    <t>Sefton</t>
  </si>
  <si>
    <t>E4304</t>
  </si>
  <si>
    <t>Sevenoaks</t>
  </si>
  <si>
    <t>E2239</t>
  </si>
  <si>
    <t>Sheffield</t>
  </si>
  <si>
    <t>E4404</t>
  </si>
  <si>
    <t>Shepway</t>
  </si>
  <si>
    <t>E2240</t>
  </si>
  <si>
    <t>Shropshire UA</t>
  </si>
  <si>
    <t>E3202</t>
  </si>
  <si>
    <t>Slough</t>
  </si>
  <si>
    <t>E0304</t>
  </si>
  <si>
    <t>Solihull</t>
  </si>
  <si>
    <t>E4605</t>
  </si>
  <si>
    <t>South Cambridgeshire</t>
  </si>
  <si>
    <t>E0536</t>
  </si>
  <si>
    <t>South Derbyshire</t>
  </si>
  <si>
    <t>E1039</t>
  </si>
  <si>
    <t>South Gloucestershire</t>
  </si>
  <si>
    <t>E0103</t>
  </si>
  <si>
    <t>South Hams</t>
  </si>
  <si>
    <t>E1136</t>
  </si>
  <si>
    <t>South Holland</t>
  </si>
  <si>
    <t>E2535</t>
  </si>
  <si>
    <t>South Kesteven</t>
  </si>
  <si>
    <t>E2536</t>
  </si>
  <si>
    <t>South Norfolk</t>
  </si>
  <si>
    <t>E2637</t>
  </si>
  <si>
    <t>South Oxfordshire</t>
  </si>
  <si>
    <t>E3133</t>
  </si>
  <si>
    <t>South Ribble</t>
  </si>
  <si>
    <t>E2342</t>
  </si>
  <si>
    <t>South Staffordshire</t>
  </si>
  <si>
    <t>E3435</t>
  </si>
  <si>
    <t>South Tyneside</t>
  </si>
  <si>
    <t>E4504</t>
  </si>
  <si>
    <t>Southampton</t>
  </si>
  <si>
    <t>E1702</t>
  </si>
  <si>
    <t>Southend-on-Sea</t>
  </si>
  <si>
    <t>E1501</t>
  </si>
  <si>
    <t>Southwark</t>
  </si>
  <si>
    <t>E5019</t>
  </si>
  <si>
    <t>Spelthorne</t>
  </si>
  <si>
    <t>E3637</t>
  </si>
  <si>
    <t>St Albans</t>
  </si>
  <si>
    <t>E1936</t>
  </si>
  <si>
    <t>St Helens</t>
  </si>
  <si>
    <t>E4303</t>
  </si>
  <si>
    <t>Stafford</t>
  </si>
  <si>
    <t>E3436</t>
  </si>
  <si>
    <t>Staffordshire Moorlands</t>
  </si>
  <si>
    <t>E3437</t>
  </si>
  <si>
    <t>Stevenage</t>
  </si>
  <si>
    <t>E1937</t>
  </si>
  <si>
    <t>Stockport</t>
  </si>
  <si>
    <t>E4207</t>
  </si>
  <si>
    <t>Stockton-on-Tees</t>
  </si>
  <si>
    <t>E0704</t>
  </si>
  <si>
    <t>Stoke-on-Trent</t>
  </si>
  <si>
    <t>E3401</t>
  </si>
  <si>
    <t>Stratford-on-Avon</t>
  </si>
  <si>
    <t>E3734</t>
  </si>
  <si>
    <t>Stroud</t>
  </si>
  <si>
    <t>E1635</t>
  </si>
  <si>
    <t>Sunderland</t>
  </si>
  <si>
    <t>E4505</t>
  </si>
  <si>
    <t>Surrey Heath</t>
  </si>
  <si>
    <t>E3638</t>
  </si>
  <si>
    <t>Sutton</t>
  </si>
  <si>
    <t>E5048</t>
  </si>
  <si>
    <t>Swale</t>
  </si>
  <si>
    <t>E2241</t>
  </si>
  <si>
    <t>Swindon</t>
  </si>
  <si>
    <t>E3901</t>
  </si>
  <si>
    <t>Tameside</t>
  </si>
  <si>
    <t>E4208</t>
  </si>
  <si>
    <t>Tamworth</t>
  </si>
  <si>
    <t>E3439</t>
  </si>
  <si>
    <t>Tandridge</t>
  </si>
  <si>
    <t>E3639</t>
  </si>
  <si>
    <t>Teignbridge</t>
  </si>
  <si>
    <t>E1137</t>
  </si>
  <si>
    <t>Telford and the Wrekin</t>
  </si>
  <si>
    <t>E3201</t>
  </si>
  <si>
    <t>Tendring</t>
  </si>
  <si>
    <t>E1542</t>
  </si>
  <si>
    <t>Test Valley</t>
  </si>
  <si>
    <t>E1742</t>
  </si>
  <si>
    <t>Tewkesbury</t>
  </si>
  <si>
    <t>E1636</t>
  </si>
  <si>
    <t>Thanet</t>
  </si>
  <si>
    <t>E2242</t>
  </si>
  <si>
    <t>Three Rivers</t>
  </si>
  <si>
    <t>E1938</t>
  </si>
  <si>
    <t>Thurrock</t>
  </si>
  <si>
    <t>E1502</t>
  </si>
  <si>
    <t>Tonbridge and Malling</t>
  </si>
  <si>
    <t>E2243</t>
  </si>
  <si>
    <t>Torbay</t>
  </si>
  <si>
    <t>E1102</t>
  </si>
  <si>
    <t>Torridge</t>
  </si>
  <si>
    <t>E1139</t>
  </si>
  <si>
    <t>Tower Hamlets</t>
  </si>
  <si>
    <t>E5020</t>
  </si>
  <si>
    <t>Trafford</t>
  </si>
  <si>
    <t>E4209</t>
  </si>
  <si>
    <t>Tunbridge Wells</t>
  </si>
  <si>
    <t>E2244</t>
  </si>
  <si>
    <t>Uttlesford</t>
  </si>
  <si>
    <t>E1544</t>
  </si>
  <si>
    <t>Vale of White Horse</t>
  </si>
  <si>
    <t>E3134</t>
  </si>
  <si>
    <t>Wakefield</t>
  </si>
  <si>
    <t>E4705</t>
  </si>
  <si>
    <t>Walsall</t>
  </si>
  <si>
    <t>E4606</t>
  </si>
  <si>
    <t>Waltham Forest</t>
  </si>
  <si>
    <t>E5049</t>
  </si>
  <si>
    <t>Wandsworth</t>
  </si>
  <si>
    <t>E5021</t>
  </si>
  <si>
    <t>Warrington</t>
  </si>
  <si>
    <t>E0602</t>
  </si>
  <si>
    <t>Warwick</t>
  </si>
  <si>
    <t>E3735</t>
  </si>
  <si>
    <t>Watford</t>
  </si>
  <si>
    <t>E1939</t>
  </si>
  <si>
    <t>Waverley</t>
  </si>
  <si>
    <t>E3640</t>
  </si>
  <si>
    <t>Wealden</t>
  </si>
  <si>
    <t>E1437</t>
  </si>
  <si>
    <t>Welwyn Hatfield</t>
  </si>
  <si>
    <t>E1940</t>
  </si>
  <si>
    <t>West Berkshire</t>
  </si>
  <si>
    <t>E0302</t>
  </si>
  <si>
    <t>West Devon</t>
  </si>
  <si>
    <t>E1140</t>
  </si>
  <si>
    <t>West Lancashire</t>
  </si>
  <si>
    <t>E2343</t>
  </si>
  <si>
    <t>West Lindsey</t>
  </si>
  <si>
    <t>E2537</t>
  </si>
  <si>
    <t>West Oxfordshire</t>
  </si>
  <si>
    <t>E3135</t>
  </si>
  <si>
    <t>Westminster</t>
  </si>
  <si>
    <t>E5022</t>
  </si>
  <si>
    <t>Wigan</t>
  </si>
  <si>
    <t>E4210</t>
  </si>
  <si>
    <t>Wiltshire UA</t>
  </si>
  <si>
    <t>E3902</t>
  </si>
  <si>
    <t>Winchester</t>
  </si>
  <si>
    <t>E1743</t>
  </si>
  <si>
    <t>Windsor and Maidenhead</t>
  </si>
  <si>
    <t>E0305</t>
  </si>
  <si>
    <t>Wirral</t>
  </si>
  <si>
    <t>E4305</t>
  </si>
  <si>
    <t>Woking</t>
  </si>
  <si>
    <t>E3641</t>
  </si>
  <si>
    <t>Wokingham</t>
  </si>
  <si>
    <t>E0306</t>
  </si>
  <si>
    <t>Wolverhampton</t>
  </si>
  <si>
    <t>E4607</t>
  </si>
  <si>
    <t>Worcester</t>
  </si>
  <si>
    <t>E1837</t>
  </si>
  <si>
    <t>Worthing</t>
  </si>
  <si>
    <t>E3837</t>
  </si>
  <si>
    <t>Wychavon</t>
  </si>
  <si>
    <t>E1838</t>
  </si>
  <si>
    <t>Wyre</t>
  </si>
  <si>
    <t>E2344</t>
  </si>
  <si>
    <t>Wyre Forest</t>
  </si>
  <si>
    <t>E1839</t>
  </si>
  <si>
    <t>York</t>
  </si>
  <si>
    <t>E2701</t>
  </si>
  <si>
    <t>ZZZZ</t>
  </si>
  <si>
    <t>EZZZZ</t>
  </si>
  <si>
    <t>EMPTY PROPERTY RELIEF</t>
  </si>
  <si>
    <t>b. The cost of small business rate relief for properties within the billing authority area</t>
  </si>
  <si>
    <t>Contact name</t>
  </si>
  <si>
    <t>Contact number</t>
  </si>
  <si>
    <t>Contact e-mail</t>
  </si>
  <si>
    <t>DATE OF LATEST INFORMATION</t>
  </si>
  <si>
    <t>Date of latest information taken into account when calculating the figures on the supplementary form</t>
  </si>
  <si>
    <t>If you have any queries on completing the form please contact</t>
  </si>
  <si>
    <t>MANDATORY RELIEF</t>
  </si>
  <si>
    <t>i. those that are classed as "industrial property" above the exemption threshold</t>
  </si>
  <si>
    <t>ii. those that have "listed building status"</t>
  </si>
  <si>
    <t>iii. those that are "Community Amateur Sports Clubs"</t>
  </si>
  <si>
    <t>iv. those that are "charities"</t>
  </si>
  <si>
    <t>vi. those that are classed as "non-industrial" above the exemption threshold</t>
  </si>
  <si>
    <t>DISCRETIONARY RELIEF</t>
  </si>
  <si>
    <t>SMALL BUSINESS RATE RELIEF</t>
  </si>
  <si>
    <t>Partially occupied hereditaments</t>
  </si>
  <si>
    <t>Empty premises</t>
  </si>
  <si>
    <t>Notes :</t>
  </si>
  <si>
    <t>Billing authority</t>
  </si>
  <si>
    <t>Upper tier</t>
  </si>
  <si>
    <t>Fire</t>
  </si>
  <si>
    <t>Bath &amp; North East Somerset UA</t>
  </si>
  <si>
    <t>NA</t>
  </si>
  <si>
    <t>UA</t>
  </si>
  <si>
    <t>E6101</t>
  </si>
  <si>
    <t>Avon Fire Authority</t>
  </si>
  <si>
    <t>Bristol UA</t>
  </si>
  <si>
    <t>South Gloucestershire UA</t>
  </si>
  <si>
    <t>North Somerset UA</t>
  </si>
  <si>
    <t>Luton UA</t>
  </si>
  <si>
    <t>E6102</t>
  </si>
  <si>
    <t>Bedfordshire Fire Authority</t>
  </si>
  <si>
    <t>Bracknell Forest UA</t>
  </si>
  <si>
    <t>E6103</t>
  </si>
  <si>
    <t>Berkshire Fire Authority</t>
  </si>
  <si>
    <t>West Berkshire UA</t>
  </si>
  <si>
    <t>Reading UA</t>
  </si>
  <si>
    <t>Slough UA</t>
  </si>
  <si>
    <t>Windsor &amp; Maidenhead UA</t>
  </si>
  <si>
    <t>Wokingham UA</t>
  </si>
  <si>
    <t>Milton Keynes UA</t>
  </si>
  <si>
    <t>E6104</t>
  </si>
  <si>
    <t>Buckinghamshire Fire Authority</t>
  </si>
  <si>
    <t>Buckinghamshire</t>
  </si>
  <si>
    <t>Peterborough UA</t>
  </si>
  <si>
    <t>E6105</t>
  </si>
  <si>
    <t>Cambridgeshire Fire Authority</t>
  </si>
  <si>
    <t>E0521</t>
  </si>
  <si>
    <t>Cambridgeshire</t>
  </si>
  <si>
    <t>Halton UA</t>
  </si>
  <si>
    <t>E6106</t>
  </si>
  <si>
    <t>Cheshire Fire Authority</t>
  </si>
  <si>
    <t>Warrington UA</t>
  </si>
  <si>
    <t>Cheshire West and Chester UA</t>
  </si>
  <si>
    <t>Hartlepool UA</t>
  </si>
  <si>
    <t>E6107</t>
  </si>
  <si>
    <t>Cleveland Fire Authority</t>
  </si>
  <si>
    <t>Middlesbrough UA</t>
  </si>
  <si>
    <t>Redcar &amp; Cleveland UA</t>
  </si>
  <si>
    <t>Stockton-on-Tees UA</t>
  </si>
  <si>
    <t>County</t>
  </si>
  <si>
    <t>Derby UA</t>
  </si>
  <si>
    <t>E6110</t>
  </si>
  <si>
    <t>Derbyshire Fire Authority</t>
  </si>
  <si>
    <t>E1021</t>
  </si>
  <si>
    <t>Derbyshire</t>
  </si>
  <si>
    <t xml:space="preserve">COLLECTABLE RATES </t>
  </si>
  <si>
    <t>Plymouth UA</t>
  </si>
  <si>
    <t>E6161</t>
  </si>
  <si>
    <t>Devon and Somerset Fire Authority</t>
  </si>
  <si>
    <t>Torbay UA</t>
  </si>
  <si>
    <t>E1121</t>
  </si>
  <si>
    <t>Devon</t>
  </si>
  <si>
    <t>E6112</t>
  </si>
  <si>
    <t>Dorset Fire Authority</t>
  </si>
  <si>
    <t>E1221</t>
  </si>
  <si>
    <t>Dorset</t>
  </si>
  <si>
    <t>Darlington UA</t>
  </si>
  <si>
    <t>E6113</t>
  </si>
  <si>
    <t>Durham Fire Authority</t>
  </si>
  <si>
    <t>Brighton &amp; Hove UA</t>
  </si>
  <si>
    <t>E6114</t>
  </si>
  <si>
    <t>East Sussex Fire Authority</t>
  </si>
  <si>
    <t>E1421</t>
  </si>
  <si>
    <t>East Sussex</t>
  </si>
  <si>
    <t>Southend-on-Sea UA</t>
  </si>
  <si>
    <t>E6115</t>
  </si>
  <si>
    <t>Essex Fire Authority</t>
  </si>
  <si>
    <t>Thurrock UA</t>
  </si>
  <si>
    <t>E1521</t>
  </si>
  <si>
    <t>Essex</t>
  </si>
  <si>
    <t>E1620</t>
  </si>
  <si>
    <t>Gloucestershire</t>
  </si>
  <si>
    <t>Portsmouth UA</t>
  </si>
  <si>
    <t>E6117</t>
  </si>
  <si>
    <t>Hampshire Fire Authority</t>
  </si>
  <si>
    <t>Southampton UA</t>
  </si>
  <si>
    <t>E1721</t>
  </si>
  <si>
    <t>Hampshire</t>
  </si>
  <si>
    <t>Herefordshire UA</t>
  </si>
  <si>
    <t>E6118</t>
  </si>
  <si>
    <t>Hereford and Worcester Fire Authority</t>
  </si>
  <si>
    <t>E1821</t>
  </si>
  <si>
    <t>Worcestershire</t>
  </si>
  <si>
    <t>E1920</t>
  </si>
  <si>
    <t>Hertfordshire</t>
  </si>
  <si>
    <t>East Riding of Yorkshire UA</t>
  </si>
  <si>
    <t>E6120</t>
  </si>
  <si>
    <t>Humberside Fire Authority</t>
  </si>
  <si>
    <t>Kingston-upon-Hull UA</t>
  </si>
  <si>
    <t>North East Lincolnshire UA</t>
  </si>
  <si>
    <t>North Lincolnshire UA</t>
  </si>
  <si>
    <t>Isle of Wight Council UA</t>
  </si>
  <si>
    <t>Medway UA</t>
  </si>
  <si>
    <t>E6122</t>
  </si>
  <si>
    <t>Kent Fire Authority</t>
  </si>
  <si>
    <t>E2221</t>
  </si>
  <si>
    <t>Kent</t>
  </si>
  <si>
    <t>Tonbridge &amp; Malling</t>
  </si>
  <si>
    <t>Blackburn with Darwen UA</t>
  </si>
  <si>
    <t>E6123</t>
  </si>
  <si>
    <t>Lancashire Fire Authority</t>
  </si>
  <si>
    <t>Blackpool UA</t>
  </si>
  <si>
    <t>E2321</t>
  </si>
  <si>
    <t>Lancashire</t>
  </si>
  <si>
    <t>Leicester UA</t>
  </si>
  <si>
    <t>E6124</t>
  </si>
  <si>
    <t>Leicestershire Fire Authority</t>
  </si>
  <si>
    <t>Rutland UA</t>
  </si>
  <si>
    <t>E2421</t>
  </si>
  <si>
    <t>Leicestershire</t>
  </si>
  <si>
    <t>Hinckley &amp; Bosworth</t>
  </si>
  <si>
    <t>Oadby &amp; Wigston</t>
  </si>
  <si>
    <t>E2520</t>
  </si>
  <si>
    <t>Lincolnshire</t>
  </si>
  <si>
    <t>E2620</t>
  </si>
  <si>
    <t>Norfolk</t>
  </si>
  <si>
    <t>King's Lynn &amp; West Norfolk</t>
  </si>
  <si>
    <t>York UA</t>
  </si>
  <si>
    <t>E6127</t>
  </si>
  <si>
    <t>North Yorkshire Fire Authority</t>
  </si>
  <si>
    <t>North Yorkshire</t>
  </si>
  <si>
    <t>E2820</t>
  </si>
  <si>
    <t>Northamptonshire</t>
  </si>
  <si>
    <t>Nottingham UA</t>
  </si>
  <si>
    <t>E6130</t>
  </si>
  <si>
    <t>Nottinghamshire Fire Authority</t>
  </si>
  <si>
    <t>E3021</t>
  </si>
  <si>
    <t>Nottinghamshire</t>
  </si>
  <si>
    <t>Newark &amp; Sherwood</t>
  </si>
  <si>
    <t>E3120</t>
  </si>
  <si>
    <t>Oxfordshire</t>
  </si>
  <si>
    <t>Telford &amp; Wrekin UA</t>
  </si>
  <si>
    <t>E6132</t>
  </si>
  <si>
    <t>Shropshire Fire Authority</t>
  </si>
  <si>
    <t>Somerset</t>
  </si>
  <si>
    <t>Stoke-on-Trent UA</t>
  </si>
  <si>
    <t>E6134</t>
  </si>
  <si>
    <t>Staffordshire Fire Authority</t>
  </si>
  <si>
    <t>E3421</t>
  </si>
  <si>
    <t>Staffordshire</t>
  </si>
  <si>
    <t>E3520</t>
  </si>
  <si>
    <t>Suffolk</t>
  </si>
  <si>
    <t>E3620</t>
  </si>
  <si>
    <t>Surrey</t>
  </si>
  <si>
    <t>Reigate &amp; Banstead</t>
  </si>
  <si>
    <t>E3720</t>
  </si>
  <si>
    <t>Warwickshire</t>
  </si>
  <si>
    <t>Nuneaton &amp; Bedworth</t>
  </si>
  <si>
    <t>E3820</t>
  </si>
  <si>
    <t>West Sussex</t>
  </si>
  <si>
    <t>Swindon UA</t>
  </si>
  <si>
    <t>E6139</t>
  </si>
  <si>
    <t>Wiltshire Fire Authority</t>
  </si>
  <si>
    <t>MD</t>
  </si>
  <si>
    <t>E6142</t>
  </si>
  <si>
    <t>Greater Manchester Fire</t>
  </si>
  <si>
    <t>E6143</t>
  </si>
  <si>
    <t>Merseyside Fire</t>
  </si>
  <si>
    <t>E6144</t>
  </si>
  <si>
    <t>South Yorkshire Fire</t>
  </si>
  <si>
    <t>E6145</t>
  </si>
  <si>
    <t>Tyne and Wear Fire</t>
  </si>
  <si>
    <t>E6146</t>
  </si>
  <si>
    <t>West Midlands Fire</t>
  </si>
  <si>
    <t>E6147</t>
  </si>
  <si>
    <t>West Yorkshire Fire</t>
  </si>
  <si>
    <t>E51np</t>
  </si>
  <si>
    <t>E5100</t>
  </si>
  <si>
    <t>Greater London Authority</t>
  </si>
  <si>
    <t>Hammersmith &amp; Fulham</t>
  </si>
  <si>
    <t>Kensington &amp; Chelsea</t>
  </si>
  <si>
    <t>Barking &amp; Dagenham</t>
  </si>
  <si>
    <t>Kingston-upon-Thames</t>
  </si>
  <si>
    <t>Richmond-upon-Thames</t>
  </si>
  <si>
    <t>£</t>
  </si>
  <si>
    <t>2.  Sums due to the authority</t>
  </si>
  <si>
    <t xml:space="preserve">3.  Sums due from the authority </t>
  </si>
  <si>
    <t>Authority Name</t>
  </si>
  <si>
    <t>E-code</t>
  </si>
  <si>
    <t>Column 1</t>
  </si>
  <si>
    <t>Column 2</t>
  </si>
  <si>
    <t>Column 3</t>
  </si>
  <si>
    <t>Column 4</t>
  </si>
  <si>
    <t>Small Business Rate Relief</t>
  </si>
  <si>
    <t>Community Amateur Sports Clubs (CASCs)</t>
  </si>
  <si>
    <t>Non-profit making bodies</t>
  </si>
  <si>
    <t>Small rural businesses</t>
  </si>
  <si>
    <t>i)   the Secretary of State in accordance with Regulation 4 of the Non-Domestic Rating (Rates Retention) Regulations 2013;</t>
  </si>
  <si>
    <t>ii)  major precepting authorities in accordance with Regulations 5, 6 and 7; and to be</t>
  </si>
  <si>
    <t xml:space="preserve">iii) transferred by the billing authority from its Collection Fund to its General Fund, </t>
  </si>
  <si>
    <t>are set out below</t>
  </si>
  <si>
    <t>Total</t>
  </si>
  <si>
    <t xml:space="preserve"> </t>
  </si>
  <si>
    <t>TOTAL FOR THE YEAR</t>
  </si>
  <si>
    <t xml:space="preserve">NET RATES PAYABLE </t>
  </si>
  <si>
    <t>5.  Legal costs</t>
  </si>
  <si>
    <t>6.  Allowance for cost of collection</t>
  </si>
  <si>
    <t>4. Cost of collection formula</t>
  </si>
  <si>
    <t>SPECIAL AUTHORITY DEDUCTIONS</t>
  </si>
  <si>
    <t>Column 5</t>
  </si>
  <si>
    <t>Charitable occupation</t>
  </si>
  <si>
    <t>Rural rate relief</t>
  </si>
  <si>
    <t>of which:</t>
  </si>
  <si>
    <t>1. Rateable Value at</t>
  </si>
  <si>
    <t xml:space="preserve">TRANSITIONAL PROTECTION PAYMENTS </t>
  </si>
  <si>
    <t xml:space="preserve">NON-DOMESTIC RATING INCOME </t>
  </si>
  <si>
    <t xml:space="preserve">DISREGARDED AMOUNTS </t>
  </si>
  <si>
    <t xml:space="preserve">v. Relief to be given where the hereditament is empty and is not included in categories i to iv </t>
  </si>
  <si>
    <t>v. those where the hereditament is empty and not included in categories i to iv</t>
  </si>
  <si>
    <t xml:space="preserve">TOTAL:  </t>
  </si>
  <si>
    <t>Local Authority</t>
  </si>
  <si>
    <t>Ecodes</t>
  </si>
  <si>
    <t>Adur</t>
  </si>
  <si>
    <t>E3831</t>
  </si>
  <si>
    <t>Amber Valley</t>
  </si>
  <si>
    <t>E1031</t>
  </si>
  <si>
    <t>Arun</t>
  </si>
  <si>
    <t>E3832</t>
  </si>
  <si>
    <t>Ashfield</t>
  </si>
  <si>
    <t>E3031</t>
  </si>
  <si>
    <t>Ashford</t>
  </si>
  <si>
    <t>E2231</t>
  </si>
  <si>
    <t>Babergh</t>
  </si>
  <si>
    <t>E3531</t>
  </si>
  <si>
    <t>Barking and Dagenham</t>
  </si>
  <si>
    <t>E5030</t>
  </si>
  <si>
    <t>Barnet</t>
  </si>
  <si>
    <t>E5031</t>
  </si>
  <si>
    <t>Barnsley</t>
  </si>
  <si>
    <t>E4401</t>
  </si>
  <si>
    <t>Basildon</t>
  </si>
  <si>
    <t>E1531</t>
  </si>
  <si>
    <t>Basingstoke &amp; Deane</t>
  </si>
  <si>
    <t>E1731</t>
  </si>
  <si>
    <t>Bassetlaw</t>
  </si>
  <si>
    <t>E3032</t>
  </si>
  <si>
    <t>Bath &amp; North East Somerset</t>
  </si>
  <si>
    <t>E0101</t>
  </si>
  <si>
    <t>Bedford UA</t>
  </si>
  <si>
    <t>E0202</t>
  </si>
  <si>
    <t>Bexley</t>
  </si>
  <si>
    <t>E5032</t>
  </si>
  <si>
    <t>Birmingham</t>
  </si>
  <si>
    <t>E4601</t>
  </si>
  <si>
    <t>Blaby</t>
  </si>
  <si>
    <t>E2431</t>
  </si>
  <si>
    <t>Blackburn with Darwen</t>
  </si>
  <si>
    <t>E2301</t>
  </si>
  <si>
    <t>Blackpool</t>
  </si>
  <si>
    <t>E2302</t>
  </si>
  <si>
    <t>Bolsover</t>
  </si>
  <si>
    <t>E1032</t>
  </si>
  <si>
    <t>Bolton</t>
  </si>
  <si>
    <t>E4201</t>
  </si>
  <si>
    <t>Boston</t>
  </si>
  <si>
    <t>E2531</t>
  </si>
  <si>
    <t>Bracknell Forest</t>
  </si>
  <si>
    <t>E0301</t>
  </si>
  <si>
    <t>Bradford</t>
  </si>
  <si>
    <t>E4701</t>
  </si>
  <si>
    <t>Braintree</t>
  </si>
  <si>
    <t>E1532</t>
  </si>
  <si>
    <t>Breckland</t>
  </si>
  <si>
    <t>E2631</t>
  </si>
  <si>
    <t>Brent</t>
  </si>
  <si>
    <t>E5033</t>
  </si>
  <si>
    <t>Brentwood</t>
  </si>
  <si>
    <t>E1533</t>
  </si>
  <si>
    <t>Brighton &amp; Hove</t>
  </si>
  <si>
    <t>E1401</t>
  </si>
  <si>
    <t>Bristol</t>
  </si>
  <si>
    <t>E0102</t>
  </si>
  <si>
    <t>Broadland</t>
  </si>
  <si>
    <t>E2632</t>
  </si>
  <si>
    <t>Bromley</t>
  </si>
  <si>
    <t>E5034</t>
  </si>
  <si>
    <t>Bromsgrove</t>
  </si>
  <si>
    <t>E1831</t>
  </si>
  <si>
    <t>Broxbourne</t>
  </si>
  <si>
    <t>E1931</t>
  </si>
  <si>
    <t>Broxtowe</t>
  </si>
  <si>
    <t>E3033</t>
  </si>
  <si>
    <t>Burnley</t>
  </si>
  <si>
    <t>E2333</t>
  </si>
  <si>
    <t>Bury</t>
  </si>
  <si>
    <t>E4202</t>
  </si>
  <si>
    <t>Calderdale</t>
  </si>
  <si>
    <t>E4702</t>
  </si>
  <si>
    <t>Cambridge</t>
  </si>
  <si>
    <t>E0531</t>
  </si>
  <si>
    <t>Camden</t>
  </si>
  <si>
    <t>E5011</t>
  </si>
  <si>
    <t>Cannock Chase</t>
  </si>
  <si>
    <t>E3431</t>
  </si>
  <si>
    <t>Canterbury</t>
  </si>
  <si>
    <t>E2232</t>
  </si>
  <si>
    <t>Castle Point</t>
  </si>
  <si>
    <t>E1534</t>
  </si>
  <si>
    <t>Central Bedfordshire UA</t>
  </si>
  <si>
    <t>E0203</t>
  </si>
  <si>
    <t>Charnwood</t>
  </si>
  <si>
    <t>E2432</t>
  </si>
  <si>
    <t>Chelmsford</t>
  </si>
  <si>
    <t>E1535</t>
  </si>
  <si>
    <t>Cheltenham</t>
  </si>
  <si>
    <t>E1631</t>
  </si>
  <si>
    <t>Cherwell</t>
  </si>
  <si>
    <t>E3131</t>
  </si>
  <si>
    <t>Cheshire East UA</t>
  </si>
  <si>
    <t>E0603</t>
  </si>
  <si>
    <t>E0604</t>
  </si>
  <si>
    <t>Chesterfield</t>
  </si>
  <si>
    <t>E1033</t>
  </si>
  <si>
    <t>Chichester</t>
  </si>
  <si>
    <t>E3833</t>
  </si>
  <si>
    <t>Chorley</t>
  </si>
  <si>
    <t>E2334</t>
  </si>
  <si>
    <t>City of London</t>
  </si>
  <si>
    <t>BA Area (exc. Designated areas)</t>
  </si>
  <si>
    <t>Error checking</t>
  </si>
  <si>
    <t>Designated
areas</t>
  </si>
  <si>
    <t>Data</t>
  </si>
  <si>
    <t>Parameters</t>
  </si>
  <si>
    <t>Change</t>
  </si>
  <si>
    <t>Complete this column</t>
  </si>
  <si>
    <t>Do not complete this column</t>
  </si>
  <si>
    <t>Sheffield City region</t>
  </si>
  <si>
    <t>Enterprise Area</t>
  </si>
  <si>
    <t>West of England</t>
  </si>
  <si>
    <t>Notts Broxtowe</t>
  </si>
  <si>
    <t>Sheffield City Region</t>
  </si>
  <si>
    <t>NewQuay Aerohub</t>
  </si>
  <si>
    <t>Humber Port Corridor</t>
  </si>
  <si>
    <t>Humber Super Energy Cluster</t>
  </si>
  <si>
    <t>Solent</t>
  </si>
  <si>
    <t>Lancs Advanced Eng. &amp; Manufacturing</t>
  </si>
  <si>
    <t>Development Area</t>
  </si>
  <si>
    <t>New Anglia</t>
  </si>
  <si>
    <t>Sci-Tech Daresbury</t>
  </si>
  <si>
    <t>Tees Valley</t>
  </si>
  <si>
    <t>Hereford</t>
  </si>
  <si>
    <t>MIRA Technology Park</t>
  </si>
  <si>
    <t>Alconbury Enterprise Campus</t>
  </si>
  <si>
    <t>Aire Valley</t>
  </si>
  <si>
    <t>Mersey Waters</t>
  </si>
  <si>
    <t>Liverpool City</t>
  </si>
  <si>
    <t>NE Newcastle</t>
  </si>
  <si>
    <t>Royal Docks</t>
  </si>
  <si>
    <t>North East</t>
  </si>
  <si>
    <t>Waterside</t>
  </si>
  <si>
    <t xml:space="preserve">North East </t>
  </si>
  <si>
    <t>Nottingham City</t>
  </si>
  <si>
    <t>Development  Area</t>
  </si>
  <si>
    <t>Black Country</t>
  </si>
  <si>
    <t>Science Vale UK</t>
  </si>
  <si>
    <t>Yes</t>
  </si>
  <si>
    <t>Check total RV</t>
  </si>
  <si>
    <t>Actual</t>
  </si>
  <si>
    <t>Test</t>
  </si>
  <si>
    <t>Cost of CASC Relief</t>
  </si>
  <si>
    <t>Mandatory Reliefs</t>
  </si>
  <si>
    <t>Discretionary Reliefs</t>
  </si>
  <si>
    <t>Cost of non-profit bodies' relief</t>
  </si>
  <si>
    <t>Cost of other rural relief</t>
  </si>
  <si>
    <t>Cost of other discretionary relief</t>
  </si>
  <si>
    <t>Cost of Charity relief</t>
  </si>
  <si>
    <t>Cost of CASC relief</t>
  </si>
  <si>
    <t>Cost of Partly Occupied relief</t>
  </si>
  <si>
    <t>Cost of Empty property relief</t>
  </si>
  <si>
    <t>Validation Checks</t>
  </si>
  <si>
    <t>6.  Revenue foregone because increases in rates have been deferred (Show as -ve)</t>
  </si>
  <si>
    <t>This page is for information only; please do not amend any of the figures</t>
  </si>
  <si>
    <t>Birmingham City Centre</t>
  </si>
  <si>
    <t>Error
checking</t>
  </si>
  <si>
    <t>n/a</t>
  </si>
  <si>
    <t>Other checks</t>
  </si>
  <si>
    <t>Cost SBR relief</t>
  </si>
  <si>
    <t>Class A hereditaments</t>
  </si>
  <si>
    <t>Class B hereditaments</t>
  </si>
  <si>
    <t>Net rates payable</t>
  </si>
  <si>
    <t>Charity relief</t>
  </si>
  <si>
    <t>CASC relief</t>
  </si>
  <si>
    <t>Rural shop relief</t>
  </si>
  <si>
    <t>Partly Occupied relief</t>
  </si>
  <si>
    <t>Empty relief</t>
  </si>
  <si>
    <t>Non-profit bodies' relief</t>
  </si>
  <si>
    <t>CASC Relief</t>
  </si>
  <si>
    <t>Other rural relief</t>
  </si>
  <si>
    <t>Local discount relief</t>
  </si>
  <si>
    <t>Supplementary data - validation checks</t>
  </si>
  <si>
    <t>SBBR - getting a discount</t>
  </si>
  <si>
    <t>SBBR - just lower multiplier</t>
  </si>
  <si>
    <t>Number of hereditaments</t>
  </si>
  <si>
    <t>SBBR - contributing</t>
  </si>
  <si>
    <t>Total
Hereds</t>
  </si>
  <si>
    <t>Please provide any further comments below</t>
  </si>
  <si>
    <t>PART 3: COLLECTABLE RATES AND DISREGARDED AMOUNTS</t>
  </si>
  <si>
    <t>All figures must be entered in whole £</t>
  </si>
  <si>
    <t>Upper tier = UA, MD or GLA</t>
  </si>
  <si>
    <t>Please comment below where required</t>
  </si>
  <si>
    <t>BUSINESS RATES CREDITS AND CHARGES</t>
  </si>
  <si>
    <t>DA?</t>
  </si>
  <si>
    <t xml:space="preserve">   </t>
  </si>
  <si>
    <t>Hide this column</t>
  </si>
  <si>
    <t>Linking billing authorities with their precepting authorities and their proportional shares</t>
  </si>
  <si>
    <t>Has a Designated Area?</t>
  </si>
  <si>
    <t>Testing</t>
  </si>
  <si>
    <t>Updates</t>
  </si>
  <si>
    <t>VOA data</t>
  </si>
  <si>
    <t>4. Changes to the allowance for non-collection</t>
  </si>
  <si>
    <t>7. Total business rates credits and charges (Total lines 2 to 6)</t>
  </si>
  <si>
    <t>17. Transfers/payments from the Collection Fund for end-year reconciliations</t>
  </si>
  <si>
    <t>Ver</t>
  </si>
  <si>
    <t xml:space="preserve">Ver </t>
  </si>
  <si>
    <t>MIRA extension</t>
  </si>
  <si>
    <t>No</t>
  </si>
  <si>
    <t>Newcastle upon Tyne</t>
  </si>
  <si>
    <t>Nine Elms and Battersea Power station</t>
  </si>
  <si>
    <t>Nine Elms</t>
  </si>
  <si>
    <t>DISREGARDED AMOUNTS</t>
  </si>
  <si>
    <t>DEDUCTIONS FROM CENTRAL SHARE</t>
  </si>
  <si>
    <t>VOA Data</t>
  </si>
  <si>
    <t xml:space="preserve"> 2017-18 Billing authority proportion</t>
  </si>
  <si>
    <t>2017-18 upper tier proportion</t>
  </si>
  <si>
    <t>2017-18 fire proportion</t>
  </si>
  <si>
    <t xml:space="preserve"> 2016-17 Billing authority proportion</t>
  </si>
  <si>
    <t>2016-17 upper tier proportion</t>
  </si>
  <si>
    <t>2016-17 fire proportion</t>
  </si>
  <si>
    <t>2017-18 Sum</t>
  </si>
  <si>
    <t>2016-17 Sum</t>
  </si>
  <si>
    <t>Port of Bristol</t>
  </si>
  <si>
    <t>Baseline</t>
  </si>
  <si>
    <t>EZ Name</t>
  </si>
  <si>
    <t>Ezcode</t>
  </si>
  <si>
    <t>ecode</t>
  </si>
  <si>
    <t>ecodes</t>
  </si>
  <si>
    <t>Select an authority</t>
  </si>
  <si>
    <t>Designated Areas</t>
  </si>
  <si>
    <t>Sum payable by rate payers after taking account of transitional adjustments, empty property rate, mandatory and discretionary reliefs</t>
  </si>
  <si>
    <t>NET RATES PAYABLE</t>
  </si>
  <si>
    <t>LOSSES</t>
  </si>
  <si>
    <t>Net Rates payable less losses</t>
  </si>
  <si>
    <t xml:space="preserve"> Renewable Energy</t>
  </si>
  <si>
    <t>Total Disregarded Amounts</t>
  </si>
  <si>
    <t>8.  Amounts retained in respect of Designated Areas</t>
  </si>
  <si>
    <t>Rural Rate Relief</t>
  </si>
  <si>
    <t>Designated Area</t>
  </si>
  <si>
    <t>Total Designated Area value</t>
  </si>
  <si>
    <t>NNDR1</t>
  </si>
  <si>
    <t>i. Hereditaments with a rateable value between £0 and £12,000 that will receive the full discount</t>
  </si>
  <si>
    <t>ii. Hereditaments with a rateable value between £12,001 and £15,000 that will receive the discount on a sliding scale</t>
  </si>
  <si>
    <t>i. Hereditaments with a rateable value between £0 and £12,000 receiving the maximum discount</t>
  </si>
  <si>
    <t>ii. Hereditaments with a rateable value between £12,001 and £15,000 receiving the discount on a sliding scale</t>
  </si>
  <si>
    <t>Windsor and Maidenhead UA</t>
  </si>
  <si>
    <t>St. Helens</t>
  </si>
  <si>
    <t>Redcar and Cleveland UA</t>
  </si>
  <si>
    <t>Kingston upon Hull UA</t>
  </si>
  <si>
    <t>Isle of Wight UA</t>
  </si>
  <si>
    <t>Isles of Scilly UA</t>
  </si>
  <si>
    <t>Epsom and Ewell</t>
  </si>
  <si>
    <t>King’s Lynn and West Norfolk</t>
  </si>
  <si>
    <t>Brighton and Hove UA</t>
  </si>
  <si>
    <t>Basingstoke and Deane</t>
  </si>
  <si>
    <t>Bath and North East Somerset UA</t>
  </si>
  <si>
    <t>Telford and Wrekin UA</t>
  </si>
  <si>
    <t>SBBR - RV between £0 &amp; £12k</t>
  </si>
  <si>
    <t>Number where comments are outstanding</t>
  </si>
  <si>
    <t>SBBR - RV between £12k &amp; £15k</t>
  </si>
  <si>
    <t>LOCK</t>
  </si>
  <si>
    <t>Buckinghamshire Thames Valley: Silverstone</t>
  </si>
  <si>
    <t>Buckinghamshire Thames Valley: Aria/Woodlands</t>
  </si>
  <si>
    <t>Buckinghamshire Thames Valley: Westcott</t>
  </si>
  <si>
    <t>Basing View</t>
  </si>
  <si>
    <t>Roseberry Place</t>
  </si>
  <si>
    <t>Old Mills</t>
  </si>
  <si>
    <t>Birmingham Curzon Extension</t>
  </si>
  <si>
    <t>Blackpool Airport Corridor</t>
  </si>
  <si>
    <t>Parry Lane</t>
  </si>
  <si>
    <t>Staithgate Lane</t>
  </si>
  <si>
    <t>Gain Lane</t>
  </si>
  <si>
    <t>Bristol Temple Quarter Enterprise Zone Expansion Area</t>
  </si>
  <si>
    <t>Clifton Business Park</t>
  </si>
  <si>
    <t>Carlisle Kingmoor Park EZ</t>
  </si>
  <si>
    <t>Loughborough Science and Enterprise Park</t>
  </si>
  <si>
    <t>Charnwood Campus</t>
  </si>
  <si>
    <t>Cheshire Science Corridor EZ: Alderley Park</t>
  </si>
  <si>
    <t>Cheshire Science Corridor EZ: South Road</t>
  </si>
  <si>
    <t>Cheshire Science Corridor EZ: Cloister Way (Andrews)</t>
  </si>
  <si>
    <t>Cheshire Science Corridor EZ: Cloister Way (CWAC)</t>
  </si>
  <si>
    <t>Cheshire Science Corridor EZ: Dufton Green</t>
  </si>
  <si>
    <t>Cheshire Science Corridor EZ: Former DSM Land</t>
  </si>
  <si>
    <t>Cheshire Science Corridor EZ: New Port Business Park</t>
  </si>
  <si>
    <t>Cheshire Science Corridor EZ: Stanney Mill Lane</t>
  </si>
  <si>
    <t>Cheshire Science Corridor EZ: Thornton Science Park</t>
  </si>
  <si>
    <t>Cheshire Science Corridor EZ: Hooton Park</t>
  </si>
  <si>
    <t>Cheshire Science Corridor EZ: Ince Park</t>
  </si>
  <si>
    <t>Cornwall Aerohub+ - Goon Hilly Earth Station</t>
  </si>
  <si>
    <t>Hayle North Quay</t>
  </si>
  <si>
    <t>Tolvaddon</t>
  </si>
  <si>
    <t>Falmouth Docks</t>
  </si>
  <si>
    <t>Kier site</t>
  </si>
  <si>
    <t>Spencer's Park (Phase 2) site</t>
  </si>
  <si>
    <t>HCA site</t>
  </si>
  <si>
    <t>DBC site</t>
  </si>
  <si>
    <t>Tees Valley EZ Growth Extension: Central Park</t>
  </si>
  <si>
    <t>Ebsfleet Central - Northfleet Rise</t>
  </si>
  <si>
    <t>Archill</t>
  </si>
  <si>
    <t>Harts Hill</t>
  </si>
  <si>
    <t>Canal Walk</t>
  </si>
  <si>
    <t>Blackbrook Valley</t>
  </si>
  <si>
    <t>Pensnett</t>
  </si>
  <si>
    <t>Hawthorn Prestige Business Park</t>
  </si>
  <si>
    <t>Cambridge Compass: Lancaster Way</t>
  </si>
  <si>
    <t>Exeter Science Park</t>
  </si>
  <si>
    <t>Sky Park, Exeter</t>
  </si>
  <si>
    <t>Exeter Airport Business Park Expansion Area</t>
  </si>
  <si>
    <t>Cranbrook Commercial Area</t>
  </si>
  <si>
    <t>Louisburg</t>
  </si>
  <si>
    <t>Humber EZ: Capital Park Goole</t>
  </si>
  <si>
    <t>Humber EZ: Goole 36</t>
  </si>
  <si>
    <t>Humber EZ: Goole Intermodal Terminal</t>
  </si>
  <si>
    <t>Humber EZ: Melton Park</t>
  </si>
  <si>
    <t>Humber EZ: Melton West</t>
  </si>
  <si>
    <t>Follingsby Business Park</t>
  </si>
  <si>
    <t>Northfleet Riverside East</t>
  </si>
  <si>
    <t>Northfleet Riverside West</t>
  </si>
  <si>
    <t>Beacon Park Phase 3</t>
  </si>
  <si>
    <t>Vanguard Point</t>
  </si>
  <si>
    <t>Havenshore Base South</t>
  </si>
  <si>
    <t>Victory Court</t>
  </si>
  <si>
    <t>New Anglia EZ: Futura Park</t>
  </si>
  <si>
    <t>New Anglia EZ: Princes Street</t>
  </si>
  <si>
    <t>New Anglia EZ: Waterfront Island</t>
  </si>
  <si>
    <t>New Anglia EZ: Nar Ouse</t>
  </si>
  <si>
    <t>Humber EZ: Bird's Eye</t>
  </si>
  <si>
    <t>Humber EZ: Priory Park</t>
  </si>
  <si>
    <t>Humber EZ: Former Cavaghan and Gray</t>
  </si>
  <si>
    <t>Humber EZ: Benchmark Pods</t>
  </si>
  <si>
    <t>Humber EZ: Energy Works</t>
  </si>
  <si>
    <t>Humber EZ: Rix Stoneberry</t>
  </si>
  <si>
    <t>Humber EZ: Foster Street</t>
  </si>
  <si>
    <t>Humber EZ: Ashcourt</t>
  </si>
  <si>
    <t>Humber EZ: Former Two Wheel Centre</t>
  </si>
  <si>
    <t>Humber EZ: St Mark Street</t>
  </si>
  <si>
    <t>Humber EZ: Former LA site</t>
  </si>
  <si>
    <t>Humber EZ: Sammy's Point</t>
  </si>
  <si>
    <t>Humber EZ: Albert Dock</t>
  </si>
  <si>
    <t>Humber EZ: John Street Car Park</t>
  </si>
  <si>
    <t>Humber EZ: Pepi's</t>
  </si>
  <si>
    <t>Humber EZ: Osborne Street</t>
  </si>
  <si>
    <t>Humber EZ: Albion Street</t>
  </si>
  <si>
    <t>Humber EZ: Former Bonus Site</t>
  </si>
  <si>
    <t>Humber EZ: Somerden Road</t>
  </si>
  <si>
    <t>Humber EZ: Queen Elizabeth Dock</t>
  </si>
  <si>
    <t>Lindley Moor East</t>
  </si>
  <si>
    <t>Lindley Moor West</t>
  </si>
  <si>
    <t>Moor Park, Mirfield</t>
  </si>
  <si>
    <t>Leicester Waterside</t>
  </si>
  <si>
    <t>East Quay</t>
  </si>
  <si>
    <t>Eastside North</t>
  </si>
  <si>
    <t>Eastside South</t>
  </si>
  <si>
    <t>North Quay</t>
  </si>
  <si>
    <t>Railway Quay</t>
  </si>
  <si>
    <t>Bevan Funnell</t>
  </si>
  <si>
    <t>Town Centre</t>
  </si>
  <si>
    <t>Avis Way</t>
  </si>
  <si>
    <t>Luton Airport EZ</t>
  </si>
  <si>
    <t>Kent Medical Campus</t>
  </si>
  <si>
    <t>Greater Manchester Airport City</t>
  </si>
  <si>
    <t>Greater Manchester Life Science: MSP Central Campus</t>
  </si>
  <si>
    <t>Greater Manchester Life Science: CMFT Site</t>
  </si>
  <si>
    <t>Rochester Airport Technology Park</t>
  </si>
  <si>
    <t>New Anglia EZ: Sproughton Road</t>
  </si>
  <si>
    <t>New Anglia EZ: Mill Lane</t>
  </si>
  <si>
    <t>Tees Valley EZ Growth Extension: Middlesbrough historic quarter</t>
  </si>
  <si>
    <t>Ceramics Valley: Chatterley Valley West</t>
  </si>
  <si>
    <t>North Bank of the Tyne extension</t>
  </si>
  <si>
    <t>Newcastle International Airport Business Park</t>
  </si>
  <si>
    <t>Humber EZ: Stallingborough Interchange</t>
  </si>
  <si>
    <t>Humber EZ: Great Coates Business Park</t>
  </si>
  <si>
    <t>Humber EZ: King's Road</t>
  </si>
  <si>
    <t>Humber EZ: Queen's Road</t>
  </si>
  <si>
    <t>Humber EZ: Abengoa</t>
  </si>
  <si>
    <t>Humber EZ: Huntsman Tioxide</t>
  </si>
  <si>
    <t>Humber EZ: Humberside Airport</t>
  </si>
  <si>
    <t>New Anglia EZ: Scottow Enterprise Park</t>
  </si>
  <si>
    <t>New Anglia EZ: Egmere Business Park</t>
  </si>
  <si>
    <t>Fairmoor</t>
  </si>
  <si>
    <t>Ashwood Business Park</t>
  </si>
  <si>
    <t>Ramparts Business Park</t>
  </si>
  <si>
    <t>South Yard</t>
  </si>
  <si>
    <t>Dorset Technology Park</t>
  </si>
  <si>
    <t>Longcross Park</t>
  </si>
  <si>
    <t>Huntspill Energy Park</t>
  </si>
  <si>
    <t>Cambridge Compass: Cambourne Business Park</t>
  </si>
  <si>
    <t>Cambridge Compass: Cambridge Research Park</t>
  </si>
  <si>
    <t>Cambridge Compass: Northstowe</t>
  </si>
  <si>
    <t>New Anglia EZ: Norwich Research Park</t>
  </si>
  <si>
    <t>Didcot Growth Accelerator: Didcot A (South Oxfordshire)</t>
  </si>
  <si>
    <t>Didcot Growth Accelerator: Southmead 1</t>
  </si>
  <si>
    <t>Didcot Growth Accelerator: Southmead 2</t>
  </si>
  <si>
    <t>Didcot Growth Accelerator: Southmead 3</t>
  </si>
  <si>
    <t>Development</t>
  </si>
  <si>
    <t>Tyne Dock Enterprise Park</t>
  </si>
  <si>
    <t>Crown Estates site</t>
  </si>
  <si>
    <t>Building Research Establishment site</t>
  </si>
  <si>
    <t>Rothamsted Research site</t>
  </si>
  <si>
    <t>Cambridge Compass: Haverhill Research Park</t>
  </si>
  <si>
    <t>New Anglia EZ: Suffolk Business Park</t>
  </si>
  <si>
    <t>Tees Valley EZ Growth Extension: Northshore</t>
  </si>
  <si>
    <t>Ceramics Valley: Chatterley Valley East</t>
  </si>
  <si>
    <t>Ceramics Valley: Tunstall Arrow</t>
  </si>
  <si>
    <t>Ceramics Valley: Highgate/Ravensdale</t>
  </si>
  <si>
    <t>Ceramics Valley: Etruria Valley</t>
  </si>
  <si>
    <t>Ceramics Valley: Cliffe Vale</t>
  </si>
  <si>
    <t>Port of Sunderland</t>
  </si>
  <si>
    <t>Didcot Growth Accelerator: Diageo Site</t>
  </si>
  <si>
    <t>Didcot Growth Accelerator: Didcot A (Vale of White Horse)</t>
  </si>
  <si>
    <t>Didcot Growth Accelerator: Didcot Park</t>
  </si>
  <si>
    <t>Didcot Growth Accelerator: Milton Interchange</t>
  </si>
  <si>
    <t>Oxfordshire Milton Park Extension- Site A</t>
  </si>
  <si>
    <t>Oxfordshire Milton Park Extension- Site B</t>
  </si>
  <si>
    <t>Oxfordshire Milton Park Extension- Site C</t>
  </si>
  <si>
    <t>Oxfordshire Milton Park Extension- Site D</t>
  </si>
  <si>
    <t>Oxfordshire Milton Park Extension- Site E</t>
  </si>
  <si>
    <t>Oxfordshire Milton Park Extension- Site F</t>
  </si>
  <si>
    <t>Langhthwaite Business Park extension</t>
  </si>
  <si>
    <t>South Kirby Business Park</t>
  </si>
  <si>
    <t>Cheshire Science Corridor EZ: Birchwood Sites</t>
  </si>
  <si>
    <t>Riverside Road</t>
  </si>
  <si>
    <t>Mobbs Way</t>
  </si>
  <si>
    <t>Wirral Waters</t>
  </si>
  <si>
    <t>Lancashire - Hillhouse Chemicals and Energy EZ</t>
  </si>
  <si>
    <t>York Central site</t>
  </si>
  <si>
    <t>Enter as +ve figure</t>
  </si>
  <si>
    <t>Enter as -ve figure</t>
  </si>
  <si>
    <t>formula</t>
  </si>
  <si>
    <t>Relief Given to Case A Hereditaments</t>
  </si>
  <si>
    <t>Compensation Due</t>
  </si>
  <si>
    <t>E6354</t>
  </si>
  <si>
    <t>West of England CA</t>
  </si>
  <si>
    <t xml:space="preserve">Transitional Protection Payment  </t>
  </si>
  <si>
    <t>A</t>
  </si>
  <si>
    <t>B</t>
  </si>
  <si>
    <t>34. Cost to authorities of providing relief</t>
  </si>
  <si>
    <t>2017-18 Baseline published</t>
  </si>
  <si>
    <t>Uprated Baseline for 2018-19</t>
  </si>
  <si>
    <t>Amended 2017-18 Baseline</t>
  </si>
  <si>
    <t>Development Area - Gateshead Quays and Baltic Business Centre</t>
  </si>
  <si>
    <t>Greater Manchester Airport City 2</t>
  </si>
  <si>
    <t>Multiplier Cap</t>
  </si>
  <si>
    <t>2018-19 Sum</t>
  </si>
  <si>
    <t xml:space="preserve"> 2018-19 Billing authority proportion</t>
  </si>
  <si>
    <t>2018-19 upper tier proportion</t>
  </si>
  <si>
    <t>2018-19 fire proportion</t>
  </si>
  <si>
    <t>IAMP</t>
  </si>
  <si>
    <t>Brent Cross LGZ</t>
  </si>
  <si>
    <t>Croydon LGZ</t>
  </si>
  <si>
    <t>SBRR Threshold factors</t>
  </si>
  <si>
    <t/>
  </si>
  <si>
    <t>2019-20</t>
  </si>
  <si>
    <t>Multiplier adjustment factor</t>
  </si>
  <si>
    <t>2020-21</t>
  </si>
  <si>
    <t>Folkestone &amp; Hythe</t>
  </si>
  <si>
    <t>2019-20 upper tier proportion</t>
  </si>
  <si>
    <t>2019-20 fire proportion</t>
  </si>
  <si>
    <t>2019-20 Sum</t>
  </si>
  <si>
    <t>Ecode</t>
  </si>
  <si>
    <t>FRA</t>
  </si>
  <si>
    <t>100% BRR</t>
  </si>
  <si>
    <t>DA</t>
  </si>
  <si>
    <t>E1204</t>
  </si>
  <si>
    <t>Dorset Council</t>
  </si>
  <si>
    <t>E1203</t>
  </si>
  <si>
    <t>East Suffolk</t>
  </si>
  <si>
    <t>E3538</t>
  </si>
  <si>
    <t>West Suffolk</t>
  </si>
  <si>
    <t>E3539</t>
  </si>
  <si>
    <t>Dorset UA</t>
  </si>
  <si>
    <t>Northamptonshire PCC-Fire</t>
  </si>
  <si>
    <t>E7028</t>
  </si>
  <si>
    <t>Does it have shale gas relief</t>
  </si>
  <si>
    <t>Shale gas - upper tier</t>
  </si>
  <si>
    <t>Shale gas - UT share</t>
  </si>
  <si>
    <t>Shale gas - FRA</t>
  </si>
  <si>
    <t>Shale gas - FRA share</t>
  </si>
  <si>
    <t>Bournemouth, Christchurch &amp; Poole</t>
  </si>
  <si>
    <t>Shale gas</t>
  </si>
  <si>
    <t>9. Total Disregarded Amounts</t>
  </si>
  <si>
    <t xml:space="preserve">Pre-populated </t>
  </si>
  <si>
    <t>Checks</t>
  </si>
  <si>
    <t>UT</t>
  </si>
  <si>
    <t>Greater Manchester Combined Authority</t>
  </si>
  <si>
    <t>Essex Police, Fire &amp; Crime Commissioner</t>
  </si>
  <si>
    <t>Staffordshire Police, Fire and Rescue and Crime Commissioner</t>
  </si>
  <si>
    <t>Bournemouth, Christchurch &amp; Poole UA</t>
  </si>
  <si>
    <t>Dorset CC</t>
  </si>
  <si>
    <t>Uprated Baseline for 2019-20</t>
  </si>
  <si>
    <t>2020-21 upper tier proportion</t>
  </si>
  <si>
    <t>2020-21 fire proportion</t>
  </si>
  <si>
    <t>2020-21 Sum</t>
  </si>
  <si>
    <t>Uprated Baseline for 2020-21</t>
  </si>
  <si>
    <t>Uprating factor</t>
  </si>
  <si>
    <t>UNLOCK</t>
  </si>
  <si>
    <t>RELIEF FUNDED THROUGH SECTION 31 GRANT</t>
  </si>
  <si>
    <t>Buckinghamshire UA</t>
  </si>
  <si>
    <t>E0402</t>
  </si>
  <si>
    <t>na</t>
  </si>
  <si>
    <t>6. Changes to the provision for alteration of lists and appeals</t>
  </si>
  <si>
    <t>AssetID</t>
  </si>
  <si>
    <t>AssetValue</t>
  </si>
  <si>
    <t>AssetComments</t>
  </si>
  <si>
    <t>AssetComments2</t>
  </si>
  <si>
    <t>AssetComments3</t>
  </si>
  <si>
    <t>Form</t>
  </si>
  <si>
    <t>FormVers</t>
  </si>
  <si>
    <t>OrgID</t>
  </si>
  <si>
    <t>Period</t>
  </si>
  <si>
    <t>Contact_Name</t>
  </si>
  <si>
    <t>Contact_Tele</t>
  </si>
  <si>
    <t>Contact_Email</t>
  </si>
  <si>
    <t>tpptola</t>
  </si>
  <si>
    <t>tppfromla</t>
  </si>
  <si>
    <t>cityoffset</t>
  </si>
  <si>
    <t>nndrincome</t>
  </si>
  <si>
    <t>rvdate</t>
  </si>
  <si>
    <t>ezcasea</t>
  </si>
  <si>
    <t>ezcaseb</t>
  </si>
  <si>
    <t>openbal</t>
  </si>
  <si>
    <t>surpdef</t>
  </si>
  <si>
    <t>suppdate</t>
  </si>
  <si>
    <t>suppnotes</t>
  </si>
  <si>
    <t>da_name_da1</t>
  </si>
  <si>
    <t>da_name_da2</t>
  </si>
  <si>
    <t>da_name_da3</t>
  </si>
  <si>
    <t>da_name_da4</t>
  </si>
  <si>
    <t>da_name_da5</t>
  </si>
  <si>
    <t>da_name_da6</t>
  </si>
  <si>
    <t>da_name_da7</t>
  </si>
  <si>
    <t>da_name_da8</t>
  </si>
  <si>
    <t>da_name_da9</t>
  </si>
  <si>
    <t>da_name_da10</t>
  </si>
  <si>
    <t>da_name_da11</t>
  </si>
  <si>
    <t>da_name_da12</t>
  </si>
  <si>
    <t>da_name_da13</t>
  </si>
  <si>
    <t>da_name_da14</t>
  </si>
  <si>
    <t>da_name_da15</t>
  </si>
  <si>
    <t>da_name_da16</t>
  </si>
  <si>
    <t>da_name_da17</t>
  </si>
  <si>
    <t>da_name_da18</t>
  </si>
  <si>
    <t>da_name_da19</t>
  </si>
  <si>
    <t>da_name_da20</t>
  </si>
  <si>
    <t>da_name_da21</t>
  </si>
  <si>
    <t>da_name_da22</t>
  </si>
  <si>
    <t>da_name_da23</t>
  </si>
  <si>
    <t>da_name_da24</t>
  </si>
  <si>
    <t>da_name_da25</t>
  </si>
  <si>
    <t>da_name_da26</t>
  </si>
  <si>
    <t>da_name_da27</t>
  </si>
  <si>
    <t>da_name_da28</t>
  </si>
  <si>
    <t>da_name_da29</t>
  </si>
  <si>
    <t>da_name_da30</t>
  </si>
  <si>
    <t>da_name_da31</t>
  </si>
  <si>
    <t>da_name_da32</t>
  </si>
  <si>
    <t>da_name_da33</t>
  </si>
  <si>
    <t>da_name_da34</t>
  </si>
  <si>
    <t>da_name_da35</t>
  </si>
  <si>
    <t>da_name_da36</t>
  </si>
  <si>
    <t>da_name_da37</t>
  </si>
  <si>
    <t>da_name_da38</t>
  </si>
  <si>
    <t>da_name_da39</t>
  </si>
  <si>
    <t>da_name_da40</t>
  </si>
  <si>
    <t>da_name_da41</t>
  </si>
  <si>
    <t>Shale oil and gas sites scheme</t>
  </si>
  <si>
    <t>E6348</t>
  </si>
  <si>
    <t>E6162</t>
  </si>
  <si>
    <t>Dorset &amp; Wiltshire Fire &amp; Rescue Authority</t>
  </si>
  <si>
    <t>Other ratepayers (refer to guidance for further details)</t>
  </si>
  <si>
    <t>Check Parameters ovewritten</t>
  </si>
  <si>
    <t>Check Parameters overwritten</t>
  </si>
  <si>
    <t>2021-22</t>
  </si>
  <si>
    <t>North Northamptonshire</t>
  </si>
  <si>
    <t>West Northamptonshire</t>
  </si>
  <si>
    <t>2021-22 upper tier proportion</t>
  </si>
  <si>
    <t>2021-22 fire proportion</t>
  </si>
  <si>
    <t>2021-22 Sum</t>
  </si>
  <si>
    <t>Hampshire and Isle of Wight Fire Authority</t>
  </si>
  <si>
    <t>LA Name</t>
  </si>
  <si>
    <t>9a. sums retained by billing authority</t>
  </si>
  <si>
    <t>9b. sums retained by major precepting authority</t>
  </si>
  <si>
    <t xml:space="preserve">13. Non-domestic rating income from rates retention scheme </t>
  </si>
  <si>
    <t>14.(less) deductions from central share</t>
  </si>
  <si>
    <t>16. add: cost of collection allowance</t>
  </si>
  <si>
    <t>17. add: amounts retained in respect of Designated Areas</t>
  </si>
  <si>
    <t xml:space="preserve">18. add: amounts retained in respect of renewable energy schemes </t>
  </si>
  <si>
    <t>19. add: amounts retained in respect of Shale oil and gas sites schemes</t>
  </si>
  <si>
    <t>20. add: qualifying relief in Designated Areas</t>
  </si>
  <si>
    <t>21. add: City of London Offset</t>
  </si>
  <si>
    <t>32. Cost to authorities of providing relief</t>
  </si>
  <si>
    <t>Uprated Baseline for 2021-22</t>
  </si>
  <si>
    <t>Please enter comments here</t>
  </si>
  <si>
    <t>Control for Case B hereditaments</t>
  </si>
  <si>
    <t>DESIGNATED AREAS IN 100% BRR AUTHORITIES</t>
  </si>
  <si>
    <t>From cost of collection calculation</t>
  </si>
  <si>
    <t>OTHER RATES RETENTION SCHEME CHARGES  (enter as -ve)</t>
  </si>
  <si>
    <t>OTHER RATES RETENTION SCHEME CREDITS (enter as +ve)</t>
  </si>
  <si>
    <t>E2801</t>
  </si>
  <si>
    <t>E2802</t>
  </si>
  <si>
    <t>31. Cost to authorities of providing relief</t>
  </si>
  <si>
    <t>OrgName</t>
  </si>
  <si>
    <t>netcollect_tot_1</t>
  </si>
  <si>
    <t>costcoll_form</t>
  </si>
  <si>
    <t>costcoll_legal</t>
  </si>
  <si>
    <t>costcoll_allow</t>
  </si>
  <si>
    <t>disreg_da_2</t>
  </si>
  <si>
    <t>disreg_renew_tot_1</t>
  </si>
  <si>
    <t>disreg_renew_ba</t>
  </si>
  <si>
    <t>disreg_renew_mpa</t>
  </si>
  <si>
    <t>disreg_shale_tot_1</t>
  </si>
  <si>
    <t>nndrsharepc_cg</t>
  </si>
  <si>
    <t>nndrsharepc_ba</t>
  </si>
  <si>
    <t>nndrsharepc_mpa</t>
  </si>
  <si>
    <t>nndrsharepc_fra</t>
  </si>
  <si>
    <t>nndrsharepc_tot</t>
  </si>
  <si>
    <t>nndrshare_cg</t>
  </si>
  <si>
    <t>nndrshare_ba</t>
  </si>
  <si>
    <t>nndrshare_mpa</t>
  </si>
  <si>
    <t>nndrshare_fra</t>
  </si>
  <si>
    <t>nndrshare_tot</t>
  </si>
  <si>
    <t>nndrcsdeduct_cg</t>
  </si>
  <si>
    <t>nndrcsdeduct_ba</t>
  </si>
  <si>
    <t>nndrcsdeduct_mpa</t>
  </si>
  <si>
    <t>nndrcsdeduct_fra</t>
  </si>
  <si>
    <t>nndrcsdeduct_tot_1</t>
  </si>
  <si>
    <t>nri_cg</t>
  </si>
  <si>
    <t>nri_ba</t>
  </si>
  <si>
    <t>nri_mpa</t>
  </si>
  <si>
    <t>nri_fra</t>
  </si>
  <si>
    <t>nri_tot</t>
  </si>
  <si>
    <t>costcoll_allow_ba</t>
  </si>
  <si>
    <t>costcoll_allow_tot</t>
  </si>
  <si>
    <t>disreg_da_ba</t>
  </si>
  <si>
    <t>disreg_da_3</t>
  </si>
  <si>
    <t>disreg_renew_ba_1</t>
  </si>
  <si>
    <t>disreg_renew_mpa_1</t>
  </si>
  <si>
    <t>disreg_renew_tot_2</t>
  </si>
  <si>
    <t>disreg_shale_ba</t>
  </si>
  <si>
    <t>disreg_shale_mpa</t>
  </si>
  <si>
    <t>disreg_shale_fra</t>
  </si>
  <si>
    <t>disreg_shale_tot_2</t>
  </si>
  <si>
    <t>ezrelief_nonpil_ba</t>
  </si>
  <si>
    <t>ezrelief_nonpil_mpa</t>
  </si>
  <si>
    <t>ezrelief_nonpil_fra</t>
  </si>
  <si>
    <t>ezrelief_nonpil_tot_1</t>
  </si>
  <si>
    <t>cityoffset_ba</t>
  </si>
  <si>
    <t>cityoffset_tot</t>
  </si>
  <si>
    <t>portbristol_ba</t>
  </si>
  <si>
    <t>portbristol_tot_1</t>
  </si>
  <si>
    <t>surpdef_cg</t>
  </si>
  <si>
    <t>surpdef_ba</t>
  </si>
  <si>
    <t>surpdef_mpa</t>
  </si>
  <si>
    <t>surpdef_fra</t>
  </si>
  <si>
    <t>surpdef_tot</t>
  </si>
  <si>
    <t>totdue_cg</t>
  </si>
  <si>
    <t>totdue_ba</t>
  </si>
  <si>
    <t>totdue_mpa</t>
  </si>
  <si>
    <t>totdue_fra</t>
  </si>
  <si>
    <t>totdue_tot</t>
  </si>
  <si>
    <t>s31_sbrrmcap_ba</t>
  </si>
  <si>
    <t>s31_sbrrmcap_mpa</t>
  </si>
  <si>
    <t>s31_sbrrmcap_fra</t>
  </si>
  <si>
    <t>s31_sbrrmcap_tot</t>
  </si>
  <si>
    <t>s31_sbrrdouble_ba</t>
  </si>
  <si>
    <t>s31_sbrrdouble_mpa</t>
  </si>
  <si>
    <t>s31_sbrrdouble_fra</t>
  </si>
  <si>
    <t>s31_sbrrdouble_tot</t>
  </si>
  <si>
    <t>s31_sbrrloss_ba</t>
  </si>
  <si>
    <t>s31_sbrrloss_mpa</t>
  </si>
  <si>
    <t>s31_sbrrloss_fra</t>
  </si>
  <si>
    <t>s31_sbrrloss_tot</t>
  </si>
  <si>
    <t>s31_sbrrfirst_ba</t>
  </si>
  <si>
    <t>s31_sbrrfirst_mpa</t>
  </si>
  <si>
    <t>s31_sbrrfirst_fra</t>
  </si>
  <si>
    <t>s31_sbrrfirst_tot</t>
  </si>
  <si>
    <t>s31_rural_ba</t>
  </si>
  <si>
    <t>s31_rural_mpa</t>
  </si>
  <si>
    <t>s31_rural_fra</t>
  </si>
  <si>
    <t>s31_rural_tot</t>
  </si>
  <si>
    <t>s31_smlsupp_ba</t>
  </si>
  <si>
    <t>s31_smlsupp_mpa</t>
  </si>
  <si>
    <t>s31_smlsupp_fra</t>
  </si>
  <si>
    <t>s31_smlsupp_tot</t>
  </si>
  <si>
    <t>s31_ezr100pil_ba</t>
  </si>
  <si>
    <t>s31_ezr100pil_mpa</t>
  </si>
  <si>
    <t>s31_ezr100pil_fra</t>
  </si>
  <si>
    <t>s31_ezr100pil_tot</t>
  </si>
  <si>
    <t>s31_localnews_ba</t>
  </si>
  <si>
    <t>s31_localnews_mpa</t>
  </si>
  <si>
    <t>s31_localnews_fra</t>
  </si>
  <si>
    <t>s31_localnews_tot</t>
  </si>
  <si>
    <t>s31_total_ba</t>
  </si>
  <si>
    <t>s31_total_mpa</t>
  </si>
  <si>
    <t>s31_total_fra</t>
  </si>
  <si>
    <t>s31_total_tot</t>
  </si>
  <si>
    <t>totrv_baa</t>
  </si>
  <si>
    <t>totrv_da</t>
  </si>
  <si>
    <t>totrv_tot</t>
  </si>
  <si>
    <t>grsrate_baa</t>
  </si>
  <si>
    <t>grsrate_da</t>
  </si>
  <si>
    <t>grsrate_estgrow_baa</t>
  </si>
  <si>
    <t>grsrate_estgrow_da</t>
  </si>
  <si>
    <t>grsrate_fcast_baa</t>
  </si>
  <si>
    <t>grsrate_fcast_da</t>
  </si>
  <si>
    <t>grsrate_fcast_tot</t>
  </si>
  <si>
    <t>transarr_fgone_baa</t>
  </si>
  <si>
    <t>transarr_fgone_da</t>
  </si>
  <si>
    <t>transarr_fgone_tot</t>
  </si>
  <si>
    <t>transarr_estgrow_baa</t>
  </si>
  <si>
    <t>transarr_estgrow_da</t>
  </si>
  <si>
    <t>tpp_tot_baa</t>
  </si>
  <si>
    <t>tpp_tot_da</t>
  </si>
  <si>
    <t>tpp_tot_tot</t>
  </si>
  <si>
    <t>sbrr_fcastpy_baa</t>
  </si>
  <si>
    <t>sbrr_fcastpy_da</t>
  </si>
  <si>
    <t>sbrr_fcastpy_tot</t>
  </si>
  <si>
    <t>sbrrsecprop_baa</t>
  </si>
  <si>
    <t>sbrrsecprop_da</t>
  </si>
  <si>
    <t>sbrrsecprop_tot</t>
  </si>
  <si>
    <t>mr_charity_baa</t>
  </si>
  <si>
    <t>mr_charity_da</t>
  </si>
  <si>
    <t>mr_charity_tot</t>
  </si>
  <si>
    <t>mr_casc_baa</t>
  </si>
  <si>
    <t>mr_casc_da</t>
  </si>
  <si>
    <t>mr_casc_tot</t>
  </si>
  <si>
    <t>mr_rural_baa</t>
  </si>
  <si>
    <t>mr_rural_da</t>
  </si>
  <si>
    <t>mr_rural_tot</t>
  </si>
  <si>
    <t>mr_tot_baa</t>
  </si>
  <si>
    <t>mr_tot_da</t>
  </si>
  <si>
    <t>mr_estgrow_baa</t>
  </si>
  <si>
    <t>mr_estgrow_da</t>
  </si>
  <si>
    <t>mr_fcast_baa</t>
  </si>
  <si>
    <t>mr_fcast_da</t>
  </si>
  <si>
    <t>mr_fcast_tot</t>
  </si>
  <si>
    <t>partocc_baa</t>
  </si>
  <si>
    <t>partocc_da</t>
  </si>
  <si>
    <t>partocc_tot</t>
  </si>
  <si>
    <t>empty_baa</t>
  </si>
  <si>
    <t>empty_da</t>
  </si>
  <si>
    <t>empty_tot</t>
  </si>
  <si>
    <t>emptytot_baa</t>
  </si>
  <si>
    <t>emptytot_da</t>
  </si>
  <si>
    <t>emptytot_estgrow_baa</t>
  </si>
  <si>
    <t>emptytot_estgrow_da</t>
  </si>
  <si>
    <t>emptytot_fcast_baa</t>
  </si>
  <si>
    <t>emptytot_fcast_da</t>
  </si>
  <si>
    <t>emptytot_fcast_tot</t>
  </si>
  <si>
    <t>dr_charity_baa</t>
  </si>
  <si>
    <t>dr_charity_da</t>
  </si>
  <si>
    <t>dr_charity_tot</t>
  </si>
  <si>
    <t>dr_nonprof_baa</t>
  </si>
  <si>
    <t>dr_nonprof_da</t>
  </si>
  <si>
    <t>dr_nonprof_tot</t>
  </si>
  <si>
    <t>dr_casc_baa</t>
  </si>
  <si>
    <t>dr_casc_da</t>
  </si>
  <si>
    <t>dr_casc_tot</t>
  </si>
  <si>
    <t>dr_rshop_baa</t>
  </si>
  <si>
    <t>dr_rshop_da</t>
  </si>
  <si>
    <t>dr_rshop_tot</t>
  </si>
  <si>
    <t>dr_smlrural_baa</t>
  </si>
  <si>
    <t>dr_smlrural_da</t>
  </si>
  <si>
    <t>dr_smlrural_tot</t>
  </si>
  <si>
    <t>dr_other_baa</t>
  </si>
  <si>
    <t>dr_other_da</t>
  </si>
  <si>
    <t>dr_other_tot</t>
  </si>
  <si>
    <t>dr_tot_baa</t>
  </si>
  <si>
    <t>dr_tot_da</t>
  </si>
  <si>
    <t>dr_estgrow_baa</t>
  </si>
  <si>
    <t>dr_estgrow_da</t>
  </si>
  <si>
    <t>dr_fcast_baa</t>
  </si>
  <si>
    <t>dr_fcast_da</t>
  </si>
  <si>
    <t>dr_fcast_tot</t>
  </si>
  <si>
    <t>smlsup_baa</t>
  </si>
  <si>
    <t>smlsup_da</t>
  </si>
  <si>
    <t>smlsup_tot</t>
  </si>
  <si>
    <t>localnews_baa</t>
  </si>
  <si>
    <t>localnews_da</t>
  </si>
  <si>
    <t>localnews_tot</t>
  </si>
  <si>
    <t>drs31_tot_baa</t>
  </si>
  <si>
    <t>drs31_tot_da</t>
  </si>
  <si>
    <t>drs31_estgrow_baa</t>
  </si>
  <si>
    <t>drs31_estgrow_da</t>
  </si>
  <si>
    <t>drs31_fcast_baa</t>
  </si>
  <si>
    <t>drs31_fcast_da</t>
  </si>
  <si>
    <t>drs31_fcast_tot</t>
  </si>
  <si>
    <t>netrates_baa</t>
  </si>
  <si>
    <t>netrates_da</t>
  </si>
  <si>
    <t>netrates_tot</t>
  </si>
  <si>
    <t>netrates_baa_1</t>
  </si>
  <si>
    <t>netrates_da_1</t>
  </si>
  <si>
    <t>netrates_tot_1</t>
  </si>
  <si>
    <t>loss_baddebt_baa</t>
  </si>
  <si>
    <t>loss_baddebt_da_1</t>
  </si>
  <si>
    <t>loss_baddebt_tot</t>
  </si>
  <si>
    <t>loss_repay_baa</t>
  </si>
  <si>
    <t>loss_repay_da_1</t>
  </si>
  <si>
    <t>loss_repay_tot</t>
  </si>
  <si>
    <t>netcollect_baa</t>
  </si>
  <si>
    <t>netcollect_da_1</t>
  </si>
  <si>
    <t>netcollect_tot</t>
  </si>
  <si>
    <t>disreg_renew_baa</t>
  </si>
  <si>
    <t>disreg_renew_da_1</t>
  </si>
  <si>
    <t>disreg_renew_tot</t>
  </si>
  <si>
    <t>disreg_shale_baa</t>
  </si>
  <si>
    <t>disreg_shale_da_1</t>
  </si>
  <si>
    <t>disreg_shale_tot</t>
  </si>
  <si>
    <t>tpp_tot_da_1</t>
  </si>
  <si>
    <t>disreg_base_da_1</t>
  </si>
  <si>
    <t>disreg_da_1</t>
  </si>
  <si>
    <t>disreg_tot</t>
  </si>
  <si>
    <t>ezrelief_pil_baa</t>
  </si>
  <si>
    <t>ezrelief_pil_da</t>
  </si>
  <si>
    <t>ezrelief_pil_tot</t>
  </si>
  <si>
    <t>ezrelief_nonpil_baa</t>
  </si>
  <si>
    <t>ezrelief_nonpil_da</t>
  </si>
  <si>
    <t>ezrelief_nonpil_tot</t>
  </si>
  <si>
    <t>portbristol_baa</t>
  </si>
  <si>
    <t>portbristol_tot</t>
  </si>
  <si>
    <t>nndrcsdeduct_baa</t>
  </si>
  <si>
    <t>nndrcsdeduct_da</t>
  </si>
  <si>
    <t>nndrcsdeduct_tot</t>
  </si>
  <si>
    <t>credit_br</t>
  </si>
  <si>
    <t>credit_writeoff</t>
  </si>
  <si>
    <t>credit_noncoll</t>
  </si>
  <si>
    <t>credit_appeal</t>
  </si>
  <si>
    <t>credit_appealchng</t>
  </si>
  <si>
    <t>credit_tot</t>
  </si>
  <si>
    <t>credit_tpprecv</t>
  </si>
  <si>
    <t>credit_reconcil</t>
  </si>
  <si>
    <t>credit_pydeficit</t>
  </si>
  <si>
    <t>credit_othertot</t>
  </si>
  <si>
    <t>charge_tpp</t>
  </si>
  <si>
    <t>charge_cshare</t>
  </si>
  <si>
    <t>charge_mpainc</t>
  </si>
  <si>
    <t>charge_genfund</t>
  </si>
  <si>
    <t>charge_disreg</t>
  </si>
  <si>
    <t>charge_reconcil</t>
  </si>
  <si>
    <t>charge_pysurp</t>
  </si>
  <si>
    <t>charge_tot</t>
  </si>
  <si>
    <t>py_surplus_check</t>
  </si>
  <si>
    <t>py_deficit_check</t>
  </si>
  <si>
    <t>collectionfund_check</t>
  </si>
  <si>
    <t>part4_check_comments</t>
  </si>
  <si>
    <t>hdit_mr_charity</t>
  </si>
  <si>
    <t>hdit_mr_casc</t>
  </si>
  <si>
    <t>hdit_mr_rshops</t>
  </si>
  <si>
    <t>hdit_mr_partocc</t>
  </si>
  <si>
    <t>hdit_mr_empty</t>
  </si>
  <si>
    <t>hdit_mr_emptyind</t>
  </si>
  <si>
    <t>hdit_mr_emptylisted</t>
  </si>
  <si>
    <t>hdit_mr_emptycasc</t>
  </si>
  <si>
    <t>hdit_mr_emptycharity</t>
  </si>
  <si>
    <t>hdit_mr_emptyoth</t>
  </si>
  <si>
    <t>hdit_mr_emptyabove</t>
  </si>
  <si>
    <t>hdit_mr_retaildisc</t>
  </si>
  <si>
    <t>hdit_dr_charity</t>
  </si>
  <si>
    <t>hdit_dr_nonprof</t>
  </si>
  <si>
    <t>hdit_dr_casc</t>
  </si>
  <si>
    <t>hdit_dr_rshops</t>
  </si>
  <si>
    <t>hdit_dr_othrural</t>
  </si>
  <si>
    <t>hdit_dr_ez</t>
  </si>
  <si>
    <t>hdit_dr_s47</t>
  </si>
  <si>
    <t>hdit_s31_ruralplus</t>
  </si>
  <si>
    <t>hdit_s31_localnews</t>
  </si>
  <si>
    <t>hdit_s31_smlsup</t>
  </si>
  <si>
    <t>hdit_sbrr_supp</t>
  </si>
  <si>
    <t>hdit_sbrr_disc</t>
  </si>
  <si>
    <t>hdit_sbrr_discmax</t>
  </si>
  <si>
    <t>hdit_sbrr_discslide</t>
  </si>
  <si>
    <t>hdit_sbrr_multp</t>
  </si>
  <si>
    <t>value_empty</t>
  </si>
  <si>
    <t>value_emptyind</t>
  </si>
  <si>
    <t>value_emptylisted</t>
  </si>
  <si>
    <t>value_emptycasc</t>
  </si>
  <si>
    <t>value_emptycharity</t>
  </si>
  <si>
    <t>value_emptyoth</t>
  </si>
  <si>
    <t>value_emptyabove</t>
  </si>
  <si>
    <t>value_sbrr</t>
  </si>
  <si>
    <t>value_sbrr_discmax</t>
  </si>
  <si>
    <t>value_sbrr_discslide</t>
  </si>
  <si>
    <t>netrates_da_tot</t>
  </si>
  <si>
    <t>netrates_da1</t>
  </si>
  <si>
    <t>netrates_da2</t>
  </si>
  <si>
    <t>netrates_da3</t>
  </si>
  <si>
    <t>netrates_da4</t>
  </si>
  <si>
    <t>netrates_da5</t>
  </si>
  <si>
    <t>netrates_da6</t>
  </si>
  <si>
    <t>netrates_da7</t>
  </si>
  <si>
    <t>netrates_da8</t>
  </si>
  <si>
    <t>netrates_da9</t>
  </si>
  <si>
    <t>netrates_da10</t>
  </si>
  <si>
    <t>netrates_da11</t>
  </si>
  <si>
    <t>netrates_da12</t>
  </si>
  <si>
    <t>netrates_da13</t>
  </si>
  <si>
    <t>netrates_da14</t>
  </si>
  <si>
    <t>netrates_da15</t>
  </si>
  <si>
    <t>netrates_da16</t>
  </si>
  <si>
    <t>netrates_da17</t>
  </si>
  <si>
    <t>netrates_da18</t>
  </si>
  <si>
    <t>netrates_da19</t>
  </si>
  <si>
    <t>netrates_da20</t>
  </si>
  <si>
    <t>netrates_da21</t>
  </si>
  <si>
    <t>netrates_da22</t>
  </si>
  <si>
    <t>netrates_da23</t>
  </si>
  <si>
    <t>netrates_da24</t>
  </si>
  <si>
    <t>netrates_da25</t>
  </si>
  <si>
    <t>netrates_da26</t>
  </si>
  <si>
    <t>netrates_da27</t>
  </si>
  <si>
    <t>netrates_da28</t>
  </si>
  <si>
    <t>netrates_da29</t>
  </si>
  <si>
    <t>netrates_da30</t>
  </si>
  <si>
    <t>netrates_da31</t>
  </si>
  <si>
    <t>netrates_da32</t>
  </si>
  <si>
    <t>netrates_da33</t>
  </si>
  <si>
    <t>netrates_da34</t>
  </si>
  <si>
    <t>netrates_da35</t>
  </si>
  <si>
    <t>netrates_da36</t>
  </si>
  <si>
    <t>netrates_da37</t>
  </si>
  <si>
    <t>netrates_da38</t>
  </si>
  <si>
    <t>netrates_da39</t>
  </si>
  <si>
    <t>netrates_da40</t>
  </si>
  <si>
    <t>netrates_da41</t>
  </si>
  <si>
    <t>loss_baddebt_da</t>
  </si>
  <si>
    <t>loss_baddebt_da1</t>
  </si>
  <si>
    <t>loss_baddebt_da2</t>
  </si>
  <si>
    <t>loss_baddebt_da3</t>
  </si>
  <si>
    <t>loss_baddebt_da4</t>
  </si>
  <si>
    <t>loss_baddebt_da5</t>
  </si>
  <si>
    <t>loss_baddebt_da6</t>
  </si>
  <si>
    <t>loss_baddebt_da7</t>
  </si>
  <si>
    <t>loss_baddebt_da8</t>
  </si>
  <si>
    <t>loss_baddebt_da9</t>
  </si>
  <si>
    <t>loss_baddebt_da10</t>
  </si>
  <si>
    <t>loss_baddebt_da11</t>
  </si>
  <si>
    <t>loss_baddebt_da12</t>
  </si>
  <si>
    <t>loss_baddebt_da13</t>
  </si>
  <si>
    <t>loss_baddebt_da14</t>
  </si>
  <si>
    <t>loss_baddebt_da15</t>
  </si>
  <si>
    <t>loss_baddebt_da16</t>
  </si>
  <si>
    <t>loss_baddebt_da17</t>
  </si>
  <si>
    <t>loss_baddebt_da18</t>
  </si>
  <si>
    <t>loss_baddebt_da19</t>
  </si>
  <si>
    <t>loss_baddebt_da20</t>
  </si>
  <si>
    <t>loss_baddebt_da21</t>
  </si>
  <si>
    <t>loss_baddebt_da22</t>
  </si>
  <si>
    <t>loss_baddebt_da23</t>
  </si>
  <si>
    <t>loss_baddebt_da24</t>
  </si>
  <si>
    <t>loss_baddebt_da25</t>
  </si>
  <si>
    <t>loss_baddebt_da26</t>
  </si>
  <si>
    <t>loss_baddebt_da27</t>
  </si>
  <si>
    <t>loss_baddebt_da28</t>
  </si>
  <si>
    <t>loss_baddebt_da29</t>
  </si>
  <si>
    <t>loss_baddebt_da30</t>
  </si>
  <si>
    <t>loss_baddebt_da31</t>
  </si>
  <si>
    <t>loss_baddebt_da32</t>
  </si>
  <si>
    <t>loss_baddebt_da33</t>
  </si>
  <si>
    <t>loss_baddebt_da34</t>
  </si>
  <si>
    <t>loss_baddebt_da35</t>
  </si>
  <si>
    <t>loss_baddebt_da36</t>
  </si>
  <si>
    <t>loss_baddebt_da37</t>
  </si>
  <si>
    <t>loss_baddebt_da38</t>
  </si>
  <si>
    <t>loss_baddebt_da39</t>
  </si>
  <si>
    <t>loss_baddebt_da40</t>
  </si>
  <si>
    <t>loss_baddebt_da41</t>
  </si>
  <si>
    <t>loss_repay_da</t>
  </si>
  <si>
    <t>loss_repay_da1</t>
  </si>
  <si>
    <t>loss_repay_da2</t>
  </si>
  <si>
    <t>loss_repay_da3</t>
  </si>
  <si>
    <t>loss_repay_da4</t>
  </si>
  <si>
    <t>loss_repay_da5</t>
  </si>
  <si>
    <t>loss_repay_da6</t>
  </si>
  <si>
    <t>loss_repay_da7</t>
  </si>
  <si>
    <t>loss_repay_da8</t>
  </si>
  <si>
    <t>loss_repay_da9</t>
  </si>
  <si>
    <t>loss_repay_da10</t>
  </si>
  <si>
    <t>loss_repay_da11</t>
  </si>
  <si>
    <t>loss_repay_da12</t>
  </si>
  <si>
    <t>loss_repay_da13</t>
  </si>
  <si>
    <t>loss_repay_da14</t>
  </si>
  <si>
    <t>loss_repay_da15</t>
  </si>
  <si>
    <t>loss_repay_da16</t>
  </si>
  <si>
    <t>loss_repay_da17</t>
  </si>
  <si>
    <t>loss_repay_da18</t>
  </si>
  <si>
    <t>loss_repay_da19</t>
  </si>
  <si>
    <t>loss_repay_da20</t>
  </si>
  <si>
    <t>loss_repay_da21</t>
  </si>
  <si>
    <t>loss_repay_da22</t>
  </si>
  <si>
    <t>loss_repay_da23</t>
  </si>
  <si>
    <t>loss_repay_da24</t>
  </si>
  <si>
    <t>loss_repay_da25</t>
  </si>
  <si>
    <t>loss_repay_da26</t>
  </si>
  <si>
    <t>loss_repay_da27</t>
  </si>
  <si>
    <t>loss_repay_da28</t>
  </si>
  <si>
    <t>loss_repay_da29</t>
  </si>
  <si>
    <t>loss_repay_da30</t>
  </si>
  <si>
    <t>loss_repay_da31</t>
  </si>
  <si>
    <t>loss_repay_da32</t>
  </si>
  <si>
    <t>loss_repay_da33</t>
  </si>
  <si>
    <t>loss_repay_da34</t>
  </si>
  <si>
    <t>loss_repay_da35</t>
  </si>
  <si>
    <t>loss_repay_da36</t>
  </si>
  <si>
    <t>loss_repay_da37</t>
  </si>
  <si>
    <t>loss_repay_da38</t>
  </si>
  <si>
    <t>loss_repay_da39</t>
  </si>
  <si>
    <t>loss_repay_da40</t>
  </si>
  <si>
    <t>loss_repay_da41</t>
  </si>
  <si>
    <t>netcollect_da</t>
  </si>
  <si>
    <t>netcollect_da1</t>
  </si>
  <si>
    <t>netcollect_da2</t>
  </si>
  <si>
    <t>netcollect_da3</t>
  </si>
  <si>
    <t>netcollect_da4</t>
  </si>
  <si>
    <t>netcollect_da5</t>
  </si>
  <si>
    <t>netcollect_da6</t>
  </si>
  <si>
    <t>netcollect_da7</t>
  </si>
  <si>
    <t>netcollect_da8</t>
  </si>
  <si>
    <t>netcollect_da9</t>
  </si>
  <si>
    <t>netcollect_da10</t>
  </si>
  <si>
    <t>netcollect_da11</t>
  </si>
  <si>
    <t>netcollect_da12</t>
  </si>
  <si>
    <t>netcollect_da13</t>
  </si>
  <si>
    <t>netcollect_da14</t>
  </si>
  <si>
    <t>netcollect_da15</t>
  </si>
  <si>
    <t>netcollect_da16</t>
  </si>
  <si>
    <t>netcollect_da17</t>
  </si>
  <si>
    <t>netcollect_da18</t>
  </si>
  <si>
    <t>netcollect_da19</t>
  </si>
  <si>
    <t>netcollect_da20</t>
  </si>
  <si>
    <t>netcollect_da21</t>
  </si>
  <si>
    <t>netcollect_da22</t>
  </si>
  <si>
    <t>netcollect_da23</t>
  </si>
  <si>
    <t>netcollect_da24</t>
  </si>
  <si>
    <t>netcollect_da25</t>
  </si>
  <si>
    <t>netcollect_da26</t>
  </si>
  <si>
    <t>netcollect_da27</t>
  </si>
  <si>
    <t>netcollect_da28</t>
  </si>
  <si>
    <t>netcollect_da29</t>
  </si>
  <si>
    <t>netcollect_da30</t>
  </si>
  <si>
    <t>netcollect_da31</t>
  </si>
  <si>
    <t>netcollect_da32</t>
  </si>
  <si>
    <t>netcollect_da33</t>
  </si>
  <si>
    <t>netcollect_da34</t>
  </si>
  <si>
    <t>netcollect_da35</t>
  </si>
  <si>
    <t>netcollect_da36</t>
  </si>
  <si>
    <t>netcollect_da37</t>
  </si>
  <si>
    <t>netcollect_da38</t>
  </si>
  <si>
    <t>netcollect_da39</t>
  </si>
  <si>
    <t>netcollect_da40</t>
  </si>
  <si>
    <t>netcollect_da41</t>
  </si>
  <si>
    <t>disreg_renew_da</t>
  </si>
  <si>
    <t>disreg_renew_da1</t>
  </si>
  <si>
    <t>disreg_renew_da2</t>
  </si>
  <si>
    <t>disreg_renew_da3</t>
  </si>
  <si>
    <t>disreg_renew_da4</t>
  </si>
  <si>
    <t>disreg_renew_da5</t>
  </si>
  <si>
    <t>disreg_renew_da6</t>
  </si>
  <si>
    <t>disreg_renew_da7</t>
  </si>
  <si>
    <t>disreg_renew_da8</t>
  </si>
  <si>
    <t>disreg_renew_da9</t>
  </si>
  <si>
    <t>disreg_renew_da10</t>
  </si>
  <si>
    <t>disreg_renew_da11</t>
  </si>
  <si>
    <t>disreg_renew_da12</t>
  </si>
  <si>
    <t>disreg_renew_da13</t>
  </si>
  <si>
    <t>disreg_renew_da14</t>
  </si>
  <si>
    <t>disreg_renew_da15</t>
  </si>
  <si>
    <t>disreg_renew_da16</t>
  </si>
  <si>
    <t>disreg_renew_da17</t>
  </si>
  <si>
    <t>disreg_renew_da18</t>
  </si>
  <si>
    <t>disreg_renew_da19</t>
  </si>
  <si>
    <t>disreg_renew_da20</t>
  </si>
  <si>
    <t>disreg_renew_da21</t>
  </si>
  <si>
    <t>disreg_renew_da22</t>
  </si>
  <si>
    <t>disreg_renew_da23</t>
  </si>
  <si>
    <t>disreg_renew_da24</t>
  </si>
  <si>
    <t>disreg_renew_da25</t>
  </si>
  <si>
    <t>disreg_renew_da26</t>
  </si>
  <si>
    <t>disreg_renew_da27</t>
  </si>
  <si>
    <t>disreg_renew_da28</t>
  </si>
  <si>
    <t>disreg_renew_da29</t>
  </si>
  <si>
    <t>disreg_renew_da30</t>
  </si>
  <si>
    <t>disreg_renew_da31</t>
  </si>
  <si>
    <t>disreg_renew_da32</t>
  </si>
  <si>
    <t>disreg_renew_da33</t>
  </si>
  <si>
    <t>disreg_renew_da34</t>
  </si>
  <si>
    <t>disreg_renew_da35</t>
  </si>
  <si>
    <t>disreg_renew_da36</t>
  </si>
  <si>
    <t>disreg_renew_da37</t>
  </si>
  <si>
    <t>disreg_renew_da38</t>
  </si>
  <si>
    <t>disreg_renew_da39</t>
  </si>
  <si>
    <t>disreg_renew_da40</t>
  </si>
  <si>
    <t>disreg_renew_da41</t>
  </si>
  <si>
    <t>disreg_shale_da</t>
  </si>
  <si>
    <t>disreg_shale_da1</t>
  </si>
  <si>
    <t>disreg_shale_da2</t>
  </si>
  <si>
    <t>disreg_shale_da3</t>
  </si>
  <si>
    <t>disreg_shale_da4</t>
  </si>
  <si>
    <t>disreg_shale_da5</t>
  </si>
  <si>
    <t>disreg_shale_da6</t>
  </si>
  <si>
    <t>disreg_shale_da7</t>
  </si>
  <si>
    <t>disreg_shale_da8</t>
  </si>
  <si>
    <t>disreg_shale_da9</t>
  </si>
  <si>
    <t>disreg_shale_da10</t>
  </si>
  <si>
    <t>disreg_shale_da11</t>
  </si>
  <si>
    <t>disreg_shale_da12</t>
  </si>
  <si>
    <t>disreg_shale_da13</t>
  </si>
  <si>
    <t>disreg_shale_da14</t>
  </si>
  <si>
    <t>disreg_shale_da15</t>
  </si>
  <si>
    <t>disreg_shale_da16</t>
  </si>
  <si>
    <t>disreg_shale_da17</t>
  </si>
  <si>
    <t>disreg_shale_da18</t>
  </si>
  <si>
    <t>disreg_shale_da19</t>
  </si>
  <si>
    <t>disreg_shale_da20</t>
  </si>
  <si>
    <t>disreg_shale_da21</t>
  </si>
  <si>
    <t>disreg_shale_da22</t>
  </si>
  <si>
    <t>disreg_shale_da23</t>
  </si>
  <si>
    <t>disreg_shale_da24</t>
  </si>
  <si>
    <t>disreg_shale_da25</t>
  </si>
  <si>
    <t>disreg_shale_da26</t>
  </si>
  <si>
    <t>disreg_shale_da27</t>
  </si>
  <si>
    <t>disreg_shale_da28</t>
  </si>
  <si>
    <t>disreg_shale_da29</t>
  </si>
  <si>
    <t>disreg_shale_da30</t>
  </si>
  <si>
    <t>disreg_shale_da31</t>
  </si>
  <si>
    <t>disreg_shale_da32</t>
  </si>
  <si>
    <t>disreg_shale_da33</t>
  </si>
  <si>
    <t>disreg_shale_da34</t>
  </si>
  <si>
    <t>disreg_shale_da35</t>
  </si>
  <si>
    <t>disreg_shale_da36</t>
  </si>
  <si>
    <t>disreg_shale_da37</t>
  </si>
  <si>
    <t>disreg_shale_da38</t>
  </si>
  <si>
    <t>disreg_shale_da39</t>
  </si>
  <si>
    <t>disreg_shale_da40</t>
  </si>
  <si>
    <t>disreg_shale_da41</t>
  </si>
  <si>
    <t>tpp_tot_da_2</t>
  </si>
  <si>
    <t>tpp_tot_da1</t>
  </si>
  <si>
    <t>tpp_tot_da2</t>
  </si>
  <si>
    <t>tpp_tot_da3</t>
  </si>
  <si>
    <t>tpp_tot_da4</t>
  </si>
  <si>
    <t>tpp_tot_da5</t>
  </si>
  <si>
    <t>tpp_tot_da6</t>
  </si>
  <si>
    <t>tpp_tot_da7</t>
  </si>
  <si>
    <t>tpp_tot_da8</t>
  </si>
  <si>
    <t>tpp_tot_da9</t>
  </si>
  <si>
    <t>tpp_tot_da10</t>
  </si>
  <si>
    <t>tpp_tot_da11</t>
  </si>
  <si>
    <t>tpp_tot_da12</t>
  </si>
  <si>
    <t>tpp_tot_da13</t>
  </si>
  <si>
    <t>tpp_tot_da14</t>
  </si>
  <si>
    <t>tpp_tot_da15</t>
  </si>
  <si>
    <t>tpp_tot_da16</t>
  </si>
  <si>
    <t>tpp_tot_da17</t>
  </si>
  <si>
    <t>tpp_tot_da18</t>
  </si>
  <si>
    <t>tpp_tot_da19</t>
  </si>
  <si>
    <t>tpp_tot_da20</t>
  </si>
  <si>
    <t>tpp_tot_da21</t>
  </si>
  <si>
    <t>tpp_tot_da22</t>
  </si>
  <si>
    <t>tpp_tot_da23</t>
  </si>
  <si>
    <t>tpp_tot_da24</t>
  </si>
  <si>
    <t>tpp_tot_da25</t>
  </si>
  <si>
    <t>tpp_tot_da26</t>
  </si>
  <si>
    <t>tpp_tot_da27</t>
  </si>
  <si>
    <t>tpp_tot_da28</t>
  </si>
  <si>
    <t>tpp_tot_da29</t>
  </si>
  <si>
    <t>tpp_tot_da30</t>
  </si>
  <si>
    <t>tpp_tot_da31</t>
  </si>
  <si>
    <t>tpp_tot_da32</t>
  </si>
  <si>
    <t>tpp_tot_da33</t>
  </si>
  <si>
    <t>tpp_tot_da34</t>
  </si>
  <si>
    <t>tpp_tot_da35</t>
  </si>
  <si>
    <t>tpp_tot_da36</t>
  </si>
  <si>
    <t>tpp_tot_da37</t>
  </si>
  <si>
    <t>tpp_tot_da38</t>
  </si>
  <si>
    <t>tpp_tot_da39</t>
  </si>
  <si>
    <t>tpp_tot_da40</t>
  </si>
  <si>
    <t>tpp_tot_da41</t>
  </si>
  <si>
    <t>disreg_base_da</t>
  </si>
  <si>
    <t>disreg_base_da1</t>
  </si>
  <si>
    <t>disreg_base_da2</t>
  </si>
  <si>
    <t>disreg_base_da3</t>
  </si>
  <si>
    <t>disreg_base_da4</t>
  </si>
  <si>
    <t>disreg_base_da5</t>
  </si>
  <si>
    <t>disreg_base_da6</t>
  </si>
  <si>
    <t>disreg_base_da7</t>
  </si>
  <si>
    <t>disreg_base_da8</t>
  </si>
  <si>
    <t>disreg_base_da9</t>
  </si>
  <si>
    <t>disreg_base_da10</t>
  </si>
  <si>
    <t>disreg_base_da11</t>
  </si>
  <si>
    <t>disreg_base_da12</t>
  </si>
  <si>
    <t>disreg_base_da13</t>
  </si>
  <si>
    <t>disreg_base_da14</t>
  </si>
  <si>
    <t>disreg_base_da15</t>
  </si>
  <si>
    <t>disreg_base_da16</t>
  </si>
  <si>
    <t>disreg_base_da17</t>
  </si>
  <si>
    <t>disreg_base_da18</t>
  </si>
  <si>
    <t>disreg_base_da19</t>
  </si>
  <si>
    <t>disreg_base_da20</t>
  </si>
  <si>
    <t>disreg_base_da21</t>
  </si>
  <si>
    <t>disreg_base_da22</t>
  </si>
  <si>
    <t>disreg_base_da23</t>
  </si>
  <si>
    <t>disreg_base_da24</t>
  </si>
  <si>
    <t>disreg_base_da25</t>
  </si>
  <si>
    <t>disreg_base_da26</t>
  </si>
  <si>
    <t>disreg_base_da27</t>
  </si>
  <si>
    <t>disreg_base_da28</t>
  </si>
  <si>
    <t>disreg_base_da29</t>
  </si>
  <si>
    <t>disreg_base_da30</t>
  </si>
  <si>
    <t>disreg_base_da31</t>
  </si>
  <si>
    <t>disreg_base_da32</t>
  </si>
  <si>
    <t>disreg_base_da33</t>
  </si>
  <si>
    <t>disreg_base_da34</t>
  </si>
  <si>
    <t>disreg_base_da35</t>
  </si>
  <si>
    <t>disreg_base_da36</t>
  </si>
  <si>
    <t>disreg_base_da37</t>
  </si>
  <si>
    <t>disreg_base_da38</t>
  </si>
  <si>
    <t>disreg_base_da39</t>
  </si>
  <si>
    <t>disreg_base_da40</t>
  </si>
  <si>
    <t>disreg_base_da41</t>
  </si>
  <si>
    <t>disreg_da</t>
  </si>
  <si>
    <t>disreg_da1</t>
  </si>
  <si>
    <t>disreg_da2</t>
  </si>
  <si>
    <t>disreg_da3</t>
  </si>
  <si>
    <t>disreg_da4</t>
  </si>
  <si>
    <t>disreg_da5</t>
  </si>
  <si>
    <t>disreg_da6</t>
  </si>
  <si>
    <t>disreg_da7</t>
  </si>
  <si>
    <t>disreg_da8</t>
  </si>
  <si>
    <t>disreg_da9</t>
  </si>
  <si>
    <t>disreg_da10</t>
  </si>
  <si>
    <t>disreg_da11</t>
  </si>
  <si>
    <t>disreg_da12</t>
  </si>
  <si>
    <t>disreg_da13</t>
  </si>
  <si>
    <t>disreg_da14</t>
  </si>
  <si>
    <t>disreg_da15</t>
  </si>
  <si>
    <t>disreg_da16</t>
  </si>
  <si>
    <t>disreg_da17</t>
  </si>
  <si>
    <t>disreg_da18</t>
  </si>
  <si>
    <t>disreg_da19</t>
  </si>
  <si>
    <t>disreg_da20</t>
  </si>
  <si>
    <t>disreg_da21</t>
  </si>
  <si>
    <t>disreg_da22</t>
  </si>
  <si>
    <t>disreg_da23</t>
  </si>
  <si>
    <t>disreg_da24</t>
  </si>
  <si>
    <t>disreg_da25</t>
  </si>
  <si>
    <t>disreg_da26</t>
  </si>
  <si>
    <t>disreg_da27</t>
  </si>
  <si>
    <t>disreg_da28</t>
  </si>
  <si>
    <t>disreg_da29</t>
  </si>
  <si>
    <t>disreg_da30</t>
  </si>
  <si>
    <t>disreg_da31</t>
  </si>
  <si>
    <t>disreg_da32</t>
  </si>
  <si>
    <t>disreg_da33</t>
  </si>
  <si>
    <t>disreg_da34</t>
  </si>
  <si>
    <t>disreg_da35</t>
  </si>
  <si>
    <t>disreg_da36</t>
  </si>
  <si>
    <t>disreg_da37</t>
  </si>
  <si>
    <t>disreg_da38</t>
  </si>
  <si>
    <t>disreg_da39</t>
  </si>
  <si>
    <t>disreg_da40</t>
  </si>
  <si>
    <t>disreg_da41</t>
  </si>
  <si>
    <t>ezrelief_da</t>
  </si>
  <si>
    <t>ezrelief_da1</t>
  </si>
  <si>
    <t>ezrelief_da2</t>
  </si>
  <si>
    <t>ezrelief_da3</t>
  </si>
  <si>
    <t>ezrelief_da4</t>
  </si>
  <si>
    <t>ezrelief_da5</t>
  </si>
  <si>
    <t>ezrelief_da6</t>
  </si>
  <si>
    <t>ezrelief_da7</t>
  </si>
  <si>
    <t>ezrelief_da8</t>
  </si>
  <si>
    <t>ezrelief_da9</t>
  </si>
  <si>
    <t>ezrelief_da10</t>
  </si>
  <si>
    <t>ezrelief_da11</t>
  </si>
  <si>
    <t>ezrelief_da12</t>
  </si>
  <si>
    <t>ezrelief_da13</t>
  </si>
  <si>
    <t>ezrelief_da14</t>
  </si>
  <si>
    <t>ezrelief_da15</t>
  </si>
  <si>
    <t>ezrelief_da16</t>
  </si>
  <si>
    <t>ezrelief_da17</t>
  </si>
  <si>
    <t>ezrelief_da18</t>
  </si>
  <si>
    <t>ezrelief_da19</t>
  </si>
  <si>
    <t>ezrelief_da20</t>
  </si>
  <si>
    <t>ezrelief_da21</t>
  </si>
  <si>
    <t>ezrelief_da22</t>
  </si>
  <si>
    <t>ezrelief_da23</t>
  </si>
  <si>
    <t>ezrelief_da24</t>
  </si>
  <si>
    <t>ezrelief_da25</t>
  </si>
  <si>
    <t>ezrelief_da26</t>
  </si>
  <si>
    <t>ezrelief_da27</t>
  </si>
  <si>
    <t>ezrelief_da28</t>
  </si>
  <si>
    <t>ezrelief_da29</t>
  </si>
  <si>
    <t>ezrelief_da30</t>
  </si>
  <si>
    <t>ezrelief_da31</t>
  </si>
  <si>
    <t>ezrelief_da32</t>
  </si>
  <si>
    <t>ezrelief_da33</t>
  </si>
  <si>
    <t>ezrelief_da34</t>
  </si>
  <si>
    <t>ezrelief_da35</t>
  </si>
  <si>
    <t>ezrelief_da36</t>
  </si>
  <si>
    <t>ezrelief_da37</t>
  </si>
  <si>
    <t>ezrelief_da38</t>
  </si>
  <si>
    <t>ezrelief_da39</t>
  </si>
  <si>
    <t>ezrelief_da40</t>
  </si>
  <si>
    <t>ezrelief_da41</t>
  </si>
  <si>
    <t>ezrelief_comp_da</t>
  </si>
  <si>
    <t>ezrelief_comp_da1</t>
  </si>
  <si>
    <t>ezrelief_comp_da2</t>
  </si>
  <si>
    <t>ezrelief_comp_da3</t>
  </si>
  <si>
    <t>ezrelief_comp_da4</t>
  </si>
  <si>
    <t>ezrelief_comp_da5</t>
  </si>
  <si>
    <t>ezrelief_comp_da6</t>
  </si>
  <si>
    <t>ezrelief_comp_da7</t>
  </si>
  <si>
    <t>ezrelief_comp_da8</t>
  </si>
  <si>
    <t>ezrelief_comp_da9</t>
  </si>
  <si>
    <t>ezrelief_comp_da10</t>
  </si>
  <si>
    <t>ezrelief_comp_da11</t>
  </si>
  <si>
    <t>ezrelief_comp_da12</t>
  </si>
  <si>
    <t>ezrelief_comp_da13</t>
  </si>
  <si>
    <t>ezrelief_comp_da14</t>
  </si>
  <si>
    <t>ezrelief_comp_da15</t>
  </si>
  <si>
    <t>ezrelief_comp_da16</t>
  </si>
  <si>
    <t>ezrelief_comp_da17</t>
  </si>
  <si>
    <t>ezrelief_comp_da18</t>
  </si>
  <si>
    <t>ezrelief_comp_da19</t>
  </si>
  <si>
    <t>ezrelief_comp_da20</t>
  </si>
  <si>
    <t>ezrelief_comp_da21</t>
  </si>
  <si>
    <t>ezrelief_comp_da22</t>
  </si>
  <si>
    <t>ezrelief_comp_da23</t>
  </si>
  <si>
    <t>ezrelief_comp_da24</t>
  </si>
  <si>
    <t>ezrelief_comp_da25</t>
  </si>
  <si>
    <t>ezrelief_comp_da26</t>
  </si>
  <si>
    <t>ezrelief_comp_da27</t>
  </si>
  <si>
    <t>ezrelief_comp_da28</t>
  </si>
  <si>
    <t>ezrelief_comp_da29</t>
  </si>
  <si>
    <t>ezrelief_comp_da30</t>
  </si>
  <si>
    <t>ezrelief_comp_da31</t>
  </si>
  <si>
    <t>ezrelief_comp_da32</t>
  </si>
  <si>
    <t>ezrelief_comp_da33</t>
  </si>
  <si>
    <t>ezrelief_comp_da34</t>
  </si>
  <si>
    <t>ezrelief_comp_da35</t>
  </si>
  <si>
    <t>ezrelief_comp_da36</t>
  </si>
  <si>
    <t>ezrelief_comp_da37</t>
  </si>
  <si>
    <t>ezrelief_comp_da38</t>
  </si>
  <si>
    <t>ezrelief_comp_da39</t>
  </si>
  <si>
    <t>ezrelief_comp_da40</t>
  </si>
  <si>
    <t>ezrelief_comp_da41</t>
  </si>
  <si>
    <t>val_totrv_pydif</t>
  </si>
  <si>
    <t>val_sbrr_fcastpy_pydif</t>
  </si>
  <si>
    <t>val_mr_charity_pydif</t>
  </si>
  <si>
    <t>val_mr_casc_pydif</t>
  </si>
  <si>
    <t>val_mr_rural_pydif</t>
  </si>
  <si>
    <t>val_partocc_pydif</t>
  </si>
  <si>
    <t>val_empty_pydif</t>
  </si>
  <si>
    <t>val_dr_charity_pydif</t>
  </si>
  <si>
    <t>val_dr_nonprof_pydif</t>
  </si>
  <si>
    <t>val_dr_casc_pydif</t>
  </si>
  <si>
    <t>val_dr_rshop_pydif</t>
  </si>
  <si>
    <t>val_dr_smlrural_pydif</t>
  </si>
  <si>
    <t>val_dr_other_pydif</t>
  </si>
  <si>
    <t>val_ezcasea_pydif</t>
  </si>
  <si>
    <t>val_ezcaseb_pydif</t>
  </si>
  <si>
    <t>val_netrates_pydif</t>
  </si>
  <si>
    <t>val_lossrepay_pydif</t>
  </si>
  <si>
    <t>val_zerosurpdef</t>
  </si>
  <si>
    <t>val_openbal_pydif</t>
  </si>
  <si>
    <t>val_totrv_pypdif</t>
  </si>
  <si>
    <t>val_sbrr_fcastpy_pypdif</t>
  </si>
  <si>
    <t>val_mr_charity_pypdif</t>
  </si>
  <si>
    <t>val_mr_casc_pypdif</t>
  </si>
  <si>
    <t>val_mr_rural_pypdif</t>
  </si>
  <si>
    <t>val_partocc_pypdif</t>
  </si>
  <si>
    <t>val_empty_pypdif</t>
  </si>
  <si>
    <t>val_dr_charity_pypdif</t>
  </si>
  <si>
    <t>val_dr_nonprof_pypdif</t>
  </si>
  <si>
    <t>val_dr_casc_pypdif</t>
  </si>
  <si>
    <t>val_dr_rshop_pypdif</t>
  </si>
  <si>
    <t>val_dr_smlrural_pypdif</t>
  </si>
  <si>
    <t>val_dr_other_pypdif</t>
  </si>
  <si>
    <t>val_ezcasea_pypdif</t>
  </si>
  <si>
    <t>val_ezcaseb_pypdif</t>
  </si>
  <si>
    <t>val_netrates_pypdif</t>
  </si>
  <si>
    <t>val_lossrepay_pypdif</t>
  </si>
  <si>
    <t>val_main_missing</t>
  </si>
  <si>
    <t>val_totrv_com</t>
  </si>
  <si>
    <t>val_sbrr_fcastpy_com</t>
  </si>
  <si>
    <t>val_mr_charity_com</t>
  </si>
  <si>
    <t>val_mr_casc_com</t>
  </si>
  <si>
    <t>val_mr_rural_com</t>
  </si>
  <si>
    <t>val_partocc_com</t>
  </si>
  <si>
    <t>val_empty_com</t>
  </si>
  <si>
    <t>val_dr_charity_com</t>
  </si>
  <si>
    <t>val_dr_nonprof_com</t>
  </si>
  <si>
    <t>val_dr_casc_com</t>
  </si>
  <si>
    <t>val_dr_rshop_com</t>
  </si>
  <si>
    <t>val_dr_smlrural_com</t>
  </si>
  <si>
    <t>val_dr_other_com</t>
  </si>
  <si>
    <t>val_ezcasea_com</t>
  </si>
  <si>
    <t>val_ezcaseb_com</t>
  </si>
  <si>
    <t>val_netrates_com</t>
  </si>
  <si>
    <t>val_lossrepay_com</t>
  </si>
  <si>
    <t>val_surpdef_com</t>
  </si>
  <si>
    <t>val_openbal_com</t>
  </si>
  <si>
    <t>val_totrv_com_text</t>
  </si>
  <si>
    <t>val_sbrr_fcastpy_com_text</t>
  </si>
  <si>
    <t>val_mr_charity_com_text</t>
  </si>
  <si>
    <t>val_mr_casc_com_text</t>
  </si>
  <si>
    <t>val_mr_rural_com_text</t>
  </si>
  <si>
    <t>val_partocc_com_text</t>
  </si>
  <si>
    <t>val_empty_com_text</t>
  </si>
  <si>
    <t>val_dr_charity_com_text</t>
  </si>
  <si>
    <t>val_dr_nonprof_com_text</t>
  </si>
  <si>
    <t>val_dr_casc_com_text</t>
  </si>
  <si>
    <t>val_dr_rshop_com_text</t>
  </si>
  <si>
    <t>val_dr_smlrural_com_text</t>
  </si>
  <si>
    <t>val_dr_other_com_text</t>
  </si>
  <si>
    <t>val_ezcasea_com_text</t>
  </si>
  <si>
    <t>val_ezcaseb_com_text</t>
  </si>
  <si>
    <t>val_netrates_com_text</t>
  </si>
  <si>
    <t>val_lossrepay_com_text</t>
  </si>
  <si>
    <t>val_surpdef_com_text</t>
  </si>
  <si>
    <t>val_openbal_com_text</t>
  </si>
  <si>
    <t>mainval_notes</t>
  </si>
  <si>
    <t>val_hdit_mrcharity_pydif</t>
  </si>
  <si>
    <t>val_hdit_mrcasc_pydif</t>
  </si>
  <si>
    <t>val_hdit_mrrural_pydif</t>
  </si>
  <si>
    <t>val_hdit_partocc_pydif</t>
  </si>
  <si>
    <t>val_hdit_empty_pydif</t>
  </si>
  <si>
    <t>val_hdit_drcharity_pydif</t>
  </si>
  <si>
    <t>val_hdit_drnonprof_pydif</t>
  </si>
  <si>
    <t>val_hdit_drcasc_pydif</t>
  </si>
  <si>
    <t>val_hdit_drrshop_pydif</t>
  </si>
  <si>
    <t>val_hdit_drothrural_pydif</t>
  </si>
  <si>
    <t>val_hdit_drez_pydif</t>
  </si>
  <si>
    <t>val_hdit_drs47_pydif</t>
  </si>
  <si>
    <t>val_hdit_sbrrsupp_pydif</t>
  </si>
  <si>
    <t>val_hdit_sbrrdisc_pydif</t>
  </si>
  <si>
    <t>val_hdit_sbrrdiscmax_pydif</t>
  </si>
  <si>
    <t>val_hdit_sbrrdiscslide_pydif</t>
  </si>
  <si>
    <t>val_hdit_sbrrmultp_pydif</t>
  </si>
  <si>
    <t>val_sbrrshare_pydif</t>
  </si>
  <si>
    <t>val_hdit_mrcharity_pypdif</t>
  </si>
  <si>
    <t>val_hdit_mrcasc_pypdif</t>
  </si>
  <si>
    <t>val_hdit_mrrural_pypdif</t>
  </si>
  <si>
    <t>val_hdit_partocc_pypdif</t>
  </si>
  <si>
    <t>val_hdit_empty_pypdif</t>
  </si>
  <si>
    <t>val_hdit_drcharity_pypdif</t>
  </si>
  <si>
    <t>val_hdit_drnonprof_pypdif</t>
  </si>
  <si>
    <t>val_hdit_drcasc_pypdif</t>
  </si>
  <si>
    <t>val_hdit_drrshop_pypdif</t>
  </si>
  <si>
    <t>val_hdit_drothrural_pypdif</t>
  </si>
  <si>
    <t>val_hdit_drez_pypdif</t>
  </si>
  <si>
    <t>val_hdit_drs47_pypdif</t>
  </si>
  <si>
    <t>val_hdit_sbrrsupp_pypdif</t>
  </si>
  <si>
    <t>val_hdit_sbrrdisc_pypdif</t>
  </si>
  <si>
    <t>val_hdit_sbrrdiscmax_pypdif</t>
  </si>
  <si>
    <t>val_hdit_sbrrdiscslide_pypdif</t>
  </si>
  <si>
    <t>val_hdit_sbrrmultp_pypdif</t>
  </si>
  <si>
    <t>val_sbrrshare_pypdif</t>
  </si>
  <si>
    <t>val_supp_missing</t>
  </si>
  <si>
    <t>val_hdit_mrcharity_com</t>
  </si>
  <si>
    <t>val_hdit_mrcasc_com</t>
  </si>
  <si>
    <t>val_hdit_mrrural_com</t>
  </si>
  <si>
    <t>val_hdit_partocc_com</t>
  </si>
  <si>
    <t>val_hdit_empty_com</t>
  </si>
  <si>
    <t>val_hdit_drcharity_com</t>
  </si>
  <si>
    <t>val_hdit_drnonprof_com</t>
  </si>
  <si>
    <t>val_hdit_drcasc_com</t>
  </si>
  <si>
    <t>val_hdit_drrshop_com</t>
  </si>
  <si>
    <t>val_hdit_drothrural_com</t>
  </si>
  <si>
    <t>val_hdit_drez_com</t>
  </si>
  <si>
    <t>val_hdit_drs47_com</t>
  </si>
  <si>
    <t>val_hdit_sbrrsupp_com</t>
  </si>
  <si>
    <t>val_hdit_sbrrdisc_com</t>
  </si>
  <si>
    <t>val_hdit_sbrrdiscmax_com</t>
  </si>
  <si>
    <t>val_hdit_sbrrdiscslide_com</t>
  </si>
  <si>
    <t>val_hdit_sbrrmultp_com</t>
  </si>
  <si>
    <t>val_sbrrshare_com</t>
  </si>
  <si>
    <t>val_hdit_mrcharity_com_text</t>
  </si>
  <si>
    <t>val_hdit_mrcasc_com_text</t>
  </si>
  <si>
    <t>val_hdit_mrrural_com_text</t>
  </si>
  <si>
    <t>val_hdit_partocc_com_text</t>
  </si>
  <si>
    <t>val_hdit_empty_com_text</t>
  </si>
  <si>
    <t>val_hdit_drcharity_com_text</t>
  </si>
  <si>
    <t>val_hdit_drnonprof_com_text</t>
  </si>
  <si>
    <t>val_hdit_drcasc_com_text</t>
  </si>
  <si>
    <t>val_hdit_drrshop_com_text</t>
  </si>
  <si>
    <t>val_hdit_drothrural_com_text</t>
  </si>
  <si>
    <t>val_hdit_drez_com_text</t>
  </si>
  <si>
    <t>val_hdit_drs47_com_text</t>
  </si>
  <si>
    <t>val_hdit_sbrrsupp_com_text</t>
  </si>
  <si>
    <t>val_hdit_sbrrdisc_com_text</t>
  </si>
  <si>
    <t>val_hdit_sbrrdiscmax_com_text</t>
  </si>
  <si>
    <t>val_hdit_sbrrdiscslide_com_text</t>
  </si>
  <si>
    <t>val_hdit_sbrrmultp_com_text</t>
  </si>
  <si>
    <t>val_sbrrshare_com_text</t>
  </si>
  <si>
    <t>suppval_notes</t>
  </si>
  <si>
    <t>DA Count</t>
  </si>
  <si>
    <t>da_count</t>
  </si>
  <si>
    <t>South Tees Development Corporation</t>
  </si>
  <si>
    <t>disreg_da_mpa</t>
  </si>
  <si>
    <t xml:space="preserve">Error </t>
  </si>
  <si>
    <t>control for greying out non-shale gas areas</t>
  </si>
  <si>
    <t>13. Total Deductions</t>
  </si>
  <si>
    <t>22. add: in respect of Port of Bristol hereditament</t>
  </si>
  <si>
    <t>24.  Total amount due to authorities</t>
  </si>
  <si>
    <t>E6163</t>
  </si>
  <si>
    <t>Hampshire and Isle of Wight Fire and Rescue</t>
  </si>
  <si>
    <t>SBRR</t>
  </si>
  <si>
    <t>2022-23</t>
  </si>
  <si>
    <t>Share Total</t>
  </si>
  <si>
    <t>Uprated Baseline for 2022-23</t>
  </si>
  <si>
    <t>2022-23 upper tier proportion</t>
  </si>
  <si>
    <t>2022-23 fire proportion</t>
  </si>
  <si>
    <t>2022-23 Sum</t>
  </si>
  <si>
    <t>mr_toilets_baa</t>
  </si>
  <si>
    <t>mr_toilets_da</t>
  </si>
  <si>
    <t>mr_toilets_tot</t>
  </si>
  <si>
    <t>hdit_mr_toilets</t>
  </si>
  <si>
    <t>Enterprise zone granted relief</t>
  </si>
  <si>
    <t>total_rv_2017</t>
  </si>
  <si>
    <t>total_hereds</t>
  </si>
  <si>
    <t>Addcomp_BA</t>
  </si>
  <si>
    <t>Addcomp_DA</t>
  </si>
  <si>
    <t>Retail, Hospitality and Leisure relief</t>
  </si>
  <si>
    <t>drs31_rhl_baa</t>
  </si>
  <si>
    <t>drs31_rhl_da</t>
  </si>
  <si>
    <t>drs31_rhl_tot</t>
  </si>
  <si>
    <t>11.  Line 1 plus line 2, minus lines 3, 6 to 9 and 10</t>
  </si>
  <si>
    <t>33. Cost to authorities of providing relief</t>
  </si>
  <si>
    <t>s31_rhl_ba</t>
  </si>
  <si>
    <t>s31_rhl_mpa</t>
  </si>
  <si>
    <t>s31_rhl_fra</t>
  </si>
  <si>
    <t>s31_rhl_tot</t>
  </si>
  <si>
    <t>As well as using these to check for errors in data entry, your comments also help us to inform policy colleagues about the causes of patterns in the data, and the extent of the effect of different factors. Therefore, even if the reason for a change in a line seems obvious it is still useful for you to provide comments.</t>
  </si>
  <si>
    <t>If you click on Column C you can see which line of the form the validation refers to.</t>
  </si>
  <si>
    <t>Estimated repayments (Appeals provision)</t>
  </si>
  <si>
    <t>Zero in surplus / deficit</t>
  </si>
  <si>
    <t>Collection fund opening balance</t>
  </si>
  <si>
    <t>Control for Freeports</t>
  </si>
  <si>
    <t>ezfreeports</t>
  </si>
  <si>
    <t>Freeports relief</t>
  </si>
  <si>
    <t>s31_freeports_ba</t>
  </si>
  <si>
    <t>s31_freeports_mpa</t>
  </si>
  <si>
    <t>s31_freeports_fra</t>
  </si>
  <si>
    <t>s31_freeports_tot</t>
  </si>
  <si>
    <t>E6128</t>
  </si>
  <si>
    <t>35. Cost to authorities of providing relief</t>
  </si>
  <si>
    <t>Public lavatories relief</t>
  </si>
  <si>
    <t>s31_publictoil_ba</t>
  </si>
  <si>
    <t>s31_publictoil_mpa</t>
  </si>
  <si>
    <t>s31_publictoil_fra</t>
  </si>
  <si>
    <t>s31_publictoil_tot</t>
  </si>
  <si>
    <t>Allocation as Negative</t>
  </si>
  <si>
    <t>s31_placeholder_ba</t>
  </si>
  <si>
    <t>s31_placeholder_fra</t>
  </si>
  <si>
    <t>s31_placeholder_tot</t>
  </si>
  <si>
    <t>drs31_placeholder_baa</t>
  </si>
  <si>
    <t>drs31_placeholder_da</t>
  </si>
  <si>
    <t>drs31_placeholder_tot</t>
  </si>
  <si>
    <t>s31_placeholder_mpa</t>
  </si>
  <si>
    <t>Central Government</t>
  </si>
  <si>
    <t>3yr_priorshare_cg_p4</t>
  </si>
  <si>
    <t>3yr_priorshare_ba_p4</t>
  </si>
  <si>
    <t>3yr_priorshare_mpa_p4</t>
  </si>
  <si>
    <t>3yr_priorshare_fra_p4</t>
  </si>
  <si>
    <t>3yr_priorshare_tot_p4</t>
  </si>
  <si>
    <t>3yr_prioryear_cg_p4</t>
  </si>
  <si>
    <t>3yr_prioryear_ba_p4</t>
  </si>
  <si>
    <t>3yr_prioryear_mpa_p4</t>
  </si>
  <si>
    <t>3yr_prioryear_fra_p4</t>
  </si>
  <si>
    <t>3yr_prioryear_tot_p4</t>
  </si>
  <si>
    <t>3yr_currentshare_cg_p4</t>
  </si>
  <si>
    <t>3yr_currentshare_ba_p4</t>
  </si>
  <si>
    <t>3yr_currentshare_mpa_p4</t>
  </si>
  <si>
    <t>3yr_currentshare_fra_p4</t>
  </si>
  <si>
    <t>3yr_currentshare_tot_p4</t>
  </si>
  <si>
    <t>3yr_currentyear_cg_p4</t>
  </si>
  <si>
    <t>3yr_currentyear_ba_p4</t>
  </si>
  <si>
    <t>3yr_currentyear_mpa_p4</t>
  </si>
  <si>
    <t>3yr_currentyear_fra_p4</t>
  </si>
  <si>
    <t>3yr_currentyear_tot_p4</t>
  </si>
  <si>
    <t>3yr_tot_cg_p4</t>
  </si>
  <si>
    <t>3yr_tot_ba_p4</t>
  </si>
  <si>
    <t>3yr_tot_mpa_p4</t>
  </si>
  <si>
    <t>3yr_tot_fra_p4</t>
  </si>
  <si>
    <t>3yr_tot_tot_p4</t>
  </si>
  <si>
    <t>Has a Freeport?</t>
  </si>
  <si>
    <t>Designated Areas qualifying relief in 100% business rates retention areas</t>
  </si>
  <si>
    <t>2023-24</t>
  </si>
  <si>
    <t>Supporting Small Business Scheme</t>
  </si>
  <si>
    <t>2023-24 upper tier proportion</t>
  </si>
  <si>
    <t>2023-24 fire proportion</t>
  </si>
  <si>
    <t>2023-24 Sum</t>
  </si>
  <si>
    <t>Low-carbon heat networks relief</t>
  </si>
  <si>
    <t>36. Cost to authorities of providing relief</t>
  </si>
  <si>
    <t>Cumberland</t>
  </si>
  <si>
    <t>s31_lowcarbheat_ba</t>
  </si>
  <si>
    <t>s31_lowcarbheat_mpa</t>
  </si>
  <si>
    <t>s31_lowcarbheat_fra</t>
  </si>
  <si>
    <t>s31_lowcarbheat_tot</t>
  </si>
  <si>
    <t>drs31_lowcarbheat_baa</t>
  </si>
  <si>
    <t>drs31_lowcarbheat_da</t>
  </si>
  <si>
    <t>drs31_lowcarbheat_tot</t>
  </si>
  <si>
    <t>shale_uppershare</t>
  </si>
  <si>
    <t>shale_frashare</t>
  </si>
  <si>
    <t>localshare_total</t>
  </si>
  <si>
    <t>sbrr_threshold</t>
  </si>
  <si>
    <t>addcomp_ba</t>
  </si>
  <si>
    <t>addcomp_da</t>
  </si>
  <si>
    <t>ba_share</t>
  </si>
  <si>
    <t>fra_share</t>
  </si>
  <si>
    <t>cg_share</t>
  </si>
  <si>
    <t>costofcollection</t>
  </si>
  <si>
    <t>checkforua</t>
  </si>
  <si>
    <t>mpa_share</t>
  </si>
  <si>
    <t>Cost of Public lavatories relief</t>
  </si>
  <si>
    <t>val_mr_toilets_pydif</t>
  </si>
  <si>
    <t>val_mr_toilets_pypdif</t>
  </si>
  <si>
    <t>val_mr_toilets_com</t>
  </si>
  <si>
    <t>val_mr_toilets_com_text</t>
  </si>
  <si>
    <t>E0901</t>
  </si>
  <si>
    <t>E2702</t>
  </si>
  <si>
    <t>E3301</t>
  </si>
  <si>
    <t>E0902</t>
  </si>
  <si>
    <t>Westmorland and Furness</t>
  </si>
  <si>
    <t>val_hdit_toilets_pydif</t>
  </si>
  <si>
    <t>val_hdit_toilets_pypdif</t>
  </si>
  <si>
    <t>val_hdit_toilets_com</t>
  </si>
  <si>
    <t>val_hdit_toilets_com_text</t>
  </si>
  <si>
    <t>OrgType</t>
  </si>
  <si>
    <t>OrgRegion</t>
  </si>
  <si>
    <t>ONSCode</t>
  </si>
  <si>
    <t>Fixed</t>
  </si>
  <si>
    <t>Authority Type</t>
  </si>
  <si>
    <t>Authority Region</t>
  </si>
  <si>
    <t>Authority ONS Code</t>
  </si>
  <si>
    <t>SD</t>
  </si>
  <si>
    <t>South East</t>
  </si>
  <si>
    <t>E07000223</t>
  </si>
  <si>
    <t>East Midlands</t>
  </si>
  <si>
    <t>E07000032</t>
  </si>
  <si>
    <t>E07000224</t>
  </si>
  <si>
    <t>E07000170</t>
  </si>
  <si>
    <t>E07000105</t>
  </si>
  <si>
    <t>East of England</t>
  </si>
  <si>
    <t>E07000200</t>
  </si>
  <si>
    <t>OLB</t>
  </si>
  <si>
    <t>London</t>
  </si>
  <si>
    <t>E09000002</t>
  </si>
  <si>
    <t>E09000003</t>
  </si>
  <si>
    <t>Met</t>
  </si>
  <si>
    <t>Yorkshire and The Humber</t>
  </si>
  <si>
    <t>E08000016</t>
  </si>
  <si>
    <t>E07000066</t>
  </si>
  <si>
    <t>E07000084</t>
  </si>
  <si>
    <t>E07000171</t>
  </si>
  <si>
    <t>South West</t>
  </si>
  <si>
    <t>E06000022</t>
  </si>
  <si>
    <t>E06000055</t>
  </si>
  <si>
    <t>E09000004</t>
  </si>
  <si>
    <t>West Midlands</t>
  </si>
  <si>
    <t>E08000025</t>
  </si>
  <si>
    <t>E07000129</t>
  </si>
  <si>
    <t>North West</t>
  </si>
  <si>
    <t>E06000008</t>
  </si>
  <si>
    <t>E06000009</t>
  </si>
  <si>
    <t>E07000033</t>
  </si>
  <si>
    <t>E08000001</t>
  </si>
  <si>
    <t>E07000136</t>
  </si>
  <si>
    <t>E06000058</t>
  </si>
  <si>
    <t>E06000036</t>
  </si>
  <si>
    <t>E08000032</t>
  </si>
  <si>
    <t>E07000067</t>
  </si>
  <si>
    <t>E07000143</t>
  </si>
  <si>
    <t>E09000005</t>
  </si>
  <si>
    <t>E07000068</t>
  </si>
  <si>
    <t>E06000043</t>
  </si>
  <si>
    <t>E06000023</t>
  </si>
  <si>
    <t>E07000144</t>
  </si>
  <si>
    <t>E09000006</t>
  </si>
  <si>
    <t>E07000234</t>
  </si>
  <si>
    <t>E07000095</t>
  </si>
  <si>
    <t>E07000172</t>
  </si>
  <si>
    <t>E06000060</t>
  </si>
  <si>
    <t>E07000117</t>
  </si>
  <si>
    <t>E08000002</t>
  </si>
  <si>
    <t>E08000033</t>
  </si>
  <si>
    <t>E07000008</t>
  </si>
  <si>
    <t>ILB</t>
  </si>
  <si>
    <t>E09000007</t>
  </si>
  <si>
    <t>E07000192</t>
  </si>
  <si>
    <t>E07000106</t>
  </si>
  <si>
    <t>E07000069</t>
  </si>
  <si>
    <t>E06000056</t>
  </si>
  <si>
    <t>E07000130</t>
  </si>
  <si>
    <t>E07000070</t>
  </si>
  <si>
    <t>E07000078</t>
  </si>
  <si>
    <t>E07000177</t>
  </si>
  <si>
    <t>E06000049</t>
  </si>
  <si>
    <t>E06000050</t>
  </si>
  <si>
    <t>E07000034</t>
  </si>
  <si>
    <t>E07000225</t>
  </si>
  <si>
    <t>E07000118</t>
  </si>
  <si>
    <t>E09000001</t>
  </si>
  <si>
    <t>E07000071</t>
  </si>
  <si>
    <t>E06000052</t>
  </si>
  <si>
    <t>E07000079</t>
  </si>
  <si>
    <t>E08000026</t>
  </si>
  <si>
    <t>E07000226</t>
  </si>
  <si>
    <t>E09000008</t>
  </si>
  <si>
    <t>E07000096</t>
  </si>
  <si>
    <t>E06000005</t>
  </si>
  <si>
    <t>E07000107</t>
  </si>
  <si>
    <t>E06000015</t>
  </si>
  <si>
    <t>E07000035</t>
  </si>
  <si>
    <t>E08000017</t>
  </si>
  <si>
    <t>E06000059</t>
  </si>
  <si>
    <t>E07000108</t>
  </si>
  <si>
    <t>E08000027</t>
  </si>
  <si>
    <t>E06000047</t>
  </si>
  <si>
    <t>E09000009</t>
  </si>
  <si>
    <t>E07000009</t>
  </si>
  <si>
    <t>E07000040</t>
  </si>
  <si>
    <t>E07000085</t>
  </si>
  <si>
    <t>E07000242</t>
  </si>
  <si>
    <t>E07000137</t>
  </si>
  <si>
    <t>E06000011</t>
  </si>
  <si>
    <t>E07000193</t>
  </si>
  <si>
    <t>E07000244</t>
  </si>
  <si>
    <t>E07000061</t>
  </si>
  <si>
    <t>E07000086</t>
  </si>
  <si>
    <t>E07000207</t>
  </si>
  <si>
    <t>E09000010</t>
  </si>
  <si>
    <t>E07000072</t>
  </si>
  <si>
    <t>E07000208</t>
  </si>
  <si>
    <t>E07000036</t>
  </si>
  <si>
    <t>E07000041</t>
  </si>
  <si>
    <t>E07000087</t>
  </si>
  <si>
    <t>E07000010</t>
  </si>
  <si>
    <t>E07000112</t>
  </si>
  <si>
    <t>E07000080</t>
  </si>
  <si>
    <t>E07000119</t>
  </si>
  <si>
    <t>E08000037</t>
  </si>
  <si>
    <t>E07000173</t>
  </si>
  <si>
    <t>E07000081</t>
  </si>
  <si>
    <t>E07000088</t>
  </si>
  <si>
    <t>E07000109</t>
  </si>
  <si>
    <t>E07000145</t>
  </si>
  <si>
    <t>E09000011</t>
  </si>
  <si>
    <t>E07000209</t>
  </si>
  <si>
    <t>E09000012</t>
  </si>
  <si>
    <t>E06000006</t>
  </si>
  <si>
    <t>E09000013</t>
  </si>
  <si>
    <t>E07000131</t>
  </si>
  <si>
    <t>E09000014</t>
  </si>
  <si>
    <t>E07000073</t>
  </si>
  <si>
    <t>E09000015</t>
  </si>
  <si>
    <t>E07000089</t>
  </si>
  <si>
    <t>E06000001</t>
  </si>
  <si>
    <t>E07000062</t>
  </si>
  <si>
    <t>E07000090</t>
  </si>
  <si>
    <t>E09000016</t>
  </si>
  <si>
    <t>E06000019</t>
  </si>
  <si>
    <t>E07000098</t>
  </si>
  <si>
    <t>E07000037</t>
  </si>
  <si>
    <t>E09000017</t>
  </si>
  <si>
    <t>E07000132</t>
  </si>
  <si>
    <t>E07000227</t>
  </si>
  <si>
    <t>E09000018</t>
  </si>
  <si>
    <t>E07000011</t>
  </si>
  <si>
    <t>E07000120</t>
  </si>
  <si>
    <t>E07000202</t>
  </si>
  <si>
    <t>E06000046</t>
  </si>
  <si>
    <t>E06000053</t>
  </si>
  <si>
    <t>E09000019</t>
  </si>
  <si>
    <t>E09000020</t>
  </si>
  <si>
    <t>E07000146</t>
  </si>
  <si>
    <t>E06000010</t>
  </si>
  <si>
    <t>E09000021</t>
  </si>
  <si>
    <t>E08000034</t>
  </si>
  <si>
    <t>E08000011</t>
  </si>
  <si>
    <t>E09000022</t>
  </si>
  <si>
    <t>E07000121</t>
  </si>
  <si>
    <t>E08000035</t>
  </si>
  <si>
    <t>E06000016</t>
  </si>
  <si>
    <t>E07000063</t>
  </si>
  <si>
    <t>E09000023</t>
  </si>
  <si>
    <t>E07000194</t>
  </si>
  <si>
    <t>E07000138</t>
  </si>
  <si>
    <t>E08000012</t>
  </si>
  <si>
    <t>E06000032</t>
  </si>
  <si>
    <t>E07000110</t>
  </si>
  <si>
    <t>E07000074</t>
  </si>
  <si>
    <t>E07000235</t>
  </si>
  <si>
    <t>E08000003</t>
  </si>
  <si>
    <t>E07000174</t>
  </si>
  <si>
    <t>E06000035</t>
  </si>
  <si>
    <t>E07000133</t>
  </si>
  <si>
    <t>E09000024</t>
  </si>
  <si>
    <t>E07000042</t>
  </si>
  <si>
    <t>E07000203</t>
  </si>
  <si>
    <t>E07000228</t>
  </si>
  <si>
    <t>E06000002</t>
  </si>
  <si>
    <t>E06000042</t>
  </si>
  <si>
    <t>E07000210</t>
  </si>
  <si>
    <t>E07000091</t>
  </si>
  <si>
    <t>E07000175</t>
  </si>
  <si>
    <t>E08000021</t>
  </si>
  <si>
    <t>E07000195</t>
  </si>
  <si>
    <t>E09000025</t>
  </si>
  <si>
    <t>E07000043</t>
  </si>
  <si>
    <t>E07000038</t>
  </si>
  <si>
    <t>E06000012</t>
  </si>
  <si>
    <t>E07000099</t>
  </si>
  <si>
    <t>E07000139</t>
  </si>
  <si>
    <t>E06000013</t>
  </si>
  <si>
    <t>E07000147</t>
  </si>
  <si>
    <t>E06000061</t>
  </si>
  <si>
    <t>E06000024</t>
  </si>
  <si>
    <t>E08000022</t>
  </si>
  <si>
    <t>E07000218</t>
  </si>
  <si>
    <t>E07000134</t>
  </si>
  <si>
    <t>E06000057</t>
  </si>
  <si>
    <t>E07000148</t>
  </si>
  <si>
    <t>E06000018</t>
  </si>
  <si>
    <t>E07000219</t>
  </si>
  <si>
    <t>E07000135</t>
  </si>
  <si>
    <t>E08000004</t>
  </si>
  <si>
    <t>E07000178</t>
  </si>
  <si>
    <t>E07000122</t>
  </si>
  <si>
    <t>E06000031</t>
  </si>
  <si>
    <t>E06000026</t>
  </si>
  <si>
    <t>E06000044</t>
  </si>
  <si>
    <t>E07000123</t>
  </si>
  <si>
    <t>E06000038</t>
  </si>
  <si>
    <t>E09000026</t>
  </si>
  <si>
    <t>E06000003</t>
  </si>
  <si>
    <t>E07000236</t>
  </si>
  <si>
    <t>E07000211</t>
  </si>
  <si>
    <t>E07000124</t>
  </si>
  <si>
    <t>E09000027</t>
  </si>
  <si>
    <t>E08000005</t>
  </si>
  <si>
    <t>E07000075</t>
  </si>
  <si>
    <t>E07000125</t>
  </si>
  <si>
    <t>E07000064</t>
  </si>
  <si>
    <t>E08000018</t>
  </si>
  <si>
    <t>E07000220</t>
  </si>
  <si>
    <t>E07000212</t>
  </si>
  <si>
    <t>E07000176</t>
  </si>
  <si>
    <t>E07000092</t>
  </si>
  <si>
    <t>E06000017</t>
  </si>
  <si>
    <t>E08000006</t>
  </si>
  <si>
    <t>E08000028</t>
  </si>
  <si>
    <t>E08000014</t>
  </si>
  <si>
    <t>E07000111</t>
  </si>
  <si>
    <t>E08000019</t>
  </si>
  <si>
    <t>E06000051</t>
  </si>
  <si>
    <t>E06000039</t>
  </si>
  <si>
    <t>E08000029</t>
  </si>
  <si>
    <t>E07000012</t>
  </si>
  <si>
    <t>E07000039</t>
  </si>
  <si>
    <t>E06000025</t>
  </si>
  <si>
    <t>E07000044</t>
  </si>
  <si>
    <t>E07000140</t>
  </si>
  <si>
    <t>E07000141</t>
  </si>
  <si>
    <t>E07000149</t>
  </si>
  <si>
    <t>E07000179</t>
  </si>
  <si>
    <t>E07000126</t>
  </si>
  <si>
    <t>E07000196</t>
  </si>
  <si>
    <t>E08000023</t>
  </si>
  <si>
    <t>E06000045</t>
  </si>
  <si>
    <t>E06000033</t>
  </si>
  <si>
    <t>E09000028</t>
  </si>
  <si>
    <t>E07000213</t>
  </si>
  <si>
    <t>E07000240</t>
  </si>
  <si>
    <t>E08000013</t>
  </si>
  <si>
    <t>E07000197</t>
  </si>
  <si>
    <t>E07000198</t>
  </si>
  <si>
    <t>E07000243</t>
  </si>
  <si>
    <t>E08000007</t>
  </si>
  <si>
    <t>E06000004</t>
  </si>
  <si>
    <t>E06000021</t>
  </si>
  <si>
    <t>E07000221</t>
  </si>
  <si>
    <t>E07000082</t>
  </si>
  <si>
    <t>E08000024</t>
  </si>
  <si>
    <t>E07000214</t>
  </si>
  <si>
    <t>E09000029</t>
  </si>
  <si>
    <t>E07000113</t>
  </si>
  <si>
    <t>E06000030</t>
  </si>
  <si>
    <t>E08000008</t>
  </si>
  <si>
    <t>E07000199</t>
  </si>
  <si>
    <t>E07000215</t>
  </si>
  <si>
    <t>E07000045</t>
  </si>
  <si>
    <t>E06000020</t>
  </si>
  <si>
    <t>E07000076</t>
  </si>
  <si>
    <t>E07000093</t>
  </si>
  <si>
    <t>E07000083</t>
  </si>
  <si>
    <t>E07000114</t>
  </si>
  <si>
    <t>E07000102</t>
  </si>
  <si>
    <t>E06000034</t>
  </si>
  <si>
    <t>E07000115</t>
  </si>
  <si>
    <t>E06000027</t>
  </si>
  <si>
    <t>E07000046</t>
  </si>
  <si>
    <t>E09000030</t>
  </si>
  <si>
    <t>E08000009</t>
  </si>
  <si>
    <t>E07000116</t>
  </si>
  <si>
    <t>E07000077</t>
  </si>
  <si>
    <t>E07000180</t>
  </si>
  <si>
    <t>E08000036</t>
  </si>
  <si>
    <t>E08000030</t>
  </si>
  <si>
    <t>E09000031</t>
  </si>
  <si>
    <t>E09000032</t>
  </si>
  <si>
    <t>E06000007</t>
  </si>
  <si>
    <t>E07000222</t>
  </si>
  <si>
    <t>E07000103</t>
  </si>
  <si>
    <t>E07000216</t>
  </si>
  <si>
    <t>E07000065</t>
  </si>
  <si>
    <t>E07000241</t>
  </si>
  <si>
    <t>E06000037</t>
  </si>
  <si>
    <t>E07000047</t>
  </si>
  <si>
    <t>E07000127</t>
  </si>
  <si>
    <t>E07000142</t>
  </si>
  <si>
    <t>E06000062</t>
  </si>
  <si>
    <t>E07000181</t>
  </si>
  <si>
    <t>E07000245</t>
  </si>
  <si>
    <t>E09000033</t>
  </si>
  <si>
    <t>E08000010</t>
  </si>
  <si>
    <t>E06000054</t>
  </si>
  <si>
    <t>E07000094</t>
  </si>
  <si>
    <t>E06000040</t>
  </si>
  <si>
    <t>E08000015</t>
  </si>
  <si>
    <t>E07000217</t>
  </si>
  <si>
    <t>E06000041</t>
  </si>
  <si>
    <t>E08000031</t>
  </si>
  <si>
    <t>E07000237</t>
  </si>
  <si>
    <t>E07000229</t>
  </si>
  <si>
    <t>E07000238</t>
  </si>
  <si>
    <t>E07000128</t>
  </si>
  <si>
    <t>E07000239</t>
  </si>
  <si>
    <t>E06000014</t>
  </si>
  <si>
    <t>E06000063</t>
  </si>
  <si>
    <t>E06000064</t>
  </si>
  <si>
    <t>E06000065</t>
  </si>
  <si>
    <t>E06000066</t>
  </si>
  <si>
    <t>22. Total prior year surplus (+)/deficit (-)</t>
  </si>
  <si>
    <t>24. In year surplus (+)/deficit (-)</t>
  </si>
  <si>
    <t>Total Hdits</t>
  </si>
  <si>
    <t>total_hdits</t>
  </si>
  <si>
    <t>ba_share_py</t>
  </si>
  <si>
    <t>mpa_share_py</t>
  </si>
  <si>
    <t>fra_share_py</t>
  </si>
  <si>
    <t>cg_share_py</t>
  </si>
  <si>
    <t>collfund_cb_tot</t>
  </si>
  <si>
    <t>25. Total (total lines 22 and 24)</t>
  </si>
  <si>
    <t>(LESS) LOSSES (Data should be entered as -ve)</t>
  </si>
  <si>
    <t>DISREGARDED AMOUNTS (Data should be entered as +ve)</t>
  </si>
  <si>
    <t>SBRR multiplier</t>
  </si>
  <si>
    <t>SBRR Supplement</t>
  </si>
  <si>
    <t>sbrr_supplement</t>
  </si>
  <si>
    <t>7. Changes as a result of estimated growth / decline in cost of transitional arrangements 
(+ = decline, - = increase)</t>
  </si>
  <si>
    <t>E6135</t>
  </si>
  <si>
    <t>Retail, hospitality and leisure relief</t>
  </si>
  <si>
    <t>val_drs31_rhl_pydif</t>
  </si>
  <si>
    <t>val_drs31_rhl_pypdif</t>
  </si>
  <si>
    <t>val_drs31_rhl_com</t>
  </si>
  <si>
    <t>val_drs31_rhl_com_text</t>
  </si>
  <si>
    <t>val_hdit_rhl_pydif</t>
  </si>
  <si>
    <t>val_hdit_rhl_pypdif</t>
  </si>
  <si>
    <t>val_hdit_rhl_com</t>
  </si>
  <si>
    <t>val_hdit_rhl_com_text</t>
  </si>
  <si>
    <t>Cumbria Police, Fire and Crime Commissioner</t>
  </si>
  <si>
    <t>APPORTIONMENT OF ESTIMATED SURPLUS / DEFICIT (See Note N)</t>
  </si>
  <si>
    <t>3. Sums written off in excess of the allowance for non-collection (enter as -ve)</t>
  </si>
  <si>
    <t>5. Amounts charged against the provision for alteration of lists and appeals following RV list changes (enter as +ve)</t>
  </si>
  <si>
    <t>Location</t>
  </si>
  <si>
    <t>Value</t>
  </si>
  <si>
    <t>Other Notes</t>
  </si>
  <si>
    <t>Explanation</t>
  </si>
  <si>
    <t>Adjustment factor is set in the provisional settlement and we need to enter it somewhere in the form. Various formulae look this up</t>
  </si>
  <si>
    <t>SBR multiplier is set in the provisional settlement and we need to enter it somewhere in the form. Various formulae look this up</t>
  </si>
  <si>
    <t>SBR supplementary mutliplier is set in the provisional settlement and we need to enter it somewhere in the form. Various formulae look this up</t>
  </si>
  <si>
    <t>2024-25 Allocation</t>
  </si>
  <si>
    <t>2024-25</t>
  </si>
  <si>
    <t>Collection fund closing balance at 31 March 2023 with revisions</t>
  </si>
  <si>
    <t>This is in pence because it's for gross rates only</t>
  </si>
  <si>
    <t>BA Area (exc. Designated areas).</t>
  </si>
  <si>
    <t>Column 7</t>
  </si>
  <si>
    <t>GRAND TOTAL</t>
  </si>
  <si>
    <t>Column 6</t>
  </si>
  <si>
    <t>Supplementary multiplier adjustment factor</t>
  </si>
  <si>
    <r>
      <rPr>
        <b/>
        <sz val="14"/>
        <rFont val="Arial"/>
        <family val="2"/>
      </rPr>
      <t>PART 4: ESTIMATED COLLECTION FUND BALANCE</t>
    </r>
    <r>
      <rPr>
        <b/>
        <sz val="12"/>
        <rFont val="Arial"/>
        <family val="2"/>
      </rPr>
      <t xml:space="preserve">
</t>
    </r>
    <r>
      <rPr>
        <sz val="12"/>
        <rFont val="Arial"/>
        <family val="2"/>
      </rPr>
      <t>This section estimates the collection fund closing balance for the current year (</t>
    </r>
    <r>
      <rPr>
        <i/>
        <sz val="12"/>
        <rFont val="Arial"/>
        <family val="2"/>
      </rPr>
      <t>not</t>
    </r>
    <r>
      <rPr>
        <sz val="12"/>
        <rFont val="Arial"/>
        <family val="2"/>
      </rPr>
      <t xml:space="preserve"> the forecast year otherwise referred to in this form).</t>
    </r>
    <r>
      <rPr>
        <b/>
        <sz val="12"/>
        <rFont val="Arial"/>
        <family val="2"/>
      </rPr>
      <t xml:space="preserve"> </t>
    </r>
    <r>
      <rPr>
        <sz val="12"/>
        <rFont val="Arial"/>
        <family val="2"/>
      </rPr>
      <t>Please refer to guidance notes for details. Note that you can edit the blue-bordered cells, but you will be asked to provide a comment explaining why they are changed from the prepopulated figures.</t>
    </r>
  </si>
  <si>
    <t xml:space="preserve">8. Baseline </t>
  </si>
  <si>
    <t xml:space="preserve">7. Transitional Protection Payment </t>
  </si>
  <si>
    <t>6. Shale oil and gas sites scheme (see Note C)</t>
  </si>
  <si>
    <t>5. Renewable Energy (see Note B)</t>
  </si>
  <si>
    <t>4. Net Rates payable less losses</t>
  </si>
  <si>
    <t>1. Sum payable by rate payers after taking account of transitional adjustments, empty property rate, mandatory and discretionary reliefs</t>
  </si>
  <si>
    <t>Hereditaments using the standard multiplier</t>
  </si>
  <si>
    <t>Empty property relief</t>
  </si>
  <si>
    <t>Relief in industrial properties above exemption threshold</t>
  </si>
  <si>
    <t>Relief in listed buildings</t>
  </si>
  <si>
    <t>Relief in charities</t>
  </si>
  <si>
    <t>Relief in other hereditaments</t>
  </si>
  <si>
    <t>Relief in non-industrial properties above the exemption threshold</t>
  </si>
  <si>
    <t>2024-25 upper tier proportion</t>
  </si>
  <si>
    <t>2024-25 fire proportion</t>
  </si>
  <si>
    <t>2024-25 Sum</t>
  </si>
  <si>
    <t>LA Provided Baseline for 2023-24</t>
  </si>
  <si>
    <t>Uprated Baseline for 2024-25</t>
  </si>
  <si>
    <t>Pre-filled entry</t>
  </si>
  <si>
    <t>totrv_baa_sml</t>
  </si>
  <si>
    <t>totrv_da_sml</t>
  </si>
  <si>
    <t>totrv_tot_sml</t>
  </si>
  <si>
    <t>sbrmultiple_sml</t>
  </si>
  <si>
    <t>grsrate_baa_sml</t>
  </si>
  <si>
    <t>grsrate_da_sml</t>
  </si>
  <si>
    <t>grsrate_estgrow_baa_sml</t>
  </si>
  <si>
    <t>grsrate_estgrow_da_sml</t>
  </si>
  <si>
    <t>grsrate_fcast_baa_sml</t>
  </si>
  <si>
    <t>grsrate_fcast_da_sml</t>
  </si>
  <si>
    <t>grsrate_fcast_tot_sml</t>
  </si>
  <si>
    <t>transarr_fgone_baa_sml</t>
  </si>
  <si>
    <t>transarr_fgone_da_sml</t>
  </si>
  <si>
    <t>transarr_fgone_tot_sml</t>
  </si>
  <si>
    <t>transarr_estgrow_baa_sml</t>
  </si>
  <si>
    <t>transarr_estgrow_da_sml</t>
  </si>
  <si>
    <t>tpp_tot_baa_sml</t>
  </si>
  <si>
    <t>tpp_tot_da_sml</t>
  </si>
  <si>
    <t>tpp_tot_tot_sml</t>
  </si>
  <si>
    <t>sbrr_fcastpy_baa_sml</t>
  </si>
  <si>
    <t>sbrr_fcastpy_da_sml</t>
  </si>
  <si>
    <t>sbrr_fcastpy_tot_sml</t>
  </si>
  <si>
    <t>sbrrsecprop_baa_sml</t>
  </si>
  <si>
    <t>sbrrsecprop_da_sml</t>
  </si>
  <si>
    <t>sbrrsecprop_tot_sml</t>
  </si>
  <si>
    <t>mr_charity_baa_sml</t>
  </si>
  <si>
    <t>mr_charity_da_sml</t>
  </si>
  <si>
    <t>mr_charity_tot_sml</t>
  </si>
  <si>
    <t>mr_casc_baa_sml</t>
  </si>
  <si>
    <t>mr_casc_da_sml</t>
  </si>
  <si>
    <t>mr_casc_tot_sml</t>
  </si>
  <si>
    <t>mr_rural_baa_sml</t>
  </si>
  <si>
    <t>mr_rural_da_sml</t>
  </si>
  <si>
    <t>mr_rural_tot_sml</t>
  </si>
  <si>
    <t>mr_toilets_baa_sml</t>
  </si>
  <si>
    <t>mr_toilets_da_sml</t>
  </si>
  <si>
    <t>mr_toilets_tot_sml</t>
  </si>
  <si>
    <t>mr_tot_baa_sml</t>
  </si>
  <si>
    <t>mr_tot_da_sml</t>
  </si>
  <si>
    <t>mr_estgrow_baa_sml</t>
  </si>
  <si>
    <t>mr_estgrow_da_sml</t>
  </si>
  <si>
    <t>mr_fcast_baa_sml</t>
  </si>
  <si>
    <t>mr_fcast_da_sml</t>
  </si>
  <si>
    <t>mr_fcast_tot_sml</t>
  </si>
  <si>
    <t>partocc_baa_sml</t>
  </si>
  <si>
    <t>partocc_da_sml</t>
  </si>
  <si>
    <t>partocc_tot_sml</t>
  </si>
  <si>
    <t>empty_baa_sml</t>
  </si>
  <si>
    <t>empty_da_sml</t>
  </si>
  <si>
    <t>empty_tot_sml</t>
  </si>
  <si>
    <t>emptytot_baa_sml</t>
  </si>
  <si>
    <t>emptytot_da_sml</t>
  </si>
  <si>
    <t>emptytot_estgrow_baa_sml</t>
  </si>
  <si>
    <t>emptytot_estgrow_da_sml</t>
  </si>
  <si>
    <t>emptytot_fcast_baa_sml</t>
  </si>
  <si>
    <t>emptytot_fcast_da_sml</t>
  </si>
  <si>
    <t>emptytot_fcast_tot_sml</t>
  </si>
  <si>
    <t>dr_charity_baa_sml</t>
  </si>
  <si>
    <t>dr_charity_da_sml</t>
  </si>
  <si>
    <t>dr_charity_tot_sml</t>
  </si>
  <si>
    <t>dr_nonprof_baa_sml</t>
  </si>
  <si>
    <t>dr_nonprof_da_sml</t>
  </si>
  <si>
    <t>dr_nonprof_tot_sml</t>
  </si>
  <si>
    <t>dr_casc_baa_sml</t>
  </si>
  <si>
    <t>dr_casc_da_sml</t>
  </si>
  <si>
    <t>dr_casc_tot_sml</t>
  </si>
  <si>
    <t>dr_rshop_baa_sml</t>
  </si>
  <si>
    <t>dr_rshop_da_sml</t>
  </si>
  <si>
    <t>dr_rshop_tot_sml</t>
  </si>
  <si>
    <t>dr_smlrural_baa_sml</t>
  </si>
  <si>
    <t>dr_smlrural_da_sml</t>
  </si>
  <si>
    <t>dr_smlrural_tot_sml</t>
  </si>
  <si>
    <t>dr_other_baa_sml</t>
  </si>
  <si>
    <t>dr_other_da_sml</t>
  </si>
  <si>
    <t>dr_other_tot_sml</t>
  </si>
  <si>
    <t>ezcasea_sml</t>
  </si>
  <si>
    <t>ezcaseb_sml</t>
  </si>
  <si>
    <t>ezfreeports_sml</t>
  </si>
  <si>
    <t>dr_tot_baa_sml</t>
  </si>
  <si>
    <t>dr_tot_da_sml</t>
  </si>
  <si>
    <t>dr_estgrow_baa_sml</t>
  </si>
  <si>
    <t>dr_estgrow_da_sml</t>
  </si>
  <si>
    <t>dr_fcast_baa_sml</t>
  </si>
  <si>
    <t>dr_fcast_da_sml</t>
  </si>
  <si>
    <t>dr_fcast_tot_sml</t>
  </si>
  <si>
    <t>smlsup_baa_sml</t>
  </si>
  <si>
    <t>smlsup_da_sml</t>
  </si>
  <si>
    <t>smlsup_tot_sml</t>
  </si>
  <si>
    <t>localnews_baa_sml</t>
  </si>
  <si>
    <t>localnews_da_sml</t>
  </si>
  <si>
    <t>localnews_tot_sml</t>
  </si>
  <si>
    <t>drs31_rhl_baa_sml</t>
  </si>
  <si>
    <t>drs31_rhl_da_sml</t>
  </si>
  <si>
    <t>drs31_rhl_tot_sml</t>
  </si>
  <si>
    <t>drs31_lowcarbheat_baa_sml</t>
  </si>
  <si>
    <t>drs31_lowcarbheat_da_sml</t>
  </si>
  <si>
    <t>drs31_lowcarbheat_tot_sml</t>
  </si>
  <si>
    <t>drs31_placeholder_baa_sml</t>
  </si>
  <si>
    <t>drs31_placeholder_da_sml</t>
  </si>
  <si>
    <t>drs31_placeholder_tot_sml</t>
  </si>
  <si>
    <t>drs31_tot_baa_sml</t>
  </si>
  <si>
    <t>drs31_tot_da_sml</t>
  </si>
  <si>
    <t>drs31_estgrow_baa_sml</t>
  </si>
  <si>
    <t>drs31_estgrow_da_sml</t>
  </si>
  <si>
    <t>drs31_fcast_baa_sml</t>
  </si>
  <si>
    <t>drs31_fcast_da_sml</t>
  </si>
  <si>
    <t>drs31_fcast_tot_sml</t>
  </si>
  <si>
    <t>netrates_baa_std</t>
  </si>
  <si>
    <t>netrates_da_std</t>
  </si>
  <si>
    <t>netrates_tot_std</t>
  </si>
  <si>
    <t>totrv_baa_std</t>
  </si>
  <si>
    <t>totrv_da_std</t>
  </si>
  <si>
    <t>totrv_tot_std</t>
  </si>
  <si>
    <t>sbrmultiple_std</t>
  </si>
  <si>
    <t>grsrate_baa_std</t>
  </si>
  <si>
    <t>grsrate_da_std</t>
  </si>
  <si>
    <t>grsrate_estgrow_baa_std</t>
  </si>
  <si>
    <t>grsrate_estgrow_da_std</t>
  </si>
  <si>
    <t>grsrate_fcast_baa_std</t>
  </si>
  <si>
    <t>grsrate_fcast_da_std</t>
  </si>
  <si>
    <t>grsrate_fcast_tot_std</t>
  </si>
  <si>
    <t>transarr_fgone_baa_std</t>
  </si>
  <si>
    <t>transarr_fgone_da_std</t>
  </si>
  <si>
    <t>transarr_fgone_tot_std</t>
  </si>
  <si>
    <t>transarr_estgrow_baa_std</t>
  </si>
  <si>
    <t>transarr_estgrow_da_std</t>
  </si>
  <si>
    <t>tpp_tot_baa_std</t>
  </si>
  <si>
    <t>tpp_tot_da_std</t>
  </si>
  <si>
    <t>tpp_tot_tot_std</t>
  </si>
  <si>
    <t>sbrr_fcastpy_baa_std</t>
  </si>
  <si>
    <t>sbrr_fcastpy_da_std</t>
  </si>
  <si>
    <t>sbrr_fcastpy_tot_std</t>
  </si>
  <si>
    <t>sbrrsecprop_baa_std</t>
  </si>
  <si>
    <t>sbrrsecprop_da_std</t>
  </si>
  <si>
    <t>sbrrsecprop_tot_std</t>
  </si>
  <si>
    <t>mr_charity_baa_std</t>
  </si>
  <si>
    <t>mr_charity_da_std</t>
  </si>
  <si>
    <t>mr_charity_tot_std</t>
  </si>
  <si>
    <t>mr_casc_baa_std</t>
  </si>
  <si>
    <t>mr_casc_da_std</t>
  </si>
  <si>
    <t>mr_casc_tot_std</t>
  </si>
  <si>
    <t>mr_rural_baa_std</t>
  </si>
  <si>
    <t>mr_rural_da_std</t>
  </si>
  <si>
    <t>mr_rural_tot_std</t>
  </si>
  <si>
    <t>mr_toilets_baa_std</t>
  </si>
  <si>
    <t>mr_toilets_da_std</t>
  </si>
  <si>
    <t>mr_toilets_tot_std</t>
  </si>
  <si>
    <t>mr_tot_baa_std</t>
  </si>
  <si>
    <t>mr_tot_da_std</t>
  </si>
  <si>
    <t>mr_estgrow_baa_std</t>
  </si>
  <si>
    <t>mr_estgrow_da_std</t>
  </si>
  <si>
    <t>mr_fcast_baa_std</t>
  </si>
  <si>
    <t>mr_fcast_da_std</t>
  </si>
  <si>
    <t>mr_fcast_tot_std</t>
  </si>
  <si>
    <t>partocc_baa_std</t>
  </si>
  <si>
    <t>partocc_da_std</t>
  </si>
  <si>
    <t>partocc_tot_std</t>
  </si>
  <si>
    <t>empty_baa_std</t>
  </si>
  <si>
    <t>empty_da_std</t>
  </si>
  <si>
    <t>empty_tot_std</t>
  </si>
  <si>
    <t>emptytot_baa_std</t>
  </si>
  <si>
    <t>emptytot_da_std</t>
  </si>
  <si>
    <t>emptytot_estgrow_baa_std</t>
  </si>
  <si>
    <t>emptytot_estgrow_da_std</t>
  </si>
  <si>
    <t>emptytot_fcast_baa_std</t>
  </si>
  <si>
    <t>emptytot_fcast_da_std</t>
  </si>
  <si>
    <t>emptytot_fcast_tot_std</t>
  </si>
  <si>
    <t>dr_charity_baa_std</t>
  </si>
  <si>
    <t>dr_charity_da_std</t>
  </si>
  <si>
    <t>dr_charity_tot_std</t>
  </si>
  <si>
    <t>dr_nonprof_baa_std</t>
  </si>
  <si>
    <t>dr_nonprof_da_std</t>
  </si>
  <si>
    <t>dr_nonprof_tot_std</t>
  </si>
  <si>
    <t>dr_casc_baa_std</t>
  </si>
  <si>
    <t>dr_casc_da_std</t>
  </si>
  <si>
    <t>dr_casc_tot_std</t>
  </si>
  <si>
    <t>dr_rshop_baa_std</t>
  </si>
  <si>
    <t>dr_rshop_da_std</t>
  </si>
  <si>
    <t>dr_rshop_tot_std</t>
  </si>
  <si>
    <t>dr_smlrural_baa_std</t>
  </si>
  <si>
    <t>dr_smlrural_da_std</t>
  </si>
  <si>
    <t>dr_smlrural_tot_std</t>
  </si>
  <si>
    <t>dr_other_baa_std</t>
  </si>
  <si>
    <t>dr_other_da_std</t>
  </si>
  <si>
    <t>dr_other_tot_std</t>
  </si>
  <si>
    <t>ezcasea_std</t>
  </si>
  <si>
    <t>ezcaseb_std</t>
  </si>
  <si>
    <t>ezfreeports_std</t>
  </si>
  <si>
    <t>dr_tot_baa_std</t>
  </si>
  <si>
    <t>dr_tot_da_std</t>
  </si>
  <si>
    <t>dr_estgrow_baa_std</t>
  </si>
  <si>
    <t>dr_estgrow_da_std</t>
  </si>
  <si>
    <t>dr_fcast_baa_std</t>
  </si>
  <si>
    <t>dr_fcast_da_std</t>
  </si>
  <si>
    <t>dr_fcast_tot_std</t>
  </si>
  <si>
    <t>smlsup_baa_std</t>
  </si>
  <si>
    <t>smlsup_da_std</t>
  </si>
  <si>
    <t>smlsup_tot_std</t>
  </si>
  <si>
    <t>localnews_baa_std</t>
  </si>
  <si>
    <t>localnews_da_std</t>
  </si>
  <si>
    <t>localnews_tot_std</t>
  </si>
  <si>
    <t>drs31_rhl_baa_std</t>
  </si>
  <si>
    <t>drs31_rhl_da_std</t>
  </si>
  <si>
    <t>drs31_rhl_tot_std</t>
  </si>
  <si>
    <t>drs31_lowcarbheat_baa_std</t>
  </si>
  <si>
    <t>drs31_lowcarbheat_da_std</t>
  </si>
  <si>
    <t>drs31_lowcarbheat_tot_std</t>
  </si>
  <si>
    <t>drs31_placeholder_baa_std</t>
  </si>
  <si>
    <t>drs31_placeholder_da_std</t>
  </si>
  <si>
    <t>drs31_placeholder_tot_std</t>
  </si>
  <si>
    <t>drs31_tot_baa_std</t>
  </si>
  <si>
    <t>drs31_tot_da_std</t>
  </si>
  <si>
    <t>drs31_estgrow_baa_std</t>
  </si>
  <si>
    <t>drs31_estgrow_da_std</t>
  </si>
  <si>
    <t>drs31_fcast_baa_std</t>
  </si>
  <si>
    <t>drs31_fcast_da_std</t>
  </si>
  <si>
    <t>drs31_fcast_tot_std</t>
  </si>
  <si>
    <t>drs31_renewimp_baa_std</t>
  </si>
  <si>
    <t>drs31_renewimp_da_std</t>
  </si>
  <si>
    <t>drs31_renewimp_tot_std</t>
  </si>
  <si>
    <t>drs31_renewimp_baa_sml</t>
  </si>
  <si>
    <t>drs31_renewimp_da_sml</t>
  </si>
  <si>
    <t>drs31_renewimp_tot_sml</t>
  </si>
  <si>
    <t>drs31_renewimp_baa</t>
  </si>
  <si>
    <t>drs31_renewimp_da</t>
  </si>
  <si>
    <t>drs31_renewimp_tot</t>
  </si>
  <si>
    <t>adj_factor_sml</t>
  </si>
  <si>
    <t>adj_factor_std</t>
  </si>
  <si>
    <t>hdit_s31_lowcarbheat</t>
  </si>
  <si>
    <t>hdit_rates_empty</t>
  </si>
  <si>
    <t>hdit_mr_empty_prev</t>
  </si>
  <si>
    <t>hdit_mr_empty_multi</t>
  </si>
  <si>
    <t>netrates_occupied</t>
  </si>
  <si>
    <t>netrates_unoccupied</t>
  </si>
  <si>
    <t>val_emptyind_pydif</t>
  </si>
  <si>
    <t>val_emptylisted_pydif</t>
  </si>
  <si>
    <t>val_emptycasc_pydif</t>
  </si>
  <si>
    <t>val_emptycharity_pydif</t>
  </si>
  <si>
    <t>val_emptyother_pydif</t>
  </si>
  <si>
    <t>val_emptyabove_pydif</t>
  </si>
  <si>
    <t>val_emptyind_pypdif</t>
  </si>
  <si>
    <t>val_emptylisted_pypdif</t>
  </si>
  <si>
    <t>val_emptycasc_pypdif</t>
  </si>
  <si>
    <t>val_emptycharity_pypdif</t>
  </si>
  <si>
    <t>val_emptyother_pypdif</t>
  </si>
  <si>
    <t>val_emptyabove_pypdif</t>
  </si>
  <si>
    <t>val_emptyind_com</t>
  </si>
  <si>
    <t>val_emptylisted_com</t>
  </si>
  <si>
    <t>val_emptycasc_com</t>
  </si>
  <si>
    <t>val_emptycharity_com</t>
  </si>
  <si>
    <t>val_emptyother_com</t>
  </si>
  <si>
    <t>val_emptyabove_com</t>
  </si>
  <si>
    <t>val_emptyind_com_text</t>
  </si>
  <si>
    <t>val_emptylisted_com_text</t>
  </si>
  <si>
    <t>val_emptycasc_com_text</t>
  </si>
  <si>
    <t>val_emptycharity_com_text</t>
  </si>
  <si>
    <t>val_emptyother_com_text</t>
  </si>
  <si>
    <t>val_emptyabove_com_text</t>
  </si>
  <si>
    <t xml:space="preserve">9. Transfers/payments to the Collection Fund for end-year reconciliations </t>
  </si>
  <si>
    <r>
      <t xml:space="preserve">11. Total Other Credits </t>
    </r>
    <r>
      <rPr>
        <sz val="12"/>
        <rFont val="Arial"/>
        <family val="2"/>
      </rPr>
      <t>(Total lines 8 to 10)</t>
    </r>
  </si>
  <si>
    <r>
      <t xml:space="preserve">19. Total Other Charges </t>
    </r>
    <r>
      <rPr>
        <sz val="12"/>
        <rFont val="Arial"/>
        <family val="2"/>
      </rPr>
      <t>(Total lines 12 to 18)</t>
    </r>
  </si>
  <si>
    <t>20. Opening balance plus total credits, less total charges (Total lines 1, 7, 11,19)</t>
  </si>
  <si>
    <t>Gross rates payable in year</t>
  </si>
  <si>
    <t>Cost of discretionary relief</t>
  </si>
  <si>
    <t>Cost of accounting adjustments for losses on collection</t>
  </si>
  <si>
    <t>Cost of accounting adjustments for addition to appeals provision</t>
  </si>
  <si>
    <t>Collectable Rates</t>
  </si>
  <si>
    <t>Cost of transitional arrangements</t>
  </si>
  <si>
    <t>Part 2, Line 5</t>
  </si>
  <si>
    <t>Part 2, Line 8</t>
  </si>
  <si>
    <t>Part 3, Line 2</t>
  </si>
  <si>
    <t>Part 3, Line 3</t>
  </si>
  <si>
    <t>Part 1, Line 1</t>
  </si>
  <si>
    <t>28a. Additional compensation for loss of supplementary multipler income</t>
  </si>
  <si>
    <t>29. Cost to authorities of maintaining relief on "first" property</t>
  </si>
  <si>
    <t xml:space="preserve">30. Cost to authorities of providing 100% rural rate relief </t>
  </si>
  <si>
    <t>37. Cost to authorities of providing relief</t>
  </si>
  <si>
    <t>38. Cost to authorities of providing relief</t>
  </si>
  <si>
    <t>8. Sum due to/(from) authority</t>
  </si>
  <si>
    <r>
      <t xml:space="preserve">10. </t>
    </r>
    <r>
      <rPr>
        <i/>
        <sz val="12"/>
        <rFont val="Arial"/>
        <family val="2"/>
      </rPr>
      <t>of which:</t>
    </r>
    <r>
      <rPr>
        <sz val="12"/>
        <rFont val="Arial"/>
        <family val="2"/>
      </rPr>
      <t xml:space="preserve"> relief on existing properties where a 2nd property is occupied</t>
    </r>
  </si>
  <si>
    <t>Proportions Small and Standard</t>
  </si>
  <si>
    <t>Small</t>
  </si>
  <si>
    <t>BA</t>
  </si>
  <si>
    <t>Standard</t>
  </si>
  <si>
    <t>s31_sbrrmcap_ndri_ba</t>
  </si>
  <si>
    <t>s31_sbrrmcap_ndri_mpa</t>
  </si>
  <si>
    <t>s31_sbrrmcap_ndri_fra</t>
  </si>
  <si>
    <t>s31_sbrrmcap_ndri_tot</t>
  </si>
  <si>
    <t>s31_sbrrmcap_relief_ba</t>
  </si>
  <si>
    <t>s31_sbrrmcap_relief_mpa</t>
  </si>
  <si>
    <t>s31_sbrrmcap_relief_fra</t>
  </si>
  <si>
    <t>s31_sbrrmcap_relief_tot</t>
  </si>
  <si>
    <t>s31_renewimp_ba</t>
  </si>
  <si>
    <t>s31_renewimp_mpa</t>
  </si>
  <si>
    <t>s31_renewimp_fra</t>
  </si>
  <si>
    <t>s31_renewimp_tot</t>
  </si>
  <si>
    <t>small_share_baa</t>
  </si>
  <si>
    <t>small_share_da</t>
  </si>
  <si>
    <t>small_share_tot</t>
  </si>
  <si>
    <t>standard_share_baa</t>
  </si>
  <si>
    <t>standard_share_da</t>
  </si>
  <si>
    <t>standard_share_tot</t>
  </si>
  <si>
    <t>netrates_baa_sml</t>
  </si>
  <si>
    <t>netrates_da_sml</t>
  </si>
  <si>
    <t>netrates_tot_sml</t>
  </si>
  <si>
    <t>Additional compensation for loss of supplementary multipler income - SBRR RV BA
Oct 2018 exercise - updated with Jan revisions to NNDR3</t>
  </si>
  <si>
    <t>Additional compensation for loss of supplementary multipler income - SBRR RV DA
Oct 2018 exercise</t>
  </si>
  <si>
    <t>Cost of mandatory relief</t>
  </si>
  <si>
    <t>confirm_disagg</t>
  </si>
  <si>
    <t>To use for any relief which is based on a set amount allocated to the authority. Set as a ridiculously high number by default so that in an emergency the 'placeholder' relief can work like a normal relief</t>
  </si>
  <si>
    <t>OTHER DISCRETIONARY RELIEF</t>
  </si>
  <si>
    <t>ii. Relief awarded by the billing authority</t>
  </si>
  <si>
    <t>i. Relief awarded under s.47 where a Mayoral Development Corporation has assumed functions under section 47(3) and 47(6) of the 1988 Act.</t>
  </si>
  <si>
    <t>Does the LA have an MDC who might grant s.47 relief?</t>
  </si>
  <si>
    <t>value_dr_other_s47</t>
  </si>
  <si>
    <t>value_dr_other_mdc</t>
  </si>
  <si>
    <t>value_dr_other_ba</t>
  </si>
  <si>
    <t>Investment Zones relief</t>
  </si>
  <si>
    <t>s31_investzone_ba</t>
  </si>
  <si>
    <t>s31_investzone_mpa</t>
  </si>
  <si>
    <t>s31_investzone_fra</t>
  </si>
  <si>
    <t>s31_investzone_tot</t>
  </si>
  <si>
    <t>ezinvestzone_baa</t>
  </si>
  <si>
    <t>ezinvestzone_da</t>
  </si>
  <si>
    <t>ezinvestzone_tot</t>
  </si>
  <si>
    <t>ezinvestzone_baa_sml</t>
  </si>
  <si>
    <t>ezinvestzone_da_sml</t>
  </si>
  <si>
    <t>ezinvestzone_tot_sml</t>
  </si>
  <si>
    <t>ezinvestzone_baa_std</t>
  </si>
  <si>
    <t>ezinvestzone_da_std</t>
  </si>
  <si>
    <t>ezinvestzone_tot_std</t>
  </si>
  <si>
    <t>Part 1 P248 (penultimate row)</t>
  </si>
  <si>
    <t>Part 1 S248 (penultimate row)</t>
  </si>
  <si>
    <t>Part 1 F261 (penultimate row)</t>
  </si>
  <si>
    <t>Part 1 F262 (last row)</t>
  </si>
  <si>
    <t>Supplementary adjustment factor is set in the provisional settlement and we need to enter it somewhere in the form. Various formulae look this up</t>
  </si>
  <si>
    <t>Control for Investment Zones</t>
  </si>
  <si>
    <t>Has an Investment Zone</t>
  </si>
  <si>
    <t>This is in pounds because it's part of a calculation in pounds, needs to be multiplied by 100 when used for gross rates</t>
  </si>
  <si>
    <t>COLLECTABLE RATES</t>
  </si>
  <si>
    <t>4.  Estimated growth/decline in gross rates                               (+ = increase, - = decrease)</t>
  </si>
  <si>
    <t>Cost of retail, hospitality and leisure relief</t>
  </si>
  <si>
    <t>Sandwell and Dudley Growth Zone</t>
  </si>
  <si>
    <t>Various cells in the EZ list column N</t>
  </si>
  <si>
    <t>See "2024 DA numbers for NNDR1"</t>
  </si>
  <si>
    <t>COST OF COLLECTION (See Note B)</t>
  </si>
  <si>
    <t>9.  Amounts retained in respect of Renewable Energy Schemes
(See Note C)</t>
  </si>
  <si>
    <t>10. Amounts retained in respect of Shale Oil and Gas Sites Schemes (See Note D)</t>
  </si>
  <si>
    <t>PART 1C: SECTION 31 GRANT (See Note E)</t>
  </si>
  <si>
    <t>PART 2: RELIEFS AND NET RATES PAYABLE (See Note F)</t>
  </si>
  <si>
    <t>GROSS RATES PAYABLE
(All data should be entered as +ve unless specified otherwise) - See Note G</t>
  </si>
  <si>
    <t xml:space="preserve">TRANSITIONAL ARRANGEMENTS (See Note H) </t>
  </si>
  <si>
    <t>MANDATORY RELIEFS (See Note I) (All data should be entered as -ve unless specified otherwise)</t>
  </si>
  <si>
    <t>TRANSITIONAL PROTECTION PAYMENTS</t>
  </si>
  <si>
    <t>UNOCCUPIED PROPERTY (See Note K) (All data should be entered as -ve unless specified otherwise)</t>
  </si>
  <si>
    <t>Public Lavatories relief (See note J)</t>
  </si>
  <si>
    <t>DISCRETIONARY RELIEFS (See Note L) (All data should be entered as -ve unless specified otherwise)</t>
  </si>
  <si>
    <t>DISCRETIONARY RELIEFS FUNDED THROUGH SECTION 31 GRANT
(See Note N) (All data should be entered as -ve unless specified otherwise)</t>
  </si>
  <si>
    <t>Historic SBRR supplement
 (Pt 1c Line 28a only)</t>
  </si>
  <si>
    <t>Part 1 F257</t>
  </si>
  <si>
    <t>SBRR supplement multiplier for use in the "Additional compensation for loss of supplementary multipler income" calculation. This is the historic multiplier that is then applied to fixed SBRR values.</t>
  </si>
  <si>
    <t>sbrr_supp_historic</t>
  </si>
  <si>
    <t>Section</t>
  </si>
  <si>
    <t>2025-26</t>
  </si>
  <si>
    <t xml:space="preserve">The payments to be made, during the course of 2025-26 to: </t>
  </si>
  <si>
    <t>12. % of non-domestic rating income to be allocated to each authority in 2025-26</t>
  </si>
  <si>
    <t>Non-Domestic Rating Income for 2025-26</t>
  </si>
  <si>
    <t>Other Income for 2025-26</t>
  </si>
  <si>
    <t>23. Surplus/Deficit at end of 2024-25 (+ve = surplus, -ve = deficit)</t>
  </si>
  <si>
    <t>28. Cost of doubling SBRR &amp; threshold changes for 2025-26</t>
  </si>
  <si>
    <t>This section of the form is for you to enter the gross rates value and the amount of various business rates reliefs forecast for 2025-26. This will then calculate the forecast net rates payable. These values also populate the section 31 payment calculations in Part 1.</t>
  </si>
  <si>
    <t>2. Multiplier for 2025-26 (pence)</t>
  </si>
  <si>
    <t>3.  Gross rates 2025-26 (RV x multiplier)</t>
  </si>
  <si>
    <t>5. Forecast gross rates payable in 2025-26</t>
  </si>
  <si>
    <t>9. Forecast of relief to be provided in 2025-26</t>
  </si>
  <si>
    <t>11. Forecast of relief to be provided in 2025-26</t>
  </si>
  <si>
    <t>12. Forecast of relief to be provided in 2025-26</t>
  </si>
  <si>
    <t>13. Forecast of relief to be provided in 2025-26</t>
  </si>
  <si>
    <t>14. Forecast of relief to be provided in 2025-26</t>
  </si>
  <si>
    <t>15. Forecast of relief to be provided in 2025-26</t>
  </si>
  <si>
    <t>20. Forecast of 'relief' to be provided in 2025-26</t>
  </si>
  <si>
    <t>25. Forecast of relief to be provided in 2025-26</t>
  </si>
  <si>
    <t>26. Forecast of relief to be provided in 2025-26</t>
  </si>
  <si>
    <t>27. Forecast of relief to be provided in 2025-26</t>
  </si>
  <si>
    <t>28. Forecast of relief to be provided in 2025-26</t>
  </si>
  <si>
    <t>37. Forecast of relief to be provided in 2025-26</t>
  </si>
  <si>
    <t>38. Forecast of relief to be provided in 2025-26</t>
  </si>
  <si>
    <t>2. Estimated bad debts in respect of 2025-26 rates payable</t>
  </si>
  <si>
    <t xml:space="preserve">3. Estimated repayments in respect of 2025-26 rates payable </t>
  </si>
  <si>
    <t>Estimated bad debts in respect of 2025-26 rates payable</t>
  </si>
  <si>
    <t xml:space="preserve">Estimated repayments in respect of 2025-26 rates payable </t>
  </si>
  <si>
    <t>2. Business rates credited and charged to the Collection Fund in 2024-25 (enter as +ve)</t>
  </si>
  <si>
    <t>8. Transitional protection payments received, or to be received in 2024-25</t>
  </si>
  <si>
    <t>10. Transfers/payments into the Collection Fund in 2024-25 in respect of a previous year's deficit</t>
  </si>
  <si>
    <t>12. Transitional protection payments made, or to be made, in 2024-25</t>
  </si>
  <si>
    <t xml:space="preserve">13. Payments made, or to be made, to the Secretary of State in respect of the central share
in 2024-25 </t>
  </si>
  <si>
    <t>14. Payments made, or to be made to, major precepting authorities in respect of business 
rates income 2024-25</t>
  </si>
  <si>
    <t>15. Transfers made, or to be made, to the billing authority's General Fund in respect of business rates income in 2024-25</t>
  </si>
  <si>
    <t>16. Transfers made, or to be made, to the billing authority's General Fund; and payments made, or to be made, to a precepting authority in respect of disregarded amounts in 2024-25</t>
  </si>
  <si>
    <t>18. Transfers/payments made from the Collection Fund in 2024-25 in respect of a previous year's surplus</t>
  </si>
  <si>
    <t xml:space="preserve">ESTIMATED SURPLUS/(DEFICIT) ON COLLECTION FUND IN RESPECT OF FINANCIAL YEAR 2024-25 - Surplus (positive), Deficit (Negative) </t>
  </si>
  <si>
    <t>Number of hereditaments that were being granted relief as at
31 December 2024*</t>
  </si>
  <si>
    <t>PART 1 : NUMBERS OF HEREDITAMENTS THAT WERE BEING GRANTED RELIEF
AS AT 31 DECEMBER 2024 *</t>
  </si>
  <si>
    <t>a. Number of hereditaments that were being granted charitable relief as at 31 December 2024*</t>
  </si>
  <si>
    <t>b. Number of hereditaments that were being granted Community Amateur Sports Clubs relief as at 31 December 2024*</t>
  </si>
  <si>
    <t>c. Number of hereditaments that were being granted rural general stores, post offices, public houses, petrol filling stations and food shops relief as at 31 December 2024*</t>
  </si>
  <si>
    <t>d.  Number of hereditaments that were due public lavatories relief as at 31 December 2024*</t>
  </si>
  <si>
    <t>e. Number of hereditaments that were being granted partly occupied premises relief as at 31 December 2024*</t>
  </si>
  <si>
    <t>f. Number of hereditaments that were being granted empty property relief as at 31 December 2024*</t>
  </si>
  <si>
    <t>* The data should be as at 31 December 2024 or as soon as possible after that date.</t>
  </si>
  <si>
    <t>NATIONAL NON-DOMESTIC RATES (SUPPLEMENTARY) RETURN 2025-26</t>
  </si>
  <si>
    <t>PART 2 : ESTIMATED VALUE OF RELIEF TO BE GRANTED IN 2025-26
(enter values as -ve)</t>
  </si>
  <si>
    <t>Amount of relief to be granted in 2025-26
(£)</t>
  </si>
  <si>
    <t>a. Estimated value of empty property relief to be granted in 2025-26</t>
  </si>
  <si>
    <t>c. Estimated value of other discretionary relief to be granted in 2025-26</t>
  </si>
  <si>
    <t>MHCLG only</t>
  </si>
  <si>
    <t>The note 'NNDR1 Validation Checks 2025-26'  provides further details on the validations we carry out.   Please consult this when completing this validation sheet</t>
  </si>
  <si>
    <t>2025-26 form</t>
  </si>
  <si>
    <t>2025-26 upper tier proportion</t>
  </si>
  <si>
    <t>2025-26 fire proportion</t>
  </si>
  <si>
    <t>2025-26 Sum</t>
  </si>
  <si>
    <t>Uprated Baseline for 2025-26</t>
  </si>
  <si>
    <t>Data taken from NNDR1 2024-25</t>
  </si>
  <si>
    <t>Data taken from NNDR1(Supplementary) 2024-25</t>
  </si>
  <si>
    <t>UA Ecode</t>
  </si>
  <si>
    <t>BA share</t>
  </si>
  <si>
    <t>UT ecode</t>
  </si>
  <si>
    <t>FRA ecode</t>
  </si>
  <si>
    <t>FRA share</t>
  </si>
  <si>
    <t>Improvement relief</t>
  </si>
  <si>
    <t>Film Studio relief</t>
  </si>
  <si>
    <t>39. Forecast of relief to be provided in 2025-26</t>
  </si>
  <si>
    <t>drs31_improv_baa</t>
  </si>
  <si>
    <t>drs31_improv_da</t>
  </si>
  <si>
    <t>drs31_improv_tot</t>
  </si>
  <si>
    <t>drs31_film_baa</t>
  </si>
  <si>
    <t>drs31_film_da</t>
  </si>
  <si>
    <t>drs31_film_tot</t>
  </si>
  <si>
    <t>drs31_improv_baa_sml</t>
  </si>
  <si>
    <t>drs31_improv_da_sml</t>
  </si>
  <si>
    <t>drs31_improv_tot_sml</t>
  </si>
  <si>
    <t>drs31_film_baa_sml</t>
  </si>
  <si>
    <t>drs31_film_da_sml</t>
  </si>
  <si>
    <t>drs31_film_tot_sml</t>
  </si>
  <si>
    <t>drs31_improv_baa_std</t>
  </si>
  <si>
    <t>drs31_improv_da_std</t>
  </si>
  <si>
    <t>drs31_improv_tot_std</t>
  </si>
  <si>
    <t>drs31_film_baa_std</t>
  </si>
  <si>
    <t>drs31_film_da_std</t>
  </si>
  <si>
    <t>drs31_film_tot_std</t>
  </si>
  <si>
    <t>39. Cost to authorities of providing relief</t>
  </si>
  <si>
    <t>s31_improv_ba</t>
  </si>
  <si>
    <t>s31_improv_mpa</t>
  </si>
  <si>
    <t>s31_improv_fra</t>
  </si>
  <si>
    <t>s31_improv_tot</t>
  </si>
  <si>
    <t>s31_film_ba</t>
  </si>
  <si>
    <t>s31_film_mpa</t>
  </si>
  <si>
    <t>s31_film_fra</t>
  </si>
  <si>
    <t>s31_film_tot</t>
  </si>
  <si>
    <r>
      <rPr>
        <b/>
        <sz val="14"/>
        <rFont val="Arial"/>
        <family val="2"/>
      </rPr>
      <t xml:space="preserve">   </t>
    </r>
    <r>
      <rPr>
        <b/>
        <u/>
        <sz val="14"/>
        <rFont val="Arial"/>
        <family val="2"/>
      </rPr>
      <t>Hereditaments using the small multiplier</t>
    </r>
  </si>
  <si>
    <t>AssetComments4</t>
  </si>
  <si>
    <t>AssetComments5</t>
  </si>
  <si>
    <t>RowNumber</t>
  </si>
  <si>
    <t>BIGINT</t>
  </si>
  <si>
    <t>Part_1_Line_1_Col1</t>
  </si>
  <si>
    <t>Part1_Income</t>
  </si>
  <si>
    <t>Part2_Reliefs</t>
  </si>
  <si>
    <t>Part3_CollectableRates</t>
  </si>
  <si>
    <t>Part2_Reliefs_Standard</t>
  </si>
  <si>
    <t>Part2_Reliefs_Small</t>
  </si>
  <si>
    <t>Part4_CollectionFund</t>
  </si>
  <si>
    <t>Supplementary_Information</t>
  </si>
  <si>
    <t>Part3DA_DesignatedAreas</t>
  </si>
  <si>
    <t>Main_Validation</t>
  </si>
  <si>
    <t>Supplementary_Validation</t>
  </si>
  <si>
    <t>VARCHAR(100)</t>
  </si>
  <si>
    <t>Name of the Form</t>
  </si>
  <si>
    <t>Form Version</t>
  </si>
  <si>
    <t>The Organisation ID for the Local Authority submitting the Form</t>
  </si>
  <si>
    <t>VARCHAR(MAX)</t>
  </si>
  <si>
    <t>The Local Authority submitting the Form</t>
  </si>
  <si>
    <t>INT</t>
  </si>
  <si>
    <t>The collection period</t>
  </si>
  <si>
    <t>The contact name of the person submitting the form</t>
  </si>
  <si>
    <t>The contact Telephone Number of the person submitting the form</t>
  </si>
  <si>
    <t>The contact email address of the person submitting the form</t>
  </si>
  <si>
    <t>Local Authority type</t>
  </si>
  <si>
    <t>Local Authority region</t>
  </si>
  <si>
    <t>Local Authority ONS code</t>
  </si>
  <si>
    <t>Transitional sums due to LA</t>
  </si>
  <si>
    <t>Transitional sums due from LA</t>
  </si>
  <si>
    <t>Cost of collection for LA, from formula</t>
  </si>
  <si>
    <t>Legal costs of collection</t>
  </si>
  <si>
    <t>Total allowance for cost of collection</t>
  </si>
  <si>
    <t>City of London offset</t>
  </si>
  <si>
    <t>Amounts retained in respect of Designated Areas</t>
  </si>
  <si>
    <t>Amounts retained in respect of Renewable Energy Schemes (see Note B)</t>
  </si>
  <si>
    <t>Renewable Energy amount retained by billing authority</t>
  </si>
  <si>
    <t>Renewable Energy amount retained by major precepting authority</t>
  </si>
  <si>
    <t>Amounts retained in respect of Shale Oil and Gas Sites Schemes (see Note C)</t>
  </si>
  <si>
    <t>Net business rates income</t>
  </si>
  <si>
    <t>DECIMAL(15,5)</t>
  </si>
  <si>
    <t>Part_1_Line_12_Col1</t>
  </si>
  <si>
    <t>% of business rates income (CG)</t>
  </si>
  <si>
    <t>Part_1_Line_12_Col2</t>
  </si>
  <si>
    <t>% of business rates income (BA)</t>
  </si>
  <si>
    <t>Part_1_Line_12_Col3</t>
  </si>
  <si>
    <t>% of business rates income (UA)</t>
  </si>
  <si>
    <t>Part_1_Line_12_Col4</t>
  </si>
  <si>
    <t>% of business rates income (FRA)</t>
  </si>
  <si>
    <t>Part_1_Line_12_Col5</t>
  </si>
  <si>
    <t>% of business rates income (Total)</t>
  </si>
  <si>
    <t>Part_1_Line_13_Col1</t>
  </si>
  <si>
    <t>Gross business rates income (CG)</t>
  </si>
  <si>
    <t>Part_1_Line_13_Col2</t>
  </si>
  <si>
    <t>Gross business rates income (BA)</t>
  </si>
  <si>
    <t>Part_1_Line_13_Col3</t>
  </si>
  <si>
    <t>Gross business rates income (UA)</t>
  </si>
  <si>
    <t>Part_1_Line_13_Col4</t>
  </si>
  <si>
    <t>Gross business rates income (FRA)</t>
  </si>
  <si>
    <t>Part_1_Line_13_Col5</t>
  </si>
  <si>
    <t>Gross business rates income (Total)</t>
  </si>
  <si>
    <t>Part_1_Line_14_Col1</t>
  </si>
  <si>
    <t>Deductions from central share (CG)</t>
  </si>
  <si>
    <t>Part_1_Line_14_Col2</t>
  </si>
  <si>
    <t>Deductions from central share (BA)</t>
  </si>
  <si>
    <t>Part_1_Line_14_Col3</t>
  </si>
  <si>
    <t>Deductions from central share (UA)</t>
  </si>
  <si>
    <t>Part_1_Line_14_Col4</t>
  </si>
  <si>
    <t>Deductions from central share (FRA)</t>
  </si>
  <si>
    <t>Part_1_Line_14_Col5</t>
  </si>
  <si>
    <t>Deductions from central share (Total)</t>
  </si>
  <si>
    <t>Part_1_Line_15_Col1</t>
  </si>
  <si>
    <t>Total business rates income (CG)</t>
  </si>
  <si>
    <t>Part_1_Line_15_Col2</t>
  </si>
  <si>
    <t>Total business rates income (BA)</t>
  </si>
  <si>
    <t>Part_1_Line_15_Col3</t>
  </si>
  <si>
    <t>Total business rates income (UA)</t>
  </si>
  <si>
    <t>Part_1_Line_15_Col4</t>
  </si>
  <si>
    <t>Total business rates income (FRA)</t>
  </si>
  <si>
    <t>Part_1_Line_15_Col5</t>
  </si>
  <si>
    <t>Total business rates income (Total)</t>
  </si>
  <si>
    <t>Part_1_Line_16_Col2</t>
  </si>
  <si>
    <t>Cost of collection allowance (BA)</t>
  </si>
  <si>
    <t>Part_1_Line_16_Col5</t>
  </si>
  <si>
    <t>Cost of collection allowance (Total)</t>
  </si>
  <si>
    <t>Part_1_Line_17_Col2</t>
  </si>
  <si>
    <t>Amounts retained in respect of Designated Areas (BA)</t>
  </si>
  <si>
    <t>Part_1_Line_17_Col3</t>
  </si>
  <si>
    <t>Amounts retained in respect of Designated Areas (UA)</t>
  </si>
  <si>
    <t>Part_1_Line_17_Col5</t>
  </si>
  <si>
    <t>Amounts retained in respect of Designated Areas (Total)</t>
  </si>
  <si>
    <t>Part_1_Line_18_Col2</t>
  </si>
  <si>
    <t>Amounts retained in respect of renewable energy schemes  (BA)</t>
  </si>
  <si>
    <t>Part_1_Line_18_Col3</t>
  </si>
  <si>
    <t>Amounts retained in respect of renewable energy schemes  (UA)</t>
  </si>
  <si>
    <t>Part_1_Line_18_Col5</t>
  </si>
  <si>
    <t>Amounts retained in respect of renewable energy schemes  (Total)</t>
  </si>
  <si>
    <t>Part_1_Line_19_Col2</t>
  </si>
  <si>
    <t>Amounts retained in respect of Shale oil and gas sites schemes (BA)</t>
  </si>
  <si>
    <t>Part_1_Line_19_Col3</t>
  </si>
  <si>
    <t>Amounts retained in respect of Shale oil and gas sites schemes (UA)</t>
  </si>
  <si>
    <t>Part_1_Line_19_Col4</t>
  </si>
  <si>
    <t>Amounts retained in respect of Shale oil and gas sites schemes (FRA)</t>
  </si>
  <si>
    <t>Part_1_Line_19_Col5</t>
  </si>
  <si>
    <t>Amounts retained in respect of Shale oil and gas sites schemes (Total)</t>
  </si>
  <si>
    <t>Part_1_Line_20_Col2</t>
  </si>
  <si>
    <t>Qualifying relief in Designated Areas (BA)</t>
  </si>
  <si>
    <t>Part_1_Line_20_Col3</t>
  </si>
  <si>
    <t>Qualifying relief in Designated Areas (UA)</t>
  </si>
  <si>
    <t>Part_1_Line_20_Col4</t>
  </si>
  <si>
    <t>Qualifying relief in Designated Areas (FRA)</t>
  </si>
  <si>
    <t>Part_1_Line_20_Col5</t>
  </si>
  <si>
    <t>Qualifying relief in Designated Areas (Total)</t>
  </si>
  <si>
    <t>Part_1_Line_21_Col2</t>
  </si>
  <si>
    <t>City of London Offset (BA)</t>
  </si>
  <si>
    <t>Part_1_Line_21_Col5</t>
  </si>
  <si>
    <t>City of London Offset (Total)</t>
  </si>
  <si>
    <t>Part_1_Line_22_Col2</t>
  </si>
  <si>
    <t>Relief in respect of Port of Bristol hereditament (BA)</t>
  </si>
  <si>
    <t>Part_1_Line_22_Col5</t>
  </si>
  <si>
    <t>Relief in respect of Port of Bristol hereditament (Total)</t>
  </si>
  <si>
    <t>Part_1_Line_23_Col1</t>
  </si>
  <si>
    <t>Estimated Surplus/Deficit at end of 2020-21 (CG)</t>
  </si>
  <si>
    <t>Part_1_Line_23_Col2</t>
  </si>
  <si>
    <t>Estimated Surplus/Deficit at end of 2020-22 (BA)</t>
  </si>
  <si>
    <t>Part_1_Line_23_Col3</t>
  </si>
  <si>
    <t>Estimated Surplus/Deficit at end of 2020-23 (UA)</t>
  </si>
  <si>
    <t>Part_1_Line_23_Col4</t>
  </si>
  <si>
    <t>Estimated Surplus/Deficit at end of 2020-24 (FRA)</t>
  </si>
  <si>
    <t>Part_1_Line_23_Col5</t>
  </si>
  <si>
    <t>Estimated Surplus/Deficit at end of 2020-25 (Total)</t>
  </si>
  <si>
    <t>Part_1_Line_24_Col1</t>
  </si>
  <si>
    <t>Total amount due to authority (CG)</t>
  </si>
  <si>
    <t>Part_1_Line_24_Col2</t>
  </si>
  <si>
    <t>Total amount due to authority (BA)</t>
  </si>
  <si>
    <t>Part_1_Line_24_Col3</t>
  </si>
  <si>
    <t>Total amount due to authority (UA)</t>
  </si>
  <si>
    <t>Part_1_Line_24_Col4</t>
  </si>
  <si>
    <t>Total amount due to authority (FRA)</t>
  </si>
  <si>
    <t>Part_1_Line_24_Col5</t>
  </si>
  <si>
    <t>Total amount due to authority (Total)</t>
  </si>
  <si>
    <t>Part_1_Line_25_Col2</t>
  </si>
  <si>
    <t>Cost of cap on small business rates multipliers in respect of net income (BA)</t>
  </si>
  <si>
    <t>Part_1_Line_25_Col3</t>
  </si>
  <si>
    <t>Cost of cap on small business rates multipliers in respect of net income (MPA)</t>
  </si>
  <si>
    <t>Part_1_Line_25_Col4</t>
  </si>
  <si>
    <t>Cost of cap on small business rates multipliers in respect of net income (FRA)</t>
  </si>
  <si>
    <t>Part_1_Line_25_Col5</t>
  </si>
  <si>
    <t>Cost of cap on small business rates multipliers in respect of net income (Total)</t>
  </si>
  <si>
    <t>Part_1_Line_26_Col2</t>
  </si>
  <si>
    <t>Cost of cap on small business rates multipliers in respect of relief compensation (BA)</t>
  </si>
  <si>
    <t>Part_1_Line_26_Col3</t>
  </si>
  <si>
    <t>Cost of cap on small business rates multipliers in respect of relief compensation (MPA)</t>
  </si>
  <si>
    <t>Part_1_Line_26_Col4</t>
  </si>
  <si>
    <t>Cost of cap on small business rates multipliers in respect of relief compensation (FRA)</t>
  </si>
  <si>
    <t>Part_1_Line_26_Col5</t>
  </si>
  <si>
    <t>Cost of cap on small business rates multipliers in respect of relief compensation (Total)</t>
  </si>
  <si>
    <t>Part_1_Line_27_Col2</t>
  </si>
  <si>
    <t>Cost of cap on small business rates multipliers (BA)</t>
  </si>
  <si>
    <t>Part_1_Line_27_Col3</t>
  </si>
  <si>
    <t>Cost of cap on small business rates multipliers (UA)</t>
  </si>
  <si>
    <t>Part_1_Line_27_Col4</t>
  </si>
  <si>
    <t>Cost of cap on small business rates multipliers (FRA)</t>
  </si>
  <si>
    <t>Part_1_Line_27_Col5</t>
  </si>
  <si>
    <t>Cost of cap on small business rates multipliers (Total)</t>
  </si>
  <si>
    <t>Cost of doubling SBRR &amp; threshold changes (BA)</t>
  </si>
  <si>
    <t>Cost of doubling SBRR &amp; threshold changes (UA)</t>
  </si>
  <si>
    <t>Cost of doubling SBRR &amp; threshold changes (FRA)</t>
  </si>
  <si>
    <t>Cost of doubling SBRR &amp; threshold changes (Total)</t>
  </si>
  <si>
    <t>Additional compensation for loss of supplementary multipler income (BA)</t>
  </si>
  <si>
    <t>Additional compensation for loss of supplementary multipler income (UA)</t>
  </si>
  <si>
    <t>Additional compensation for loss of supplementary multipler income (FRA)</t>
  </si>
  <si>
    <t>Additional compensation for loss of supplementary multipler income (Total)</t>
  </si>
  <si>
    <t>Cost to authorities of maintaining relief on "first" property (BA)</t>
  </si>
  <si>
    <t>Cost to authorities of maintaining relief on "first" property (UA)</t>
  </si>
  <si>
    <t>Cost to authorities of maintaining relief on "first" property (FRA)</t>
  </si>
  <si>
    <t>Cost to authorities of maintaining relief on "first" property (Total)</t>
  </si>
  <si>
    <t>Part_1_Line_28_Col2</t>
  </si>
  <si>
    <t>Cost to authorities of providing 100% rural rate relief  (BA)</t>
  </si>
  <si>
    <t>Part_1_Line_28_Col3</t>
  </si>
  <si>
    <t>Cost to authorities of providing 100% rural rate relief  (UA)</t>
  </si>
  <si>
    <t>Part_1_Line_28_Col4</t>
  </si>
  <si>
    <t>Cost to authorities of providing 100% rural rate relief  (FRA)</t>
  </si>
  <si>
    <t>Part_1_Line_28_Col5</t>
  </si>
  <si>
    <t>Cost to authorities of providing 100% rural rate relief  (Total)</t>
  </si>
  <si>
    <t>Part_1_Line_29_Col2</t>
  </si>
  <si>
    <t>Cost to authorities of providing relief in support of small businesses and in lieu of transitional relief in 2022-23 (BA)</t>
  </si>
  <si>
    <t>Part_1_Line_29_Col3</t>
  </si>
  <si>
    <t>Cost to authorities of providing relief in support of small businesses and in lieu of transitional relief in 2022-23 (UA)</t>
  </si>
  <si>
    <t>Part_1_Line_29_Col4</t>
  </si>
  <si>
    <t>Cost to authorities of providing relief in support of small businesses and in lieu of transitional relief in 2022-23 (FRA)</t>
  </si>
  <si>
    <t>Part_1_Line_29_Col5</t>
  </si>
  <si>
    <t>Cost to authorities of providing relief in support of small businesses and in lieu of transitional relief in 2022-23 (Total)</t>
  </si>
  <si>
    <t>Part_1_Line_30_Col2</t>
  </si>
  <si>
    <t>Cost to authorities of providing relief for 100% pilots (BA)</t>
  </si>
  <si>
    <t>Part_1_Line_30_Col3</t>
  </si>
  <si>
    <t>Cost to authorities of providing relief for 100% pilots (UA)</t>
  </si>
  <si>
    <t>Part_1_Line_30_Col4</t>
  </si>
  <si>
    <t>Cost to authorities of providing relief for 100% pilots (FRA)</t>
  </si>
  <si>
    <t>Part_1_Line_30_Col5</t>
  </si>
  <si>
    <t>Cost to authorities of providing relief for 100% pilots (Total)</t>
  </si>
  <si>
    <t>Part_1_Line_32_Col2</t>
  </si>
  <si>
    <t>Cost to authorities of providing local newspaper relief (BA)</t>
  </si>
  <si>
    <t>Part_1_Line_32_Col3</t>
  </si>
  <si>
    <t>Cost to authorities of providing local newspaper relief (UA)</t>
  </si>
  <si>
    <t>Part_1_Line_32_Col4</t>
  </si>
  <si>
    <t>Cost to authorities of providing local newspaper relief (FRA)</t>
  </si>
  <si>
    <t>Part_1_Line_32_Col5</t>
  </si>
  <si>
    <t>Cost to authorities of providing local newspaper relief (Total)</t>
  </si>
  <si>
    <t>Part_1_Line_33_Col2</t>
  </si>
  <si>
    <t>Cost to authorities of providing public lavatories relief (BA)</t>
  </si>
  <si>
    <t>Part_1_Line_33_Col3</t>
  </si>
  <si>
    <t>Cost to authorities of providing public lavatories relief (UA)</t>
  </si>
  <si>
    <t>Part_1_Line_33_Col4</t>
  </si>
  <si>
    <t>Cost to authorities of providing public lavatories relief (FRA)</t>
  </si>
  <si>
    <t>Part_1_Line_33_Col5</t>
  </si>
  <si>
    <t>Cost to authorities of providing public lavatories relief (Total)</t>
  </si>
  <si>
    <t>Part_1_Line_34_Col2</t>
  </si>
  <si>
    <t>Cost to authorities of providing retail, hospitality and leisure relief (BA)</t>
  </si>
  <si>
    <t>Part_1_Line_34_Col3</t>
  </si>
  <si>
    <t>Cost to authorities of providing retail, hospitality and leisure relief (UA)</t>
  </si>
  <si>
    <t>Part_1_Line_34_Col4</t>
  </si>
  <si>
    <t>Cost to authorities of providing retail, hospitality and leisure relief (FRA)</t>
  </si>
  <si>
    <t>Part_1_Line_34_Col5</t>
  </si>
  <si>
    <t>Cost to authorities of providing retail, hospitality and leisure relief (Total)</t>
  </si>
  <si>
    <t>Part_1_Line_36_Col2</t>
  </si>
  <si>
    <t>Cost to authorities of providing freeports relief (BA)</t>
  </si>
  <si>
    <t>Part_1_Line_36_Col3</t>
  </si>
  <si>
    <t>Cost to authorities of providing freeports relief (UA)</t>
  </si>
  <si>
    <t>Part_1_Line_36_Col4</t>
  </si>
  <si>
    <t>Cost to authorities of providing freeports relief (FRA)</t>
  </si>
  <si>
    <t>Part_1_Line_36_Col5</t>
  </si>
  <si>
    <t>Cost to authorities of providing freeports relief (Total)</t>
  </si>
  <si>
    <t>Part_1_Line_37_Col2</t>
  </si>
  <si>
    <t>Part_1_Line_37_Col3</t>
  </si>
  <si>
    <t>Cost to authorities of providing Investment Zone relief (UA)</t>
  </si>
  <si>
    <t>Part_1_Line_37_Col4</t>
  </si>
  <si>
    <t>Cost to authorities of providing Investment Zone relief (FRA)</t>
  </si>
  <si>
    <t>Part_1_Line_37_Col5</t>
  </si>
  <si>
    <t>Cost to authorities of providing Investment Zone relief (Total)</t>
  </si>
  <si>
    <t>Part_1_Line_35_Col2</t>
  </si>
  <si>
    <t>Cost to authorities of providing low carbon heat networks relief (BA)</t>
  </si>
  <si>
    <t>Cost to authorities of providing low carbon heat networks relief (UA)</t>
  </si>
  <si>
    <t>Part_1_Line_35_Col3</t>
  </si>
  <si>
    <t>Cost to authorities of providing low carbon heat networks relief (FRA)</t>
  </si>
  <si>
    <t>Part_1_Line_35_Col5</t>
  </si>
  <si>
    <t>Cost to authorities of providing low carbon heat networks relief (Total)</t>
  </si>
  <si>
    <t>Cost to authorities of providing improvement relief (BA)</t>
  </si>
  <si>
    <t>Cost to authorities of providing improvement relief (UA)</t>
  </si>
  <si>
    <t>Cost to authorities of providing improvement relief (FRA)</t>
  </si>
  <si>
    <t>Cost to authorities of providing improvement relief (Total)</t>
  </si>
  <si>
    <t>Cost to authorities of providing film studio relief (BA)</t>
  </si>
  <si>
    <t>Cost to authorities of providing film studio relief (UA)</t>
  </si>
  <si>
    <t>Cost to authorities of providing film studio relief (FRA)</t>
  </si>
  <si>
    <t>Cost to authorities of providing film studio relief (Total)</t>
  </si>
  <si>
    <t>Cost to authorities of providing renewable energy improvement relief (BA)</t>
  </si>
  <si>
    <t>Cost to authorities of providing renewable energy improvement relief (UA)</t>
  </si>
  <si>
    <t>Cost to authorities of providing renewable energy improvement relief (FRA)</t>
  </si>
  <si>
    <t>Cost to authorities of providing renewable energy improvement relief (Total)</t>
  </si>
  <si>
    <t>Amount of Section 31 grant due (BA)</t>
  </si>
  <si>
    <t>Amount of Section 31 grant due (UA)</t>
  </si>
  <si>
    <t>Amount of Section 31 grant due (FRA)</t>
  </si>
  <si>
    <t>Amount of Section 31 grant due (Total)</t>
  </si>
  <si>
    <t>Part_2_Line_1_Col4</t>
  </si>
  <si>
    <t>Date for the rateable values</t>
  </si>
  <si>
    <t>Part_2_Line_1_Col1</t>
  </si>
  <si>
    <t>Total rateable value of hereditaments (BA)</t>
  </si>
  <si>
    <t>Part_2_Line_1_Col2</t>
  </si>
  <si>
    <t>Total rateable value of hereditaments (DA)</t>
  </si>
  <si>
    <t>Part_2_Line_1_Col3</t>
  </si>
  <si>
    <t>Total rateable value of hereditaments (Total)</t>
  </si>
  <si>
    <t>Part_2_Line_3_Col1</t>
  </si>
  <si>
    <t>Gross rates (RV * Multiplier) (BA)</t>
  </si>
  <si>
    <t>Part_2_Line_3_Col2</t>
  </si>
  <si>
    <t>Gross rates (RV * Multiplier) (DA)</t>
  </si>
  <si>
    <t>Dropdown for split data</t>
  </si>
  <si>
    <t>LAs will select one of two options to confirm whether they can provide data broken down by hereditament size</t>
  </si>
  <si>
    <t>Part_2_Line_4_Col1</t>
  </si>
  <si>
    <t>Estimated growth/decline in gross rates (BA)</t>
  </si>
  <si>
    <t>Part_2_Line_4_Col2</t>
  </si>
  <si>
    <t>Estimated growth/decline in gross rates (DA)</t>
  </si>
  <si>
    <t>Part_2_Line_5_Col1</t>
  </si>
  <si>
    <t>Forecast gross rates payable (BA)</t>
  </si>
  <si>
    <t>Part_2_Line_5_Col2</t>
  </si>
  <si>
    <t>Forecast gross rates payable (DA)</t>
  </si>
  <si>
    <t>Part_2_Line_5_Col3</t>
  </si>
  <si>
    <t>Forecast gross rates payable (Total)</t>
  </si>
  <si>
    <t>Part_2_Line_6_Col1</t>
  </si>
  <si>
    <t>Revenue foregone because increases in rates have been deferred (BA)</t>
  </si>
  <si>
    <t>Part_2_Line_6_Col2</t>
  </si>
  <si>
    <t>Revenue foregone because increases in rates have been deferred (DA)</t>
  </si>
  <si>
    <t>Part_2_Line_6_Col3</t>
  </si>
  <si>
    <t>Revenue foregone because increases in rates have been deferred (Total)</t>
  </si>
  <si>
    <t>Part_2_Line_9_Col1</t>
  </si>
  <si>
    <t>Changes as a result of estimated growth / decline in cost of transitional arrangements (BA)</t>
  </si>
  <si>
    <t>Part_2_Line_9_Col2</t>
  </si>
  <si>
    <t>Changes as a result of estimated growth / decline in cost of transitional arrangements (DA)</t>
  </si>
  <si>
    <t>Part_2_Line_11_Col1</t>
  </si>
  <si>
    <t>Sum due to/from authority for transitional arrangements (BA)</t>
  </si>
  <si>
    <t>Part_2_Line_11_Col2</t>
  </si>
  <si>
    <t>Sum due to/from authority for transitional arrangements (DA)</t>
  </si>
  <si>
    <t>Part_2_Line_11_Col3</t>
  </si>
  <si>
    <t>Sum due to/from authority for transitional arrangements (Total)</t>
  </si>
  <si>
    <t>Part_2_Line_12_Col1</t>
  </si>
  <si>
    <t>Forecast of small business rates relief to be provided (BA)</t>
  </si>
  <si>
    <t>Part_2_Line_12_Col2</t>
  </si>
  <si>
    <t>Forecast of small business rates relief to be provided (DA)</t>
  </si>
  <si>
    <t>Part_2_Line_12_Col3</t>
  </si>
  <si>
    <t>Forecast of small business rates relief to be provided (Total)</t>
  </si>
  <si>
    <t>Part_2_Line_13_Col1</t>
  </si>
  <si>
    <t>SBRR of which relief on existing properties where a 2nd property is occupied (BA)</t>
  </si>
  <si>
    <t>Part_2_Line_13_Col2</t>
  </si>
  <si>
    <t>SBRR of which relief on existing properties where a 2nd property is occupied (DA)</t>
  </si>
  <si>
    <t>Part_2_Line_13_Col3</t>
  </si>
  <si>
    <t>SBRR of which relief on existing properties where a 2nd property is occupied (Total)</t>
  </si>
  <si>
    <t>Part_2_Line_16_Col1</t>
  </si>
  <si>
    <t>Forecast of mandatory charity relief to be provided (BA)</t>
  </si>
  <si>
    <t>Part_2_Line_16_Col2</t>
  </si>
  <si>
    <t>Forecast of mandatory charity relief to be provided (DA)</t>
  </si>
  <si>
    <t>Forecast of mandatory charity relief to be provided (Total)</t>
  </si>
  <si>
    <t>Part_2_Line_17_Col1</t>
  </si>
  <si>
    <t>Forecast of mandatory community amateur sport club relief to be provided (BA)</t>
  </si>
  <si>
    <t>Part_2_Line_17_Col2</t>
  </si>
  <si>
    <t>Forecast of mandatory community amateur sport club relief to be provided (DA)</t>
  </si>
  <si>
    <t>Forecast of mandatory community amateur sport club relief to be provided (Total)</t>
  </si>
  <si>
    <t>Part_2_Line_18_Col1</t>
  </si>
  <si>
    <t>Forecast of mandatory rural relief to be provided (BA)</t>
  </si>
  <si>
    <t>Part_2_Line_18_Col2</t>
  </si>
  <si>
    <t>Forecast of mandatory rural relief to be provided (DA)</t>
  </si>
  <si>
    <t>Forecast of mandatory rural relief to be provided (Total)</t>
  </si>
  <si>
    <t>Part_2_Line_20_Col1</t>
  </si>
  <si>
    <t>Forecast of public lavatories relief to be provided (BA)</t>
  </si>
  <si>
    <t>Part_2_Line_20_Col2</t>
  </si>
  <si>
    <t>Forecast of public lavatories relief to be provided (DA)</t>
  </si>
  <si>
    <t>Part_2_Line_20_Col3</t>
  </si>
  <si>
    <t>Forecast of public lavatories relief to be provided (Total)</t>
  </si>
  <si>
    <t>Forecast of low carbon heat networks to be provided (BA)</t>
  </si>
  <si>
    <t>Forecast of low carbon heat networks to be provided (DA)</t>
  </si>
  <si>
    <t>Forecast of low carbon heat networks to be provided (Total)</t>
  </si>
  <si>
    <t>Forecast of renewable energy improvement to be provided (BA)</t>
  </si>
  <si>
    <t>Forecast of renewable energy improvement to be provided (DA)</t>
  </si>
  <si>
    <t>Forecast of renewable energy improvement to be provided (Total)</t>
  </si>
  <si>
    <t>Part_2_Line_21_Col1</t>
  </si>
  <si>
    <t>Forecast of total mandatory reliefs to be provided (BA)</t>
  </si>
  <si>
    <t>Part_2_Line_21_Col2</t>
  </si>
  <si>
    <t>Forecast of total mandatory reliefs to be provided (DA)</t>
  </si>
  <si>
    <t>Part_2_Line_22_Col1</t>
  </si>
  <si>
    <t>Changes as a result of estimated growth/decline in mandatory relief (BA)</t>
  </si>
  <si>
    <t>Part_2_Line_22_Col2</t>
  </si>
  <si>
    <t>Changes as a result of estimated growth/decline in mandatory relief (DA)</t>
  </si>
  <si>
    <t>Part_2_Line_23_Col1</t>
  </si>
  <si>
    <t>Net forecast of total mandatory reliefs to be provided (BA)</t>
  </si>
  <si>
    <t>Part_2_Line_23_Col2</t>
  </si>
  <si>
    <t>Net forecast of total mandatory reliefs to be provided (DA)</t>
  </si>
  <si>
    <t>Net forecast of total mandatory reliefs to be provided (Total)</t>
  </si>
  <si>
    <t>Part_2_Line_24_Col1</t>
  </si>
  <si>
    <t>Forecast of part occupation relief to be provided (BA)</t>
  </si>
  <si>
    <t>Part_2_Line_24_Col2</t>
  </si>
  <si>
    <t>Forecast of part occupation relief to be provided (DA)</t>
  </si>
  <si>
    <t>Part_2_Line_24_Col3</t>
  </si>
  <si>
    <t>Forecast of part occupation relief to be provided (Total)</t>
  </si>
  <si>
    <t>Part_2_Line_25_Col1</t>
  </si>
  <si>
    <t>Forecast of empty property relief to be provided (BA)</t>
  </si>
  <si>
    <t>Part_2_Line_25_Col2</t>
  </si>
  <si>
    <t>Forecast of empty property relief to be provided (DA)</t>
  </si>
  <si>
    <t>Part_2_Line_25_Col3</t>
  </si>
  <si>
    <t>Forecast of empty property relief to be provided (Total)</t>
  </si>
  <si>
    <t>Part_2_Line_26_Col1</t>
  </si>
  <si>
    <t>Forecast of total unoccupied relief to be provided (BA)</t>
  </si>
  <si>
    <t>Part_2_Line_26_Col2</t>
  </si>
  <si>
    <t>Forecast of total unoccupied relief to be provided (DA)</t>
  </si>
  <si>
    <t>Part_2_Line_27_Col1</t>
  </si>
  <si>
    <t>Changes as a result of estimated growth/decline in unoccupied relief (BA)</t>
  </si>
  <si>
    <t>Part_2_Line_27_Col2</t>
  </si>
  <si>
    <t>Changes as a result of estimated growth/decline in unoccupied relief (DA)</t>
  </si>
  <si>
    <t>Part_2_Line_28_Col1</t>
  </si>
  <si>
    <t>Net forecast of total unoccupied relief to be provided (BA)</t>
  </si>
  <si>
    <t>Part_2_Line_28_Col2</t>
  </si>
  <si>
    <t>Net forecast of total unoccupied relief to be provided (DA)</t>
  </si>
  <si>
    <t>Part_2_Line_28_Col3</t>
  </si>
  <si>
    <t>Net forecast of total unoccupied relief to be provided (Total)</t>
  </si>
  <si>
    <t>Forecast of discretionary charity relief to be provided (BA)</t>
  </si>
  <si>
    <t>Part_2_Line_29_Col2</t>
  </si>
  <si>
    <t>Forecast of discretionary charity relief to be provided (DA)</t>
  </si>
  <si>
    <t>Forecast of discretionary charity relief to be provided (Total)</t>
  </si>
  <si>
    <t>Forecast of non-profit relief to be provided (BA)</t>
  </si>
  <si>
    <t>Forecast of non-profit relief to be provided (DA)</t>
  </si>
  <si>
    <t>Forecast of non-profit relief to be provided (Total)</t>
  </si>
  <si>
    <t>Forecast of discretionary community amateur sport club relief to be provided (BA)</t>
  </si>
  <si>
    <t>Forecast of discretionary community amateur sport club relief to be provided (DA)</t>
  </si>
  <si>
    <t>Forecast of discretionary community amateur sport club relief to be provided (Total)</t>
  </si>
  <si>
    <t>Forecast of discretionary rural shop relief to be provided (BA)</t>
  </si>
  <si>
    <t>Part_2_Line_32_Col2</t>
  </si>
  <si>
    <t>Forecast of discretionary rural shop relief to be provided (DA)</t>
  </si>
  <si>
    <t>Forecast of discretionary rural shop relief to be provided (Total)</t>
  </si>
  <si>
    <t>Part_2_Line_33_Col1</t>
  </si>
  <si>
    <t>Forecast of small rural business relief to be provided (BA)</t>
  </si>
  <si>
    <t>Part_2_Line_33_Col2</t>
  </si>
  <si>
    <t>Forecast of small rural business relief to be provided (DA)</t>
  </si>
  <si>
    <t>Forecast of small rural business relief to be provided (Total)</t>
  </si>
  <si>
    <t>Part_2_Line_34_Col1</t>
  </si>
  <si>
    <t>Forecast of other discretionary relief to be provided (BA)</t>
  </si>
  <si>
    <t>Part_2_Line_34_Col2</t>
  </si>
  <si>
    <t>Forecast of other discretionary relief to be provided (DA)</t>
  </si>
  <si>
    <t>Forecast of other discretionary relief to be provided (Total)</t>
  </si>
  <si>
    <t>Part_2_Line_35_Col2</t>
  </si>
  <si>
    <t>Forecast of relief given to Case A hereditaments (DA)</t>
  </si>
  <si>
    <t>Part_2_Line_36_Col1</t>
  </si>
  <si>
    <t>Forecast of relief given to Case B hereditaments (BA)</t>
  </si>
  <si>
    <t>Part_2_Line_37_Col1</t>
  </si>
  <si>
    <t>Forecast of relief given to freeports (BA in 22-23, DA in future years)</t>
  </si>
  <si>
    <t>Forecast of discretionary investment zone relief to be provided (BA)</t>
  </si>
  <si>
    <t>Forecast of discretionary investment zone relief to be provided (DA)</t>
  </si>
  <si>
    <t>Forecast of discretionary investment zone relief to be provided (Total)</t>
  </si>
  <si>
    <t>Part_2_Line_38_Col1</t>
  </si>
  <si>
    <t>Forecast of discretionary relief to be provided (BA)</t>
  </si>
  <si>
    <t>Part_2_Line_38_Col2</t>
  </si>
  <si>
    <t>Forecast of discretionary relief to be provided (DA)</t>
  </si>
  <si>
    <t>Part_2_Line_39_Col1</t>
  </si>
  <si>
    <t>Changes as a result of estimated growth/decline in discretionary relief (BA)</t>
  </si>
  <si>
    <t>Part_2_Line_39_Col2</t>
  </si>
  <si>
    <t>Changes as a result of estimated growth/decline in discretionary relief (DA)</t>
  </si>
  <si>
    <t>Part_2_Line_40_Col1</t>
  </si>
  <si>
    <t>Net forecast of discretionary relief to be provided (BA)</t>
  </si>
  <si>
    <t>Part_2_Line_40_Col2</t>
  </si>
  <si>
    <t>Net forecast of discretionary relief to be provided (DA)</t>
  </si>
  <si>
    <t>Net forecast of discretionary relief to be provided (Total)</t>
  </si>
  <si>
    <t>Part_2_Line_41_Col1</t>
  </si>
  <si>
    <t>Part_2_Line_41_Col2</t>
  </si>
  <si>
    <t>Part_2_Line_42_Col1</t>
  </si>
  <si>
    <t>Forecast of support for small business relief to be provided (BA)</t>
  </si>
  <si>
    <t>Part_2_Line_42_Col2</t>
  </si>
  <si>
    <t>Forecast of support for small business relief to be provided (DA)</t>
  </si>
  <si>
    <t>Forecast of support for small business relief to be provided (Total)</t>
  </si>
  <si>
    <t>Part_2_Line_43_Col1</t>
  </si>
  <si>
    <t>Forecast of local newspaper relief to be provided (BA)</t>
  </si>
  <si>
    <t>Part_2_Line_43_Col2</t>
  </si>
  <si>
    <t>Forecast of local newspaper relief to be provided (DA)</t>
  </si>
  <si>
    <t>Part_2_Line_43_Col3</t>
  </si>
  <si>
    <t>Forecast of local newspaper relief to be provided (Total)</t>
  </si>
  <si>
    <t>Forecast of retail, hospitality and leisure relief to be provided (BA)</t>
  </si>
  <si>
    <t>Forecast of retail, hospitality and leisure relief to be provided (DA)</t>
  </si>
  <si>
    <t>Forecast of retail, hospitality and leisure relief to be provided (Total)</t>
  </si>
  <si>
    <t>Forecast of improvement relief to be provided (BA)</t>
  </si>
  <si>
    <t>Forecast of improvement relief to be provided (DA)</t>
  </si>
  <si>
    <t>Forecast of improvement relief to be provided (Total)</t>
  </si>
  <si>
    <t>Forecast of film studio relief to be provided (BA)</t>
  </si>
  <si>
    <t>Forecast of film studio relief to be provided (DA)</t>
  </si>
  <si>
    <t>Forecast of film studio relief to be provided (Total)</t>
  </si>
  <si>
    <t>Forecast of section 31 reliefs to be provided (BA)</t>
  </si>
  <si>
    <t>Forecast of section 31 reliefs to be provided (DA)</t>
  </si>
  <si>
    <t>Changes as a result of estimated growth/decline in Section 31 discretionary relief (BA)</t>
  </si>
  <si>
    <t>Changes as a result of estimated growth/decline in Section 31 discretionary relief (DA)</t>
  </si>
  <si>
    <t>Net forecast of section 31 reliefs to be provided (BA)</t>
  </si>
  <si>
    <t>Net forecast of section 31 reliefs to be provided (DA)</t>
  </si>
  <si>
    <t>Net forecast of section 31 reliefs to be provided (Total)</t>
  </si>
  <si>
    <t>Forecast of net rates payable (BA)</t>
  </si>
  <si>
    <t>Forecast of net rates payable (DA)</t>
  </si>
  <si>
    <t>Forecast of net rates payable (Total)</t>
  </si>
  <si>
    <t>Total rateable value of hereditaments (BA) in small multiplier hereditaments</t>
  </si>
  <si>
    <t>Total rateable value of hereditaments (DA) in small multiplier hereditaments</t>
  </si>
  <si>
    <t>Total rateable value of hereditaments (Total) in small multiplier hereditaments</t>
  </si>
  <si>
    <t>Small business rating multiplier in small multiplier hereditaments</t>
  </si>
  <si>
    <t>Gross rates (RV * Multiplier) (BA) in small multiplier hereditaments</t>
  </si>
  <si>
    <t>Gross rates (RV * Multiplier) (DA) in small multiplier hereditaments</t>
  </si>
  <si>
    <t>Estimated growth/decline in gross rates (BA) in small multiplier hereditaments</t>
  </si>
  <si>
    <t>Estimated growth/decline in gross rates (DA) in small multiplier hereditaments</t>
  </si>
  <si>
    <t>Forecast gross rates payable (BA) in small multiplier hereditaments</t>
  </si>
  <si>
    <t>Forecast gross rates payable (DA) in small multiplier hereditaments</t>
  </si>
  <si>
    <t>Forecast gross rates payable (Total) in small multiplier hereditaments</t>
  </si>
  <si>
    <t>Revenue foregone because increases in rates have been deferred (BA) in small multiplier hereditaments</t>
  </si>
  <si>
    <t>Revenue foregone because increases in rates have been deferred (DA) in small multiplier hereditaments</t>
  </si>
  <si>
    <t>Revenue foregone because increases in rates have been deferred (Total) in small multiplier hereditaments</t>
  </si>
  <si>
    <t>Changes as a result of estimated growth / decline in cost of transitional arrangements (BA) in small multiplier hereditaments</t>
  </si>
  <si>
    <t>Changes as a result of estimated growth / decline in cost of transitional arrangements (DA) in small multiplier hereditaments</t>
  </si>
  <si>
    <t>Sum due to/from authority for transitional arrangements (BA) in small multiplier hereditaments</t>
  </si>
  <si>
    <t>Sum due to/from authority for transitional arrangements (DA) in small multiplier hereditaments</t>
  </si>
  <si>
    <t>Sum due to/from authority for transitional arrangements (Total) in small multiplier hereditaments</t>
  </si>
  <si>
    <t>Forecast of small business rates relief to be provided (BA) in small multiplier hereditaments</t>
  </si>
  <si>
    <t>Forecast of small business rates relief to be provided (DA) in small multiplier hereditaments</t>
  </si>
  <si>
    <t>Forecast of small business rates relief to be provided (Total) in small multiplier hereditaments</t>
  </si>
  <si>
    <t>SBRR of which relief on existing properties where a 2nd property is occupied (BA) in small multiplier hereditaments</t>
  </si>
  <si>
    <t>SBRR of which relief on existing properties where a 2nd property is occupied (DA) in small multiplier hereditaments</t>
  </si>
  <si>
    <t>SBRR of which relief on existing properties where a 2nd property is occupied (Total) in small multiplier hereditaments</t>
  </si>
  <si>
    <t>Forecast of mandatory charity relief to be provided (BA) in small multiplier hereditaments</t>
  </si>
  <si>
    <t>Forecast of mandatory charity relief to be provided (DA) in small multiplier hereditaments</t>
  </si>
  <si>
    <t>Forecast of mandatory charity relief to be provided (Total) in small multiplier hereditaments</t>
  </si>
  <si>
    <t>Forecast of mandatory community amateur sport club relief to be provided (BA) in small multiplier hereditaments</t>
  </si>
  <si>
    <t>Forecast of mandatory community amateur sport club relief to be provided (DA) in small multiplier hereditaments</t>
  </si>
  <si>
    <t>Forecast of mandatory community amateur sport club relief to be provided (Total) in small multiplier hereditaments</t>
  </si>
  <si>
    <t>Forecast of mandatory rural relief to be provided (BA) in small multiplier hereditaments</t>
  </si>
  <si>
    <t>Forecast of mandatory rural relief to be provided (DA) in small multiplier hereditaments</t>
  </si>
  <si>
    <t>Forecast of mandatory rural relief to be provided (Total) in small multiplier hereditaments</t>
  </si>
  <si>
    <t>Forecast of public lavatories relief to be provided (BA) in small multiplier hereditaments</t>
  </si>
  <si>
    <t>Forecast of public lavatories relief to be provided (DA) in small multiplier hereditaments</t>
  </si>
  <si>
    <t>Forecast of public lavatories relief to be provided (Total) in small multiplier hereditaments</t>
  </si>
  <si>
    <t>Forecast of low carbon heat networks to be provided (BA) in small multiplier hereditaments</t>
  </si>
  <si>
    <t>Forecast of low carbon heat networks to be provided (DA) in small multiplier hereditaments</t>
  </si>
  <si>
    <t>Forecast of low carbon heat networks to be provided (Total) in small multiplier hereditaments</t>
  </si>
  <si>
    <t>Forecast of renewable energy improvement to be provided (BA) in small multiplier hereditaments</t>
  </si>
  <si>
    <t>Forecast of renewable energy improvement to be provided (DA) in small multiplier hereditaments</t>
  </si>
  <si>
    <t>Forecast of renewable energy improvement to be provided (Total) in small multiplier hereditaments</t>
  </si>
  <si>
    <t>Forecast of total mandatory reliefs to be provided (BA) in small multiplier hereditaments</t>
  </si>
  <si>
    <t>Forecast of total mandatory reliefs to be provided (DA) in small multiplier hereditaments</t>
  </si>
  <si>
    <t>Changes as a result of estimated growth/decline in mandatory relief (BA) in small multiplier hereditaments</t>
  </si>
  <si>
    <t>Changes as a result of estimated growth/decline in mandatory relief (DA) in small multiplier hereditaments</t>
  </si>
  <si>
    <t>Net forecast of total mandatory reliefs to be provided (BA) in small multiplier hereditaments</t>
  </si>
  <si>
    <t>Net forecast of total mandatory reliefs to be provided (DA) in small multiplier hereditaments</t>
  </si>
  <si>
    <t>Net forecast of total mandatory reliefs to be provided (Total) in small multiplier hereditaments</t>
  </si>
  <si>
    <t>Forecast of part occupation relief to be provided (BA) in small multiplier hereditaments</t>
  </si>
  <si>
    <t>Forecast of part occupation relief to be provided (DA) in small multiplier hereditaments</t>
  </si>
  <si>
    <t>Forecast of part occupation relief to be provided (Total) in small multiplier hereditaments</t>
  </si>
  <si>
    <t>Forecast of empty property relief to be provided (BA) in small multiplier hereditaments</t>
  </si>
  <si>
    <t>Forecast of empty property relief to be provided (DA) in small multiplier hereditaments</t>
  </si>
  <si>
    <t>Forecast of empty property relief to be provided (Total) in small multiplier hereditaments</t>
  </si>
  <si>
    <t>Forecast of total unoccupied relief to be provided (BA) in small multiplier hereditaments</t>
  </si>
  <si>
    <t>Forecast of total unoccupied relief to be provided (DA) in small multiplier hereditaments</t>
  </si>
  <si>
    <t>Changes as a result of estimated growth/decline in unoccupied relief (BA) in small multiplier hereditaments</t>
  </si>
  <si>
    <t>Changes as a result of estimated growth/decline in unoccupied relief (DA) in small multiplier hereditaments</t>
  </si>
  <si>
    <t>Net forecast of total unoccupied relief to be provided (BA) in small multiplier hereditaments</t>
  </si>
  <si>
    <t>Net forecast of total unoccupied relief to be provided (DA) in small multiplier hereditaments</t>
  </si>
  <si>
    <t>Net forecast of total unoccupied relief to be provided (Total) in small multiplier hereditaments</t>
  </si>
  <si>
    <t>Forecast of discretionary charity relief to be provided (BA) in small multiplier hereditaments</t>
  </si>
  <si>
    <t>Forecast of discretionary charity relief to be provided (DA) in small multiplier hereditaments</t>
  </si>
  <si>
    <t>Forecast of discretionary charity relief to be provided (Total) in small multiplier hereditaments</t>
  </si>
  <si>
    <t>Forecast of non-profit relief to be provided (BA) in small multiplier hereditaments</t>
  </si>
  <si>
    <t>Forecast of non-profit relief to be provided (DA) in small multiplier hereditaments</t>
  </si>
  <si>
    <t>Forecast of non-profit relief to be provided (Total) in small multiplier hereditaments</t>
  </si>
  <si>
    <t>Forecast of discretionary community amateur sport club relief to be provided (BA) in small multiplier hereditaments</t>
  </si>
  <si>
    <t>Forecast of discretionary community amateur sport club relief to be provided (DA) in small multiplier hereditaments</t>
  </si>
  <si>
    <t>Forecast of discretionary community amateur sport club relief to be provided (Total) in small multiplier hereditaments</t>
  </si>
  <si>
    <t>Forecast of discretionary rural shop relief to be provided (BA) in small multiplier hereditaments</t>
  </si>
  <si>
    <t>Forecast of discretionary rural shop relief to be provided (DA) in small multiplier hereditaments</t>
  </si>
  <si>
    <t>Forecast of discretionary rural shop relief to be provided (Total) in small multiplier hereditaments</t>
  </si>
  <si>
    <t>Forecast of small rural business relief to be provided (BA) in small multiplier hereditaments</t>
  </si>
  <si>
    <t>Forecast of small rural business relief to be provided (DA) in small multiplier hereditaments</t>
  </si>
  <si>
    <t>Forecast of small rural business relief to be provided (Total) in small multiplier hereditaments</t>
  </si>
  <si>
    <t>Forecast of other discretionary relief to be provided (BA) in small multiplier hereditaments</t>
  </si>
  <si>
    <t>Forecast of other discretionary relief to be provided (DA) in small multiplier hereditaments</t>
  </si>
  <si>
    <t>Forecast of other discretionary relief to be provided (Total) in small multiplier hereditaments</t>
  </si>
  <si>
    <t>Forecast of relief given to Case A hereditaments (DA) in small multiplier hereditaments</t>
  </si>
  <si>
    <t>Forecast of relief given to Case B hereditaments (BA) in small multiplier hereditaments</t>
  </si>
  <si>
    <t>Forecast of relief given to freeports (BA in 22-23, DA in future years) in small multiplier hereditaments</t>
  </si>
  <si>
    <t>Forecast of discretionary investment zone relief to be provided (BA) in small multiplier hereditaments</t>
  </si>
  <si>
    <t>Forecast of discretionary investment zone relief to be provided (DA) in small multiplier hereditaments</t>
  </si>
  <si>
    <t>Forecast of discretionary investment zone relief to be provided (Total) in small multiplier hereditaments</t>
  </si>
  <si>
    <t>Forecast of discretionary relief to be provided (BA) in small multiplier hereditaments</t>
  </si>
  <si>
    <t>Forecast of discretionary relief to be provided (DA) in small multiplier hereditaments</t>
  </si>
  <si>
    <t>Changes as a result of estimated growth/decline in discretionary relief (BA) in small multiplier hereditaments</t>
  </si>
  <si>
    <t>Changes as a result of estimated growth/decline in discretionary relief (DA) in small multiplier hereditaments</t>
  </si>
  <si>
    <t>Net forecast of discretionary relief to be provided (BA) in small multiplier hereditaments</t>
  </si>
  <si>
    <t>Net forecast of discretionary relief to be provided (DA) in small multiplier hereditaments</t>
  </si>
  <si>
    <t>Net forecast of discretionary relief to be provided (Total) in small multiplier hereditaments</t>
  </si>
  <si>
    <t>Forecast of support for small business relief to be provided (BA) in small multiplier hereditaments</t>
  </si>
  <si>
    <t>Forecast of support for small business relief to be provided (DA) in small multiplier hereditaments</t>
  </si>
  <si>
    <t>Forecast of support for small business relief to be provided (Total) in small multiplier hereditaments</t>
  </si>
  <si>
    <t>Forecast of local newspaper relief to be provided (BA) in small multiplier hereditaments</t>
  </si>
  <si>
    <t>Forecast of local newspaper relief to be provided (DA) in small multiplier hereditaments</t>
  </si>
  <si>
    <t>Forecast of local newspaper relief to be provided (Total) in small multiplier hereditaments</t>
  </si>
  <si>
    <t>Forecast of retail, hospitality and leisure relief to be provided (BA) in small multiplier hereditaments</t>
  </si>
  <si>
    <t>Forecast of retail, hospitality and leisure relief to be provided (DA) in small multiplier hereditaments</t>
  </si>
  <si>
    <t>Forecast of retail, hospitality and leisure relief to be provided (Total) in small multiplier hereditaments</t>
  </si>
  <si>
    <t>Forecast of improvement relief to be provided (BA) in small multiplier hereditaments</t>
  </si>
  <si>
    <t>Forecast of improvement relief to be provided (DA) in small multiplier hereditaments</t>
  </si>
  <si>
    <t>Forecast of improvement relief to be provided (Total) in small multiplier hereditaments</t>
  </si>
  <si>
    <t>Forecast of film studio relief to be provided (BA) in small multiplier hereditaments</t>
  </si>
  <si>
    <t>Forecast of film studio relief to be provided (DA) in small multiplier hereditaments</t>
  </si>
  <si>
    <t>Forecast of film studio relief to be provided (Total) in small multiplier hereditaments</t>
  </si>
  <si>
    <t>Forecast of section 31 reliefs to be provided (BA) in small multiplier hereditaments</t>
  </si>
  <si>
    <t>Forecast of section 31 reliefs to be provided (DA) in small multiplier hereditaments</t>
  </si>
  <si>
    <t>Changes as a result of estimated growth/decline in Section 31 discretionary relief (BA) in small multiplier hereditaments</t>
  </si>
  <si>
    <t>Changes as a result of estimated growth/decline in Section 31 discretionary relief (DA) in small multiplier hereditaments</t>
  </si>
  <si>
    <t>Net forecast of section 31 reliefs to be provided (BA) in small multiplier hereditaments</t>
  </si>
  <si>
    <t>Net forecast of section 31 reliefs to be provided (DA) in small multiplier hereditaments</t>
  </si>
  <si>
    <t>Net forecast of section 31 reliefs to be provided (Total) in small multiplier hereditaments</t>
  </si>
  <si>
    <t>Forecast of net rates payable (BA) in small multiplier hereditaments</t>
  </si>
  <si>
    <t>Forecast of net rates payable (DA) in small multiplier hereditaments</t>
  </si>
  <si>
    <t>Forecast of net rates payable (Total) in small multiplier hereditaments</t>
  </si>
  <si>
    <t>Total rateable value of hereditaments (BA) in standard multiplier hereditaments</t>
  </si>
  <si>
    <t>Total rateable value of hereditaments (DA) in standard multiplier hereditaments</t>
  </si>
  <si>
    <t>Total rateable value of hereditaments (Total) in standard multiplier hereditaments</t>
  </si>
  <si>
    <t>Multiplier in standard multiplier hereditaments</t>
  </si>
  <si>
    <t>Gross rates (RV * Multiplier) (BA) in standard multiplier hereditaments</t>
  </si>
  <si>
    <t>Gross rates (RV * Multiplier) (DA) in standard multiplier hereditaments</t>
  </si>
  <si>
    <t>Estimated growth/decline in gross rates (BA) in standard multiplier hereditaments</t>
  </si>
  <si>
    <t>Estimated growth/decline in gross rates (DA) in standard multiplier hereditaments</t>
  </si>
  <si>
    <t>Forecast gross rates payable (BA) in standard multiplier hereditaments</t>
  </si>
  <si>
    <t>Forecast gross rates payable (DA) in standard multiplier hereditaments</t>
  </si>
  <si>
    <t>Forecast gross rates payable (Total) in standard multiplier hereditaments</t>
  </si>
  <si>
    <t>Revenue foregone because increases in rates have been deferred (BA) in standard multiplier hereditaments</t>
  </si>
  <si>
    <t>Revenue foregone because increases in rates have been deferred (DA) in standard multiplier hereditaments</t>
  </si>
  <si>
    <t>Revenue foregone because increases in rates have been deferred (Total) in standard multiplier hereditaments</t>
  </si>
  <si>
    <t>Changes as a result of estimated growth / decline in cost of transitional arrangements (BA) in standard multiplier hereditaments</t>
  </si>
  <si>
    <t>Changes as a result of estimated growth / decline in cost of transitional arrangements (DA) in standard multiplier hereditaments</t>
  </si>
  <si>
    <t>Sum due to/from authority for transitional arrangements (BA) in standard multiplier hereditaments</t>
  </si>
  <si>
    <t>Sum due to/from authority for transitional arrangements (DA) in standard multiplier hereditaments</t>
  </si>
  <si>
    <t>Sum due to/from authority for transitional arrangements (Total) in standard multiplier hereditaments</t>
  </si>
  <si>
    <t>Forecast of small business rates relief to be provided (BA) in standard multiplier hereditaments</t>
  </si>
  <si>
    <t>Forecast of small business rates relief to be provided (DA) in standard multiplier hereditaments</t>
  </si>
  <si>
    <t>Forecast of small business rates relief to be provided (Total) in standard multiplier hereditaments</t>
  </si>
  <si>
    <t>SBRR of which relief on existing properties where a 2nd property is occupied (BA) in standard multiplier hereditaments</t>
  </si>
  <si>
    <t>SBRR of which relief on existing properties where a 2nd property is occupied (DA) in standard multiplier hereditaments</t>
  </si>
  <si>
    <t>SBRR of which relief on existing properties where a 2nd property is occupied (Total) in standard multiplier hereditaments</t>
  </si>
  <si>
    <t>Forecast of mandatory charity relief to be provided (BA) in standard multiplier hereditaments</t>
  </si>
  <si>
    <t>Forecast of mandatory charity relief to be provided (DA) in standard multiplier hereditaments</t>
  </si>
  <si>
    <t>Forecast of mandatory charity relief to be provided (Total) in standard multiplier hereditaments</t>
  </si>
  <si>
    <t>Forecast of mandatory community amateur sport club relief to be provided (BA) in standard multiplier hereditaments</t>
  </si>
  <si>
    <t>Forecast of mandatory community amateur sport club relief to be provided (DA) in standard multiplier hereditaments</t>
  </si>
  <si>
    <t>Forecast of mandatory community amateur sport club relief to be provided (Total) in standard multiplier hereditaments</t>
  </si>
  <si>
    <t>Forecast of mandatory rural relief to be provided (BA) in standard multiplier hereditaments</t>
  </si>
  <si>
    <t>Forecast of mandatory rural relief to be provided (DA) in standard multiplier hereditaments</t>
  </si>
  <si>
    <t>Forecast of mandatory rural relief to be provided (Total) in standard multiplier hereditaments</t>
  </si>
  <si>
    <t>Forecast of public lavatories relief to be provided (BA) in standard multiplier hereditaments</t>
  </si>
  <si>
    <t>Forecast of public lavatories relief to be provided (DA) in standard multiplier hereditaments</t>
  </si>
  <si>
    <t>Forecast of public lavatories relief to be provided (Total) in standard multiplier hereditaments</t>
  </si>
  <si>
    <t>Forecast of low carbon heat networks to be provided (BA) in standard multiplier hereditaments</t>
  </si>
  <si>
    <t>Forecast of low carbon heat networks to be provided (DA) in standard multiplier hereditaments</t>
  </si>
  <si>
    <t>Forecast of low carbon heat networks to be provided (Total) in standard multiplier hereditaments</t>
  </si>
  <si>
    <t>Forecast of renewable energy improvement to be provided (BA) in standard multiplier hereditaments</t>
  </si>
  <si>
    <t>Forecast of renewable energy improvement to be provided (DA) in standard multiplier hereditaments</t>
  </si>
  <si>
    <t>Forecast of renewable energy improvement to be provided (Total) in standard multiplier hereditaments</t>
  </si>
  <si>
    <t>Forecast of total mandatory reliefs to be provided (BA) in standard multiplier hereditaments</t>
  </si>
  <si>
    <t>Forecast of total mandatory reliefs to be provided (DA) in standard multiplier hereditaments</t>
  </si>
  <si>
    <t>Changes as a result of estimated growth/decline in mandatory relief (BA) in standard multiplier hereditaments</t>
  </si>
  <si>
    <t>Changes as a result of estimated growth/decline in mandatory relief (DA) in standard multiplier hereditaments</t>
  </si>
  <si>
    <t>Net forecast of total mandatory reliefs to be provided (BA) in standard multiplier hereditaments</t>
  </si>
  <si>
    <t>Net forecast of total mandatory reliefs to be provided (DA) in standard multiplier hereditaments</t>
  </si>
  <si>
    <t>Net forecast of total mandatory reliefs to be provided (Total) in standard multiplier hereditaments</t>
  </si>
  <si>
    <t>Forecast of part occupation relief to be provided (BA) in standard multiplier hereditaments</t>
  </si>
  <si>
    <t>Forecast of part occupation relief to be provided (DA) in standard multiplier hereditaments</t>
  </si>
  <si>
    <t>Forecast of part occupation relief to be provided (Total) in standard multiplier hereditaments</t>
  </si>
  <si>
    <t>Forecast of empty property relief to be provided (BA) in standard multiplier hereditaments</t>
  </si>
  <si>
    <t>Forecast of empty property relief to be provided (DA) in standard multiplier hereditaments</t>
  </si>
  <si>
    <t>Forecast of empty property relief to be provided (Total) in standard multiplier hereditaments</t>
  </si>
  <si>
    <t>Forecast of total unoccupied relief to be provided (BA) in standard multiplier hereditaments</t>
  </si>
  <si>
    <t>Forecast of total unoccupied relief to be provided (DA) in standard multiplier hereditaments</t>
  </si>
  <si>
    <t>Changes as a result of estimated growth/decline in unoccupied relief (BA) in standard multiplier hereditaments</t>
  </si>
  <si>
    <t>Changes as a result of estimated growth/decline in unoccupied relief (DA) in standard multiplier hereditaments</t>
  </si>
  <si>
    <t>Net forecast of total unoccupied relief to be provided (BA) in standard multiplier hereditaments</t>
  </si>
  <si>
    <t>Net forecast of total unoccupied relief to be provided (DA) in standard multiplier hereditaments</t>
  </si>
  <si>
    <t>Net forecast of total unoccupied relief to be provided (Total) in standard multiplier hereditaments</t>
  </si>
  <si>
    <t>Forecast of discretionary charity relief to be provided (BA) in standard multiplier hereditaments</t>
  </si>
  <si>
    <t>Forecast of discretionary charity relief to be provided (DA) in standard multiplier hereditaments</t>
  </si>
  <si>
    <t>Forecast of discretionary charity relief to be provided (Total) in standard multiplier hereditaments</t>
  </si>
  <si>
    <t>Forecast of non-profit relief to be provided (BA) in standard multiplier hereditaments</t>
  </si>
  <si>
    <t>Forecast of non-profit relief to be provided (DA) in standard multiplier hereditaments</t>
  </si>
  <si>
    <t>Forecast of non-profit relief to be provided (Total) in standard multiplier hereditaments</t>
  </si>
  <si>
    <t>Forecast of discretionary community amateur sport club relief to be provided (BA) in standard multiplier hereditaments</t>
  </si>
  <si>
    <t>Forecast of discretionary community amateur sport club relief to be provided (DA) in standard multiplier hereditaments</t>
  </si>
  <si>
    <t>Forecast of discretionary community amateur sport club relief to be provided (Total) in standard multiplier hereditaments</t>
  </si>
  <si>
    <t>Forecast of discretionary rural shop relief to be provided (BA) in standard multiplier hereditaments</t>
  </si>
  <si>
    <t>Forecast of discretionary rural shop relief to be provided (DA) in standard multiplier hereditaments</t>
  </si>
  <si>
    <t>Forecast of discretionary rural shop relief to be provided (Total) in standard multiplier hereditaments</t>
  </si>
  <si>
    <t>Forecast of small rural business relief to be provided (BA) in standard multiplier hereditaments</t>
  </si>
  <si>
    <t>Forecast of small rural business relief to be provided (DA) in standard multiplier hereditaments</t>
  </si>
  <si>
    <t>Forecast of small rural business relief to be provided (Total) in standard multiplier hereditaments</t>
  </si>
  <si>
    <t>Forecast of other discretionary relief to be provided (BA) in standard multiplier hereditaments</t>
  </si>
  <si>
    <t>Forecast of other discretionary relief to be provided (DA) in standard multiplier hereditaments</t>
  </si>
  <si>
    <t>Forecast of other discretionary relief to be provided (Total) in standard multiplier hereditaments</t>
  </si>
  <si>
    <t>Forecast of relief given to Case A hereditaments (DA) in standard multiplier hereditaments</t>
  </si>
  <si>
    <t>Forecast of relief given to Case B hereditaments (BA) in standard multiplier hereditaments</t>
  </si>
  <si>
    <t>Forecast of relief given to freeports (BA in 22-23, DA in future years) in standard multiplier hereditaments</t>
  </si>
  <si>
    <t>Part_2_Line_33_Col4</t>
  </si>
  <si>
    <t>Forecast of discretionary investment zone relief to be provided (BA) in standard multiplier hereditaments</t>
  </si>
  <si>
    <t>Part_2_Line_33_Col5</t>
  </si>
  <si>
    <t>Forecast of discretionary investment zone relief to be provided (DA) in standard multiplier hereditaments</t>
  </si>
  <si>
    <t>Forecast of discretionary investment zone relief to be provided (Total) in standard multiplier hereditaments</t>
  </si>
  <si>
    <t>Forecast of discretionary relief to be provided (BA) in standard multiplier hereditaments</t>
  </si>
  <si>
    <t>Forecast of discretionary relief to be provided (DA) in standard multiplier hereditaments</t>
  </si>
  <si>
    <t>Changes as a result of estimated growth/decline in discretionary relief (BA) in standard multiplier hereditaments</t>
  </si>
  <si>
    <t>Changes as a result of estimated growth/decline in discretionary relief (DA) in standard multiplier hereditaments</t>
  </si>
  <si>
    <t>Net forecast of discretionary relief to be provided (BA) in standard multiplier hereditaments</t>
  </si>
  <si>
    <t>Net forecast of discretionary relief to be provided (DA) in standard multiplier hereditaments</t>
  </si>
  <si>
    <t>Net forecast of discretionary relief to be provided (Total) in standard multiplier hereditaments</t>
  </si>
  <si>
    <t>Forecast of support for small business relief to be provided (BA) in standard multiplier hereditaments</t>
  </si>
  <si>
    <t>Forecast of support for small business relief to be provided (DA) in standard multiplier hereditaments</t>
  </si>
  <si>
    <t>Forecast of support for small business relief to be provided (Total) in standard multiplier hereditaments</t>
  </si>
  <si>
    <t>Forecast of local newspaper relief to be provided (BA) in standard multiplier hereditaments</t>
  </si>
  <si>
    <t>Forecast of local newspaper relief to be provided (DA) in standard multiplier hereditaments</t>
  </si>
  <si>
    <t>Forecast of local newspaper relief to be provided (Total) in standard multiplier hereditaments</t>
  </si>
  <si>
    <t>Forecast of retail, hospitality and leisure relief to be provided (BA) in standard multiplier hereditaments</t>
  </si>
  <si>
    <t>Forecast of retail, hospitality and leisure relief to be provided (DA) in standard multiplier hereditaments</t>
  </si>
  <si>
    <t>Forecast of retail, hospitality and leisure relief to be provided (Total) in standard multiplier hereditaments</t>
  </si>
  <si>
    <t>Forecast of improvement relief to be provided (BA) in standard multiplier hereditaments</t>
  </si>
  <si>
    <t>Forecast of improvement relief to be provided (DA) in standard multiplier hereditaments</t>
  </si>
  <si>
    <t>Forecast of improvement relief to be provided (Total) in standard multiplier hereditaments</t>
  </si>
  <si>
    <t>Forecast of film studio relief to be provided (BA) in standard multiplier hereditaments</t>
  </si>
  <si>
    <t>Forecast of film studio relief to be provided (DA) in standard multiplier hereditaments</t>
  </si>
  <si>
    <t>Forecast of film studio relief to be provided (Total) in standard multiplier hereditaments</t>
  </si>
  <si>
    <t>Forecast of section 31 reliefs to be provided (BA) in standard multiplier hereditaments</t>
  </si>
  <si>
    <t>Forecast of section 31 reliefs to be provided (DA) in standard multiplier hereditaments</t>
  </si>
  <si>
    <t>Changes as a result of estimated growth/decline in Section 31 discretionary relief (BA) in standard multiplier hereditaments</t>
  </si>
  <si>
    <t>Changes as a result of estimated growth/decline in Section 31 discretionary relief (DA) in standard multiplier hereditaments</t>
  </si>
  <si>
    <t>Net forecast of section 31 reliefs to be provided (BA) in standard multiplier hereditaments</t>
  </si>
  <si>
    <t>Net forecast of section 31 reliefs to be provided (DA) in standard multiplier hereditaments</t>
  </si>
  <si>
    <t>Net forecast of section 31 reliefs to be provided (Total) in standard multiplier hereditaments</t>
  </si>
  <si>
    <t>Forecast of net rates payable (BA) in standard multiplier hereditaments</t>
  </si>
  <si>
    <t>Forecast of net rates payable (DA) in standard multiplier hereditaments</t>
  </si>
  <si>
    <t>Forecast of net rates payable (Total) in standard multiplier hereditaments</t>
  </si>
  <si>
    <t>Part_3_Line_1_Col1</t>
  </si>
  <si>
    <t>Net rates payable (BA)</t>
  </si>
  <si>
    <t>Part_3_Line_1_Col2</t>
  </si>
  <si>
    <t>Net rates payable (DA)</t>
  </si>
  <si>
    <t>Part_3_Line_1_Col3</t>
  </si>
  <si>
    <t>Net rates payable (Total)</t>
  </si>
  <si>
    <t>Part_3_Line_2_Col1</t>
  </si>
  <si>
    <t>Forecast loss from bad debts (BA)</t>
  </si>
  <si>
    <t>Part_3_Line_2_Col2</t>
  </si>
  <si>
    <t>Forecast loss from bad debts (DA)</t>
  </si>
  <si>
    <t>Part_3_Line_2_Col3</t>
  </si>
  <si>
    <t>Forecast loss from bad debts (Total)</t>
  </si>
  <si>
    <t>Part_3_Line_3_Col1</t>
  </si>
  <si>
    <t>Forecast loss from repayments (BA)</t>
  </si>
  <si>
    <t>Part_3_Line_3_Col2</t>
  </si>
  <si>
    <t>Forecast loss from repayments (DA)</t>
  </si>
  <si>
    <t>Part_3_Line_3_Col3</t>
  </si>
  <si>
    <t>Forecast loss from repayments (Total)</t>
  </si>
  <si>
    <t>Part_3_Line_4_Col1</t>
  </si>
  <si>
    <t>Net rates minus losses (BA)</t>
  </si>
  <si>
    <t>Part_3_Line_4_Col2</t>
  </si>
  <si>
    <t>Net rates minus losses (DA)</t>
  </si>
  <si>
    <t>Part_3_Line_4_Col3</t>
  </si>
  <si>
    <t>Net rates minus losses (Total)</t>
  </si>
  <si>
    <t>Part_3_Line_5_Col1</t>
  </si>
  <si>
    <t>Retained for renewable energy (BA)</t>
  </si>
  <si>
    <t>Part_3_Line_5_Col2</t>
  </si>
  <si>
    <t>Retained for renewable energy (DA)</t>
  </si>
  <si>
    <t>Part_3_Line_5_Col3</t>
  </si>
  <si>
    <t>Retained for renewable energy (Total)</t>
  </si>
  <si>
    <t>Part_3_Line_6_Col1</t>
  </si>
  <si>
    <t>Retained for shale oil and gas schemes (BA)</t>
  </si>
  <si>
    <t>Part_3_Line_6_Col2</t>
  </si>
  <si>
    <t>Retained for shale oil and gas schemes (DA)</t>
  </si>
  <si>
    <t>Part_3_Line_6_Col3</t>
  </si>
  <si>
    <t>Retained for shale oil and gas schemes (Total)</t>
  </si>
  <si>
    <t>Part_3_Line_7_Col2</t>
  </si>
  <si>
    <t>Transitional Protection Payment  (DA)</t>
  </si>
  <si>
    <t>Part_3_Line_8_Col2</t>
  </si>
  <si>
    <t>Total baseline (DA)</t>
  </si>
  <si>
    <t>Part_3_Line_9_Col2</t>
  </si>
  <si>
    <t>Total Disregarded Amounts (DA)</t>
  </si>
  <si>
    <t>Part_3_Line_10_Col1</t>
  </si>
  <si>
    <t>Qualifying relief in designated areas (100% pilots) (BA)</t>
  </si>
  <si>
    <t>Part_3_Line_10_Col2</t>
  </si>
  <si>
    <t>Qualifying relief in designated areas (100% pilots) (DA)</t>
  </si>
  <si>
    <t>Part_3_Line_10_Col3</t>
  </si>
  <si>
    <t>Qualifying relief in designated areas (100% pilots) (Total)</t>
  </si>
  <si>
    <t>Part_3_Line_11_Col1</t>
  </si>
  <si>
    <t>Qualifying relief in designated areas (non-100% pilots) (BA)</t>
  </si>
  <si>
    <t>Part_3_Line_11_Col2</t>
  </si>
  <si>
    <t>Qualifying relief in designated areas (non-100% pilots) (DA)</t>
  </si>
  <si>
    <t>Part_3_Line_11_Col3</t>
  </si>
  <si>
    <t>Qualifying relief in designated areas (non-100% pilots) (Total)</t>
  </si>
  <si>
    <t>Part_3_Line_12_Col1</t>
  </si>
  <si>
    <t>Amount in respect of Port of Bristol (BA)</t>
  </si>
  <si>
    <t>Part_3_Line_12_Col3</t>
  </si>
  <si>
    <t>Amount in respect of Port of Bristol (Total)</t>
  </si>
  <si>
    <t>Part_3_Line_13_Col1</t>
  </si>
  <si>
    <t>Total business rates deductions (BA)</t>
  </si>
  <si>
    <t>Part_3_Line_13_Col2</t>
  </si>
  <si>
    <t>Total business rates deductions (DA)</t>
  </si>
  <si>
    <t>Part_3_Line_13_Col3</t>
  </si>
  <si>
    <t>Total business rates deductions (Total)</t>
  </si>
  <si>
    <t>Opening balance on collection fund</t>
  </si>
  <si>
    <t>Business rates credited and charged to the Collection Fund</t>
  </si>
  <si>
    <t>Sums written off in excess of the allowance for non-collection</t>
  </si>
  <si>
    <t>Changes to the allowance for non-collection</t>
  </si>
  <si>
    <t>Amounts charged against the provision for alteration of lists and appeals following RV list changes</t>
  </si>
  <si>
    <t>Changes to the provision for alteration of lists and appeals</t>
  </si>
  <si>
    <t>Total business rates credits and charges</t>
  </si>
  <si>
    <t>Transitional protection payments received</t>
  </si>
  <si>
    <t>Transfers/payments to the Collection Fund for end-year reconciliations</t>
  </si>
  <si>
    <t>Transfers/payments into the Collection Fund in respect of a previous year's deficit</t>
  </si>
  <si>
    <t>Total Other Credits</t>
  </si>
  <si>
    <t>Transitional protection payments made</t>
  </si>
  <si>
    <t>Payments made, or to be made, to the Secretary of State in respect of the central share</t>
  </si>
  <si>
    <t>Payments made, or to be made to, major precepting authorities in respect of business rates income</t>
  </si>
  <si>
    <t>Transfers made, or to be made, to the billing authority's General Fund in respect of business rates income</t>
  </si>
  <si>
    <t>Transfers made, or to be made, to the billing authority's General Fund or precepting authority in respected of disregarded amounts</t>
  </si>
  <si>
    <t>Transfers/payments from the Collection Fund for end-year reconciliations</t>
  </si>
  <si>
    <t>Transfers/payments made from the Collection Fund in respect of a previous year's surplus</t>
  </si>
  <si>
    <t>Total Other Charges</t>
  </si>
  <si>
    <t>Part_4_Line_21_Col1</t>
  </si>
  <si>
    <t>Closing balance on collection fund</t>
  </si>
  <si>
    <t>Part_4_Line_22_Col1</t>
  </si>
  <si>
    <t>% for distribution of prior year surplus/deficit</t>
  </si>
  <si>
    <t>Part_4_Line_22_Col2</t>
  </si>
  <si>
    <t>Part_4_Line_22_Col3</t>
  </si>
  <si>
    <t>Part_4_Line_22_Col4</t>
  </si>
  <si>
    <t>Part_4_Line_22_Col5</t>
  </si>
  <si>
    <t>Part_4_Line_23_Col1</t>
  </si>
  <si>
    <t>Prior year surplus/deficit (CG)</t>
  </si>
  <si>
    <t>Part_4_Line_23_Col2</t>
  </si>
  <si>
    <t>Prior year surplus/deficit (BA)</t>
  </si>
  <si>
    <t>Part_4_Line_23_Col3</t>
  </si>
  <si>
    <t>Prior year surplus/deficit (UA)</t>
  </si>
  <si>
    <t>Part_4_Line_23_Col4</t>
  </si>
  <si>
    <t>Prior year surplus/deficit (FRA)</t>
  </si>
  <si>
    <t>Part_4_Line_23_Col5</t>
  </si>
  <si>
    <t>Prior year surplus/deficit (Total)</t>
  </si>
  <si>
    <t>Part_4_Line_24_Col1</t>
  </si>
  <si>
    <t>% for distribution of in-year surplus/deficit (CG)</t>
  </si>
  <si>
    <t>Part_4_Line_24_Col2</t>
  </si>
  <si>
    <t>% for distribution of in-year surplus/deficit (BA)</t>
  </si>
  <si>
    <t>Part_4_Line_24_Col3</t>
  </si>
  <si>
    <t>% for distribution of in-year surplus/deficit (UA)</t>
  </si>
  <si>
    <t>Part_4_Line_24_Col4</t>
  </si>
  <si>
    <t>% for distribution of in-year surplus/deficit (FRA)</t>
  </si>
  <si>
    <t>Part_4_Line_24_Col5</t>
  </si>
  <si>
    <t>% for distribution of in-year surplus/deficit (Total)</t>
  </si>
  <si>
    <t>Part_4_Line_25_Col1</t>
  </si>
  <si>
    <t>In-year surplus/deficit (CG)</t>
  </si>
  <si>
    <t>Part_4_Line_25_Col2</t>
  </si>
  <si>
    <t>In-year surplus/deficit (BA)</t>
  </si>
  <si>
    <t>Part_4_Line_25_Col3</t>
  </si>
  <si>
    <t>In-year surplus/deficit (UA)</t>
  </si>
  <si>
    <t>Part_4_Line_25_Col4</t>
  </si>
  <si>
    <t>In-year surplus/deficit (FRA)</t>
  </si>
  <si>
    <t>Part_4_Line_25_Col5</t>
  </si>
  <si>
    <t>In-year surplus/deficit (Total)</t>
  </si>
  <si>
    <t>Total collection fund closing balance (CG)</t>
  </si>
  <si>
    <t>Total collection fund closing balance (BA)</t>
  </si>
  <si>
    <t>Total collection fund closing balance (UA)</t>
  </si>
  <si>
    <t>Total collection fund closing balance (FRA)</t>
  </si>
  <si>
    <t>Total collection fund closing balance (Total)</t>
  </si>
  <si>
    <t>Check for comment: There is a difference between the value in Line 10 and the estimated deficit on the collection fund in respect of financial year 2019-20, as reported on the 2020-21 NNDR1 form. Please check and provide comments if true.</t>
  </si>
  <si>
    <t>Check for comment: There is a difference between the value in Line 18 and the estimated surplus on the collection fund in respect of financial year 2019-20, as reported on the 2020-21 NNDR1 form. Please check and provide comments if true</t>
  </si>
  <si>
    <t>Check for comment: There are errors in the calculations in this form.  Have you overwritten some of the pre-filled calculations? Please check.</t>
  </si>
  <si>
    <t>Any comments in response to warning messages</t>
  </si>
  <si>
    <t>Reference variable for the small multiplier adjustment factor</t>
  </si>
  <si>
    <t>Part_1_Reference_2</t>
  </si>
  <si>
    <t>Reference variable for the standard multiplier adjustment factor</t>
  </si>
  <si>
    <t>Reference variable for upper tier shale gas share</t>
  </si>
  <si>
    <t>Part_1_Reference_3</t>
  </si>
  <si>
    <t>Reference variable for FRA shale gas share</t>
  </si>
  <si>
    <t>Part_1_Reference_4</t>
  </si>
  <si>
    <t>Reference variable for the LA share total</t>
  </si>
  <si>
    <t>Part_1_Reference_5</t>
  </si>
  <si>
    <t>Reference variable for the SBRR threshold factor</t>
  </si>
  <si>
    <t>Part_1_Reference_6</t>
  </si>
  <si>
    <t>Reference variable for additional compensation in respect of BA</t>
  </si>
  <si>
    <t>Part_1_Reference_7</t>
  </si>
  <si>
    <t>Reference variable for additional compensation in respect of DA</t>
  </si>
  <si>
    <t>Part_1_Reference_8</t>
  </si>
  <si>
    <t>Reference variable for NNDR share for the BA</t>
  </si>
  <si>
    <t>Part_1_Reference_9</t>
  </si>
  <si>
    <t>Reference variable for NNDR share for the UA</t>
  </si>
  <si>
    <t>Part_1_Reference_10</t>
  </si>
  <si>
    <t>Reference variable for NNDR share for the FRA</t>
  </si>
  <si>
    <t>Part_1_Reference_11</t>
  </si>
  <si>
    <t>Reference varibale for NNDR share for central government</t>
  </si>
  <si>
    <t>Part_1_Reference_12</t>
  </si>
  <si>
    <t>Reference variable for NNDR share for the BA in previous year</t>
  </si>
  <si>
    <t>Part_1_Reference_13</t>
  </si>
  <si>
    <t>Reference variable for NNDR share for the UA in previous year</t>
  </si>
  <si>
    <t>Part_1_Reference_14</t>
  </si>
  <si>
    <t>Reference variable for NNDR share for the FRA in previous year</t>
  </si>
  <si>
    <t>Part_1_Reference_15</t>
  </si>
  <si>
    <t>Reference varibale for NNDR share for central government in previous year</t>
  </si>
  <si>
    <t>Reference variable for the calculated cost of collection</t>
  </si>
  <si>
    <t>Reference variable for whether the authority has a UA for the renewable energy calc</t>
  </si>
  <si>
    <t>Part_1_Reference_16</t>
  </si>
  <si>
    <t>Total hereditaments given relief. Used purely for validation because there is no good way to check for double counting</t>
  </si>
  <si>
    <t>Part_1_Reference_18</t>
  </si>
  <si>
    <t>Small business rating supplementary multiplier</t>
  </si>
  <si>
    <t>Part_1_Reference_19</t>
  </si>
  <si>
    <t>Historic small business rating supplementary multiplier</t>
  </si>
  <si>
    <t>Share of BAA income which is from businesses on the small multiplier</t>
  </si>
  <si>
    <t>Share of DA income which is from businesses on the small multiplier</t>
  </si>
  <si>
    <t>Share of total income which is from businesses on the small multiplier</t>
  </si>
  <si>
    <t>Share of BAA income which is from businesses on the standard multiplier</t>
  </si>
  <si>
    <t>Share of DA income which is from businesses on the standard multiplier</t>
  </si>
  <si>
    <t>Share of total income which is from businesses on the standard multiplier</t>
  </si>
  <si>
    <t>Supplementary_Information_Line_1a_Col1</t>
  </si>
  <si>
    <t>Number of hereditaments that were being granted charitable relief</t>
  </si>
  <si>
    <t>Supplementary_Information_Line_1b_Col1</t>
  </si>
  <si>
    <t>Number of hereditaments that were being granted Community Amateur Sports Clubs relief</t>
  </si>
  <si>
    <t>Supplementary_Information_Line_1c_Col1</t>
  </si>
  <si>
    <t>Number of hereditaments that were being granted rural general stores, post offices, public houses, petrol filling stations and food shops relief</t>
  </si>
  <si>
    <t>Supplementary_Information_Line_1e_Col1</t>
  </si>
  <si>
    <t>Number of hereditaments that were being granted public lavatories relief</t>
  </si>
  <si>
    <t>Supplementary_Information_Line_1f_Col1</t>
  </si>
  <si>
    <t>Number of hereditaments that were being granted partly occupied premises relief</t>
  </si>
  <si>
    <t>Supplementary_Information_Line_1g_Col1</t>
  </si>
  <si>
    <t>Number of hereditaments that were being granted empty property relief</t>
  </si>
  <si>
    <t>Hereditaments granted empty propert relief that are classed as "industrial property" above the exemption threshold</t>
  </si>
  <si>
    <t>Hereditaments granted empty propert relief  that have "listed building status"</t>
  </si>
  <si>
    <t>Hereditaments granted empty propert relief  that are "Community Amateur Sports Clubs"</t>
  </si>
  <si>
    <t>Hereditaments granted empty propert relief that are "charities"</t>
  </si>
  <si>
    <t>Hereditaments granted empty propert relief where the hereditament is empty and not included in categories i to iv</t>
  </si>
  <si>
    <t>Hereditaments granted empty propert relief that are classed as "non-industrial" above the exemption threshold</t>
  </si>
  <si>
    <t>Supplementary_Information_Line_1h_Col1</t>
  </si>
  <si>
    <t>Supplementary_Information_Line_1i_Col1</t>
  </si>
  <si>
    <t>Number of hereditaments that were being granted non-profit making bodies' relief</t>
  </si>
  <si>
    <t>Supplementary_Information_Line_1j_Col1</t>
  </si>
  <si>
    <t>Supplementary_Information_Line_1k_Col1</t>
  </si>
  <si>
    <t>Number of hereditaments that were being granted rural shops, post offices, public houses, petrol filling stations and food shops relief</t>
  </si>
  <si>
    <t>Supplementary_Information_Line_1l_Col1</t>
  </si>
  <si>
    <t>Number of hereditaments that were being granted other small rural businesses relief</t>
  </si>
  <si>
    <t>Supplementary_Information_Line_1m_Col1</t>
  </si>
  <si>
    <t>Number of hereditaments within Enterprise Zones being granted discounts</t>
  </si>
  <si>
    <t>Supplementary_Information_Line_1n_Col1</t>
  </si>
  <si>
    <t>Number of hereditaments subject to a S47 local discount</t>
  </si>
  <si>
    <t>Supplementary_Information_Line_1o_Col1</t>
  </si>
  <si>
    <t>Number of hereditaments receiving Rural Rate Relief</t>
  </si>
  <si>
    <t>Supplementary_Information_Line_1p_Col1</t>
  </si>
  <si>
    <t>Number of hereditaments receiving Local Newspaper Relief</t>
  </si>
  <si>
    <t>Supplementary_Information_Line_1q_Col1</t>
  </si>
  <si>
    <t>Number of hereditaments receiving  Supporting Small Business Relief</t>
  </si>
  <si>
    <t>Supplementary_Information_Line_1r_Col1</t>
  </si>
  <si>
    <t>Number of hereditaments that were being granted expanded retail discount</t>
  </si>
  <si>
    <t>Number of hereditaments receiving Low Carbon Heat Networks relief</t>
  </si>
  <si>
    <t>Number of hereditaments contributing to the small business rate relief scheme by paying the additional supplement</t>
  </si>
  <si>
    <t>Number of hereditaments that receive a discount from the small business rate relief scheme</t>
  </si>
  <si>
    <t>Hereditaments with a rateable value between Ã¯Â¿Â½0 and Ã¯Â¿Â½12,000 receiving the maximum discount from SBRR</t>
  </si>
  <si>
    <t>Hereditaments with a rateable value between Ã¯Â¿Â½12,001 and Ã¯Â¿Â½15,000 receiving the discount on a sliding scale from SBRR</t>
  </si>
  <si>
    <t>Number of hereditaments that pay only the small business rate multiplier and are not granted a discount</t>
  </si>
  <si>
    <t>Number of unoccupied hereditaments paying rates</t>
  </si>
  <si>
    <t>Number of hereditaments receiving Empty Property relief that had previously applied for it in the year</t>
  </si>
  <si>
    <t>Number of hereditaments receiving Empty Property relief that had previously applied for it multiple times in the year</t>
  </si>
  <si>
    <t>Net rates collected in occupied properties</t>
  </si>
  <si>
    <t>Net rates collected in unoccupied properties</t>
  </si>
  <si>
    <t>Estimated value of empty property relief to be granted</t>
  </si>
  <si>
    <t>Empty property relief to be given - industrial property above the exemption threshold</t>
  </si>
  <si>
    <t>Empty property relief to be given - listed building status</t>
  </si>
  <si>
    <t>Empty property relief to be given - Community Amateur Sports Clubs</t>
  </si>
  <si>
    <t>Empty property relief to be given - charities</t>
  </si>
  <si>
    <t>Empty property relief to be given where the hereditament is empty and is not included in categories i to iv</t>
  </si>
  <si>
    <t>Empty property relief to be given - "non-industrial" above the exemption threshold</t>
  </si>
  <si>
    <t>The cost of small business rate relief for properties within the billing authority area</t>
  </si>
  <si>
    <t>Cost of hereditaments with a rateable value between Ã¯Â¿Â½0 and Ã¯Â¿Â½12,000 that will receive the full discount from SBRR</t>
  </si>
  <si>
    <t>Cost of hereditaments with a rateable value between Ã¯Â¿Â½12,001 and Ã¯Â¿Â½15,000 that will receive the discount on a sliding scale from SBRR</t>
  </si>
  <si>
    <t>Estimated value of other discretionary relief to be granted in 2024-25</t>
  </si>
  <si>
    <t>Other discretionary relief of which Relief awarded under s.47 where a Mayoral Development Corporation has assumed functions under section 47(3) and 47(6) of the 1988 Act.</t>
  </si>
  <si>
    <t>Other discretionary relief of which Relief awarded by the billing authority</t>
  </si>
  <si>
    <t>Notes on supplementary info</t>
  </si>
  <si>
    <t>Part3_DA summary _DA names</t>
  </si>
  <si>
    <t>Name of DA number 1</t>
  </si>
  <si>
    <t>Name of DA number 2</t>
  </si>
  <si>
    <t>Name of DA number 3</t>
  </si>
  <si>
    <t>Name of DA number 4</t>
  </si>
  <si>
    <t>Name of DA number 5</t>
  </si>
  <si>
    <t>Name of DA number 6</t>
  </si>
  <si>
    <t>Name of DA number 7</t>
  </si>
  <si>
    <t>Name of DA number 8</t>
  </si>
  <si>
    <t>Name of DA number 9</t>
  </si>
  <si>
    <t>Name of DA number 10</t>
  </si>
  <si>
    <t>Name of DA number 11</t>
  </si>
  <si>
    <t>Name of DA number 12</t>
  </si>
  <si>
    <t>Name of DA number 13</t>
  </si>
  <si>
    <t>Name of DA number 14</t>
  </si>
  <si>
    <t>Name of DA number 15</t>
  </si>
  <si>
    <t>Name of DA number 16</t>
  </si>
  <si>
    <t>Name of DA number 17</t>
  </si>
  <si>
    <t>Name of DA number 18</t>
  </si>
  <si>
    <t>Name of DA number 19</t>
  </si>
  <si>
    <t>Name of DA number 20</t>
  </si>
  <si>
    <t>Name of DA number 21</t>
  </si>
  <si>
    <t>Name of DA number 22</t>
  </si>
  <si>
    <t>Name of DA number 23</t>
  </si>
  <si>
    <t>Name of DA number 24</t>
  </si>
  <si>
    <t>Name of DA number 25</t>
  </si>
  <si>
    <t>Name of DA number 26</t>
  </si>
  <si>
    <t>Name of DA number 27</t>
  </si>
  <si>
    <t>Name of DA number 28</t>
  </si>
  <si>
    <t>Name of DA number 29</t>
  </si>
  <si>
    <t>Name of DA number 30</t>
  </si>
  <si>
    <t>Name of DA number 31</t>
  </si>
  <si>
    <t>Name of DA number 32</t>
  </si>
  <si>
    <t>Name of DA number 33</t>
  </si>
  <si>
    <t>Name of DA number 34</t>
  </si>
  <si>
    <t>Name of DA number 35</t>
  </si>
  <si>
    <t>Name of DA number 36</t>
  </si>
  <si>
    <t>Name of DA number 37</t>
  </si>
  <si>
    <t>Name of DA number 38</t>
  </si>
  <si>
    <t>Name of DA number 39</t>
  </si>
  <si>
    <t>Name of DA number 40</t>
  </si>
  <si>
    <t>Name of DA number 41</t>
  </si>
  <si>
    <t>Part 3_DA_data_col1_Total</t>
  </si>
  <si>
    <t>DA Sum payable Total</t>
  </si>
  <si>
    <t>Part 3_DA_data_col1</t>
  </si>
  <si>
    <t>DA Sum payable 1</t>
  </si>
  <si>
    <t>DA Sum payable 2</t>
  </si>
  <si>
    <t>DA Sum payable 3</t>
  </si>
  <si>
    <t>DA Sum payable 4</t>
  </si>
  <si>
    <t>DA Sum payable 5</t>
  </si>
  <si>
    <t>DA Sum payable 6</t>
  </si>
  <si>
    <t>DA Sum payable 7</t>
  </si>
  <si>
    <t>DA Sum payable 8</t>
  </si>
  <si>
    <t>DA Sum payable 9</t>
  </si>
  <si>
    <t>DA Sum payable 10</t>
  </si>
  <si>
    <t>DA Sum payable 11</t>
  </si>
  <si>
    <t>DA Sum payable 12</t>
  </si>
  <si>
    <t>DA Sum payable 13</t>
  </si>
  <si>
    <t>DA Sum payable 14</t>
  </si>
  <si>
    <t>DA Sum payable 15</t>
  </si>
  <si>
    <t>DA Sum payable 16</t>
  </si>
  <si>
    <t>DA Sum payable 17</t>
  </si>
  <si>
    <t>DA Sum payable 18</t>
  </si>
  <si>
    <t>DA Sum payable 19</t>
  </si>
  <si>
    <t>DA Sum payable 20</t>
  </si>
  <si>
    <t>DA Sum payable 21</t>
  </si>
  <si>
    <t>DA Sum payable 22</t>
  </si>
  <si>
    <t>DA Sum payable 23</t>
  </si>
  <si>
    <t>DA Sum payable 24</t>
  </si>
  <si>
    <t>DA Sum payable 25</t>
  </si>
  <si>
    <t>DA Sum payable 26</t>
  </si>
  <si>
    <t>DA Sum payable 27</t>
  </si>
  <si>
    <t>DA Sum payable 28</t>
  </si>
  <si>
    <t>DA Sum payable 29</t>
  </si>
  <si>
    <t>DA Sum payable 30</t>
  </si>
  <si>
    <t>DA Sum payable 31</t>
  </si>
  <si>
    <t>DA Sum payable 32</t>
  </si>
  <si>
    <t>DA Sum payable 33</t>
  </si>
  <si>
    <t>DA Sum payable 34</t>
  </si>
  <si>
    <t>DA Sum payable 35</t>
  </si>
  <si>
    <t>DA Sum payable 36</t>
  </si>
  <si>
    <t>DA Sum payable 37</t>
  </si>
  <si>
    <t>DA Sum payable 38</t>
  </si>
  <si>
    <t>DA Sum payable 39</t>
  </si>
  <si>
    <t>DA Sum payable 40</t>
  </si>
  <si>
    <t>DA Sum payable 41</t>
  </si>
  <si>
    <t>Part 3_DA_data_col2_Total</t>
  </si>
  <si>
    <t>DA Bad debt Total</t>
  </si>
  <si>
    <t>Part 3_DA_data_col2</t>
  </si>
  <si>
    <t>Bad debt in respect of DA number 1</t>
  </si>
  <si>
    <t>Bad debt in respect of DA number 2</t>
  </si>
  <si>
    <t>Bad debt in respect of DA number 3</t>
  </si>
  <si>
    <t>Bad debt in respect of DA number 4</t>
  </si>
  <si>
    <t>Bad debt in respect of DA number 5</t>
  </si>
  <si>
    <t>Bad debt in respect of DA number 6</t>
  </si>
  <si>
    <t>Bad debt in respect of DA number 7</t>
  </si>
  <si>
    <t>Bad debt in respect of DA number 8</t>
  </si>
  <si>
    <t>Bad debt in respect of DA number 9</t>
  </si>
  <si>
    <t>Bad debt in respect of DA number 10</t>
  </si>
  <si>
    <t>Bad debt in respect of DA number 11</t>
  </si>
  <si>
    <t>Bad debt in respect of DA number 12</t>
  </si>
  <si>
    <t>Bad debt in respect of DA number 13</t>
  </si>
  <si>
    <t>Bad debt in respect of DA number 14</t>
  </si>
  <si>
    <t>Bad debt in respect of DA number 15</t>
  </si>
  <si>
    <t>Bad debt in respect of DA number 16</t>
  </si>
  <si>
    <t>Bad debt in respect of DA number 17</t>
  </si>
  <si>
    <t>Bad debt in respect of DA number 18</t>
  </si>
  <si>
    <t>Bad debt in respect of DA number 19</t>
  </si>
  <si>
    <t>Bad debt in respect of DA number 20</t>
  </si>
  <si>
    <t>Bad debt in respect of DA number 21</t>
  </si>
  <si>
    <t>Bad debt in respect of DA number 22</t>
  </si>
  <si>
    <t>Bad debt in respect of DA number 23</t>
  </si>
  <si>
    <t>Bad debt in respect of DA number 24</t>
  </si>
  <si>
    <t>Bad debt in respect of DA number 25</t>
  </si>
  <si>
    <t>Bad debt in respect of DA number 26</t>
  </si>
  <si>
    <t>Bad debt in respect of DA number 27</t>
  </si>
  <si>
    <t>Bad debt in respect of DA number 28</t>
  </si>
  <si>
    <t>Bad debt in respect of DA number 29</t>
  </si>
  <si>
    <t>Bad debt in respect of DA number 30</t>
  </si>
  <si>
    <t>Bad debt in respect of DA number 31</t>
  </si>
  <si>
    <t>Bad debt in respect of DA number 32</t>
  </si>
  <si>
    <t>Bad debt in respect of DA number 33</t>
  </si>
  <si>
    <t>Bad debt in respect of DA number 34</t>
  </si>
  <si>
    <t>Bad debt in respect of DA number 35</t>
  </si>
  <si>
    <t>Bad debt in respect of DA number 36</t>
  </si>
  <si>
    <t>Bad debt in respect of DA number 37</t>
  </si>
  <si>
    <t>Bad debt in respect of DA number 38</t>
  </si>
  <si>
    <t>Bad debt in respect of DA number 39</t>
  </si>
  <si>
    <t>Bad debt in respect of DA number 40</t>
  </si>
  <si>
    <t>Bad debt in respect of DA number 41</t>
  </si>
  <si>
    <t>Part 3_DA_data_col3_Total</t>
  </si>
  <si>
    <t>DA Repayments Total</t>
  </si>
  <si>
    <t>Part 3_DA_data_col3</t>
  </si>
  <si>
    <t>DA Repayments 1</t>
  </si>
  <si>
    <t>DA Repayments 2</t>
  </si>
  <si>
    <t>DA Repayments 3</t>
  </si>
  <si>
    <t>DA Repayments 4</t>
  </si>
  <si>
    <t>DA Repayments 5</t>
  </si>
  <si>
    <t>DA Repayments 6</t>
  </si>
  <si>
    <t>DA Repayments 7</t>
  </si>
  <si>
    <t>DA Repayments 8</t>
  </si>
  <si>
    <t>DA Repayments 9</t>
  </si>
  <si>
    <t>DA Repayments 10</t>
  </si>
  <si>
    <t>DA Repayments 11</t>
  </si>
  <si>
    <t>DA Repayments 12</t>
  </si>
  <si>
    <t>DA Repayments 13</t>
  </si>
  <si>
    <t>DA Repayments 14</t>
  </si>
  <si>
    <t>DA Repayments 15</t>
  </si>
  <si>
    <t>DA Repayments 16</t>
  </si>
  <si>
    <t>DA Repayments 17</t>
  </si>
  <si>
    <t>DA Repayments 18</t>
  </si>
  <si>
    <t>DA Repayments 19</t>
  </si>
  <si>
    <t>DA Repayments 20</t>
  </si>
  <si>
    <t>DA Repayments 21</t>
  </si>
  <si>
    <t>DA Repayments 22</t>
  </si>
  <si>
    <t>DA Repayments 23</t>
  </si>
  <si>
    <t>DA Repayments 24</t>
  </si>
  <si>
    <t>DA Repayments 25</t>
  </si>
  <si>
    <t>DA Repayments 26</t>
  </si>
  <si>
    <t>DA Repayments 27</t>
  </si>
  <si>
    <t>DA Repayments 28</t>
  </si>
  <si>
    <t>DA Repayments 29</t>
  </si>
  <si>
    <t>DA Repayments 30</t>
  </si>
  <si>
    <t>DA Repayments 31</t>
  </si>
  <si>
    <t>DA Repayments 32</t>
  </si>
  <si>
    <t>DA Repayments 33</t>
  </si>
  <si>
    <t>DA Repayments 34</t>
  </si>
  <si>
    <t>DA Repayments 35</t>
  </si>
  <si>
    <t>DA Repayments 36</t>
  </si>
  <si>
    <t>DA Repayments 37</t>
  </si>
  <si>
    <t>DA Repayments 38</t>
  </si>
  <si>
    <t>DA Repayments 39</t>
  </si>
  <si>
    <t>DA Repayments 40</t>
  </si>
  <si>
    <t>DA Repayments 41</t>
  </si>
  <si>
    <t>Part 3_DA_data_col4_Total</t>
  </si>
  <si>
    <t>DA Net payable Total</t>
  </si>
  <si>
    <t>Part 3_DA_data_col4</t>
  </si>
  <si>
    <t>DA Net payable 1</t>
  </si>
  <si>
    <t>DA Net payable 2</t>
  </si>
  <si>
    <t>DA Net payable 3</t>
  </si>
  <si>
    <t>DA Net payable 4</t>
  </si>
  <si>
    <t>DA Net payable 5</t>
  </si>
  <si>
    <t>DA Net payable 6</t>
  </si>
  <si>
    <t>DA Net payable 7</t>
  </si>
  <si>
    <t>DA Net payable 8</t>
  </si>
  <si>
    <t>DA Net payable 9</t>
  </si>
  <si>
    <t>DA Net payable 10</t>
  </si>
  <si>
    <t>DA Net payable 11</t>
  </si>
  <si>
    <t>DA Net payable 12</t>
  </si>
  <si>
    <t>DA Net payable 13</t>
  </si>
  <si>
    <t>DA Net payable 14</t>
  </si>
  <si>
    <t>DA Net payable 15</t>
  </si>
  <si>
    <t>DA Net payable 16</t>
  </si>
  <si>
    <t>DA Net payable 17</t>
  </si>
  <si>
    <t>DA Net payable 18</t>
  </si>
  <si>
    <t>DA Net payable 19</t>
  </si>
  <si>
    <t>DA Net payable 20</t>
  </si>
  <si>
    <t>DA Net payable 21</t>
  </si>
  <si>
    <t>DA Net payable 22</t>
  </si>
  <si>
    <t>DA Net payable 23</t>
  </si>
  <si>
    <t>DA Net payable 24</t>
  </si>
  <si>
    <t>DA Net payable 25</t>
  </si>
  <si>
    <t>DA Net payable 26</t>
  </si>
  <si>
    <t>DA Net payable 27</t>
  </si>
  <si>
    <t>DA Net payable 28</t>
  </si>
  <si>
    <t>DA Net payable 29</t>
  </si>
  <si>
    <t>DA Net payable 30</t>
  </si>
  <si>
    <t>DA Net payable 31</t>
  </si>
  <si>
    <t>DA Net payable 32</t>
  </si>
  <si>
    <t>DA Net payable 33</t>
  </si>
  <si>
    <t>DA Net payable 34</t>
  </si>
  <si>
    <t>DA Net payable 35</t>
  </si>
  <si>
    <t>DA Net payable 36</t>
  </si>
  <si>
    <t>DA Net payable 37</t>
  </si>
  <si>
    <t>DA Net payable 38</t>
  </si>
  <si>
    <t>DA Net payable 39</t>
  </si>
  <si>
    <t>DA Net payable 40</t>
  </si>
  <si>
    <t>DA Net payable 41</t>
  </si>
  <si>
    <t>Part 3_DA_data_col5_Total</t>
  </si>
  <si>
    <t>DA Renewable energy Total</t>
  </si>
  <si>
    <t>Part 3_DA_data_col5</t>
  </si>
  <si>
    <t>DA Renewable energy 1</t>
  </si>
  <si>
    <t>DA Renewable energy 2</t>
  </si>
  <si>
    <t>DA Renewable energy 3</t>
  </si>
  <si>
    <t>DA Renewable energy 4</t>
  </si>
  <si>
    <t>DA Renewable energy 5</t>
  </si>
  <si>
    <t>DA Renewable energy 6</t>
  </si>
  <si>
    <t>DA Renewable energy 7</t>
  </si>
  <si>
    <t>DA Renewable energy 8</t>
  </si>
  <si>
    <t>DA Renewable energy 9</t>
  </si>
  <si>
    <t>DA Renewable energy 10</t>
  </si>
  <si>
    <t>DA Renewable energy 11</t>
  </si>
  <si>
    <t>DA Renewable energy 12</t>
  </si>
  <si>
    <t>DA Renewable energy 13</t>
  </si>
  <si>
    <t>DA Renewable energy 14</t>
  </si>
  <si>
    <t>DA Renewable energy 15</t>
  </si>
  <si>
    <t>DA Renewable energy 16</t>
  </si>
  <si>
    <t>DA Renewable energy 17</t>
  </si>
  <si>
    <t>DA Renewable energy 18</t>
  </si>
  <si>
    <t>DA Renewable energy 19</t>
  </si>
  <si>
    <t>DA Renewable energy 20</t>
  </si>
  <si>
    <t>DA Renewable energy 21</t>
  </si>
  <si>
    <t>DA Renewable energy 22</t>
  </si>
  <si>
    <t>DA Renewable energy 23</t>
  </si>
  <si>
    <t>DA Renewable energy 24</t>
  </si>
  <si>
    <t>DA Renewable energy 25</t>
  </si>
  <si>
    <t>DA Renewable energy 26</t>
  </si>
  <si>
    <t>DA Renewable energy 27</t>
  </si>
  <si>
    <t>DA Renewable energy 28</t>
  </si>
  <si>
    <t>DA Renewable energy 29</t>
  </si>
  <si>
    <t>DA Renewable energy 30</t>
  </si>
  <si>
    <t>DA Renewable energy 31</t>
  </si>
  <si>
    <t>DA Renewable energy 32</t>
  </si>
  <si>
    <t>DA Renewable energy 33</t>
  </si>
  <si>
    <t>DA Renewable energy 34</t>
  </si>
  <si>
    <t>DA Renewable energy 35</t>
  </si>
  <si>
    <t>DA Renewable energy 36</t>
  </si>
  <si>
    <t>DA Renewable energy 37</t>
  </si>
  <si>
    <t>DA Renewable energy 38</t>
  </si>
  <si>
    <t>DA Renewable energy 39</t>
  </si>
  <si>
    <t>DA Renewable energy 40</t>
  </si>
  <si>
    <t>DA Renewable energy 41</t>
  </si>
  <si>
    <t>Part 3_DA_data_col6_Total</t>
  </si>
  <si>
    <t>DA Shale oil and gas Total</t>
  </si>
  <si>
    <t>Part 3_DA_data_col6</t>
  </si>
  <si>
    <t>DA Shale oil and gas 1</t>
  </si>
  <si>
    <t>DA Shale oil and gas 2</t>
  </si>
  <si>
    <t>DA Shale oil and gas 3</t>
  </si>
  <si>
    <t>DA Shale oil and gas 4</t>
  </si>
  <si>
    <t>DA Shale oil and gas 5</t>
  </si>
  <si>
    <t>DA Shale oil and gas 6</t>
  </si>
  <si>
    <t>DA Shale oil and gas 7</t>
  </si>
  <si>
    <t>DA Shale oil and gas 8</t>
  </si>
  <si>
    <t>DA Shale oil and gas 9</t>
  </si>
  <si>
    <t>DA Shale oil and gas 10</t>
  </si>
  <si>
    <t>DA Shale oil and gas 11</t>
  </si>
  <si>
    <t>DA Shale oil and gas 12</t>
  </si>
  <si>
    <t>DA Shale oil and gas 13</t>
  </si>
  <si>
    <t>DA Shale oil and gas 14</t>
  </si>
  <si>
    <t>DA Shale oil and gas 15</t>
  </si>
  <si>
    <t>DA Shale oil and gas 16</t>
  </si>
  <si>
    <t>DA Shale oil and gas 17</t>
  </si>
  <si>
    <t>DA Shale oil and gas 18</t>
  </si>
  <si>
    <t>DA Shale oil and gas 19</t>
  </si>
  <si>
    <t>DA Shale oil and gas 20</t>
  </si>
  <si>
    <t>DA Shale oil and gas 21</t>
  </si>
  <si>
    <t>DA Shale oil and gas 22</t>
  </si>
  <si>
    <t>DA Shale oil and gas 23</t>
  </si>
  <si>
    <t>DA Shale oil and gas 24</t>
  </si>
  <si>
    <t>DA Shale oil and gas 25</t>
  </si>
  <si>
    <t>DA Shale oil and gas 26</t>
  </si>
  <si>
    <t>DA Shale oil and gas 27</t>
  </si>
  <si>
    <t>DA Shale oil and gas 28</t>
  </si>
  <si>
    <t>DA Shale oil and gas 29</t>
  </si>
  <si>
    <t>DA Shale oil and gas 30</t>
  </si>
  <si>
    <t>DA Shale oil and gas 31</t>
  </si>
  <si>
    <t>DA Shale oil and gas 32</t>
  </si>
  <si>
    <t>DA Shale oil and gas 33</t>
  </si>
  <si>
    <t>DA Shale oil and gas 34</t>
  </si>
  <si>
    <t>DA Shale oil and gas 35</t>
  </si>
  <si>
    <t>DA Shale oil and gas 36</t>
  </si>
  <si>
    <t>DA Shale oil and gas 37</t>
  </si>
  <si>
    <t>DA Shale oil and gas 38</t>
  </si>
  <si>
    <t>DA Shale oil and gas 39</t>
  </si>
  <si>
    <t>DA Shale oil and gas 40</t>
  </si>
  <si>
    <t>DA Shale oil and gas 41</t>
  </si>
  <si>
    <t>Part 3_DA_data_col7_Total</t>
  </si>
  <si>
    <t>DA Transitional protection payment Total</t>
  </si>
  <si>
    <t>Part 3_DA_data_col7</t>
  </si>
  <si>
    <t>DA Transitional protection payment 1</t>
  </si>
  <si>
    <t>DA Transitional protection payment 2</t>
  </si>
  <si>
    <t>DA Transitional protection payment 3</t>
  </si>
  <si>
    <t>DA Transitional protection payment 4</t>
  </si>
  <si>
    <t>DA Transitional protection payment 5</t>
  </si>
  <si>
    <t>DA Transitional protection payment 6</t>
  </si>
  <si>
    <t>DA Transitional protection payment 7</t>
  </si>
  <si>
    <t>DA Transitional protection payment 8</t>
  </si>
  <si>
    <t>DA Transitional protection payment 9</t>
  </si>
  <si>
    <t>DA Transitional protection payment 10</t>
  </si>
  <si>
    <t>DA Transitional protection payment 11</t>
  </si>
  <si>
    <t>DA Transitional protection payment 12</t>
  </si>
  <si>
    <t>DA Transitional protection payment 13</t>
  </si>
  <si>
    <t>DA Transitional protection payment 14</t>
  </si>
  <si>
    <t>DA Transitional protection payment 15</t>
  </si>
  <si>
    <t>DA Transitional protection payment 16</t>
  </si>
  <si>
    <t>DA Transitional protection payment 17</t>
  </si>
  <si>
    <t>DA Transitional protection payment 18</t>
  </si>
  <si>
    <t>DA Transitional protection payment 19</t>
  </si>
  <si>
    <t>DA Transitional protection payment 20</t>
  </si>
  <si>
    <t>DA Transitional protection payment 21</t>
  </si>
  <si>
    <t>DA Transitional protection payment 22</t>
  </si>
  <si>
    <t>DA Transitional protection payment 23</t>
  </si>
  <si>
    <t>DA Transitional protection payment 24</t>
  </si>
  <si>
    <t>DA Transitional protection payment 25</t>
  </si>
  <si>
    <t>DA Transitional protection payment 26</t>
  </si>
  <si>
    <t>DA Transitional protection payment 27</t>
  </si>
  <si>
    <t>DA Transitional protection payment 28</t>
  </si>
  <si>
    <t>DA Transitional protection payment 29</t>
  </si>
  <si>
    <t>DA Transitional protection payment 30</t>
  </si>
  <si>
    <t>DA Transitional protection payment 31</t>
  </si>
  <si>
    <t>DA Transitional protection payment 32</t>
  </si>
  <si>
    <t>DA Transitional protection payment 33</t>
  </si>
  <si>
    <t>DA Transitional protection payment 34</t>
  </si>
  <si>
    <t>DA Transitional protection payment 35</t>
  </si>
  <si>
    <t>DA Transitional protection payment 36</t>
  </si>
  <si>
    <t>DA Transitional protection payment 37</t>
  </si>
  <si>
    <t>DA Transitional protection payment 38</t>
  </si>
  <si>
    <t>DA Transitional protection payment 39</t>
  </si>
  <si>
    <t>DA Transitional protection payment 40</t>
  </si>
  <si>
    <t>DA Transitional protection payment 41</t>
  </si>
  <si>
    <t>Part 3_DA_data_col8_Total</t>
  </si>
  <si>
    <t>DA Baseline Total</t>
  </si>
  <si>
    <t>Part 3_DA_data_col8</t>
  </si>
  <si>
    <t>Baseline for DA number 1</t>
  </si>
  <si>
    <t>Baseline for DA number 2</t>
  </si>
  <si>
    <t>Baseline for DA number 3</t>
  </si>
  <si>
    <t>Baseline for DA number 4</t>
  </si>
  <si>
    <t>Baseline for DA number 5</t>
  </si>
  <si>
    <t>Baseline for DA number 6</t>
  </si>
  <si>
    <t>Baseline for DA number 7</t>
  </si>
  <si>
    <t>Baseline for DA number 8</t>
  </si>
  <si>
    <t>Baseline for DA number 9</t>
  </si>
  <si>
    <t>Baseline for DA number 10</t>
  </si>
  <si>
    <t>Baseline for DA number 11</t>
  </si>
  <si>
    <t>Baseline for DA number 12</t>
  </si>
  <si>
    <t>Baseline for DA number 13</t>
  </si>
  <si>
    <t>Baseline for DA number 14</t>
  </si>
  <si>
    <t>Baseline for DA number 15</t>
  </si>
  <si>
    <t>Baseline for DA number 16</t>
  </si>
  <si>
    <t>Baseline for DA number 17</t>
  </si>
  <si>
    <t>Baseline for DA number 18</t>
  </si>
  <si>
    <t>Baseline for DA number 19</t>
  </si>
  <si>
    <t>Baseline for DA number 20</t>
  </si>
  <si>
    <t>Baseline for DA number 21</t>
  </si>
  <si>
    <t>Baseline for DA number 22</t>
  </si>
  <si>
    <t>Baseline for DA number 23</t>
  </si>
  <si>
    <t>Baseline for DA number 24</t>
  </si>
  <si>
    <t>Baseline for DA number 25</t>
  </si>
  <si>
    <t>Baseline for DA number 26</t>
  </si>
  <si>
    <t>Baseline for DA number 27</t>
  </si>
  <si>
    <t>Baseline for DA number 28</t>
  </si>
  <si>
    <t>Baseline for DA number 29</t>
  </si>
  <si>
    <t>Baseline for DA number 30</t>
  </si>
  <si>
    <t>Baseline for DA number 31</t>
  </si>
  <si>
    <t>Baseline for DA number 32</t>
  </si>
  <si>
    <t>Baseline for DA number 33</t>
  </si>
  <si>
    <t>Baseline for DA number 34</t>
  </si>
  <si>
    <t>Baseline for DA number 35</t>
  </si>
  <si>
    <t>Baseline for DA number 36</t>
  </si>
  <si>
    <t>Baseline for DA number 37</t>
  </si>
  <si>
    <t>Baseline for DA number 38</t>
  </si>
  <si>
    <t>Baseline for DA number 39</t>
  </si>
  <si>
    <t>Baseline for DA number 40</t>
  </si>
  <si>
    <t>Baseline for DA number 41</t>
  </si>
  <si>
    <t>Part 3_DA_data_col9_Total</t>
  </si>
  <si>
    <t>DA Total disregarded Total</t>
  </si>
  <si>
    <t>Part 3_DA_data_col9</t>
  </si>
  <si>
    <t>DA Total disregarded 1</t>
  </si>
  <si>
    <t>DA Total disregarded 2</t>
  </si>
  <si>
    <t>DA Total disregarded 3</t>
  </si>
  <si>
    <t>DA Total disregarded 4</t>
  </si>
  <si>
    <t>DA Total disregarded 5</t>
  </si>
  <si>
    <t>DA Total disregarded 6</t>
  </si>
  <si>
    <t>DA Total disregarded 7</t>
  </si>
  <si>
    <t>DA Total disregarded 8</t>
  </si>
  <si>
    <t>DA Total disregarded 9</t>
  </si>
  <si>
    <t>DA Total disregarded 10</t>
  </si>
  <si>
    <t>DA Total disregarded 11</t>
  </si>
  <si>
    <t>DA Total disregarded 12</t>
  </si>
  <si>
    <t>DA Total disregarded 13</t>
  </si>
  <si>
    <t>DA Total disregarded 14</t>
  </si>
  <si>
    <t>DA Total disregarded 15</t>
  </si>
  <si>
    <t>DA Total disregarded 16</t>
  </si>
  <si>
    <t>DA Total disregarded 17</t>
  </si>
  <si>
    <t>DA Total disregarded 18</t>
  </si>
  <si>
    <t>DA Total disregarded 19</t>
  </si>
  <si>
    <t>DA Total disregarded 20</t>
  </si>
  <si>
    <t>DA Total disregarded 21</t>
  </si>
  <si>
    <t>DA Total disregarded 22</t>
  </si>
  <si>
    <t>DA Total disregarded 23</t>
  </si>
  <si>
    <t>DA Total disregarded 24</t>
  </si>
  <si>
    <t>DA Total disregarded 25</t>
  </si>
  <si>
    <t>DA Total disregarded 26</t>
  </si>
  <si>
    <t>DA Total disregarded 27</t>
  </si>
  <si>
    <t>DA Total disregarded 28</t>
  </si>
  <si>
    <t>DA Total disregarded 29</t>
  </si>
  <si>
    <t>DA Total disregarded 30</t>
  </si>
  <si>
    <t>DA Total disregarded 31</t>
  </si>
  <si>
    <t>DA Total disregarded 32</t>
  </si>
  <si>
    <t>DA Total disregarded 33</t>
  </si>
  <si>
    <t>DA Total disregarded 34</t>
  </si>
  <si>
    <t>DA Total disregarded 35</t>
  </si>
  <si>
    <t>DA Total disregarded 36</t>
  </si>
  <si>
    <t>DA Total disregarded 37</t>
  </si>
  <si>
    <t>DA Total disregarded 38</t>
  </si>
  <si>
    <t>DA Total disregarded 39</t>
  </si>
  <si>
    <t>DA Total disregarded 40</t>
  </si>
  <si>
    <t>DA Total disregarded 41</t>
  </si>
  <si>
    <t>Part 3_DA_data_col10_Total</t>
  </si>
  <si>
    <t>DA Case A relief Total</t>
  </si>
  <si>
    <t>Part 3_DA_data_col10</t>
  </si>
  <si>
    <t>DA Case A relief 1</t>
  </si>
  <si>
    <t>DA Case A relief 2</t>
  </si>
  <si>
    <t>DA Case A relief 3</t>
  </si>
  <si>
    <t>DA Case A relief 4</t>
  </si>
  <si>
    <t>DA Case A relief 5</t>
  </si>
  <si>
    <t>DA Case A relief 6</t>
  </si>
  <si>
    <t>DA Case A relief 7</t>
  </si>
  <si>
    <t>DA Case A relief 8</t>
  </si>
  <si>
    <t>DA Case A relief 9</t>
  </si>
  <si>
    <t>DA Case A relief 10</t>
  </si>
  <si>
    <t>DA Case A relief 11</t>
  </si>
  <si>
    <t>DA Case A relief 12</t>
  </si>
  <si>
    <t>DA Case A relief 13</t>
  </si>
  <si>
    <t>DA Case A relief 14</t>
  </si>
  <si>
    <t>DA Case A relief 15</t>
  </si>
  <si>
    <t>DA Case A relief 16</t>
  </si>
  <si>
    <t>DA Case A relief 17</t>
  </si>
  <si>
    <t>DA Case A relief 18</t>
  </si>
  <si>
    <t>DA Case A relief 19</t>
  </si>
  <si>
    <t>DA Case A relief 20</t>
  </si>
  <si>
    <t>DA Case A relief 21</t>
  </si>
  <si>
    <t>DA Case A relief 22</t>
  </si>
  <si>
    <t>DA Case A relief 23</t>
  </si>
  <si>
    <t>DA Case A relief 24</t>
  </si>
  <si>
    <t>DA Case A relief 25</t>
  </si>
  <si>
    <t>DA Case A relief 26</t>
  </si>
  <si>
    <t>DA Case A relief 27</t>
  </si>
  <si>
    <t>DA Case A relief 28</t>
  </si>
  <si>
    <t>DA Case A relief 29</t>
  </si>
  <si>
    <t>DA Case A relief 30</t>
  </si>
  <si>
    <t>DA Case A relief 31</t>
  </si>
  <si>
    <t>DA Case A relief 32</t>
  </si>
  <si>
    <t>DA Case A relief 33</t>
  </si>
  <si>
    <t>DA Case A relief 34</t>
  </si>
  <si>
    <t>DA Case A relief 35</t>
  </si>
  <si>
    <t>DA Case A relief 36</t>
  </si>
  <si>
    <t>DA Case A relief 37</t>
  </si>
  <si>
    <t>DA Case A relief 38</t>
  </si>
  <si>
    <t>DA Case A relief 39</t>
  </si>
  <si>
    <t>DA Case A relief 40</t>
  </si>
  <si>
    <t>DA Case A relief 41</t>
  </si>
  <si>
    <t>Part 3_DA_data_col11_Total</t>
  </si>
  <si>
    <t>DA Compensation due Total</t>
  </si>
  <si>
    <t>Part 3_DA_data_col11</t>
  </si>
  <si>
    <t>DA Compensation due 1</t>
  </si>
  <si>
    <t>DA Compensation due 2</t>
  </si>
  <si>
    <t>DA Compensation due 3</t>
  </si>
  <si>
    <t>DA Compensation due 4</t>
  </si>
  <si>
    <t>DA Compensation due 5</t>
  </si>
  <si>
    <t>DA Compensation due 6</t>
  </si>
  <si>
    <t>DA Compensation due 7</t>
  </si>
  <si>
    <t>DA Compensation due 8</t>
  </si>
  <si>
    <t>DA Compensation due 9</t>
  </si>
  <si>
    <t>DA Compensation due 10</t>
  </si>
  <si>
    <t>DA Compensation due 11</t>
  </si>
  <si>
    <t>DA Compensation due 12</t>
  </si>
  <si>
    <t>DA Compensation due 13</t>
  </si>
  <si>
    <t>DA Compensation due 14</t>
  </si>
  <si>
    <t>DA Compensation due 15</t>
  </si>
  <si>
    <t>DA Compensation due 16</t>
  </si>
  <si>
    <t>DA Compensation due 17</t>
  </si>
  <si>
    <t>DA Compensation due 18</t>
  </si>
  <si>
    <t>DA Compensation due 19</t>
  </si>
  <si>
    <t>DA Compensation due 20</t>
  </si>
  <si>
    <t>DA Compensation due 21</t>
  </si>
  <si>
    <t>DA Compensation due 22</t>
  </si>
  <si>
    <t>DA Compensation due 23</t>
  </si>
  <si>
    <t>DA Compensation due 24</t>
  </si>
  <si>
    <t>DA Compensation due 25</t>
  </si>
  <si>
    <t>DA Compensation due 26</t>
  </si>
  <si>
    <t>DA Compensation due 27</t>
  </si>
  <si>
    <t>DA Compensation due 28</t>
  </si>
  <si>
    <t>DA Compensation due 29</t>
  </si>
  <si>
    <t>DA Compensation due 30</t>
  </si>
  <si>
    <t>DA Compensation due 31</t>
  </si>
  <si>
    <t>DA Compensation due 32</t>
  </si>
  <si>
    <t>DA Compensation due 33</t>
  </si>
  <si>
    <t>DA Compensation due 34</t>
  </si>
  <si>
    <t>DA Compensation due 35</t>
  </si>
  <si>
    <t>DA Compensation due 36</t>
  </si>
  <si>
    <t>DA Compensation due 37</t>
  </si>
  <si>
    <t>DA Compensation due 38</t>
  </si>
  <si>
    <t>DA Compensation due 39</t>
  </si>
  <si>
    <t>DA Compensation due 40</t>
  </si>
  <si>
    <t>DA Compensation due 41</t>
  </si>
  <si>
    <t>Part 3_DA_data_rownum</t>
  </si>
  <si>
    <t>Number of DAs in the LA</t>
  </si>
  <si>
    <t>Main validation - Total RV year on year change</t>
  </si>
  <si>
    <t>Main validation - SBRR forecast cost  year on year change</t>
  </si>
  <si>
    <t>Main validation - Mandatory - charitable relief  year on year change</t>
  </si>
  <si>
    <t>Main validation - Mandatory - CASC relief  year on year change</t>
  </si>
  <si>
    <t>Main validation - Mandatory - rural relief  year on year change</t>
  </si>
  <si>
    <t>Main validation - Mandatory - public lavatories relief  year on year change</t>
  </si>
  <si>
    <t>Main validation - Mandatory - partially occupied relief  year on year change</t>
  </si>
  <si>
    <t>Main validation - empty property relief year on year change</t>
  </si>
  <si>
    <t>Main validation - discretionary - charitable relief year on year change</t>
  </si>
  <si>
    <t>Main validation - discretionary - non-profit bodies relief year on year change</t>
  </si>
  <si>
    <t>Main validation - discretionary - CASC relief year on year change</t>
  </si>
  <si>
    <t>Main validation - discretionary - rural shops relief year on year change</t>
  </si>
  <si>
    <t>Main validation - discretionary - small rural business relief year on year change</t>
  </si>
  <si>
    <t>Main validation - discretionary - other relief year on year change</t>
  </si>
  <si>
    <t>Main validation - EZ case A year on year change</t>
  </si>
  <si>
    <t>Main validation - EZ case B year on year change</t>
  </si>
  <si>
    <t>Main validation - rhl relief year on year change</t>
  </si>
  <si>
    <t>Main validation - Net rates year on year change</t>
  </si>
  <si>
    <t>Main validation - Appeals year on year change</t>
  </si>
  <si>
    <t>Main validation - Surplus Deficit year on year change</t>
  </si>
  <si>
    <t>Main validation - Opening Balance year on year change</t>
  </si>
  <si>
    <t>Main validation - Total RV year on year % change</t>
  </si>
  <si>
    <t>Main validation - SBRR forecast cost  year on year % change</t>
  </si>
  <si>
    <t>Main validation - Mandatory - charitable relief  year on year % change</t>
  </si>
  <si>
    <t>Main validation - Mandatory - CASC relief  year on year % change</t>
  </si>
  <si>
    <t>Main validation - Mandatory - rural relief  year on year % change</t>
  </si>
  <si>
    <t>Main validation - Mandatory - public lavatories relief  year on year % change</t>
  </si>
  <si>
    <t>Main validation - Mandatory - partially occupied relief  year on year % change</t>
  </si>
  <si>
    <t>Main validation - empty property relief year on year % change</t>
  </si>
  <si>
    <t>Main validation - discretionary - charitable relief year on year % change</t>
  </si>
  <si>
    <t>Main validation - discretionary - non-profit bodies relief year on year % change</t>
  </si>
  <si>
    <t>Main validation - discretionary - CASC relief year on year % change</t>
  </si>
  <si>
    <t>Main validation - discretionary - rural shops relief year on year % change</t>
  </si>
  <si>
    <t>Main validation - discretionary - small rural business relief year on year % change</t>
  </si>
  <si>
    <t>Main validation - discretionary - other relief year on year % change</t>
  </si>
  <si>
    <t>Main validation - EZ case A year on year % change</t>
  </si>
  <si>
    <t>Main validation - EZ case B year on year % change</t>
  </si>
  <si>
    <t>Main validation - discretionary - rhl relief year on year % change</t>
  </si>
  <si>
    <t>Main validation - Net rates year on year % change</t>
  </si>
  <si>
    <t>Main validation - Appeals year on year % change</t>
  </si>
  <si>
    <t>Number of comments missing</t>
  </si>
  <si>
    <t>Main validation - comments missing</t>
  </si>
  <si>
    <t>Main validation - Total RV comment needed check</t>
  </si>
  <si>
    <t>Main validation - SBRR forecast cost  comment needed check</t>
  </si>
  <si>
    <t>Main validation - Mandatory - charitable relief  comment needed check</t>
  </si>
  <si>
    <t>Main validation - Mandatory - CASC relief  comment needed check</t>
  </si>
  <si>
    <t>Main validation - Mandatory - rural relief  comment needed check</t>
  </si>
  <si>
    <t>Main validation - Mandatory - public lavatories relief  comment needed check</t>
  </si>
  <si>
    <t>Main validation - Mandatory - partially occupied relief  comment needed check</t>
  </si>
  <si>
    <t>Main validation - empty property relief comment needed check</t>
  </si>
  <si>
    <t>Main validation - discretionary - charitable relief comment needed check</t>
  </si>
  <si>
    <t>Main validation - discretionary - non-profit bodies relief comment needed check</t>
  </si>
  <si>
    <t>Main validation - discretionary - CASC relief comment needed check</t>
  </si>
  <si>
    <t>Main validation - discretionary - rural shops relief comment needed check</t>
  </si>
  <si>
    <t>Main validation - discretionary - small rural business relief comment needed check</t>
  </si>
  <si>
    <t>Main validation - discretionary - other relief comment needed check</t>
  </si>
  <si>
    <t>Main validation - EZ case A comment needed check</t>
  </si>
  <si>
    <t>Main validation - EZ case B comment needed check</t>
  </si>
  <si>
    <t>Main validation - rhl relief comment needed check</t>
  </si>
  <si>
    <t>Main validation - Net rates comment needed check</t>
  </si>
  <si>
    <t>Main validation - Appeals comment needed check</t>
  </si>
  <si>
    <t>Main validation - Surplus Deficit comment needed check</t>
  </si>
  <si>
    <t>Main validation - Opening Balance comment needed check</t>
  </si>
  <si>
    <t>Main validation - Total RV comment text</t>
  </si>
  <si>
    <t>Main validation - SBRR forecast cost  comment text</t>
  </si>
  <si>
    <t>Main validation - Mandatory - charitable relief  comment text</t>
  </si>
  <si>
    <t>Main validation - Mandatory - CASC relief  comment text</t>
  </si>
  <si>
    <t>Main validation - Mandatory - rural relief  comment text</t>
  </si>
  <si>
    <t>Main validation - Mandatory - public lavatories relief  comment text</t>
  </si>
  <si>
    <t>Main validation - Mandatory - partially occupied relief  comment text</t>
  </si>
  <si>
    <t>Main validation - empty property relief comment text</t>
  </si>
  <si>
    <t>Main validation - discretionary - charitable relief comment text</t>
  </si>
  <si>
    <t>Main validation - discretionary - non-profit bodies relief comment text</t>
  </si>
  <si>
    <t>Main validation - discretionary - CASC relief comment text</t>
  </si>
  <si>
    <t>Main validation - discretionary - rural shops relief comment text</t>
  </si>
  <si>
    <t>Main validation - discretionary - small rural business relief comment text</t>
  </si>
  <si>
    <t>Main validation - discretionary - other relief comment text</t>
  </si>
  <si>
    <t>Main validation - EZ case A comment text</t>
  </si>
  <si>
    <t>Main validation - EZ case B comment text</t>
  </si>
  <si>
    <t>Main validation - rhl relief comment text</t>
  </si>
  <si>
    <t>Main validation - Net rates comment text</t>
  </si>
  <si>
    <t>Main validation - Appeals comment text</t>
  </si>
  <si>
    <t>Main validation - Surplus Deficit comment text</t>
  </si>
  <si>
    <t>Main validation - Opening Balance comment text</t>
  </si>
  <si>
    <t>Overall main validations comment</t>
  </si>
  <si>
    <t>Supplementary validation - Mandatory - charitable relief  year on year difference</t>
  </si>
  <si>
    <t>Supplementary validation - Mandatory - CASC relief  year on year difference</t>
  </si>
  <si>
    <t>Supplementary validation - Mandatory - rural relief  year on year difference</t>
  </si>
  <si>
    <t>Supplementary validation - Mandatory - public lavatories relief  year on year difference</t>
  </si>
  <si>
    <t>Supplementary validation - Mandatory - partially occupied relief  year on year difference</t>
  </si>
  <si>
    <t>Supplementary validation - empty property relief year on year difference</t>
  </si>
  <si>
    <t>Supplementary validation - discretionary - charitable relief year on year difference</t>
  </si>
  <si>
    <t>Supplementary validation - discretionary - non-profit bodies relief year on year difference</t>
  </si>
  <si>
    <t>Supplementary validation - discretionary - CASC relief year on year difference</t>
  </si>
  <si>
    <t>Supplementary validation - discretionary - rural shops relief year on year difference</t>
  </si>
  <si>
    <t>Supplementary validation - discretionary - other relief year on year difference</t>
  </si>
  <si>
    <t>Supplementary validation - Ezs year on year difference</t>
  </si>
  <si>
    <t>Supplementary validation - S47 relief year on year difference</t>
  </si>
  <si>
    <t>Supplementary validation - rhl relief year on year difference</t>
  </si>
  <si>
    <t>Supplementary validation - SBRR contributing year on year difference</t>
  </si>
  <si>
    <t>Supplementary validation - SBRR discount year on year difference</t>
  </si>
  <si>
    <t>Supplementary validation - SBRR discount RV 0 - 12k year on year difference</t>
  </si>
  <si>
    <t>Supplementary validation - SBRR discount RV 12 - 15k year on year difference</t>
  </si>
  <si>
    <t>Supplementary validation - SBRR lower multiplier year on year difference</t>
  </si>
  <si>
    <t>Supplementary validation - SBRR as share of all hereditaments year on year difference</t>
  </si>
  <si>
    <t>Supplementary validation - Empty property relief in industrial properties year on year difference</t>
  </si>
  <si>
    <t>Supplementary validation - Empty property relief in listed properties year on year difference</t>
  </si>
  <si>
    <t>Supplementary validation - Empty property relief in CASC properties year on year difference</t>
  </si>
  <si>
    <t>Supplementary validation - Empty property relief in charity properties year on year difference</t>
  </si>
  <si>
    <t>Supplementary validation - Empty property relief in other properties year on year difference</t>
  </si>
  <si>
    <t>Supplementary validation - Empty property relief in above-threshold properties year on year difference</t>
  </si>
  <si>
    <t>Supplementary validation - Mandatory - charitable relief year on year % difference</t>
  </si>
  <si>
    <t>Supplementary validation - Mandatory - CASC relief year on year % difference</t>
  </si>
  <si>
    <t>Supplementary validation - Mandatory - rural relief year on year % difference</t>
  </si>
  <si>
    <t>Supplementary validation - Mandatory - public lavatories relief year on year % difference</t>
  </si>
  <si>
    <t>Supplementary validation - Mandatory - partially occupied relief year on year % difference</t>
  </si>
  <si>
    <t>Supplementary validation - empty property reliefyear on year % difference</t>
  </si>
  <si>
    <t>Supplementary validation - discretionary - charitable reliefyear on year % difference</t>
  </si>
  <si>
    <t>Supplementary validation - discretionary - non-profit bodies reliefyear on year % difference</t>
  </si>
  <si>
    <t>Supplementary validation - discretionary - CASC reliefyear on year % difference</t>
  </si>
  <si>
    <t>Supplementary validation - discretionary - rural shops reliefyear on year % difference</t>
  </si>
  <si>
    <t>Supplementary validation - discretionary - other reliefyear on year % difference</t>
  </si>
  <si>
    <t>Supplementary validation - Ezsyear on year % difference</t>
  </si>
  <si>
    <t>Supplementary validation - S47 reliefyear on year % difference</t>
  </si>
  <si>
    <t>Supplementary validation - rhl relief year on year % difference</t>
  </si>
  <si>
    <t>Supplementary validation - SBRR contributingyear on year % difference</t>
  </si>
  <si>
    <t>Supplementary validation - SBRR discountyear on year % difference</t>
  </si>
  <si>
    <t>Supplementary validation - SBRR discount RV 0 - 12kyear on year % difference</t>
  </si>
  <si>
    <t>Supplementary validation - SBRR discount RV 12 - 15kyear on year % difference</t>
  </si>
  <si>
    <t>Supplementary validation - SBRR lower multiplieryear on year % difference</t>
  </si>
  <si>
    <t>Supplementary validation - SBRR as share of all hereditamentsyear on year % difference</t>
  </si>
  <si>
    <t>Supplementary validation - Empty property relief in industrial properties year on year %  difference</t>
  </si>
  <si>
    <t>Supplementary validation - Empty property relief in listed properties year on year %  difference</t>
  </si>
  <si>
    <t>Supplementary validation - Empty property relief in CASC properties year on year %  difference</t>
  </si>
  <si>
    <t>Supplementary validation - Empty property relief in charity properties year on year %  difference</t>
  </si>
  <si>
    <t>Supplementary validation - Empty property relief in other properties year on year %  difference</t>
  </si>
  <si>
    <t>Supplementary validation - Empty property relief in above-threshold properties year on year %  difference</t>
  </si>
  <si>
    <t>Supplementary validation - number of comments needed</t>
  </si>
  <si>
    <t>Supplementary validation - Mandatory - charitable relief  comment needed check</t>
  </si>
  <si>
    <t>Supplementary validation - Mandatory - CASC relief  comment needed check</t>
  </si>
  <si>
    <t>Supplementary validation - Mandatory - rural relief  comment needed check</t>
  </si>
  <si>
    <t>Supplementary validation - Mandatory - public lavatories relief  comment needed check</t>
  </si>
  <si>
    <t>Supplementary validation - Mandatory - partially occupied relief  comment needed check</t>
  </si>
  <si>
    <t>Supplementary validation - empty property relief comment needed check</t>
  </si>
  <si>
    <t>Supplementary validation - discretionary - charitable relief comment needed check</t>
  </si>
  <si>
    <t>Supplementary validation - discretionary - non-profit bodies relief comment needed check</t>
  </si>
  <si>
    <t>Supplementary validation - discretionary - CASC relief comment needed check</t>
  </si>
  <si>
    <t>Supplementary validation - discretionary - rural shops relief comment needed check</t>
  </si>
  <si>
    <t>Supplementary validation - discretionary - other relief comment needed check</t>
  </si>
  <si>
    <t>Supplementary validation - Ezs comment needed check</t>
  </si>
  <si>
    <t>Supplementary validation - S47 relief comment needed check</t>
  </si>
  <si>
    <t>Supplementary validation - rhl relief comment needed check</t>
  </si>
  <si>
    <t>Supplementary validation - SBRR contributing comment needed check</t>
  </si>
  <si>
    <t>Supplementary validation - SBRR discount comment needed check</t>
  </si>
  <si>
    <t>Supplementary validation - SBRR discount RV 0 - 12k comment needed check</t>
  </si>
  <si>
    <t>Supplementary validation - SBRR discount RV 12 - 15k comment needed check</t>
  </si>
  <si>
    <t>Supplementary validation - SBRR lower multiplier comment needed check</t>
  </si>
  <si>
    <t>Supplementary validation - SBRR as share of all hereditaments comment needed check</t>
  </si>
  <si>
    <t>Supplementary validation - Empty property relief in industrial properties comment needed check difference</t>
  </si>
  <si>
    <t>Supplementary validation - Empty property relief in listed properties comment needed check difference</t>
  </si>
  <si>
    <t>Supplementary validation - Empty property relief in CASC properties comment needed check difference</t>
  </si>
  <si>
    <t>Supplementary validation - Empty property relief in charity properties comment needed check difference</t>
  </si>
  <si>
    <t>Supplementary validation - Empty property relief in other properties comment needed check difference</t>
  </si>
  <si>
    <t>Supplementary validation - Empty property relief in above-threshold properties comment needed check difference</t>
  </si>
  <si>
    <t>Supplementary validation - Mandatory - charitable relief  comment text</t>
  </si>
  <si>
    <t>Supplementary validation - Mandatory - CASC relief  comment text</t>
  </si>
  <si>
    <t>Supplementary validation - Mandatory - rural relief  comment text</t>
  </si>
  <si>
    <t>Supplementary validation - Mandatory - public lavatories relief  comment text</t>
  </si>
  <si>
    <t>Supplementary validation - Mandatory - partially occupied relief  comment text</t>
  </si>
  <si>
    <t>Supplementary validation - empty property relief comment text</t>
  </si>
  <si>
    <t>Supplementary validation - discretionary - charitable relief comment text</t>
  </si>
  <si>
    <t>Supplementary validation - discretionary - non-profit bodies relief comment text</t>
  </si>
  <si>
    <t>Supplementary validation - discretionary - CASC relief comment text</t>
  </si>
  <si>
    <t>Supplementary validation - discretionary - rural shops relief comment text</t>
  </si>
  <si>
    <t>Supplementary validation - discretionary - other relief comment text</t>
  </si>
  <si>
    <t>Supplementary validation - Ezs comment text</t>
  </si>
  <si>
    <t>Supplementary validation - S47 relief comment text</t>
  </si>
  <si>
    <t>Supplementary validation - rhl relief comment text</t>
  </si>
  <si>
    <t>Supplementary validation - SBRR contributing comment text</t>
  </si>
  <si>
    <t>Supplementary validation - SBRR discount comment text</t>
  </si>
  <si>
    <t>Supplementary validation - SBRR discount RV 0 - 12k comment text</t>
  </si>
  <si>
    <t>Supplementary validation - SBRR discount RV 12 - 15k comment text</t>
  </si>
  <si>
    <t>Supplementary validation - SBRR lower multiplier comment text</t>
  </si>
  <si>
    <t>Supplementary validation - SBRR as share of all hereditaments comment text</t>
  </si>
  <si>
    <t>Supplementary validation - Empty property relief in industrial properties comment text</t>
  </si>
  <si>
    <t>Supplementary validation - Empty property relief in listed properties comment text</t>
  </si>
  <si>
    <t>Supplementary validation - Empty property relief in CASC properties comment text</t>
  </si>
  <si>
    <t>Supplementary validation - Empty property relief in charity properties comment text</t>
  </si>
  <si>
    <t>Supplementary validation - Empty property relief in other properties comment text</t>
  </si>
  <si>
    <t>Supplementary validation - Empty property relief in above-threshold properties comment text</t>
  </si>
  <si>
    <t>Overall supplementary validations comment</t>
  </si>
  <si>
    <t>Part_1_Reference_1</t>
  </si>
  <si>
    <t>Part1_Reference</t>
  </si>
  <si>
    <t>Part_1_Reference_17</t>
  </si>
  <si>
    <t>Part_1_Reference_20</t>
  </si>
  <si>
    <t>Part_1_Reference_21</t>
  </si>
  <si>
    <t>Part_1_Reference_22</t>
  </si>
  <si>
    <t>Part_1_Reference_23</t>
  </si>
  <si>
    <t>Part_1_Reference_24</t>
  </si>
  <si>
    <t>Part_1_Reference_25</t>
  </si>
  <si>
    <t>Part_1_Reference_26</t>
  </si>
  <si>
    <t>Part_1_Reference_27</t>
  </si>
  <si>
    <t>Part_1_Line_11_Col1</t>
  </si>
  <si>
    <t>Part_1_Line_2_Col1</t>
  </si>
  <si>
    <t>Part_1_Line_3_Col1</t>
  </si>
  <si>
    <t>Part_1_Line_4_Col1</t>
  </si>
  <si>
    <t>Part_1_Line_5_Col1</t>
  </si>
  <si>
    <t>Part_1_Line_6_Col1</t>
  </si>
  <si>
    <t>Part_1_Line_7_Col1</t>
  </si>
  <si>
    <t>Part_1_Line_8_Col1</t>
  </si>
  <si>
    <t>Part_1_Line_9_Col1</t>
  </si>
  <si>
    <t>Part_1_Line_9a_Col1</t>
  </si>
  <si>
    <t>Part_1_Line_9b_Col1</t>
  </si>
  <si>
    <t>Part_1_Line_10_Col1</t>
  </si>
  <si>
    <t>Part_1_Line_28a_Col2</t>
  </si>
  <si>
    <t>Part_1_Line_28a_Col3</t>
  </si>
  <si>
    <t>Part_1_Line_28a_Col4</t>
  </si>
  <si>
    <t>Part_1_Line_28a_Col5</t>
  </si>
  <si>
    <t>Part_1_Line_31_Col2</t>
  </si>
  <si>
    <t>Part_1_Line_31_Col3</t>
  </si>
  <si>
    <t>Part_1_Line_31_Col4</t>
  </si>
  <si>
    <t>Part_1_Line_31_Col5</t>
  </si>
  <si>
    <t>Part_1_Line_35_Col4</t>
  </si>
  <si>
    <t>Part_1_Line_38_Col2</t>
  </si>
  <si>
    <t>Part_1_Line_38_Col3</t>
  </si>
  <si>
    <t>Part_1_Line_38_Col4</t>
  </si>
  <si>
    <t>Part_1_Line_38_Col5</t>
  </si>
  <si>
    <t>Part_1_Line_39_Col2</t>
  </si>
  <si>
    <t>Part_1_Line_39_Col3</t>
  </si>
  <si>
    <t>Part_1_Line_39_Col4</t>
  </si>
  <si>
    <t>Part_1_Line_39_Col5</t>
  </si>
  <si>
    <t>Part_1_Line_40_Col2</t>
  </si>
  <si>
    <t>Part_1_Line_40_Col3</t>
  </si>
  <si>
    <t>Part_1_Line_40_Col4</t>
  </si>
  <si>
    <t>Part_1_Line_40_Col5</t>
  </si>
  <si>
    <t>Part_1_Line_Removed</t>
  </si>
  <si>
    <t>Part_2_Line_1</t>
  </si>
  <si>
    <t>Part_2_Line_1_BAtot</t>
  </si>
  <si>
    <t>Part_2_Line_1_DAtot</t>
  </si>
  <si>
    <t>Part_2_Line_1_Col7</t>
  </si>
  <si>
    <t>Part_2_Line_3_BAtot</t>
  </si>
  <si>
    <t>Part_2_Line_3_DAtot</t>
  </si>
  <si>
    <t>Part_2_Line_4_BAtot</t>
  </si>
  <si>
    <t>Part_2_Line_4_DAtot</t>
  </si>
  <si>
    <t>Part_2_Line_5_BAtot</t>
  </si>
  <si>
    <t>Part_2_Line_5_DAtot</t>
  </si>
  <si>
    <t>Part_2_Line_5_Col7</t>
  </si>
  <si>
    <t>Part_2_Line_6_BAtot</t>
  </si>
  <si>
    <t>Part_2_Line_6_DAtot</t>
  </si>
  <si>
    <t>Part_2_Line_6_Col7</t>
  </si>
  <si>
    <t>Part_2_Line_9_BAtot</t>
  </si>
  <si>
    <t>Part_2_Line_9_DAtot</t>
  </si>
  <si>
    <t>Part_2_Line_11_BAtot</t>
  </si>
  <si>
    <t>Part_2_Line_11_DAtot</t>
  </si>
  <si>
    <t>Part_2_Line_11_Col7</t>
  </si>
  <si>
    <t>Part_2_Line_12_BAtot</t>
  </si>
  <si>
    <t>Part_2_Line_12_DAtot</t>
  </si>
  <si>
    <t>Part_2_Line_12_Col7</t>
  </si>
  <si>
    <t>Part_2_Line_13_BAtot</t>
  </si>
  <si>
    <t>Part_2_Line_13_DAtot</t>
  </si>
  <si>
    <t>Part_2_Line_13_Col7</t>
  </si>
  <si>
    <t>Part_2_Line_16_BAtot</t>
  </si>
  <si>
    <t>Part_2_Line_16_DAtot</t>
  </si>
  <si>
    <t>Part_2_Line_17_BAtot</t>
  </si>
  <si>
    <t>Part_2_Line_17_DAtot</t>
  </si>
  <si>
    <t>Part_2_Line_18_BAtot</t>
  </si>
  <si>
    <t>Part_2_Line_18_DAtot</t>
  </si>
  <si>
    <t>Part_2_Line_20_BAtot</t>
  </si>
  <si>
    <t>Part_2_Line_20_DAtot</t>
  </si>
  <si>
    <t>Part_2_Line_20_Col7</t>
  </si>
  <si>
    <t>Part_2_Line_21_BAtot</t>
  </si>
  <si>
    <t>Part_2_Line_21_DAtot</t>
  </si>
  <si>
    <t>Part_2_Line_22_BAtot</t>
  </si>
  <si>
    <t>Part_2_Line_22_DAtot</t>
  </si>
  <si>
    <t>Part_2_Line_23_BAtot</t>
  </si>
  <si>
    <t>Part_2_Line_23_DAtot</t>
  </si>
  <si>
    <t>Part_2_Line_24_BAtot</t>
  </si>
  <si>
    <t>Part_2_Line_24_DAtot</t>
  </si>
  <si>
    <t>Part_2_Line_24_Col7</t>
  </si>
  <si>
    <t>Part_2_Line_25_BAtot</t>
  </si>
  <si>
    <t>Part_2_Line_25_DAtot</t>
  </si>
  <si>
    <t>Part_2_Line_25_Col7</t>
  </si>
  <si>
    <t>Part_2_Line_26_BAtot</t>
  </si>
  <si>
    <t>Part_2_Line_26_DAtot</t>
  </si>
  <si>
    <t>Part_2_Line_27_BAtot</t>
  </si>
  <si>
    <t>Part_2_Line_27_DAtot</t>
  </si>
  <si>
    <t>Part_2_Line_28_BAtot</t>
  </si>
  <si>
    <t>Part_2_Line_28_DAtot</t>
  </si>
  <si>
    <t>Part_2_Line_28_Col7</t>
  </si>
  <si>
    <t>Part_2_Line_29_DAtot</t>
  </si>
  <si>
    <t>Part_2_Line_32_DAtot</t>
  </si>
  <si>
    <t>Part_2_Line_33_BAtot</t>
  </si>
  <si>
    <t>Part_2_Line_33_DAtot</t>
  </si>
  <si>
    <t>Part_2_Line_34_BAtot</t>
  </si>
  <si>
    <t>Part_2_Line_34_DAtot</t>
  </si>
  <si>
    <t>Part_2_Line_35_DAtot</t>
  </si>
  <si>
    <t>Part_2_Line_36_BAtot</t>
  </si>
  <si>
    <t>Part_2_Line_37_BAtot</t>
  </si>
  <si>
    <t>Part_2_Line_38_BAtot</t>
  </si>
  <si>
    <t>Part_2_Line_38_DAtot</t>
  </si>
  <si>
    <t>Part_2_Line_39_BAtot</t>
  </si>
  <si>
    <t>Part_2_Line_39_DAtot</t>
  </si>
  <si>
    <t>Part_2_Line_40_BAtot</t>
  </si>
  <si>
    <t>Part_2_Line_40_DAtot</t>
  </si>
  <si>
    <t>Part_2_Line_41_DAtot</t>
  </si>
  <si>
    <t>Part_2_Line_42_BAtot</t>
  </si>
  <si>
    <t>Part_2_Line_42_DAtot</t>
  </si>
  <si>
    <t>Part_2_Line_43_BAtot</t>
  </si>
  <si>
    <t>Part_2_Line_43_DAtot</t>
  </si>
  <si>
    <t>Part_2_Line_43_Col7</t>
  </si>
  <si>
    <t>Part_2_Line_7_BAtot</t>
  </si>
  <si>
    <t>Part_2_Line_7_DAtot</t>
  </si>
  <si>
    <t>Part_2_Line_8_BAtot</t>
  </si>
  <si>
    <t>Part_2_Line_8_DAtot</t>
  </si>
  <si>
    <t>Part_2_Line_8_Col7</t>
  </si>
  <si>
    <t>Part_2_Line_9_Col7</t>
  </si>
  <si>
    <t>Part_2_Line_10_BAtot</t>
  </si>
  <si>
    <t>Part_2_Line_10_DAtot</t>
  </si>
  <si>
    <t>Part_2_Line_10_Col7</t>
  </si>
  <si>
    <t>Part_2_Line_14_BAtot</t>
  </si>
  <si>
    <t>Part_2_Line_14_DAtot</t>
  </si>
  <si>
    <t>Part_2_Line_14_Col7</t>
  </si>
  <si>
    <t>Part_2_Line_15_BAtot</t>
  </si>
  <si>
    <t>Part_2_Line_15_DAtot</t>
  </si>
  <si>
    <t>Part_2_Line_15_Col7</t>
  </si>
  <si>
    <t>Part_2_Line_Removed</t>
  </si>
  <si>
    <t>Part_2_Line_19_BAtot</t>
  </si>
  <si>
    <t>Part_2_Line_19_DAtot</t>
  </si>
  <si>
    <t>Part_2_Line_19_Col7</t>
  </si>
  <si>
    <t>Part_2_Line_26_Col7</t>
  </si>
  <si>
    <t>Part_2_Line_27_Col7</t>
  </si>
  <si>
    <t>Part_2_Line_35_BAtot</t>
  </si>
  <si>
    <t>Part_2_Line_36_Col7</t>
  </si>
  <si>
    <t>Part_2_Line_37_DAtot</t>
  </si>
  <si>
    <t>Part_2_Line_37_Col7</t>
  </si>
  <si>
    <t>Part_2_Line_38_Col7</t>
  </si>
  <si>
    <t>Part_2_Line_39_Col7</t>
  </si>
  <si>
    <t>Part_2_Line_2</t>
  </si>
  <si>
    <t>Part_2_Line_7_Col1</t>
  </si>
  <si>
    <t>Part_2_Line_7_Col2</t>
  </si>
  <si>
    <t>Part_2_Line_8_Col1</t>
  </si>
  <si>
    <t>Part_2_Line_8_Col2</t>
  </si>
  <si>
    <t>Part_2_Line_8_Col3</t>
  </si>
  <si>
    <t>Part_2_Line_9_Col3</t>
  </si>
  <si>
    <t>Part_2_Line_10_Col1</t>
  </si>
  <si>
    <t>Part_2_Line_10_Col2</t>
  </si>
  <si>
    <t>Part_2_Line_10_Col3</t>
  </si>
  <si>
    <t>Part_2_Line_14_Col1</t>
  </si>
  <si>
    <t>Part_2_Line_14_Col2</t>
  </si>
  <si>
    <t>Part_2_Line_14_Col3</t>
  </si>
  <si>
    <t>Part_2_Line_15_Col1</t>
  </si>
  <si>
    <t>Part_2_Line_15_Col2</t>
  </si>
  <si>
    <t>Part_2_Line_15_Col3</t>
  </si>
  <si>
    <t>Part_2_Line_19_Col1</t>
  </si>
  <si>
    <t>Part_2_Line_19_Col2</t>
  </si>
  <si>
    <t>Part_2_Line_19_Col3</t>
  </si>
  <si>
    <t>Part_2_Line_26_Col3</t>
  </si>
  <si>
    <t>Part_2_Line_27_Col3</t>
  </si>
  <si>
    <t>Part_2_Line_35_Col1</t>
  </si>
  <si>
    <t>Part_2_Line_36_Col2</t>
  </si>
  <si>
    <t>Part_2_Line_36_Col3</t>
  </si>
  <si>
    <t>Part_2_Line_37_Col2</t>
  </si>
  <si>
    <t>Part_2_Line_37_Col3</t>
  </si>
  <si>
    <t>Part_2_Line_38_Col3</t>
  </si>
  <si>
    <t>Part_2_Line_39_Col3</t>
  </si>
  <si>
    <t>Part_2_Line_1_Col5</t>
  </si>
  <si>
    <t>Part_2_Line_1_Col6</t>
  </si>
  <si>
    <t>Part_2_Line_3_Col4</t>
  </si>
  <si>
    <t>Part_2_Line_3_Col5</t>
  </si>
  <si>
    <t>Part_2_Line_4_Col4</t>
  </si>
  <si>
    <t>Part_2_Line_4_Col5</t>
  </si>
  <si>
    <t>Part_2_Line_5_Col4</t>
  </si>
  <si>
    <t>Part_2_Line_5_Col5</t>
  </si>
  <si>
    <t>Part_2_Line_5_Col6</t>
  </si>
  <si>
    <t>Part_2_Line_6_Col4</t>
  </si>
  <si>
    <t>Part_2_Line_6_Col5</t>
  </si>
  <si>
    <t>Part_2_Line_6_Col6</t>
  </si>
  <si>
    <t>Part_2_Line_7_Col4</t>
  </si>
  <si>
    <t>Part_2_Line_7_Col5</t>
  </si>
  <si>
    <t>Part_2_Line_8_Col4</t>
  </si>
  <si>
    <t>Part_2_Line_8_Col5</t>
  </si>
  <si>
    <t>Part_2_Line_8_Col6</t>
  </si>
  <si>
    <t>Part_2_Line_9_Col4</t>
  </si>
  <si>
    <t>Part_2_Line_9_Col5</t>
  </si>
  <si>
    <t>Part_2_Line_9_Col6</t>
  </si>
  <si>
    <t>Part_2_Line_10_Col4</t>
  </si>
  <si>
    <t>Part_2_Line_10_Col5</t>
  </si>
  <si>
    <t>Part_2_Line_10_Col6</t>
  </si>
  <si>
    <t>Part_2_Line_11_Col4</t>
  </si>
  <si>
    <t>Part_2_Line_11_Col5</t>
  </si>
  <si>
    <t>Part_2_Line_11_Col6</t>
  </si>
  <si>
    <t>Part_2_Line_12_Col4</t>
  </si>
  <si>
    <t>Part_2_Line_12_Col5</t>
  </si>
  <si>
    <t>Part_2_Line_12_Col6</t>
  </si>
  <si>
    <t>Part_2_Line_13_Col4</t>
  </si>
  <si>
    <t>Part_2_Line_13_Col5</t>
  </si>
  <si>
    <t>Part_2_Line_13_Col6</t>
  </si>
  <si>
    <t>Part_2_Line_14_Col4</t>
  </si>
  <si>
    <t>Part_2_Line_14_Col5</t>
  </si>
  <si>
    <t>Part_2_Line_14_Col6</t>
  </si>
  <si>
    <t>Part_2_Line_15_Col4</t>
  </si>
  <si>
    <t>Part_2_Line_15_Col5</t>
  </si>
  <si>
    <t>Part_2_Line_15_Col6</t>
  </si>
  <si>
    <t>Part_2_Line_16_Col4</t>
  </si>
  <si>
    <t>Part_2_Line_16_Col5</t>
  </si>
  <si>
    <t>Part_2_Line_17_Col4</t>
  </si>
  <si>
    <t>Part_2_Line_17_Col5</t>
  </si>
  <si>
    <t>Part_2_Line_18_Col4</t>
  </si>
  <si>
    <t>Part_2_Line_18_Col5</t>
  </si>
  <si>
    <t>Part_2_Line_19_Col4</t>
  </si>
  <si>
    <t>Part_2_Line_19_Col5</t>
  </si>
  <si>
    <t>Part_2_Line_19_Col6</t>
  </si>
  <si>
    <t>Part_2_Line_20_Col4</t>
  </si>
  <si>
    <t>Part_2_Line_20_Col5</t>
  </si>
  <si>
    <t>Part_2_Line_20_Col6</t>
  </si>
  <si>
    <t>Part_2_Line_21_Col4</t>
  </si>
  <si>
    <t>Part_2_Line_21_Col5</t>
  </si>
  <si>
    <t>Part_2_Line_22_Col4</t>
  </si>
  <si>
    <t>Part_2_Line_22_Col5</t>
  </si>
  <si>
    <t>Part_2_Line_23_Col4</t>
  </si>
  <si>
    <t>Part_2_Line_23_Col5</t>
  </si>
  <si>
    <t>Part_2_Line_24_Col4</t>
  </si>
  <si>
    <t>Part_2_Line_24_Col5</t>
  </si>
  <si>
    <t>Part_2_Line_24_Col6</t>
  </si>
  <si>
    <t>Part_2_Line_25_Col4</t>
  </si>
  <si>
    <t>Part_2_Line_25_Col5</t>
  </si>
  <si>
    <t>Part_2_Line_25_Col6</t>
  </si>
  <si>
    <t>Part_2_Line_26_Col4</t>
  </si>
  <si>
    <t>Part_2_Line_26_Col5</t>
  </si>
  <si>
    <t>Part_2_Line_26_Col6</t>
  </si>
  <si>
    <t>Part_2_Line_27_Col4</t>
  </si>
  <si>
    <t>Part_2_Line_27_Col5</t>
  </si>
  <si>
    <t>Part_2_Line_27_Col6</t>
  </si>
  <si>
    <t>Part_2_Line_28_Col4</t>
  </si>
  <si>
    <t>Part_2_Line_28_Col5</t>
  </si>
  <si>
    <t>Part_2_Line_28_Col6</t>
  </si>
  <si>
    <t>Part_2_Line_29_Col5</t>
  </si>
  <si>
    <t>Part_2_Line_32_Col5</t>
  </si>
  <si>
    <t>Part_2_Line_34_Col4</t>
  </si>
  <si>
    <t>Part_2_Line_34_Col5</t>
  </si>
  <si>
    <t>Part_2_Line_35_Col5</t>
  </si>
  <si>
    <t>Part_2_Line_35_Col4</t>
  </si>
  <si>
    <t>Part_2_Line_36_Col4</t>
  </si>
  <si>
    <t>Part_2_Line_36_Col5</t>
  </si>
  <si>
    <t>Part_2_Line_36_Col6</t>
  </si>
  <si>
    <t>Part_2_Line_37_Col4</t>
  </si>
  <si>
    <t>Part_2_Line_37_Col5</t>
  </si>
  <si>
    <t>Part_2_Line_37_Col6</t>
  </si>
  <si>
    <t>Part_2_Line_38_Col4</t>
  </si>
  <si>
    <t>Part_2_Line_38_Col5</t>
  </si>
  <si>
    <t>Part_2_Line_38_Col6</t>
  </si>
  <si>
    <t>Part_2_Line_39_Col4</t>
  </si>
  <si>
    <t>Part_2_Line_39_Col5</t>
  </si>
  <si>
    <t>Part_2_Line_39_Col6</t>
  </si>
  <si>
    <t>Part_2_Line_40_Col4</t>
  </si>
  <si>
    <t>Part_2_Line_40_Col5</t>
  </si>
  <si>
    <t>Part_2_Line_41_Col4</t>
  </si>
  <si>
    <t>Part_2_Line_41_Col5</t>
  </si>
  <si>
    <t>Part_2_Line_42_Col4</t>
  </si>
  <si>
    <t>Part_2_Line_42_Col5</t>
  </si>
  <si>
    <t>Part_2_Line_43_Col4</t>
  </si>
  <si>
    <t>Part_2_Line_43_Col5</t>
  </si>
  <si>
    <t>Part_2_Line_43_Col6</t>
  </si>
  <si>
    <t>Part_3_Line_9_Col3</t>
  </si>
  <si>
    <t>Part_4_Line_21_Col2</t>
  </si>
  <si>
    <t>Part_4_Line_21_Col3</t>
  </si>
  <si>
    <t>Part_4_Line_21_Col4</t>
  </si>
  <si>
    <t>Part_4_Line_21_Col5</t>
  </si>
  <si>
    <t>Part_4_Line_Comments</t>
  </si>
  <si>
    <t>Part_4_Line_Flag1</t>
  </si>
  <si>
    <t>Part_4_Line_Flag2</t>
  </si>
  <si>
    <t>Part_4_Line_Flag3</t>
  </si>
  <si>
    <t>Supplementary_Information_Line_1d_Col1</t>
  </si>
  <si>
    <t>Supplementary_Information_Line_1fi_Col1</t>
  </si>
  <si>
    <t>Supplementary_Information_Line_1fii_Col1</t>
  </si>
  <si>
    <t>Supplementary_Information_Line_1fiii_Col1</t>
  </si>
  <si>
    <t>Supplementary_Information_Line_1fiv_Col1</t>
  </si>
  <si>
    <t>Supplementary_Information_Line_1fv_Col1</t>
  </si>
  <si>
    <t>Supplementary_Information_Line_1fvi_Col1</t>
  </si>
  <si>
    <t>Supplementary_Information_Line_Removed</t>
  </si>
  <si>
    <t>Supplementary_Information_Line_1s_Col1</t>
  </si>
  <si>
    <t>Supplementary_Information_Line_2a_Col1</t>
  </si>
  <si>
    <t>Supplementary_Information_Line_2ai_Col1</t>
  </si>
  <si>
    <t>Supplementary_Information_Line_2aii_Col1</t>
  </si>
  <si>
    <t>Supplementary_Information_Line_2aiii_Col1</t>
  </si>
  <si>
    <t>Supplementary_Information_Line_2aiv_Col1</t>
  </si>
  <si>
    <t>Supplementary_Information_Line_2av_Col1</t>
  </si>
  <si>
    <t>Supplementary_Information_Line_2avi_Col1</t>
  </si>
  <si>
    <t>Supplementary_Information_Line_2b_Col1</t>
  </si>
  <si>
    <t>Supplementary_Information_Line_2c_Col1</t>
  </si>
  <si>
    <t>Supplementary_Information_Line_2bi_Col1</t>
  </si>
  <si>
    <t>Supplementary_Information_Line_2bii_Col1</t>
  </si>
  <si>
    <t>Supplementary_Information_Line_2ci_Col1</t>
  </si>
  <si>
    <t>Supplementary_Information_Line_2cii_Col1</t>
  </si>
  <si>
    <t>Supplementary_Information_Line_Date_Col1</t>
  </si>
  <si>
    <t>Supplementary_Information_Note</t>
  </si>
  <si>
    <t>Py_dif_val_1</t>
  </si>
  <si>
    <t>Py_dif_val_2</t>
  </si>
  <si>
    <t>Py_dif_val_3</t>
  </si>
  <si>
    <t>Py_dif_val_4</t>
  </si>
  <si>
    <t>Py_dif_val_5</t>
  </si>
  <si>
    <t>Py_dif_val_6</t>
  </si>
  <si>
    <t>Py_dif_val_7</t>
  </si>
  <si>
    <t>Py_dif_val_8</t>
  </si>
  <si>
    <t>Py_dif_val_9</t>
  </si>
  <si>
    <t>Py_dif_val_10</t>
  </si>
  <si>
    <t>Py_dif_val_11</t>
  </si>
  <si>
    <t>Py_dif_val_12</t>
  </si>
  <si>
    <t>Py_dif_Removed</t>
  </si>
  <si>
    <t>Py_dif_val_13</t>
  </si>
  <si>
    <t>Py_dif_val_14</t>
  </si>
  <si>
    <t>Py_dif_val_15</t>
  </si>
  <si>
    <t>Py_dif_val_16</t>
  </si>
  <si>
    <t>Py_dif_val_17</t>
  </si>
  <si>
    <t>Py_dif_val_18</t>
  </si>
  <si>
    <t>Py_dif_val_19</t>
  </si>
  <si>
    <t>Py_dif_val_20</t>
  </si>
  <si>
    <t>Pyp_dif_val_1</t>
  </si>
  <si>
    <t>Pyp_dif_val_2</t>
  </si>
  <si>
    <t>Pyp_dif_val_3</t>
  </si>
  <si>
    <t>Pyp_dif_val_4</t>
  </si>
  <si>
    <t>Pyp_dif_val_5</t>
  </si>
  <si>
    <t>Pyp_dif_val_6</t>
  </si>
  <si>
    <t>Pyp_dif_val_7</t>
  </si>
  <si>
    <t>Pyp_dif_val_8</t>
  </si>
  <si>
    <t>Pyp_dif_val_9</t>
  </si>
  <si>
    <t>Pyp_dif_val_10</t>
  </si>
  <si>
    <t>Pyp_dif_val_11</t>
  </si>
  <si>
    <t>Pyp_dif_val_12</t>
  </si>
  <si>
    <t>Pyp_dif_Removed</t>
  </si>
  <si>
    <t>Pyp_dif_val_13</t>
  </si>
  <si>
    <t>Pyp_dif_val_14</t>
  </si>
  <si>
    <t>Pyp_dif_val_15</t>
  </si>
  <si>
    <t>Pyp_dif_val_16</t>
  </si>
  <si>
    <t>Pyp_dif_val_17</t>
  </si>
  <si>
    <t>Pyp_dif_val_18</t>
  </si>
  <si>
    <t>Comment_Removed</t>
  </si>
  <si>
    <t>Comment_val_1</t>
  </si>
  <si>
    <t>Comment_needed_Removed</t>
  </si>
  <si>
    <t>Comment_val_2</t>
  </si>
  <si>
    <t>Comment_val_3</t>
  </si>
  <si>
    <t>Comment_val_4</t>
  </si>
  <si>
    <t>Comment_val_5</t>
  </si>
  <si>
    <t>Comment_val_6</t>
  </si>
  <si>
    <t>Comment_val_7</t>
  </si>
  <si>
    <t>Comment_val_8</t>
  </si>
  <si>
    <t>Comment_val_9</t>
  </si>
  <si>
    <t>Comment_val_10</t>
  </si>
  <si>
    <t>Comment_val_11</t>
  </si>
  <si>
    <t>Comment_val_12</t>
  </si>
  <si>
    <t>Comment_val_13</t>
  </si>
  <si>
    <t>Comment_val_14</t>
  </si>
  <si>
    <t>Comment_val_15</t>
  </si>
  <si>
    <t>Comment_val_16</t>
  </si>
  <si>
    <t>Comment_val_17</t>
  </si>
  <si>
    <t>Comment_val_18</t>
  </si>
  <si>
    <t>Comment_val_19</t>
  </si>
  <si>
    <t>Comment_val_20</t>
  </si>
  <si>
    <t>Main_val_notes</t>
  </si>
  <si>
    <t>Py_dif _suppl_val_1</t>
  </si>
  <si>
    <t>Py_dif _suppl_val_2</t>
  </si>
  <si>
    <t>Py_dif _suppl_val_3</t>
  </si>
  <si>
    <t>Py_dif _suppl_val_4</t>
  </si>
  <si>
    <t>Py_dif _suppl_val_5</t>
  </si>
  <si>
    <t>Py_dif _suppl_val_6</t>
  </si>
  <si>
    <t>Py_dif _suppl_val_7</t>
  </si>
  <si>
    <t>Py_dif _suppl_val_8</t>
  </si>
  <si>
    <t>Py_dif _suppl_val_9</t>
  </si>
  <si>
    <t>Py_dif _suppl_val_10</t>
  </si>
  <si>
    <t>Py_dif _suppl_val_11</t>
  </si>
  <si>
    <t>Py_dif _suppl_val_12</t>
  </si>
  <si>
    <t>Py_dif _suppl_val_13</t>
  </si>
  <si>
    <t>Py_dif _suppl_val_14</t>
  </si>
  <si>
    <t>Py_dif _suppl_val_15</t>
  </si>
  <si>
    <t>Py_dif _suppl_val_16</t>
  </si>
  <si>
    <t>Py_dif _suppl_val_17</t>
  </si>
  <si>
    <t>Py_dif _suppl_val_18</t>
  </si>
  <si>
    <t>Py_dif _suppl_val_19</t>
  </si>
  <si>
    <t>Py_dif _suppl_val_20</t>
  </si>
  <si>
    <t>Py_dif _suppl_val_21</t>
  </si>
  <si>
    <t>Py_dif _suppl_val_22</t>
  </si>
  <si>
    <t>Py_dif _suppl_val_23</t>
  </si>
  <si>
    <t>Py_dif _suppl_val_24</t>
  </si>
  <si>
    <t>Py_dif _suppl_val_25</t>
  </si>
  <si>
    <t>Py_dif _suppl_val_26</t>
  </si>
  <si>
    <t>Pyp_dif_suppl_val_1</t>
  </si>
  <si>
    <t>Pyp_dif_suppl_val_2</t>
  </si>
  <si>
    <t>Pyp_dif_suppl_val_3</t>
  </si>
  <si>
    <t>Pyp_dif_suppl_val_4</t>
  </si>
  <si>
    <t>Pyp_dif_suppl_val_5</t>
  </si>
  <si>
    <t>Pyp_dif_suppl_val_6</t>
  </si>
  <si>
    <t>Pyp_dif_suppl_val_7</t>
  </si>
  <si>
    <t>Pyp_dif_suppl_val_8</t>
  </si>
  <si>
    <t>Pyp_dif_suppl_val_9</t>
  </si>
  <si>
    <t>Pyp_dif_suppl_val_10</t>
  </si>
  <si>
    <t>Pyp_dif_suppl_val_11</t>
  </si>
  <si>
    <t>Pyp_dif_suppl_val_12</t>
  </si>
  <si>
    <t>Pyp_dif_suppl_val_13</t>
  </si>
  <si>
    <t>Pyp_dif_suppl_val_14</t>
  </si>
  <si>
    <t>Pyp_dif_suppl_val_15</t>
  </si>
  <si>
    <t>Pyp_dif_suppl_val_16</t>
  </si>
  <si>
    <t>Pyp_dif_suppl_val_17</t>
  </si>
  <si>
    <t>Pyp_dif_suppl_val_18</t>
  </si>
  <si>
    <t>Pyp_dif_suppl_val_19</t>
  </si>
  <si>
    <t>Pyp_dif_suppl_val_20</t>
  </si>
  <si>
    <t>Pyp_dif_suppl_val_21</t>
  </si>
  <si>
    <t>Pyp_dif_suppl_val_22</t>
  </si>
  <si>
    <t>Pyp_dif_suppl_val_23</t>
  </si>
  <si>
    <t>Pyp_dif_suppl_val_24</t>
  </si>
  <si>
    <t>Pyp_dif_suppl_val_25</t>
  </si>
  <si>
    <t>Pyp_dif_suppl_val_26</t>
  </si>
  <si>
    <t>Number_of_suppl_comments_missing</t>
  </si>
  <si>
    <t>Comment_needed_suppl_val_1</t>
  </si>
  <si>
    <t>Comment_needed_suppl_val_2</t>
  </si>
  <si>
    <t>Comment_needed_suppl_val_3</t>
  </si>
  <si>
    <t>Comment_needed_suppl_val_4</t>
  </si>
  <si>
    <t>Comment_needed_suppl_val_5</t>
  </si>
  <si>
    <t>Comment_needed_suppl_val_6</t>
  </si>
  <si>
    <t>Comment_needed_suppl_val_7</t>
  </si>
  <si>
    <t>Comment_needed_suppl_val_8</t>
  </si>
  <si>
    <t>Comment_needed_suppl_val_9</t>
  </si>
  <si>
    <t>Comment_needed_suppl_val_10</t>
  </si>
  <si>
    <t>Comment_needed_suppl_val_11</t>
  </si>
  <si>
    <t>Comment_needed_suppl_val_12</t>
  </si>
  <si>
    <t>Comment_needed_suppl_val_13</t>
  </si>
  <si>
    <t>Comment_needed_suppl_val_14</t>
  </si>
  <si>
    <t>Comment_needed_suppl_val_15</t>
  </si>
  <si>
    <t>Comment_needed_suppl_val_16</t>
  </si>
  <si>
    <t>Comment_needed_suppl_val_17</t>
  </si>
  <si>
    <t>Comment_needed_suppl_val_18</t>
  </si>
  <si>
    <t>Comment_needed_suppl_val_19</t>
  </si>
  <si>
    <t>Comment_needed_suppl_val_20</t>
  </si>
  <si>
    <t>Comment_needed_suppl_val_21</t>
  </si>
  <si>
    <t>Comment_needed_suppl_val_22</t>
  </si>
  <si>
    <t>Comment_needed_suppl_val_23</t>
  </si>
  <si>
    <t>Comment_needed_suppl_val_24</t>
  </si>
  <si>
    <t>Comment_needed_suppl_val_25</t>
  </si>
  <si>
    <t>Comment_needed_suppl_val_26</t>
  </si>
  <si>
    <t>Comment_suppl_val_1</t>
  </si>
  <si>
    <t>Comment_suppl_val_2</t>
  </si>
  <si>
    <t>Comment_suppl_val_3</t>
  </si>
  <si>
    <t>Comment_suppl_val_4</t>
  </si>
  <si>
    <t>Comment_suppl_val_5</t>
  </si>
  <si>
    <t>Comment_suppl_val_6</t>
  </si>
  <si>
    <t>Comment_suppl_val_7</t>
  </si>
  <si>
    <t>Comment_suppl_val_8</t>
  </si>
  <si>
    <t>Comment_suppl_val_9</t>
  </si>
  <si>
    <t>Comment_suppl_val_10</t>
  </si>
  <si>
    <t>Comment_suppl_val_11</t>
  </si>
  <si>
    <t>Comment_suppl_val_12</t>
  </si>
  <si>
    <t>Comment_suppl_val_13</t>
  </si>
  <si>
    <t>Comment_suppl_val_14</t>
  </si>
  <si>
    <t>Comment_suppl_val_15</t>
  </si>
  <si>
    <t>Comment_suppl_val_16</t>
  </si>
  <si>
    <t>Comment_suppl_val_17</t>
  </si>
  <si>
    <t>Comment_suppl_val_18</t>
  </si>
  <si>
    <t>Comment_suppl_val_19</t>
  </si>
  <si>
    <t>Comment_suppl_val_20</t>
  </si>
  <si>
    <t>Comment_suppl_val_21</t>
  </si>
  <si>
    <t>Comment_suppl_val_22</t>
  </si>
  <si>
    <t>Comment_suppl_val_23</t>
  </si>
  <si>
    <t>Comment_suppl_val_24</t>
  </si>
  <si>
    <t>Comment_suppl_val_25</t>
  </si>
  <si>
    <t>Comment_suppl_val_26</t>
  </si>
  <si>
    <t>Supplementary_val_notes</t>
  </si>
  <si>
    <t>Comment_needed_val_1</t>
  </si>
  <si>
    <t>Comment_needed_val_2</t>
  </si>
  <si>
    <t>Comment_needed_val_3</t>
  </si>
  <si>
    <t>Comment_needed_val_4</t>
  </si>
  <si>
    <t>Comment_needed_val_5</t>
  </si>
  <si>
    <t>Comment_needed_val_6</t>
  </si>
  <si>
    <t>Comment_needed_val_7</t>
  </si>
  <si>
    <t>Comment_needed_val_8</t>
  </si>
  <si>
    <t>Comment_needed_val_9</t>
  </si>
  <si>
    <t>Comment_needed_val_10</t>
  </si>
  <si>
    <t>Comment_needed_val_11</t>
  </si>
  <si>
    <t>Comment_needed_val_12</t>
  </si>
  <si>
    <t>Comment_needed_val_13</t>
  </si>
  <si>
    <t>Comment_needed_val_14</t>
  </si>
  <si>
    <t>Comment_needed_val_15</t>
  </si>
  <si>
    <t>Comment_needed_val_16</t>
  </si>
  <si>
    <t>Comment_needed_val_17</t>
  </si>
  <si>
    <t>Comment_needed_val_18</t>
  </si>
  <si>
    <t>Comment_needed_val_19</t>
  </si>
  <si>
    <t>Comment_needed_val_20</t>
  </si>
  <si>
    <t>Data taken from NNDR3 2023-24</t>
  </si>
  <si>
    <t>Allowance for cost of
collection for 2025-26</t>
  </si>
  <si>
    <t>Forecast of relief to be provided in 2024-25 (SBR)</t>
  </si>
  <si>
    <t>Forecast of relief to be provided in 2024-25
(Charitable occupation)</t>
  </si>
  <si>
    <t>Forecast of relief to be provided in 2024-25
(CASCs)</t>
  </si>
  <si>
    <t>Forecast of relief to be provided in 2024-25
(Rural rate)</t>
  </si>
  <si>
    <t>Forecast of relief to be provided in 2024-25
(Public lavatories)</t>
  </si>
  <si>
    <t>Forecast of relief to be provided in 2024-25
(Partially occupied)</t>
  </si>
  <si>
    <t>Forecast of relief to be provided in 2024-25
(Empty premises)</t>
  </si>
  <si>
    <t>Forecast of relief to be provided in  2024-25
(Non-profit making bodies)</t>
  </si>
  <si>
    <t>Forecast of relief to be provided in  2024-25
(CASCs)</t>
  </si>
  <si>
    <t>Forecast of relief to be provided in 2024-25
(Small rural businesses)</t>
  </si>
  <si>
    <t>Forecast of relief to be provided in 2024-25
(Other ratepayers)</t>
  </si>
  <si>
    <t>Forecast of relief given to Case B hereditaments in 2024-25</t>
  </si>
  <si>
    <t>Forecast of relief given to Case A hereditaments in 2024-25</t>
  </si>
  <si>
    <t>Forecast of net rates payable by rate payers after taking account of transitional adjustments in 2024-25</t>
  </si>
  <si>
    <t xml:space="preserve">Forecast of estimated repayments in respect of 2024-25 rates payable </t>
  </si>
  <si>
    <t>Forecast of relief to be provided in 2024-25
(Retail, Hospitality and Leisure Relief)</t>
  </si>
  <si>
    <t>Surplus/deficit on Collection Fund at 31 March 2024</t>
  </si>
  <si>
    <t>Mandatory Relief for charitable occupation
(31/12/2023)</t>
  </si>
  <si>
    <t>Mandatory Relief for community amateur sports clubs
(31/12/2023)</t>
  </si>
  <si>
    <t>Mandatory Relief for rural general stores etc 
(31/12/2023)</t>
  </si>
  <si>
    <t>Mandatory Relief for public lavatories
(31/12/2023)</t>
  </si>
  <si>
    <t>Mandatory Relief for partly occupied premises
(31/12/2023)</t>
  </si>
  <si>
    <t>Mandatory Relief for empty premises
(31/12/2023)</t>
  </si>
  <si>
    <t>Discretionary Relief for charitable occupation
(31/12/2023)</t>
  </si>
  <si>
    <t>Discretionary Relief for non profit making bodies
(31/12/2023)</t>
  </si>
  <si>
    <t>Discretionary Relief for rural shops
(31/12/2023)</t>
  </si>
  <si>
    <t>Discretionary Relief for other small rural businesses
(31/12/2023)</t>
  </si>
  <si>
    <t>Discretionary Relief for community amateur sport clubs
(31/12/2023)</t>
  </si>
  <si>
    <t>Discretionary Relief for Enterprise Zones granted discounts
(31/12/2023)</t>
  </si>
  <si>
    <t>Discretionary Relief Subject to S47 local discount
(31/12/2023)</t>
  </si>
  <si>
    <t>Discretionary Relief Retail discount
(31/12/2023)</t>
  </si>
  <si>
    <t>SBR  relief scheme by paying the additional supplement as at
(31/12/2023)</t>
  </si>
  <si>
    <t>Discount from  SBR relief as at
(31/12/2023)</t>
  </si>
  <si>
    <t>i. RV between £0 and £12000 that will receive the 100% discount
(31/12/2023)</t>
  </si>
  <si>
    <t>ii. RV between £12001 and £15000 receive the discount on a sliding scale
(31/12/2023)</t>
  </si>
  <si>
    <t>Paying SBR multiplier and not estimated to receive a discount
(31/12/2023)</t>
  </si>
  <si>
    <t>Empty property relief granted to hereditaments of which were industrial properties above the threshold in 2023-24</t>
  </si>
  <si>
    <t>Empty property relief granted to hereditaments of which were listed buildings in 2023-24</t>
  </si>
  <si>
    <t>Empty property relief granted to hereditaments of which were community amateur sports clubs in 2023-24</t>
  </si>
  <si>
    <t>Empty property relief granted to hereditaments of which were charities in 2023-24</t>
  </si>
  <si>
    <t>Empty property relief granted to hereditaments of which other in 2023-24</t>
  </si>
  <si>
    <t>Empty property relief granted to hereditaments of which were non-industrial above the exemption threshold in 2023-24</t>
  </si>
  <si>
    <t>Part 1 - Line 28a</t>
  </si>
  <si>
    <t>Main Val - 20</t>
  </si>
  <si>
    <t>Main Val - 18</t>
  </si>
  <si>
    <t>Main Val - 1</t>
  </si>
  <si>
    <t>Main Val - 2</t>
  </si>
  <si>
    <t>Main Val - 3</t>
  </si>
  <si>
    <t>Main Val - 4</t>
  </si>
  <si>
    <t>Main Val - 5</t>
  </si>
  <si>
    <t>Main Val - 6</t>
  </si>
  <si>
    <t>Main Val - 7</t>
  </si>
  <si>
    <t>Main Val - 8</t>
  </si>
  <si>
    <t>Main Val - 9</t>
  </si>
  <si>
    <t>Main Val - 10</t>
  </si>
  <si>
    <t>Main Val - 11</t>
  </si>
  <si>
    <t>Main Val - 12</t>
  </si>
  <si>
    <t>Main Val - 13</t>
  </si>
  <si>
    <t>Main Val - 14</t>
  </si>
  <si>
    <t>Main Val - 15</t>
  </si>
  <si>
    <t>Main Val - 16</t>
  </si>
  <si>
    <t>Main Val - 17</t>
  </si>
  <si>
    <t>Supp Val - 1</t>
  </si>
  <si>
    <t>Supp Val - 2</t>
  </si>
  <si>
    <t>Supp Val - 3</t>
  </si>
  <si>
    <t>Supp Val - 4</t>
  </si>
  <si>
    <t>Supp Val - 5</t>
  </si>
  <si>
    <t>Supp Val - 6</t>
  </si>
  <si>
    <t>Supp Val - 7</t>
  </si>
  <si>
    <t>Supp Val - 8</t>
  </si>
  <si>
    <t>Supp Val - 9</t>
  </si>
  <si>
    <t>Supp Val - 10</t>
  </si>
  <si>
    <t>Supp Val - 11</t>
  </si>
  <si>
    <t>Supp Val - 12</t>
  </si>
  <si>
    <t>Supp Val - 13</t>
  </si>
  <si>
    <t>Supp Val - 14</t>
  </si>
  <si>
    <t>Supp Val - 15</t>
  </si>
  <si>
    <t>Supp Val - 16</t>
  </si>
  <si>
    <t>Supp Val - 17</t>
  </si>
  <si>
    <t>Supp Val - 18</t>
  </si>
  <si>
    <t>Supp Val - 19</t>
  </si>
  <si>
    <t>Supp Val - 20</t>
  </si>
  <si>
    <t>Supp Val - 21</t>
  </si>
  <si>
    <t>Supp Val - 22</t>
  </si>
  <si>
    <t>Supp Val - 23</t>
  </si>
  <si>
    <t>Supp Val - 24</t>
  </si>
  <si>
    <t>Supp Val - 25</t>
  </si>
  <si>
    <t>Supp Val - 26</t>
  </si>
  <si>
    <t>Part 1 - Line 4</t>
  </si>
  <si>
    <t>Part 4 - Lines 10, 18</t>
  </si>
  <si>
    <r>
      <t xml:space="preserve">us with the subject heading 'NNDR1 query' by email to </t>
    </r>
    <r>
      <rPr>
        <b/>
        <sz val="12"/>
        <color rgb="FFFF0000"/>
        <rFont val="Arial"/>
        <family val="2"/>
      </rPr>
      <t>nndr.statistics@communities.gov.uk</t>
    </r>
  </si>
  <si>
    <r>
      <t xml:space="preserve">The completed form must be returned to </t>
    </r>
    <r>
      <rPr>
        <b/>
        <sz val="12"/>
        <color rgb="FFFF0000"/>
        <rFont val="Arial"/>
        <family val="2"/>
      </rPr>
      <t>nndr.statistics@communities.gov.uk</t>
    </r>
    <r>
      <rPr>
        <b/>
        <sz val="12"/>
        <rFont val="Arial"/>
        <family val="2"/>
      </rPr>
      <t xml:space="preserve">
no later than 31 JANUARY 2025</t>
    </r>
  </si>
  <si>
    <t>nndr.statistics@communities.gov.uk</t>
  </si>
  <si>
    <t>Cerfifier_Email</t>
  </si>
  <si>
    <t>The email address of the authorised certifier</t>
  </si>
  <si>
    <t>The job title of the authorised certifier</t>
  </si>
  <si>
    <t xml:space="preserve">This completed Excel form should be e-mailed to nndr.statistics@communities.gov.uk and any relevant precepting authorities by the Chief Financial / Section 151 Officer. The email should include the officer’s electronic signature and the following statement:
I confirm that the entries in this form are the best I can make on the information available to me and amounts are calculated in accordance with regulations made under Schedule 7B to the Local Government Act 1988. I also confirm that the authority has acted diligently in relation to the collection of non-domestic rates.
</t>
  </si>
  <si>
    <t>Enter accounting adjustments in this section, which calculations will deduct from the net rates calculated from entries in Part 2.</t>
  </si>
  <si>
    <t>Cerifier_Role</t>
  </si>
  <si>
    <t>ACF</t>
  </si>
  <si>
    <t>RV</t>
  </si>
  <si>
    <t>Hereditaments</t>
  </si>
  <si>
    <t>RV * ACF</t>
  </si>
  <si>
    <t>HDits * ACF</t>
  </si>
  <si>
    <t>Figure to apportion to RV in regs</t>
  </si>
  <si>
    <t>Figure to apportion to Hdits in regs</t>
  </si>
  <si>
    <t>RV Apportioned</t>
  </si>
  <si>
    <t>Hdits Apportioned</t>
  </si>
  <si>
    <t>Cost of Collection Allowance</t>
  </si>
  <si>
    <t>Previous Year</t>
  </si>
  <si>
    <t>Difference</t>
  </si>
  <si>
    <t>% Difference</t>
  </si>
  <si>
    <t>Sum</t>
  </si>
  <si>
    <t>Check totals against Data sheet</t>
  </si>
  <si>
    <t>York and North Yorkshire Mayoral Combined Authority</t>
  </si>
  <si>
    <t>S31 placeholder (BA)</t>
  </si>
  <si>
    <t>S31 placeholder (UA)</t>
  </si>
  <si>
    <t>S31 placeholder (FRA)</t>
  </si>
  <si>
    <t>S31 placeholder (TOT)</t>
  </si>
  <si>
    <t>Placeholder (BA) in standard multiplier hereditaments</t>
  </si>
  <si>
    <t>Placeholder (DA) in standard multiplier hereditaments</t>
  </si>
  <si>
    <t>Placeholder (TOTAL) in standard multiplier hereditaments</t>
  </si>
  <si>
    <t>Placeholder (BA) in small multiplier hereditaments</t>
  </si>
  <si>
    <t>Placeholder (DA) in small multiplier hereditaments</t>
  </si>
  <si>
    <t>Placeholder (TOTAL) in small multiplier hereditaments</t>
  </si>
  <si>
    <t>Placeholder (BA)</t>
  </si>
  <si>
    <t>Placeholder (DA)</t>
  </si>
  <si>
    <t>Placeholder (Total)</t>
  </si>
  <si>
    <t>MPA_Name</t>
  </si>
  <si>
    <t>FRA_Name</t>
  </si>
  <si>
    <t>Local authority Fire Authority</t>
  </si>
  <si>
    <t>Local authority MPA</t>
  </si>
  <si>
    <t>Non-Domestic Rating Income for 2024-25 due to central government</t>
  </si>
  <si>
    <t>Non-Domestic Rating Income for 2024-25 retained by the billing authority</t>
  </si>
  <si>
    <t>Non-Domestic Rating Income for 2024-25 paid to major precepting authority</t>
  </si>
  <si>
    <t>Non-Domestic Rating Income for 2024-25 paid to fire authority</t>
  </si>
  <si>
    <t>Cost of collection allowance</t>
  </si>
  <si>
    <t>Amounts retained in respect of renewable energy schemes</t>
  </si>
  <si>
    <t>Amounts retained in respect of Shale oil and gas sites schemes</t>
  </si>
  <si>
    <t>Qualifying relief in Designated Areas</t>
  </si>
  <si>
    <t>City of London Offset</t>
  </si>
  <si>
    <t>Port of Bristol hereditament</t>
  </si>
  <si>
    <t>Part 4 Line 13</t>
  </si>
  <si>
    <t>Part 4 Line 15</t>
  </si>
  <si>
    <t>Part 4 Line 14</t>
  </si>
  <si>
    <t>Part 4 Line 16</t>
  </si>
  <si>
    <t>val_sbrr_fcastpy_py</t>
  </si>
  <si>
    <t>Main validation - SBRR forecast cost previous value</t>
  </si>
  <si>
    <t>val_mr_charity_py</t>
  </si>
  <si>
    <t>Main validation - Charitable relief previous value</t>
  </si>
  <si>
    <t>val_mr_casc_py</t>
  </si>
  <si>
    <t>Main validation  - CASC relief previous value</t>
  </si>
  <si>
    <t>val_mr_toilets_py</t>
  </si>
  <si>
    <t>Main validation - Rural relief previous value</t>
  </si>
  <si>
    <t>Main validation - Public lavatories relief previous value</t>
  </si>
  <si>
    <t>val_partocc_py</t>
  </si>
  <si>
    <t>Main validation - Partly occupied relief previous value</t>
  </si>
  <si>
    <t>val_empty_py</t>
  </si>
  <si>
    <t>Main validation - Empty property relief previous value</t>
  </si>
  <si>
    <t>val_dr_charity_py</t>
  </si>
  <si>
    <t>Main validation - Discretionary - Charitable relief previous value</t>
  </si>
  <si>
    <t>val_dr_nonprof_py</t>
  </si>
  <si>
    <t>Main validation - Discretionary - Non profit bodies relief previous value</t>
  </si>
  <si>
    <t>val_dr_casc_py</t>
  </si>
  <si>
    <t>Main validation - Discretionary - CASC relief previous value</t>
  </si>
  <si>
    <t>val_dr_smlrural_py</t>
  </si>
  <si>
    <t>Main validation - Discretionary - Small rural business relief previous value</t>
  </si>
  <si>
    <t>val_dr_other_tot_py</t>
  </si>
  <si>
    <t>Main validation - Discretionary - Other relief previous value</t>
  </si>
  <si>
    <t>val_ezcasea_py</t>
  </si>
  <si>
    <t>Main validation - Discretionary - EZ case A previous value</t>
  </si>
  <si>
    <t>val_ezcaseb_py</t>
  </si>
  <si>
    <t>val_drs31_rhl_py</t>
  </si>
  <si>
    <t xml:space="preserve">Main validation - Discretionary - EZ case B previous </t>
  </si>
  <si>
    <t>Main validation - RHL relief previous value</t>
  </si>
  <si>
    <t>val_netrates_py</t>
  </si>
  <si>
    <t>Main validation - Net rates previous value</t>
  </si>
  <si>
    <t>val_lossrepay_py</t>
  </si>
  <si>
    <t>val_surpdef_py</t>
  </si>
  <si>
    <t>val_openbal_py</t>
  </si>
  <si>
    <t>Main validation - Appeals previous value</t>
  </si>
  <si>
    <t>Main validation - Opening balance previous value</t>
  </si>
  <si>
    <t>val_hdit_mr_charity_py</t>
  </si>
  <si>
    <t>val_hdit_mr_casc_py</t>
  </si>
  <si>
    <t>Previous_year_supp_val_1</t>
  </si>
  <si>
    <t>Previous_year_supp_val_3</t>
  </si>
  <si>
    <t>Previous_year_supp_val_2</t>
  </si>
  <si>
    <t>Supplementary validation - Charitable relief previous value</t>
  </si>
  <si>
    <t>Supplementary validation - CASC relief previous value</t>
  </si>
  <si>
    <t>Supplementary validation - Rural relief previous value</t>
  </si>
  <si>
    <t>val_hdit_mr_toilets_py</t>
  </si>
  <si>
    <t>val_hdit_mr_rural_py</t>
  </si>
  <si>
    <t>Supplementary validation - Public lavatory relief previous value</t>
  </si>
  <si>
    <t>val_hdit_partocc_py</t>
  </si>
  <si>
    <t>Supplementary validation - Partly occupied relief previous value</t>
  </si>
  <si>
    <t>val_hdit_empty_py</t>
  </si>
  <si>
    <t>Supplementary validation - Empty property relief previous value</t>
  </si>
  <si>
    <t>val_hdit_drcharity_py</t>
  </si>
  <si>
    <t>Supplementary validation - Discretionary - Non profit bodies relief previous value</t>
  </si>
  <si>
    <t>Supplementary validation - Discretionary - Charitable relief previous value</t>
  </si>
  <si>
    <t>val_hdit_drnonprof_py</t>
  </si>
  <si>
    <t>val_hdit_drcasc_py</t>
  </si>
  <si>
    <t>Supplementary validation - Disccretionary - CASC relief previous value</t>
  </si>
  <si>
    <t>val_hdit_drrshop_py</t>
  </si>
  <si>
    <t>Supplementary validation - Discretionary -  Rural shops relief previous value</t>
  </si>
  <si>
    <t>val_hdit_drothrural_py</t>
  </si>
  <si>
    <t>Supplementary validation - Discretionary - Other rural relief previous value</t>
  </si>
  <si>
    <t>val_hdit_drez_py</t>
  </si>
  <si>
    <t>val_hdit_drs47</t>
  </si>
  <si>
    <t>Supplementary validation - Discretionary - Ezs previous value</t>
  </si>
  <si>
    <t>Supplementary validation - Discretionary - S47 relief previous value</t>
  </si>
  <si>
    <t>val_hdit_mrretaildisc_py</t>
  </si>
  <si>
    <t>Supplementary validation - RHL relief previous value</t>
  </si>
  <si>
    <t>val_hdit_sbrrsupp_py</t>
  </si>
  <si>
    <t>Supplementary validation - SBRR contributing previous value</t>
  </si>
  <si>
    <t>Supplementary validation - SBRR discounted previous value</t>
  </si>
  <si>
    <t>Supplementary validation - SBRR discount RV 12 - 15k previous value</t>
  </si>
  <si>
    <t>Supplementary validation - SBRR discount RV 0 - 12k previous value</t>
  </si>
  <si>
    <t>Supplementary validation - SBRR lower multiplier previous value</t>
  </si>
  <si>
    <t>Supplementary validation - SBRR as a share of all hereditaments previous value</t>
  </si>
  <si>
    <t>val_hdit_sbrrdisc_py</t>
  </si>
  <si>
    <t>val_hdit_sbrrdiscmax_py</t>
  </si>
  <si>
    <t>val_hdit_sbrrmult_py</t>
  </si>
  <si>
    <t>val_hdit_sbrrdiscslide_py</t>
  </si>
  <si>
    <t>val_sbrrshare_py</t>
  </si>
  <si>
    <t>Previous_year_supp_val_4</t>
  </si>
  <si>
    <t>Previous_year_supp_val_5</t>
  </si>
  <si>
    <t>Previous_year_supp_val_6</t>
  </si>
  <si>
    <t>Previous_year_supp_val_7</t>
  </si>
  <si>
    <t>Previous_year_supp_val_8</t>
  </si>
  <si>
    <t>Previous_year_supp_val_9</t>
  </si>
  <si>
    <t>Previous_year_supp_val_10</t>
  </si>
  <si>
    <t>Previous_year_supp_val_11</t>
  </si>
  <si>
    <t>Previous_year_supp_val_12</t>
  </si>
  <si>
    <t>Previous_year_supp_val_13</t>
  </si>
  <si>
    <t>Previous_year_supp_val_14</t>
  </si>
  <si>
    <t>Previous_year_supp_val_15</t>
  </si>
  <si>
    <t>Previous_year_supp_val_16</t>
  </si>
  <si>
    <t>Previous_year_supp_val_17</t>
  </si>
  <si>
    <t>Previous_year_supp_val_18</t>
  </si>
  <si>
    <t>Previous_year_supp_val_19</t>
  </si>
  <si>
    <t>Previous_year_supp_val_20</t>
  </si>
  <si>
    <t>val_totrv_voa</t>
  </si>
  <si>
    <t>Previous_year_val_1</t>
  </si>
  <si>
    <t>Previous_year_val_2</t>
  </si>
  <si>
    <t>Previous_year_val_3</t>
  </si>
  <si>
    <t>Previous_year_val_4</t>
  </si>
  <si>
    <t>Previous_year_val_5</t>
  </si>
  <si>
    <t>Previous_year_val_6</t>
  </si>
  <si>
    <t>Previous_year_val_7</t>
  </si>
  <si>
    <t>Previous_year_val_8</t>
  </si>
  <si>
    <t>Previous_year_val_9</t>
  </si>
  <si>
    <t>Previous_year_val_10</t>
  </si>
  <si>
    <t>Previous_year_val_11</t>
  </si>
  <si>
    <t>Previous_year_val_12</t>
  </si>
  <si>
    <t>Previous_year_val_13</t>
  </si>
  <si>
    <t>Previous_year_val_14</t>
  </si>
  <si>
    <t>Previous_year_val_15</t>
  </si>
  <si>
    <t>Previous_year_val_16</t>
  </si>
  <si>
    <t>Previous_year_val_17</t>
  </si>
  <si>
    <t>Previous_year_val_18</t>
  </si>
  <si>
    <t>Previous_year_val_19</t>
  </si>
  <si>
    <t>Previous_year_val_20</t>
  </si>
  <si>
    <t>val_emptyind_py</t>
  </si>
  <si>
    <t>Previous_year_supp_val_21</t>
  </si>
  <si>
    <t>Supplementary validation - Emptry property relief in industrial properties previous value</t>
  </si>
  <si>
    <t>val_emptylisted_py</t>
  </si>
  <si>
    <t>Previous_year_supp_val_22</t>
  </si>
  <si>
    <t>Previous_year_supp_val_24</t>
  </si>
  <si>
    <t>Previous_year_supp_val_25</t>
  </si>
  <si>
    <t>Supplementary validation - Emptry property relief in listed properties previous value</t>
  </si>
  <si>
    <t>Supplementary validation - Emptry property relief in Charity properties previous value</t>
  </si>
  <si>
    <t>Supplementary validation - Emptry property relief in other properties previous value</t>
  </si>
  <si>
    <t>val_emptycasc_py</t>
  </si>
  <si>
    <t>val_emptycharity_py</t>
  </si>
  <si>
    <t>val_emptyoth_py</t>
  </si>
  <si>
    <t>val_emptyabove_py</t>
  </si>
  <si>
    <t>Previous_year_supp_val_26</t>
  </si>
  <si>
    <t>Supplementary validation - Emptry property relief in above threshold properties previous value</t>
  </si>
  <si>
    <t>Main validation - Total RV voa value</t>
  </si>
  <si>
    <t>Main validation - Surplus deficit comparison value</t>
  </si>
  <si>
    <t>NATIONAL NON-DOMESTIC RATES RETURN - NNDR1</t>
  </si>
  <si>
    <t>Please e-mail with certification to: nndr.statistics@communities.gov.uk by no later than 31 January 2025.</t>
  </si>
  <si>
    <t xml:space="preserve">Select your local authority's name from this list: </t>
  </si>
  <si>
    <t>Local authority contact name</t>
  </si>
  <si>
    <t>Local authority contact number</t>
  </si>
  <si>
    <t>Local authority e-mail address</t>
  </si>
  <si>
    <t>Certifier e-mail address</t>
  </si>
  <si>
    <t>Certifier role</t>
  </si>
  <si>
    <t>This section of the form uses entries from other parts to calculate the forecast net business rates income for the authority in 2025-26. Note that you still need to enter data for line 5 and line 9a, but otherwise it is all calculated. Also please note that Parts 1B and 1C are below.</t>
  </si>
  <si>
    <t xml:space="preserve">PART 1A: NON-DOMESTIC RATING INCOME </t>
  </si>
  <si>
    <t>COLLECTABLE RATES (See Note A)</t>
  </si>
  <si>
    <t xml:space="preserve">1.  Net amount receivable from rate payers after taking account of transitional adjustments, empty property rate, mandatory and discretionary reliefs and accounting adjustments </t>
  </si>
  <si>
    <t>NATIONAL NON-DOMESTIC RATES RETURN</t>
  </si>
  <si>
    <t>NNDR1 2025-26</t>
  </si>
  <si>
    <t>Please e-mail to : nndr.statistics@communities.gov.uk</t>
  </si>
  <si>
    <t>Please enter your details after checking that you have selected the correct authority name</t>
  </si>
  <si>
    <t>Forms should be returned to the Ministry of Housing, Communities &amp; Local Government by Friday 31st January 2025</t>
  </si>
  <si>
    <t>All figures should be entered in whole £</t>
  </si>
  <si>
    <t xml:space="preserve">Please remember that a copy of this form, certified by your Chief Financial Officer / Section 151 officer should also be sent to your relevant Precepting Authorities, and Pool Leads (if applicable). </t>
  </si>
  <si>
    <t>Completing the form</t>
  </si>
  <si>
    <t>1. The form can be set up for each individual local authority by selecting the appropriate authority name from the list. The example shows the local authority ZZZZ.  Once a local authority name is selected the spreadsheet will automatically complete the data for the white cells with a blue border.</t>
  </si>
  <si>
    <t>2. There are three different type of input cells:</t>
  </si>
  <si>
    <t>Entering data</t>
  </si>
  <si>
    <t xml:space="preserve">4.  Where possible, you will be prevented from entering data with the wrong sign (+ve when it should be -ve or vice versa). </t>
  </si>
  <si>
    <t>Checking the Validation Sheet</t>
  </si>
  <si>
    <t>For further details on the types of checks we do see Validation notes for NNDR1 2025-26.</t>
  </si>
  <si>
    <t>Submitting the Form</t>
  </si>
  <si>
    <t>8.  A copy of the form must also be sent to your NNDR contact at all your major precepting authorities.</t>
  </si>
  <si>
    <t xml:space="preserve">9.  If you experience any problems using the form please email </t>
  </si>
  <si>
    <r>
      <t xml:space="preserve">These instructions highlight the special features of the form and should be </t>
    </r>
    <r>
      <rPr>
        <b/>
        <sz val="14"/>
        <rFont val="Arial"/>
        <family val="2"/>
      </rPr>
      <t>read in conjunction with the
Guidance Notes and Validation notes.</t>
    </r>
  </si>
  <si>
    <r>
      <t xml:space="preserve">The </t>
    </r>
    <r>
      <rPr>
        <b/>
        <sz val="14"/>
        <rFont val="Arial"/>
        <family val="2"/>
      </rPr>
      <t>Total column</t>
    </r>
    <r>
      <rPr>
        <sz val="14"/>
        <rFont val="Arial"/>
        <family val="2"/>
      </rPr>
      <t xml:space="preserve"> is greened out - there is no need to enter data in any of these cells.</t>
    </r>
  </si>
  <si>
    <r>
      <t xml:space="preserve">In addition areas of the form are </t>
    </r>
    <r>
      <rPr>
        <b/>
        <sz val="14"/>
        <rFont val="Arial"/>
        <family val="2"/>
      </rPr>
      <t>greyed out</t>
    </r>
    <r>
      <rPr>
        <sz val="14"/>
        <rFont val="Arial"/>
        <family val="2"/>
      </rPr>
      <t xml:space="preserve"> - especially for those authorities that do not have designated areas.  </t>
    </r>
    <r>
      <rPr>
        <b/>
        <sz val="14"/>
        <rFont val="Arial"/>
        <family val="2"/>
      </rPr>
      <t>Please do not enter data</t>
    </r>
    <r>
      <rPr>
        <sz val="14"/>
        <rFont val="Arial"/>
        <family val="2"/>
      </rPr>
      <t xml:space="preserve"> in these areas as this will cause delay as we will have to ask you to complete a revised form.</t>
    </r>
  </si>
  <si>
    <r>
      <t xml:space="preserve">3.  </t>
    </r>
    <r>
      <rPr>
        <u/>
        <sz val="14"/>
        <rFont val="Arial"/>
        <family val="2"/>
      </rPr>
      <t>All</t>
    </r>
    <r>
      <rPr>
        <sz val="14"/>
        <rFont val="Arial"/>
        <family val="2"/>
      </rPr>
      <t xml:space="preserve"> values in the form should be entered in whole £.  Except for part 1 of the form, </t>
    </r>
    <r>
      <rPr>
        <b/>
        <sz val="14"/>
        <rFont val="Arial"/>
        <family val="2"/>
      </rPr>
      <t>receipts</t>
    </r>
    <r>
      <rPr>
        <sz val="14"/>
        <rFont val="Arial"/>
        <family val="2"/>
      </rPr>
      <t xml:space="preserve"> (eg sums due to the billing authority from ratepayers, or central government) should always be entered as </t>
    </r>
    <r>
      <rPr>
        <b/>
        <sz val="14"/>
        <rFont val="Arial"/>
        <family val="2"/>
      </rPr>
      <t>positive numbers</t>
    </r>
    <r>
      <rPr>
        <sz val="14"/>
        <rFont val="Arial"/>
        <family val="2"/>
      </rPr>
      <t xml:space="preserve">.  </t>
    </r>
    <r>
      <rPr>
        <b/>
        <sz val="14"/>
        <rFont val="Arial"/>
        <family val="2"/>
      </rPr>
      <t>Payments from the authority, or amounts foregone</t>
    </r>
    <r>
      <rPr>
        <sz val="14"/>
        <rFont val="Arial"/>
        <family val="2"/>
      </rPr>
      <t xml:space="preserve"> (eg reliefs given to ratepayers) should always be entered as </t>
    </r>
    <r>
      <rPr>
        <b/>
        <sz val="14"/>
        <rFont val="Arial"/>
        <family val="2"/>
      </rPr>
      <t>negative numbers</t>
    </r>
    <r>
      <rPr>
        <sz val="14"/>
        <rFont val="Arial"/>
        <family val="2"/>
      </rPr>
      <t>.</t>
    </r>
  </si>
  <si>
    <t>FOR INFORMATION: Breakdown of Collectable Rates</t>
  </si>
  <si>
    <t>val_mr_rural</t>
  </si>
  <si>
    <t>credit_pydeficit_check</t>
  </si>
  <si>
    <t>charge_cshare_check</t>
  </si>
  <si>
    <t>charge_mpainc_check</t>
  </si>
  <si>
    <t>charge_genfund_check</t>
  </si>
  <si>
    <t>charge_disreg_check</t>
  </si>
  <si>
    <t>Part 4 previous-year data checks</t>
  </si>
  <si>
    <t>Line 10</t>
  </si>
  <si>
    <t>Line 13</t>
  </si>
  <si>
    <t>Line 14</t>
  </si>
  <si>
    <t>Line 15</t>
  </si>
  <si>
    <t>Line 16</t>
  </si>
  <si>
    <t>Part_4_Line_10_Check</t>
  </si>
  <si>
    <t>Check on Part 4 Line 10 prepopulated value</t>
  </si>
  <si>
    <t>Part_4_Line 13_Check</t>
  </si>
  <si>
    <t>Part_4_Line 14_Check</t>
  </si>
  <si>
    <t>Part_4_Line 15_Check</t>
  </si>
  <si>
    <t>Part_4_Line 16_Check</t>
  </si>
  <si>
    <t>Check on Part 4 Line 13 prepopulated value</t>
  </si>
  <si>
    <t>Check on Part 4 Line 14 prepopulated value</t>
  </si>
  <si>
    <t>Check on Part 4 Line 15 prepopulated value</t>
  </si>
  <si>
    <t>Check on Part 4 Line 16 prepopulated value</t>
  </si>
  <si>
    <t xml:space="preserve">6.  When the data have been checked and verified please email the complete file to nndr.statistics@communities.gov.uk </t>
  </si>
  <si>
    <t>Prev value_emptycasc</t>
  </si>
  <si>
    <t>Out of form check for value_emptycasc</t>
  </si>
  <si>
    <t>Supplementary validation - Out of form check for value_emptycasc</t>
  </si>
  <si>
    <t>25. Cost of cap on, and freezing of, small and standard (formerly supplementary) business rates multipliers - Loss of net rates income</t>
  </si>
  <si>
    <t>26. Cost of cap on, and freezing of, small and standard (formerly supplementary) business rates multipliers - Uprating to grants in respect of Section 31 funded reliefs</t>
  </si>
  <si>
    <t>27. Total compensation for cost of cap on, and freezing of, small and standard (formerly supplementary) business rates multipliers</t>
  </si>
  <si>
    <t>Payments and transfers made in respect of business rates income in 2024-25</t>
  </si>
  <si>
    <t>val_payments_py</t>
  </si>
  <si>
    <t>Previous_year_val_21</t>
  </si>
  <si>
    <t>Main validation - Payments and transfers previous value</t>
  </si>
  <si>
    <t>Py_dif_val_21</t>
  </si>
  <si>
    <t>Main validation - Payments year on year change</t>
  </si>
  <si>
    <t>val_payments_com</t>
  </si>
  <si>
    <t>Comment_needed_val_21</t>
  </si>
  <si>
    <t>Main validation - Payments comment needed check</t>
  </si>
  <si>
    <t>val_payments_com_text</t>
  </si>
  <si>
    <t>Comment_val_21</t>
  </si>
  <si>
    <t>Main validation - Payments comment text</t>
  </si>
  <si>
    <t>DESIGNATED AREAS (EXCLUDING FREEPORTS) RELIEF</t>
  </si>
  <si>
    <t>Enter as either a +ve or -ve figure consistent with the calculation in Part 2 Line 8</t>
  </si>
  <si>
    <t xml:space="preserve">1a. Opening Balance (From Collection Fund Statement) </t>
  </si>
  <si>
    <t>1c. Adjusted Opening Balance</t>
  </si>
  <si>
    <t>1b. Agreed adjustment to Collection Fund Opening Balance (in respect of brought forward discrepancies)</t>
  </si>
  <si>
    <t>openbal_adjustment</t>
  </si>
  <si>
    <t>openbal_adjusted</t>
  </si>
  <si>
    <t>Adjustment to the opening balance on collection fund</t>
  </si>
  <si>
    <t>Adjusted opening balance on collection fund</t>
  </si>
  <si>
    <t>40.  Forecast of discretionary reliefs funded through S31 grant to be provided in 2025-26 (Sum of lines 37 to 39)</t>
  </si>
  <si>
    <t>41.  Changes as a result of estimated growth/decline in Section 31 discretionary relief (+ = decline, - = increase)</t>
  </si>
  <si>
    <t>42.  Total forecast of discretionary reliefs funded through S31 grant to be provided in 2025-26</t>
  </si>
  <si>
    <t>43.  Forecast of net rates payable by rate payers after taking account of transitional adjustments, unoccupied property relief, mandatory and discretionary reliefs</t>
  </si>
  <si>
    <t>openbal_cfs</t>
  </si>
  <si>
    <t>40.  Amount of Section 31 grant due to authorities to compensate for reliefs</t>
  </si>
  <si>
    <t>val_payments_pydif</t>
  </si>
  <si>
    <r>
      <t>NB</t>
    </r>
    <r>
      <rPr>
        <sz val="12"/>
        <color rgb="FFFF0000"/>
        <rFont val="Arial"/>
        <family val="2"/>
      </rPr>
      <t xml:space="preserve"> To determine the amount of S31 grant due to it, the authority will have to add / deduct from the amount shown in line 41, a sum to reflect the adjustment to tariffs / top-ups in respect of the multiplier cap (See notes for Line 40)</t>
    </r>
  </si>
  <si>
    <t>g. Number of hereditaments that were being granted charitable relief as at 31 December 2024*</t>
  </si>
  <si>
    <t>h. Number of hereditaments that were being granted non-profit making bodies' relief as at 31 December 2024*</t>
  </si>
  <si>
    <t>i. Number of hereditaments that were being granted Community Amateur Sports Clubs relief as at 31 December 2024*</t>
  </si>
  <si>
    <t>j. Number of hereditaments that were being granted other small rural businesses relief as at 31 December 2024*</t>
  </si>
  <si>
    <t>k. Number of hereditaments within Designated Areas being granted discounts as at 31 December 2024*</t>
  </si>
  <si>
    <t>l. Number of hereditaments subject to a S47 local discount as at 31 December 2024*</t>
  </si>
  <si>
    <t>m. Number of hereditaments receiving Local Newspaper Relief as at 31 December 2024*</t>
  </si>
  <si>
    <t>n. Number of hereditaments receiving Supporting Small Business Relief as at 31 December 2024*</t>
  </si>
  <si>
    <t>o. Number of hereditaments that were being granted expanded retail, hospitality and leisure relief as at 31 December 2024*</t>
  </si>
  <si>
    <t>p. Number of hereditaments that were being granted low carbon heat networks relief as at 31 December 2024*</t>
  </si>
  <si>
    <t>r. Number of hereditaments that receive a discount from the small business rate relief scheme as at 31 December 2024*</t>
  </si>
  <si>
    <t>s. Number of hereditaments that pay only the small business rate multiplier and are not granted a small business rates relief discount as at 31 December 2024*</t>
  </si>
  <si>
    <t>Number hereditaments in tests 14, 15 &amp; 18 above compared to total number of hereditaments</t>
  </si>
  <si>
    <t>Hereds included in lines
14, 15 &amp; 18 above</t>
  </si>
  <si>
    <t>Part_2_Line_41_Batot</t>
  </si>
  <si>
    <t>Part_2_Line_42_Col7</t>
  </si>
  <si>
    <t>Part_2_Line_42_Col3</t>
  </si>
  <si>
    <t>Part_2_Line_42_Col6</t>
  </si>
  <si>
    <t>Part_4_Line_Removed</t>
  </si>
  <si>
    <t>Part_4_Line_1a</t>
  </si>
  <si>
    <t>Part_4_Line_1b</t>
  </si>
  <si>
    <t>Part_4_Line_1c</t>
  </si>
  <si>
    <t>Part_4_Line_2</t>
  </si>
  <si>
    <t>Part_4_Line_3</t>
  </si>
  <si>
    <t>Part_4_Line_4</t>
  </si>
  <si>
    <t>Part_4_Line_5</t>
  </si>
  <si>
    <t>Part_4_Line_6</t>
  </si>
  <si>
    <t>Part_4_Line_7</t>
  </si>
  <si>
    <t>Part_4_Line_8</t>
  </si>
  <si>
    <t>Part_4_Line_9</t>
  </si>
  <si>
    <t>Part_4_Line_10</t>
  </si>
  <si>
    <t>Part_4_Line_11</t>
  </si>
  <si>
    <t>Part_4_Line_12</t>
  </si>
  <si>
    <t>Part_4_Line_13</t>
  </si>
  <si>
    <t>Part_4_Line_14</t>
  </si>
  <si>
    <t>Part_4_Line_15</t>
  </si>
  <si>
    <t>Part_4_Line_16</t>
  </si>
  <si>
    <t>Part_4_Line_17</t>
  </si>
  <si>
    <t>Part_4_Line_18</t>
  </si>
  <si>
    <t>Part_4_Line_19</t>
  </si>
  <si>
    <t>Part_4_Line_20</t>
  </si>
  <si>
    <t>Supplementary_Information_Line_1ri_Col1</t>
  </si>
  <si>
    <t>Supplementary_Information_Line_1rii_Col1</t>
  </si>
  <si>
    <t>16. Forecast of relief to be provided in 2025-26</t>
  </si>
  <si>
    <t>17. Forecast of mandatory reliefs to be provided in 2025-26 (Sum of lines 9 to 16)</t>
  </si>
  <si>
    <t>18. Changes as a result of estimated growth/decline in mandatory relief
(+ = decline, - = increase)</t>
  </si>
  <si>
    <t>19. Total forecast mandatory reliefs to be provided in 2025-26</t>
  </si>
  <si>
    <t>21. Forecast of 'relief' to be provided in 2025-26</t>
  </si>
  <si>
    <t>23.  Changes as a result of estimated growth/decline in unoccupied property 'relief' (+ = decline, - = increase)</t>
  </si>
  <si>
    <t>24. Total forecast unoccupied property 'relief' to be provided in 2025-26</t>
  </si>
  <si>
    <t>29. Forecast of relief to be provided in 2025-26</t>
  </si>
  <si>
    <t>30. Relief given to Case A hereditaments</t>
  </si>
  <si>
    <t>31. Relief given to Case B hereditaments</t>
  </si>
  <si>
    <t>32. Relief given to Freeports (See Note M)</t>
  </si>
  <si>
    <t>33. Relief given to Investment Zones (See Note M)</t>
  </si>
  <si>
    <t>35. Changes as a result of estimated growth/decline in discretionary relief (+ = decline, - = increase)</t>
  </si>
  <si>
    <t>36. Total forecast discretionary relief to be provided in 2025-26</t>
  </si>
  <si>
    <t>Part_2_Line_16_Col7</t>
  </si>
  <si>
    <t>mr_improv_baa</t>
  </si>
  <si>
    <t>mr_improv_da</t>
  </si>
  <si>
    <t>mr_improv_tot</t>
  </si>
  <si>
    <t>mr_improv_baa_sml</t>
  </si>
  <si>
    <t>mr_improv_da_sml</t>
  </si>
  <si>
    <t>mr_improv_tot_sml</t>
  </si>
  <si>
    <t>Part_2_Line_16_Col3</t>
  </si>
  <si>
    <t>mr_improv_baa_std</t>
  </si>
  <si>
    <t>mr_improv_da_std</t>
  </si>
  <si>
    <t>mr_improv_tot_std</t>
  </si>
  <si>
    <t>Part_2_Line_16_Col6</t>
  </si>
  <si>
    <t>Part_2_Line_21_Col7</t>
  </si>
  <si>
    <t>Part_2_Line_29_BAtot</t>
  </si>
  <si>
    <t>Part_2_Line_29_Col7</t>
  </si>
  <si>
    <t>Part_2_Line_30_DAtot</t>
  </si>
  <si>
    <t>Part_2_Line_31_BAtot</t>
  </si>
  <si>
    <t>Part_2_Line_33_Col7</t>
  </si>
  <si>
    <t>Part_2_Line_21_Col3</t>
  </si>
  <si>
    <t>Part_2_Line_29_Col1</t>
  </si>
  <si>
    <t>Part_2_Line_29_Col3</t>
  </si>
  <si>
    <t>Part_2_Line_30_Col2</t>
  </si>
  <si>
    <t>Part_2_Line_31_Col1</t>
  </si>
  <si>
    <t>Part_2_Line_33_Col3</t>
  </si>
  <si>
    <t>Part_2_Line_21_Col6</t>
  </si>
  <si>
    <t>Part_2_Line_29_Col4</t>
  </si>
  <si>
    <t>Part_2_Line_29_Col6</t>
  </si>
  <si>
    <t>Part_2_Line_30_Col5</t>
  </si>
  <si>
    <t>Part_2_Line_31_Col4</t>
  </si>
  <si>
    <t>Part_2_Line_33_Col6</t>
  </si>
  <si>
    <t>22.  Forecast of unoccupied property 'relief' to be provided in 2025-26 (Line 20 + line 21)</t>
  </si>
  <si>
    <t>134/499</t>
  </si>
  <si>
    <t>93/555</t>
  </si>
  <si>
    <t>Part 2, Line 19 + Part 2, Line 24</t>
  </si>
  <si>
    <t>Part 2, Line 36 + Part 2, Line 42</t>
  </si>
  <si>
    <t>34. Forecast of discretionary relief to be provided in 2025-26 (Sum of lines 25 to 29)</t>
  </si>
  <si>
    <t>Estimated sums due from Government via Section 31 grant, to compensate authorities for the cost of changes to the business rates system announced 
in the 2013 to 2016 and 2022 to 2023 Autumn Statements, 2020 and 2021 spending reviews, and 2017 (March and November), 2018 (October), 2021 (October) and 2024 (October) Budgets.</t>
  </si>
  <si>
    <t>Year set up</t>
  </si>
  <si>
    <t>Uprated Small Baseline for 2025-26</t>
  </si>
  <si>
    <t>Uprated Standard Baseline for 2025-26</t>
  </si>
  <si>
    <t>Freeport: Thames - Dagenham</t>
  </si>
  <si>
    <t>IZ: Birmingham Knowledge Quarter</t>
  </si>
  <si>
    <t>GZ: East Birmingham and North Solihull Growth Zone</t>
  </si>
  <si>
    <t>IZ: Northern Gateway: Atom Valley </t>
  </si>
  <si>
    <t>IZ: Hartington-Staveley</t>
  </si>
  <si>
    <t>IZ: Coventry and Warwick Gigapark </t>
  </si>
  <si>
    <t>EZ: Infinity Park</t>
  </si>
  <si>
    <t>IZ: Infinity Park Derby</t>
  </si>
  <si>
    <t>IZ: Gateway East </t>
  </si>
  <si>
    <t>Freeport: Humber - Goole Tax Site</t>
  </si>
  <si>
    <t>Freeport: Humber - Hull East</t>
  </si>
  <si>
    <t>Freeport: East - Felixstowe</t>
  </si>
  <si>
    <t>Freeport: Solent - Navigator Quarter</t>
  </si>
  <si>
    <t>Freeport: LCR - 3MG</t>
  </si>
  <si>
    <t>Freeport: Solent - Dunsbury Park</t>
  </si>
  <si>
    <t>IZ: Manchester Smile Investment Zone </t>
  </si>
  <si>
    <t>GZ: City Centre and North East</t>
  </si>
  <si>
    <t>Freeport: East - Gateway 14</t>
  </si>
  <si>
    <t>Freeport: Solent -  Southampton Water – Fawley Complex</t>
  </si>
  <si>
    <t>Freeport: Solent - Southampton Water – Fawley Waterside</t>
  </si>
  <si>
    <t>Freeport: Solent - Southampton Water-Marchwood Port &amp; Strategic Land Reserve</t>
  </si>
  <si>
    <t>Freeport: Humber - Able Marine Energy Park (AMEP)</t>
  </si>
  <si>
    <t>Freeport: EM - East Midlands Gateway and Industrial Cluster</t>
  </si>
  <si>
    <t>IZ: Blyth (Northumberland Energy Park)</t>
  </si>
  <si>
    <t>Freeport: Plymouth and South Devon - South Yard</t>
  </si>
  <si>
    <t>Freeport: Teesside - Teesworks East</t>
  </si>
  <si>
    <t>Freeport: Teeside - Teesworks West</t>
  </si>
  <si>
    <t>Freeport: Teeside - Wilton International</t>
  </si>
  <si>
    <t>IZ: Northern Gateway - Atom Valley </t>
  </si>
  <si>
    <t>Freeport: EM - Ratcliffe on Soar</t>
  </si>
  <si>
    <t>GZ: Salford Quays and Trafford Wharfside</t>
  </si>
  <si>
    <t>IZ: Manchester-Salford Smile </t>
  </si>
  <si>
    <t>GZ: Sandwell and Dudley Growth Zone</t>
  </si>
  <si>
    <t>IZ: South Yorkshire Investment Zone (Sheffield) - Business Rates Retention Area</t>
  </si>
  <si>
    <t>Freeport: EM - East Midlands Intermodal Park (EMIP)</t>
  </si>
  <si>
    <t>Freeport: Plymouth and South Devon - Langage</t>
  </si>
  <si>
    <t>Freeport: Plymouth and South Devon - Sherford</t>
  </si>
  <si>
    <t>IZ: IAMSS (Northern Employment Area)</t>
  </si>
  <si>
    <t>Freeport: Solent - Southampton Water – Redbridge</t>
  </si>
  <si>
    <t>Freeport: LCR - Parkside</t>
  </si>
  <si>
    <t>IZ: St Helens Manufacturing and Innovation Campus </t>
  </si>
  <si>
    <t>Riverside Sunderland - Crown Works Studios</t>
  </si>
  <si>
    <t>Freeport: East - Harwich</t>
  </si>
  <si>
    <t>Freeport: Thames - London Gateway</t>
  </si>
  <si>
    <t>Freeport: Thames - Tilbury</t>
  </si>
  <si>
    <t>GZ: Trafford Park</t>
  </si>
  <si>
    <t>GZ: Walsall Levelling Up Zone</t>
  </si>
  <si>
    <t>Freeport: LCR - Wirral Waters</t>
  </si>
  <si>
    <t>Small and standard baselines are hardcoded but should be calculated in-form next year. New Forest Solent Freeport baselines are hardcoded because they were split for the first time this year.</t>
  </si>
  <si>
    <t>THIS TAB IS NO LONGER USED, SEE THE R CODE IN THE Q:\LGF3\LGF3Data\NNDR 1 - 3\NNDR1\2025-26\Form Prep\Cost of Collection Calculation FOLDER. KEPT AS A CHECK OF THE CALCULATION</t>
  </si>
  <si>
    <t>NNDR1 2024-25</t>
  </si>
  <si>
    <t>To compare with R output</t>
  </si>
  <si>
    <t>R output</t>
  </si>
  <si>
    <t>Max diff</t>
  </si>
  <si>
    <t>Aggregate rateable value on draft rating list at 3rd October 2024</t>
  </si>
  <si>
    <t>Number of hereditaments on draft rating list at 3rd October 2024</t>
  </si>
  <si>
    <t>7. The form should be sent by your Chief Financial / Section 151 Officer. The email should be the same as that submitted as the 'Certifier email address' in Part 1 and should include the officer’s electronic signature and the following statement:
I confirm that the entries in this form are the best I can make on the information available to me and amounts are calculated in accordance with regulations made under Schedule 7B to the Local Government Act 1988. I also confirm that the authority has acted diligently in relation to the collection of non-domestic rates.</t>
  </si>
  <si>
    <t>The structure of the 2025-26 NNDR1 is unchanged from last year. In 2024-25 the form was significantly changed to reflect changes in the Non-Domestic Rating Act 2023 to how business rates multipliers are calculated. That update required amounts relating to hereditaments on the small business rates multiplier and hereditaments on the standard multiplier to be reported separately, provided the billing authority could supply that data. The option for authorities not to split these figures has been removed in this form, as it is now expected that all billing authorities can provide this data.
The form also reflects changes in reliefs that will be in place for 2025-26. The lines relating to the retail, hospitality and leisure relief is retained from previous years, but entries on that line should reflect the 2025-26 guidance.
To aid the collection team's validation efforts and the Department's audit requirements, Part 1 now asks for information on the certifying officer. 'Certifier email address' should be the same email address from which the form is submitted to us. 'Certifier role' should be the option from the dropdown list which best describes the certifying officer's role. This person should be the Chief Financial / Section 151 Officer, or the Deputy, Interim or Delegated thereof. See 'Submitting the Form', below, for further submission instructions.</t>
  </si>
  <si>
    <t>21. % for distribution of prior year surplus/deficit (i.e. 2024-25)</t>
  </si>
  <si>
    <t>23. % for distribution of in-year surplus/deficit (i.e. 2025-26)</t>
  </si>
  <si>
    <t>E6360</t>
  </si>
  <si>
    <r>
      <t xml:space="preserve">* White, Black Border - </t>
    </r>
    <r>
      <rPr>
        <sz val="14"/>
        <rFont val="Arial"/>
        <family val="2"/>
      </rPr>
      <t xml:space="preserve">these are blank for new data to be entered - Please ensure </t>
    </r>
    <r>
      <rPr>
        <u/>
        <sz val="14"/>
        <rFont val="Arial"/>
        <family val="2"/>
      </rPr>
      <t>all</t>
    </r>
    <r>
      <rPr>
        <sz val="14"/>
        <rFont val="Arial"/>
        <family val="2"/>
      </rPr>
      <t xml:space="preserve"> white cells are filled before submitting the form including entering</t>
    </r>
    <r>
      <rPr>
        <i/>
        <sz val="14"/>
        <rFont val="Arial"/>
        <family val="2"/>
      </rPr>
      <t xml:space="preserve"> zeroes where appropriate.</t>
    </r>
  </si>
  <si>
    <r>
      <t xml:space="preserve"> * White background, Blue border -</t>
    </r>
    <r>
      <rPr>
        <sz val="14"/>
        <rFont val="Arial"/>
        <family val="2"/>
      </rPr>
      <t xml:space="preserve"> actual data entered by the Ministry of Housing, Communities &amp; Local Government into these cells.</t>
    </r>
    <r>
      <rPr>
        <i/>
        <sz val="14"/>
        <rFont val="Arial"/>
        <family val="2"/>
      </rPr>
      <t xml:space="preserve"> </t>
    </r>
  </si>
  <si>
    <t>5. The "Main Validation" sheet will compare key figures in the "Part 1" to "Part 4" sheets. The "Supplementary Validation" sheet will compare key figures from the "Supplementary Information" sheet. Before the NNDR1 form is submitted, please go to these validation sheets and check if any of the data changes require any further explanation. In most cases, the data are compared with the NNDR1 for 2024-25 and, if the change in number or percentage terms is higher or lower than we would normally expect, you are asked to provide an explanation for the change in the box provided. We may query the figures further if the validation comment provided is not sufficient.</t>
  </si>
  <si>
    <t>Named range</t>
  </si>
  <si>
    <t>% of Rateable Value that is regarding hereditaments using the standard multiplier</t>
  </si>
  <si>
    <t>Main Val - 22</t>
  </si>
  <si>
    <t>Rateable value at 2024-25 regarding hereditaments using the standard multiplier</t>
  </si>
  <si>
    <t>Rateable value at 2024-25 (total)</t>
  </si>
  <si>
    <t>Previous_year_val_22</t>
  </si>
  <si>
    <t>Main validation - RV standard split previous value</t>
  </si>
  <si>
    <t>val_rvsplit_std_py</t>
  </si>
  <si>
    <t>val_rvsplit_std_pypdif</t>
  </si>
  <si>
    <t>Pyp_dif_val_22</t>
  </si>
  <si>
    <t>Main validation - RV standard split year on year % change</t>
  </si>
  <si>
    <t>val_rvsplit_std_com</t>
  </si>
  <si>
    <t>Comment_needed_val_22</t>
  </si>
  <si>
    <t>Main validation - RV standard split comment needed check</t>
  </si>
  <si>
    <t>val_rvsplit_std_com_text</t>
  </si>
  <si>
    <t>Comment_val_22</t>
  </si>
  <si>
    <t>Main validation - RV standard split comment text</t>
  </si>
  <si>
    <t>q. Number of hereditaments that are on the standard multiplier as at 31 December 2024*</t>
  </si>
  <si>
    <r>
      <t>* White background, Green border -</t>
    </r>
    <r>
      <rPr>
        <sz val="14"/>
        <rFont val="Arial"/>
        <family val="2"/>
      </rPr>
      <t xml:space="preserve"> these cells are information cells and have the appropriate formula in them. </t>
    </r>
    <r>
      <rPr>
        <b/>
        <sz val="14"/>
        <rFont val="Arial"/>
        <family val="2"/>
      </rPr>
      <t xml:space="preserve">Please do not overwrite the formula </t>
    </r>
    <r>
      <rPr>
        <sz val="14"/>
        <rFont val="Arial"/>
        <family val="2"/>
      </rPr>
      <t>as this will result in your form being returned.</t>
    </r>
    <r>
      <rPr>
        <b/>
        <i/>
        <sz val="14"/>
        <rFont val="Arial"/>
        <family val="2"/>
      </rPr>
      <t xml:space="preserve">
</t>
    </r>
    <r>
      <rPr>
        <i/>
        <sz val="11"/>
        <rFont val="Arial"/>
        <family val="2"/>
      </rPr>
      <t>Some 'named ranges' are used in the calculations, and are listed here for reference:
· adj_factor: The small business multiplier adjustment factor, 134/499
· adj_factor_supp: The standard multiplier adjustment factor, 93/555
· Import_LA_Code: The MHCLG 'Ecode' for your local authority, used to lookup data from 'background' sheets
· Ref_LA_Codes: The list of LA Codes in the data in 'background' sheets, used to get the appropriate reference data for e.g. validations
· Ref_LA_Codes2: Same as above
· sbrr_supp_historic: The historic supplement value of 0.013 used in the additional compensation for loss of supplementary multipler income calculations (Part 1 Line 28a)
The following 'named ranges' are used in Part 1 Line 25:
· small_share_baa: The percentage of Net collectable rates (Part 2 Line 43) in the billing authority area that relate to hereditaments using the small multiplier
· small_share_da: The percentage of Net collectable rates (Part 2 Line 43) in DAs that relate to hereditaments using the small multiplier
· small_share_tot: The percentage of Net collectable rates (Part 2 Line 43) that relate to hereditaments using the small multiplier
· standard_share_baa: The percentage of Net collectable rates (Part 2 Line 43) in the billing authority area that relate to hereditaments using the standard multiplier
· standard_share_da: The percentage of Net collectable rates (Part 2 Line 43) in DAs that relate to hereditaments using the standard multiplier
· standard_share_tot: The percentage of Net collectable rates (Part 2 Line 43) that relate to hereditaments using the standard multiplier</t>
    </r>
  </si>
  <si>
    <t>Cost of Rural relief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</si>
</sst>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quot;£&quot;* #,##0.00_-;_-&quot;£&quot;* &quot;-&quot;??_-;_-@_-"/>
    <numFmt numFmtId="43" formatCode="_-* #,##0.00_-;\-* #,##0.00_-;_-* &quot;-&quot;??_-;_-@_-"/>
    <numFmt numFmtId="164" formatCode="_(* #,##0.00_);_(* \(#,##0.00\);_(* &quot;-&quot;??_);_(@_)"/>
    <numFmt numFmtId="165" formatCode="_(&quot;£&quot;* #,##0.00_);_(&quot;£&quot;* \(#,##0.00\);_(&quot;£&quot;* &quot;-&quot;??_);_(@_)"/>
    <numFmt numFmtId="166" formatCode="#,##0.000"/>
    <numFmt numFmtId="167" formatCode="#,##0.000000000000"/>
    <numFmt numFmtId="168" formatCode="#,##0.000000000000000"/>
    <numFmt numFmtId="169" formatCode="0.0"/>
    <numFmt numFmtId="170" formatCode="#,##0.0"/>
    <numFmt numFmtId="171" formatCode="0000"/>
    <numFmt numFmtId="172" formatCode="0.00000"/>
    <numFmt numFmtId="173" formatCode="0.000000000000000"/>
    <numFmt numFmtId="174" formatCode="0.000"/>
    <numFmt numFmtId="175" formatCode="0.0%"/>
  </numFmts>
  <fonts count="142" x14ac:knownFonts="1">
    <font>
      <sz val="10"/>
      <name val="Arial"/>
    </font>
    <font>
      <sz val="11"/>
      <color theme="1"/>
      <name val="Calibri"/>
      <family val="2"/>
      <scheme val="minor"/>
    </font>
    <font>
      <sz val="11"/>
      <color theme="1"/>
      <name val="Calibri"/>
      <family val="2"/>
      <scheme val="minor"/>
    </font>
    <font>
      <sz val="12"/>
      <color theme="1"/>
      <name val="Arial"/>
      <family val="2"/>
    </font>
    <font>
      <sz val="10"/>
      <name val="Arial"/>
      <family val="2"/>
    </font>
    <font>
      <b/>
      <sz val="10"/>
      <name val="Arial"/>
      <family val="2"/>
    </font>
    <font>
      <sz val="10"/>
      <name val="Arial"/>
      <family val="2"/>
    </font>
    <font>
      <sz val="8"/>
      <name val="Arial"/>
      <family val="2"/>
    </font>
    <font>
      <sz val="12"/>
      <name val="Arial"/>
      <family val="2"/>
    </font>
    <font>
      <b/>
      <u/>
      <sz val="12"/>
      <name val="Arial"/>
      <family val="2"/>
    </font>
    <font>
      <b/>
      <sz val="12"/>
      <name val="Arial"/>
      <family val="2"/>
    </font>
    <font>
      <sz val="12"/>
      <color indexed="17"/>
      <name val="Arial"/>
      <family val="2"/>
    </font>
    <font>
      <b/>
      <sz val="12"/>
      <name val="Arial"/>
      <family val="2"/>
    </font>
    <font>
      <sz val="12"/>
      <name val="Arial"/>
      <family val="2"/>
    </font>
    <font>
      <b/>
      <sz val="11"/>
      <name val="Arial"/>
      <family val="2"/>
    </font>
    <font>
      <sz val="11"/>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u/>
      <sz val="18"/>
      <name val="Arial"/>
      <family val="2"/>
    </font>
    <font>
      <b/>
      <sz val="14"/>
      <name val="Arial"/>
      <family val="2"/>
    </font>
    <font>
      <b/>
      <sz val="16"/>
      <name val="Arial"/>
      <family val="2"/>
    </font>
    <font>
      <sz val="14"/>
      <name val="Arial"/>
      <family val="2"/>
    </font>
    <font>
      <sz val="14"/>
      <name val="Arial"/>
      <family val="2"/>
    </font>
    <font>
      <b/>
      <u/>
      <sz val="14"/>
      <name val="Arial"/>
      <family val="2"/>
    </font>
    <font>
      <i/>
      <sz val="14"/>
      <name val="Arial"/>
      <family val="2"/>
    </font>
    <font>
      <b/>
      <i/>
      <sz val="14"/>
      <name val="Arial"/>
      <family val="2"/>
    </font>
    <font>
      <b/>
      <sz val="14"/>
      <name val="Arial"/>
      <family val="2"/>
    </font>
    <font>
      <sz val="14"/>
      <color indexed="10"/>
      <name val="Arial"/>
      <family val="2"/>
    </font>
    <font>
      <sz val="12"/>
      <color indexed="10"/>
      <name val="Arial"/>
      <family val="2"/>
    </font>
    <font>
      <sz val="10"/>
      <color indexed="10"/>
      <name val="Arial"/>
      <family val="2"/>
    </font>
    <font>
      <b/>
      <sz val="12"/>
      <color indexed="10"/>
      <name val="Arial"/>
      <family val="2"/>
    </font>
    <font>
      <b/>
      <sz val="8"/>
      <color indexed="10"/>
      <name val="Arial"/>
      <family val="2"/>
    </font>
    <font>
      <i/>
      <sz val="12"/>
      <name val="Arial"/>
      <family val="2"/>
    </font>
    <font>
      <sz val="12"/>
      <color indexed="10"/>
      <name val="Arial"/>
      <family val="2"/>
    </font>
    <font>
      <b/>
      <sz val="12"/>
      <color indexed="10"/>
      <name val="Arial"/>
      <family val="2"/>
    </font>
    <font>
      <sz val="10"/>
      <color indexed="10"/>
      <name val="Arial"/>
      <family val="2"/>
    </font>
    <font>
      <sz val="8"/>
      <color indexed="10"/>
      <name val="Arial"/>
      <family val="2"/>
    </font>
    <font>
      <sz val="11"/>
      <color indexed="10"/>
      <name val="Arial"/>
      <family val="2"/>
    </font>
    <font>
      <i/>
      <sz val="10"/>
      <name val="Arial"/>
      <family val="2"/>
    </font>
    <font>
      <sz val="12"/>
      <color indexed="44"/>
      <name val="Arial"/>
      <family val="2"/>
    </font>
    <font>
      <sz val="12"/>
      <color indexed="10"/>
      <name val="Arial"/>
      <family val="2"/>
    </font>
    <font>
      <b/>
      <sz val="12"/>
      <color indexed="10"/>
      <name val="Arial"/>
      <family val="2"/>
    </font>
    <font>
      <sz val="9"/>
      <name val="Arial"/>
      <family val="2"/>
    </font>
    <font>
      <b/>
      <i/>
      <sz val="12"/>
      <name val="Arial"/>
      <family val="2"/>
    </font>
    <font>
      <b/>
      <sz val="14"/>
      <color indexed="10"/>
      <name val="Arial"/>
      <family val="2"/>
    </font>
    <font>
      <b/>
      <sz val="11"/>
      <color indexed="10"/>
      <name val="Arial"/>
      <family val="2"/>
    </font>
    <font>
      <sz val="10"/>
      <color indexed="22"/>
      <name val="Arial"/>
      <family val="2"/>
    </font>
    <font>
      <b/>
      <u/>
      <sz val="10"/>
      <name val="Arial"/>
      <family val="2"/>
    </font>
    <font>
      <u/>
      <sz val="10"/>
      <color indexed="10"/>
      <name val="Arial"/>
      <family val="2"/>
    </font>
    <font>
      <u/>
      <sz val="8"/>
      <color indexed="9"/>
      <name val="Arial"/>
      <family val="2"/>
    </font>
    <font>
      <sz val="11"/>
      <color indexed="12"/>
      <name val="Arial"/>
      <family val="2"/>
    </font>
    <font>
      <b/>
      <sz val="18"/>
      <name val="Arial"/>
      <family val="2"/>
    </font>
    <font>
      <b/>
      <sz val="12"/>
      <name val="Wingdings"/>
      <charset val="2"/>
    </font>
    <font>
      <sz val="12"/>
      <name val="Wingdings 2"/>
      <family val="1"/>
      <charset val="2"/>
    </font>
    <font>
      <b/>
      <sz val="12"/>
      <color rgb="FFFF0000"/>
      <name val="Arial"/>
      <family val="2"/>
    </font>
    <font>
      <sz val="10"/>
      <color theme="1"/>
      <name val="Arial"/>
      <family val="2"/>
    </font>
    <font>
      <sz val="11"/>
      <color theme="1"/>
      <name val="Calibri"/>
      <family val="2"/>
    </font>
    <font>
      <i/>
      <sz val="11"/>
      <color rgb="FFFF0000"/>
      <name val="Calibri"/>
      <family val="2"/>
    </font>
    <font>
      <b/>
      <sz val="10"/>
      <color rgb="FFFF0000"/>
      <name val="Arial"/>
      <family val="2"/>
    </font>
    <font>
      <sz val="12"/>
      <color rgb="FFFF0000"/>
      <name val="Arial"/>
      <family val="2"/>
    </font>
    <font>
      <sz val="12"/>
      <color theme="0"/>
      <name val="Arial"/>
      <family val="2"/>
    </font>
    <font>
      <b/>
      <sz val="12"/>
      <color theme="0"/>
      <name val="Arial"/>
      <family val="2"/>
    </font>
    <font>
      <b/>
      <sz val="8"/>
      <color theme="0"/>
      <name val="Arial"/>
      <family val="2"/>
    </font>
    <font>
      <sz val="10"/>
      <color theme="0"/>
      <name val="Arial"/>
      <family val="2"/>
    </font>
    <font>
      <b/>
      <sz val="10"/>
      <color theme="0"/>
      <name val="Arial"/>
      <family val="2"/>
    </font>
    <font>
      <b/>
      <sz val="11"/>
      <color rgb="FFFF0000"/>
      <name val="Arial"/>
      <family val="2"/>
    </font>
    <font>
      <b/>
      <sz val="8"/>
      <color theme="0" tint="-0.249977111117893"/>
      <name val="Arial"/>
      <family val="2"/>
    </font>
    <font>
      <sz val="14"/>
      <color rgb="FFFF0000"/>
      <name val="Arial"/>
      <family val="2"/>
    </font>
    <font>
      <sz val="10"/>
      <color rgb="FFFF0000"/>
      <name val="Arial"/>
      <family val="2"/>
    </font>
    <font>
      <strike/>
      <sz val="12"/>
      <color rgb="FFFF0000"/>
      <name val="Arial"/>
      <family val="2"/>
    </font>
    <font>
      <strike/>
      <sz val="10"/>
      <color rgb="FFFF0000"/>
      <name val="Arial"/>
      <family val="2"/>
    </font>
    <font>
      <b/>
      <sz val="16"/>
      <color rgb="FFFF0000"/>
      <name val="Arial"/>
      <family val="2"/>
    </font>
    <font>
      <b/>
      <sz val="12"/>
      <color rgb="FFFFFFCC"/>
      <name val="Arial"/>
      <family val="2"/>
    </font>
    <font>
      <b/>
      <sz val="11"/>
      <name val="Calibri"/>
      <family val="2"/>
    </font>
    <font>
      <u/>
      <sz val="10"/>
      <color theme="10"/>
      <name val="Arial"/>
      <family val="2"/>
    </font>
    <font>
      <sz val="11"/>
      <color theme="1"/>
      <name val="Calibri"/>
      <family val="2"/>
      <scheme val="minor"/>
    </font>
    <font>
      <sz val="11"/>
      <name val="Calibri"/>
      <family val="2"/>
    </font>
    <font>
      <b/>
      <sz val="10"/>
      <color indexed="10"/>
      <name val="Arial"/>
      <family val="2"/>
    </font>
    <font>
      <sz val="10"/>
      <color theme="0" tint="-0.249977111117893"/>
      <name val="Arial"/>
      <family val="2"/>
    </font>
    <font>
      <b/>
      <sz val="14"/>
      <color rgb="FFFFFF99"/>
      <name val="Arial"/>
      <family val="2"/>
    </font>
    <font>
      <b/>
      <sz val="13"/>
      <name val="Arial"/>
      <family val="2"/>
    </font>
    <font>
      <sz val="10"/>
      <color indexed="9"/>
      <name val="Arial"/>
      <family val="2"/>
    </font>
    <font>
      <sz val="10"/>
      <color indexed="43"/>
      <name val="Arial"/>
      <family val="2"/>
    </font>
    <font>
      <sz val="18"/>
      <color indexed="9"/>
      <name val="Arial"/>
      <family val="2"/>
    </font>
    <font>
      <b/>
      <sz val="18"/>
      <color indexed="9"/>
      <name val="Arial"/>
      <family val="2"/>
    </font>
    <font>
      <u/>
      <sz val="12"/>
      <color indexed="12"/>
      <name val="Arial"/>
      <family val="2"/>
    </font>
    <font>
      <b/>
      <u/>
      <sz val="12"/>
      <color rgb="FFFF0000"/>
      <name val="Arial"/>
      <family val="2"/>
    </font>
    <font>
      <b/>
      <sz val="18"/>
      <color rgb="FFFF0000"/>
      <name val="Arial"/>
      <family val="2"/>
    </font>
    <font>
      <sz val="14"/>
      <color rgb="FFFFFF99"/>
      <name val="Arial"/>
      <family val="2"/>
    </font>
    <font>
      <sz val="10"/>
      <color theme="6" tint="0.39997558519241921"/>
      <name val="Arial"/>
      <family val="2"/>
    </font>
    <font>
      <sz val="9"/>
      <color theme="6" tint="0.39997558519241921"/>
      <name val="Arial"/>
      <family val="2"/>
    </font>
    <font>
      <sz val="9"/>
      <color indexed="81"/>
      <name val="Tahoma"/>
      <family val="2"/>
    </font>
    <font>
      <b/>
      <sz val="9"/>
      <color indexed="81"/>
      <name val="Tahoma"/>
      <family val="2"/>
    </font>
    <font>
      <sz val="11"/>
      <color rgb="FFFF0000"/>
      <name val="Calibri"/>
      <family val="2"/>
      <scheme val="minor"/>
    </font>
    <font>
      <sz val="12"/>
      <color theme="1" tint="0.499984740745262"/>
      <name val="Arial"/>
      <family val="2"/>
    </font>
    <font>
      <b/>
      <sz val="12"/>
      <color theme="1" tint="0.499984740745262"/>
      <name val="Arial"/>
      <family val="2"/>
    </font>
    <font>
      <sz val="11"/>
      <color theme="0"/>
      <name val="Calibri"/>
      <family val="2"/>
      <scheme val="minor"/>
    </font>
    <font>
      <b/>
      <sz val="11"/>
      <color theme="0"/>
      <name val="Calibri"/>
      <family val="2"/>
    </font>
    <font>
      <sz val="9"/>
      <color rgb="FFFF0000"/>
      <name val="Arial"/>
      <family val="2"/>
    </font>
    <font>
      <sz val="12"/>
      <color rgb="FFFFFFCC"/>
      <name val="Arial"/>
      <family val="2"/>
    </font>
    <font>
      <sz val="10"/>
      <name val="Tahoma"/>
      <family val="2"/>
    </font>
    <font>
      <sz val="10"/>
      <color rgb="FF0000FF"/>
      <name val="Arial"/>
      <family val="2"/>
    </font>
    <font>
      <sz val="8"/>
      <name val="Arial"/>
      <family val="2"/>
    </font>
    <font>
      <b/>
      <strike/>
      <sz val="12"/>
      <name val="Arial"/>
      <family val="2"/>
    </font>
    <font>
      <strike/>
      <sz val="12"/>
      <name val="Arial"/>
      <family val="2"/>
    </font>
    <font>
      <strike/>
      <sz val="10"/>
      <name val="Arial"/>
      <family val="2"/>
    </font>
    <font>
      <strike/>
      <sz val="12"/>
      <color theme="0"/>
      <name val="Arial"/>
      <family val="2"/>
    </font>
    <font>
      <sz val="8"/>
      <color theme="0" tint="-0.249977111117893"/>
      <name val="Arial"/>
      <family val="2"/>
    </font>
    <font>
      <sz val="10"/>
      <color rgb="FFFFFFCC"/>
      <name val="Arial"/>
      <family val="2"/>
    </font>
    <font>
      <strike/>
      <sz val="10"/>
      <color indexed="10"/>
      <name val="Arial"/>
      <family val="2"/>
    </font>
    <font>
      <b/>
      <sz val="12"/>
      <color rgb="FFC4D79B"/>
      <name val="Arial"/>
      <family val="2"/>
    </font>
    <font>
      <b/>
      <u/>
      <sz val="14"/>
      <color rgb="FFFF0000"/>
      <name val="Arial"/>
      <family val="2"/>
    </font>
    <font>
      <u/>
      <sz val="10"/>
      <color rgb="FF0000FF"/>
      <name val="Arial"/>
      <family val="2"/>
    </font>
    <font>
      <b/>
      <sz val="12"/>
      <color rgb="FFCC0000"/>
      <name val="Arial"/>
      <family val="2"/>
    </font>
    <font>
      <u/>
      <sz val="10"/>
      <color theme="10"/>
      <name val="Arial"/>
      <family val="2"/>
    </font>
    <font>
      <sz val="11"/>
      <color rgb="FF141414"/>
      <name val="Arial"/>
      <family val="2"/>
    </font>
    <font>
      <b/>
      <sz val="11"/>
      <color rgb="FF00B050"/>
      <name val="Arial"/>
      <family val="2"/>
    </font>
    <font>
      <sz val="11"/>
      <color theme="1"/>
      <name val="Arial"/>
      <family val="2"/>
    </font>
    <font>
      <sz val="11"/>
      <color rgb="FFFF0000"/>
      <name val="Arial"/>
      <family val="2"/>
    </font>
    <font>
      <b/>
      <sz val="10"/>
      <color theme="1"/>
      <name val="Arial"/>
      <family val="2"/>
    </font>
    <font>
      <i/>
      <sz val="11"/>
      <name val="Arial"/>
      <family val="2"/>
    </font>
    <font>
      <u/>
      <sz val="14"/>
      <name val="Arial"/>
      <family val="2"/>
    </font>
    <font>
      <sz val="16"/>
      <color rgb="FFFF0000"/>
      <name val="Arial"/>
      <family val="2"/>
    </font>
    <font>
      <sz val="11"/>
      <color rgb="FF00B050"/>
      <name val="Arial"/>
      <family val="2"/>
    </font>
    <font>
      <sz val="11"/>
      <name val="Aptos Narrow"/>
      <family val="2"/>
    </font>
    <font>
      <sz val="11"/>
      <color rgb="FF000000"/>
      <name val="Aptos Narrow"/>
      <family val="2"/>
    </font>
    <font>
      <u/>
      <sz val="14"/>
      <color theme="10"/>
      <name val="Arial"/>
      <family val="2"/>
    </font>
  </fonts>
  <fills count="57">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9"/>
        <bgColor indexed="64"/>
      </patternFill>
    </fill>
    <fill>
      <patternFill patternType="solid">
        <fgColor indexed="55"/>
      </patternFill>
    </fill>
    <fill>
      <patternFill patternType="solid">
        <fgColor indexed="26"/>
        <bgColor indexed="64"/>
      </patternFill>
    </fill>
    <fill>
      <patternFill patternType="solid">
        <fgColor indexed="44"/>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theme="6" tint="0.39997558519241921"/>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99CCFF"/>
        <bgColor indexed="64"/>
      </patternFill>
    </fill>
    <fill>
      <patternFill patternType="solid">
        <fgColor rgb="FFDDD9C4"/>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0080"/>
        <bgColor indexed="64"/>
      </patternFill>
    </fill>
    <fill>
      <patternFill patternType="solid">
        <fgColor indexed="18"/>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rgb="FFCCFFCC"/>
        <bgColor indexed="64"/>
      </patternFill>
    </fill>
    <fill>
      <patternFill patternType="solid">
        <fgColor rgb="FFC4D79B"/>
        <bgColor indexed="64"/>
      </patternFill>
    </fill>
    <fill>
      <patternFill patternType="solid">
        <fgColor theme="7" tint="0.39997558519241921"/>
        <bgColor indexed="64"/>
      </patternFill>
    </fill>
    <fill>
      <patternFill patternType="solid">
        <fgColor rgb="FFCCCCFF"/>
        <bgColor indexed="64"/>
      </patternFill>
    </fill>
    <fill>
      <patternFill patternType="solid">
        <fgColor theme="3" tint="0.39997558519241921"/>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FF9BEA"/>
        <bgColor indexed="64"/>
      </patternFill>
    </fill>
    <fill>
      <patternFill patternType="solid">
        <fgColor rgb="FFFFA65D"/>
        <bgColor indexed="64"/>
      </patternFill>
    </fill>
    <fill>
      <patternFill patternType="solid">
        <fgColor theme="6" tint="0.79998168889431442"/>
        <bgColor indexed="64"/>
      </patternFill>
    </fill>
    <fill>
      <patternFill patternType="solid">
        <fgColor rgb="FFF2DCDB"/>
        <bgColor indexed="64"/>
      </patternFill>
    </fill>
  </fills>
  <borders count="15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medium">
        <color indexed="57"/>
      </left>
      <right/>
      <top style="medium">
        <color indexed="57"/>
      </top>
      <bottom/>
      <diagonal/>
    </border>
    <border>
      <left style="medium">
        <color indexed="57"/>
      </left>
      <right/>
      <top/>
      <bottom/>
      <diagonal/>
    </border>
    <border>
      <left style="medium">
        <color indexed="57"/>
      </left>
      <right/>
      <top/>
      <bottom style="medium">
        <color indexed="57"/>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53"/>
      </left>
      <right/>
      <top style="medium">
        <color indexed="53"/>
      </top>
      <bottom/>
      <diagonal/>
    </border>
    <border>
      <left/>
      <right/>
      <top style="medium">
        <color indexed="53"/>
      </top>
      <bottom/>
      <diagonal/>
    </border>
    <border>
      <left style="medium">
        <color indexed="53"/>
      </left>
      <right/>
      <top/>
      <bottom/>
      <diagonal/>
    </border>
    <border>
      <left style="medium">
        <color indexed="53"/>
      </left>
      <right/>
      <top/>
      <bottom style="medium">
        <color indexed="53"/>
      </bottom>
      <diagonal/>
    </border>
    <border>
      <left/>
      <right/>
      <top/>
      <bottom style="medium">
        <color indexed="53"/>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
      <left style="thick">
        <color indexed="17"/>
      </left>
      <right style="thick">
        <color indexed="17"/>
      </right>
      <top style="thick">
        <color indexed="17"/>
      </top>
      <bottom style="thick">
        <color indexed="17"/>
      </bottom>
      <diagonal/>
    </border>
    <border>
      <left style="thick">
        <color indexed="39"/>
      </left>
      <right style="thick">
        <color indexed="39"/>
      </right>
      <top style="thick">
        <color indexed="39"/>
      </top>
      <bottom style="thick">
        <color indexed="39"/>
      </bottom>
      <diagonal/>
    </border>
    <border>
      <left/>
      <right/>
      <top style="medium">
        <color indexed="57"/>
      </top>
      <bottom/>
      <diagonal/>
    </border>
    <border>
      <left/>
      <right/>
      <top/>
      <bottom style="medium">
        <color indexed="57"/>
      </bottom>
      <diagonal/>
    </border>
    <border>
      <left/>
      <right style="medium">
        <color indexed="31"/>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17"/>
      </left>
      <right style="medium">
        <color indexed="17"/>
      </right>
      <top style="medium">
        <color indexed="17"/>
      </top>
      <bottom style="medium">
        <color indexed="17"/>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44"/>
      </left>
      <right/>
      <top style="medium">
        <color indexed="44"/>
      </top>
      <bottom/>
      <diagonal/>
    </border>
    <border>
      <left/>
      <right/>
      <top style="medium">
        <color indexed="44"/>
      </top>
      <bottom/>
      <diagonal/>
    </border>
    <border>
      <left style="medium">
        <color indexed="44"/>
      </left>
      <right/>
      <top/>
      <bottom/>
      <diagonal/>
    </border>
    <border>
      <left style="medium">
        <color indexed="44"/>
      </left>
      <right/>
      <top/>
      <bottom style="medium">
        <color indexed="44"/>
      </bottom>
      <diagonal/>
    </border>
    <border>
      <left/>
      <right/>
      <top/>
      <bottom style="medium">
        <color indexed="4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53"/>
      </right>
      <top style="medium">
        <color indexed="53"/>
      </top>
      <bottom/>
      <diagonal/>
    </border>
    <border>
      <left/>
      <right style="medium">
        <color indexed="53"/>
      </right>
      <top/>
      <bottom/>
      <diagonal/>
    </border>
    <border>
      <left/>
      <right style="medium">
        <color indexed="53"/>
      </right>
      <top/>
      <bottom style="medium">
        <color indexed="53"/>
      </bottom>
      <diagonal/>
    </border>
    <border>
      <left/>
      <right style="medium">
        <color indexed="57"/>
      </right>
      <top style="medium">
        <color indexed="57"/>
      </top>
      <bottom/>
      <diagonal/>
    </border>
    <border>
      <left/>
      <right style="medium">
        <color indexed="57"/>
      </right>
      <top/>
      <bottom/>
      <diagonal/>
    </border>
    <border>
      <left/>
      <right style="medium">
        <color indexed="57"/>
      </right>
      <top/>
      <bottom style="medium">
        <color indexed="57"/>
      </bottom>
      <diagonal/>
    </border>
    <border>
      <left style="medium">
        <color indexed="30"/>
      </left>
      <right style="medium">
        <color indexed="30"/>
      </right>
      <top style="medium">
        <color indexed="30"/>
      </top>
      <bottom style="medium">
        <color indexed="30"/>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medium">
        <color indexed="17"/>
      </bottom>
      <diagonal/>
    </border>
    <border>
      <left/>
      <right/>
      <top style="medium">
        <color indexed="17"/>
      </top>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indexed="31"/>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indexed="31"/>
      </right>
      <top/>
      <bottom style="medium">
        <color theme="3" tint="-0.24994659260841701"/>
      </bottom>
      <diagonal/>
    </border>
    <border>
      <left/>
      <right style="medium">
        <color theme="3" tint="-0.24994659260841701"/>
      </right>
      <top/>
      <bottom style="medium">
        <color theme="3" tint="-0.24994659260841701"/>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indexed="31"/>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indexed="31"/>
      </right>
      <top/>
      <bottom style="medium">
        <color theme="3" tint="-0.499984740745262"/>
      </bottom>
      <diagonal/>
    </border>
    <border>
      <left/>
      <right style="medium">
        <color theme="3" tint="-0.499984740745262"/>
      </right>
      <top/>
      <bottom style="medium">
        <color theme="3" tint="-0.499984740745262"/>
      </bottom>
      <diagonal/>
    </border>
    <border>
      <left style="medium">
        <color rgb="FFFF6600"/>
      </left>
      <right/>
      <top/>
      <bottom/>
      <diagonal/>
    </border>
    <border>
      <left style="medium">
        <color rgb="FFFF6600"/>
      </left>
      <right/>
      <top style="medium">
        <color indexed="53"/>
      </top>
      <bottom/>
      <diagonal/>
    </border>
    <border>
      <left style="medium">
        <color rgb="FFFF6600"/>
      </left>
      <right/>
      <top/>
      <bottom style="medium">
        <color indexed="53"/>
      </bottom>
      <diagonal/>
    </border>
    <border>
      <left style="medium">
        <color rgb="FFFF6600"/>
      </left>
      <right/>
      <top/>
      <bottom style="medium">
        <color rgb="FFFF6600"/>
      </bottom>
      <diagonal/>
    </border>
    <border>
      <left style="medium">
        <color rgb="FFFF6600"/>
      </left>
      <right/>
      <top style="medium">
        <color rgb="FFFF6600"/>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top style="medium">
        <color indexed="53"/>
      </top>
      <bottom/>
      <diagonal/>
    </border>
    <border>
      <left style="medium">
        <color indexed="53"/>
      </left>
      <right/>
      <top style="medium">
        <color indexed="53"/>
      </top>
      <bottom/>
      <diagonal/>
    </border>
    <border>
      <left/>
      <right/>
      <top/>
      <bottom style="medium">
        <color rgb="FFFF6600"/>
      </bottom>
      <diagonal/>
    </border>
    <border>
      <left/>
      <right/>
      <top style="medium">
        <color rgb="FFFF6600"/>
      </top>
      <bottom/>
      <diagonal/>
    </border>
    <border>
      <left style="medium">
        <color rgb="FF008000"/>
      </left>
      <right style="medium">
        <color rgb="FF008000"/>
      </right>
      <top style="medium">
        <color rgb="FF008000"/>
      </top>
      <bottom style="medium">
        <color rgb="FF008000"/>
      </bottom>
      <diagonal/>
    </border>
    <border>
      <left/>
      <right/>
      <top/>
      <bottom style="medium">
        <color rgb="FF008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medium">
        <color rgb="FF008000"/>
      </right>
      <top style="medium">
        <color rgb="FF008000"/>
      </top>
      <bottom style="medium">
        <color rgb="FF008000"/>
      </bottom>
      <diagonal/>
    </border>
    <border>
      <left style="medium">
        <color rgb="FF008000"/>
      </left>
      <right style="thin">
        <color rgb="FFFF0000"/>
      </right>
      <top style="medium">
        <color rgb="FF008000"/>
      </top>
      <bottom style="medium">
        <color rgb="FF008000"/>
      </bottom>
      <diagonal/>
    </border>
    <border>
      <left style="thin">
        <color rgb="FFFF0000"/>
      </left>
      <right/>
      <top style="medium">
        <color rgb="FF008000"/>
      </top>
      <bottom/>
      <diagonal/>
    </border>
    <border>
      <left/>
      <right style="medium">
        <color auto="1"/>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rgb="FFFF0000"/>
      </right>
      <top style="medium">
        <color rgb="FF008000"/>
      </top>
      <bottom/>
      <diagonal/>
    </border>
    <border>
      <left style="medium">
        <color rgb="FFCCCCFF"/>
      </left>
      <right style="medium">
        <color indexed="64"/>
      </right>
      <top/>
      <bottom/>
      <diagonal/>
    </border>
    <border>
      <left style="medium">
        <color rgb="FFCCCCFF"/>
      </left>
      <right/>
      <top style="medium">
        <color indexed="57"/>
      </top>
      <bottom/>
      <diagonal/>
    </border>
    <border>
      <left style="medium">
        <color rgb="FFCCCCFF"/>
      </left>
      <right/>
      <top/>
      <bottom/>
      <diagonal/>
    </border>
    <border>
      <left style="medium">
        <color rgb="FFCCCCFF"/>
      </left>
      <right/>
      <top/>
      <bottom style="medium">
        <color indexed="57"/>
      </bottom>
      <diagonal/>
    </border>
    <border>
      <left/>
      <right/>
      <top style="medium">
        <color auto="1"/>
      </top>
      <bottom/>
      <diagonal/>
    </border>
    <border>
      <left style="medium">
        <color indexed="17"/>
      </left>
      <right style="medium">
        <color rgb="FF008000"/>
      </right>
      <top style="medium">
        <color indexed="17"/>
      </top>
      <bottom style="medium">
        <color indexed="17"/>
      </bottom>
      <diagonal/>
    </border>
    <border>
      <left style="medium">
        <color rgb="FF008000"/>
      </left>
      <right style="medium">
        <color rgb="FF008000"/>
      </right>
      <top style="medium">
        <color indexed="17"/>
      </top>
      <bottom style="medium">
        <color rgb="FF008000"/>
      </bottom>
      <diagonal/>
    </border>
    <border>
      <left style="medium">
        <color rgb="FF0066CC"/>
      </left>
      <right style="medium">
        <color rgb="FF0066CC"/>
      </right>
      <top style="medium">
        <color rgb="FF0066CC"/>
      </top>
      <bottom style="medium">
        <color rgb="FF0066CC"/>
      </bottom>
      <diagonal/>
    </border>
    <border>
      <left style="medium">
        <color rgb="FF0000FF"/>
      </left>
      <right style="medium">
        <color rgb="FF0000FF"/>
      </right>
      <top style="medium">
        <color rgb="FF0000FF"/>
      </top>
      <bottom style="medium">
        <color rgb="FF0000FF"/>
      </bottom>
      <diagonal/>
    </border>
    <border>
      <left style="medium">
        <color auto="1"/>
      </left>
      <right/>
      <top/>
      <bottom/>
      <diagonal/>
    </border>
    <border>
      <left/>
      <right style="medium">
        <color indexed="57"/>
      </right>
      <top/>
      <bottom/>
      <diagonal/>
    </border>
    <border>
      <left/>
      <right style="medium">
        <color indexed="53"/>
      </right>
      <top/>
      <bottom/>
      <diagonal/>
    </border>
    <border>
      <left/>
      <right style="medium">
        <color indexed="44"/>
      </right>
      <top style="medium">
        <color indexed="44"/>
      </top>
      <bottom/>
      <diagonal/>
    </border>
    <border>
      <left/>
      <right style="medium">
        <color indexed="44"/>
      </right>
      <top/>
      <bottom/>
      <diagonal/>
    </border>
    <border>
      <left style="medium">
        <color rgb="FF99CCFF"/>
      </left>
      <right style="medium">
        <color indexed="64"/>
      </right>
      <top/>
      <bottom/>
      <diagonal/>
    </border>
    <border>
      <left/>
      <right style="medium">
        <color indexed="64"/>
      </right>
      <top/>
      <bottom/>
      <diagonal/>
    </border>
    <border>
      <left/>
      <right style="medium">
        <color indexed="31"/>
      </right>
      <top/>
      <bottom/>
      <diagonal/>
    </border>
    <border>
      <left style="medium">
        <color auto="1"/>
      </left>
      <right/>
      <top style="medium">
        <color auto="1"/>
      </top>
      <bottom/>
      <diagonal/>
    </border>
    <border>
      <left style="thin">
        <color auto="1"/>
      </left>
      <right style="medium">
        <color indexed="64"/>
      </right>
      <top style="medium">
        <color auto="1"/>
      </top>
      <bottom/>
      <diagonal/>
    </border>
    <border>
      <left style="thin">
        <color auto="1"/>
      </left>
      <right style="medium">
        <color indexed="64"/>
      </right>
      <top style="thin">
        <color indexed="64"/>
      </top>
      <bottom/>
      <diagonal/>
    </border>
    <border>
      <left style="medium">
        <color auto="1"/>
      </left>
      <right style="thin">
        <color indexed="64"/>
      </right>
      <top/>
      <bottom/>
      <diagonal/>
    </border>
    <border>
      <left/>
      <right/>
      <top style="medium">
        <color theme="3" tint="-0.24994659260841701"/>
      </top>
      <bottom style="medium">
        <color indexed="64"/>
      </bottom>
      <diagonal/>
    </border>
    <border>
      <left/>
      <right style="medium">
        <color rgb="FF008000"/>
      </right>
      <top/>
      <bottom/>
      <diagonal/>
    </border>
    <border>
      <left/>
      <right/>
      <top style="double">
        <color auto="1"/>
      </top>
      <bottom style="thin">
        <color auto="1"/>
      </bottom>
      <diagonal/>
    </border>
    <border>
      <left style="thin">
        <color indexed="23"/>
      </left>
      <right/>
      <top style="thin">
        <color indexed="23"/>
      </top>
      <bottom style="thin">
        <color indexed="23"/>
      </bottom>
      <diagonal/>
    </border>
  </borders>
  <cellStyleXfs count="113">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4" borderId="0" applyNumberFormat="0" applyBorder="0" applyAlignment="0" applyProtection="0"/>
    <xf numFmtId="0" fontId="16" fillId="6" borderId="0" applyNumberFormat="0" applyBorder="0" applyAlignment="0" applyProtection="0"/>
    <xf numFmtId="0" fontId="16" fillId="3"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6" borderId="0" applyNumberFormat="0" applyBorder="0" applyAlignment="0" applyProtection="0"/>
    <xf numFmtId="0" fontId="16" fillId="4"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3" borderId="0" applyNumberFormat="0" applyBorder="0" applyAlignment="0" applyProtection="0"/>
    <xf numFmtId="0" fontId="17" fillId="11"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9" fillId="16" borderId="1" applyNumberFormat="0" applyAlignment="0" applyProtection="0"/>
    <xf numFmtId="3" fontId="6" fillId="17" borderId="2">
      <alignment horizontal="right"/>
    </xf>
    <xf numFmtId="3" fontId="4" fillId="17" borderId="2">
      <alignment horizontal="right"/>
    </xf>
    <xf numFmtId="3" fontId="5" fillId="17" borderId="3">
      <alignment horizontal="right"/>
    </xf>
    <xf numFmtId="3" fontId="6" fillId="17" borderId="3">
      <alignment horizontal="right"/>
    </xf>
    <xf numFmtId="3" fontId="4" fillId="17" borderId="3">
      <alignment horizontal="right"/>
    </xf>
    <xf numFmtId="0" fontId="20" fillId="18" borderId="4" applyNumberFormat="0" applyAlignment="0" applyProtection="0"/>
    <xf numFmtId="164" fontId="4" fillId="0" borderId="0" applyFont="0" applyFill="0" applyBorder="0" applyAlignment="0" applyProtection="0"/>
    <xf numFmtId="165" fontId="4" fillId="0" borderId="0" applyFont="0" applyFill="0" applyBorder="0" applyAlignment="0" applyProtection="0"/>
    <xf numFmtId="0" fontId="21" fillId="0" borderId="0" applyNumberFormat="0" applyFill="0" applyBorder="0" applyAlignment="0" applyProtection="0"/>
    <xf numFmtId="0" fontId="22" fillId="6" borderId="0" applyNumberFormat="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alignment vertical="top"/>
      <protection locked="0"/>
    </xf>
    <xf numFmtId="0" fontId="27" fillId="7" borderId="1" applyNumberFormat="0" applyAlignment="0" applyProtection="0"/>
    <xf numFmtId="0" fontId="28" fillId="0" borderId="8" applyNumberFormat="0" applyFill="0" applyAlignment="0" applyProtection="0"/>
    <xf numFmtId="0" fontId="29" fillId="7" borderId="0" applyNumberFormat="0" applyBorder="0" applyAlignment="0" applyProtection="0"/>
    <xf numFmtId="0" fontId="4" fillId="0" borderId="0"/>
    <xf numFmtId="0" fontId="4" fillId="4" borderId="9" applyNumberFormat="0" applyFont="0" applyAlignment="0" applyProtection="0"/>
    <xf numFmtId="0" fontId="30" fillId="16" borderId="10" applyNumberFormat="0" applyAlignment="0" applyProtection="0"/>
    <xf numFmtId="9" fontId="4" fillId="0" borderId="0" applyFont="0" applyFill="0" applyBorder="0" applyAlignment="0" applyProtection="0"/>
    <xf numFmtId="0" fontId="31" fillId="0" borderId="0" applyNumberFormat="0" applyFill="0" applyBorder="0" applyAlignment="0" applyProtection="0"/>
    <xf numFmtId="0" fontId="32" fillId="0" borderId="11" applyNumberFormat="0" applyFill="0" applyAlignment="0" applyProtection="0"/>
    <xf numFmtId="0" fontId="28"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89" fillId="0" borderId="0" applyNumberFormat="0" applyFill="0" applyBorder="0" applyAlignment="0" applyProtection="0"/>
    <xf numFmtId="0" fontId="90" fillId="0" borderId="0"/>
    <xf numFmtId="0" fontId="29" fillId="7" borderId="0" applyNumberFormat="0" applyBorder="0" applyAlignment="0" applyProtection="0"/>
    <xf numFmtId="0" fontId="3" fillId="0" borderId="0"/>
    <xf numFmtId="9" fontId="4" fillId="0" borderId="0" applyFont="0" applyFill="0" applyBorder="0" applyAlignment="0" applyProtection="0"/>
    <xf numFmtId="0" fontId="90" fillId="0" borderId="0"/>
    <xf numFmtId="0" fontId="4" fillId="0" borderId="0"/>
    <xf numFmtId="164" fontId="4" fillId="0" borderId="0" applyFont="0" applyFill="0" applyBorder="0" applyAlignment="0" applyProtection="0"/>
    <xf numFmtId="0" fontId="4" fillId="0" borderId="0"/>
    <xf numFmtId="0" fontId="4" fillId="0" borderId="0"/>
    <xf numFmtId="0" fontId="8" fillId="0" borderId="0"/>
    <xf numFmtId="0" fontId="100"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 fillId="0" borderId="0"/>
    <xf numFmtId="0" fontId="2" fillId="0" borderId="0"/>
    <xf numFmtId="43" fontId="4" fillId="0" borderId="0" applyFont="0" applyFill="0" applyBorder="0" applyAlignment="0" applyProtection="0"/>
    <xf numFmtId="171" fontId="4" fillId="17" borderId="2">
      <alignment horizontal="right" vertical="top"/>
    </xf>
    <xf numFmtId="0" fontId="4" fillId="17" borderId="2">
      <alignment horizontal="left" indent="5"/>
    </xf>
    <xf numFmtId="171" fontId="4" fillId="17" borderId="3" applyNumberFormat="0">
      <alignment horizontal="right" vertical="top"/>
    </xf>
    <xf numFmtId="0" fontId="4" fillId="17" borderId="3">
      <alignment horizontal="left" indent="3"/>
    </xf>
    <xf numFmtId="171" fontId="5" fillId="17" borderId="3" applyNumberFormat="0">
      <alignment horizontal="right" vertical="top"/>
    </xf>
    <xf numFmtId="0" fontId="5" fillId="17" borderId="3">
      <alignment horizontal="left" indent="1"/>
    </xf>
    <xf numFmtId="0" fontId="5" fillId="17" borderId="3">
      <alignment horizontal="right" vertical="top"/>
    </xf>
    <xf numFmtId="0" fontId="5" fillId="17" borderId="3">
      <alignment horizontal="left" indent="2"/>
    </xf>
    <xf numFmtId="171" fontId="4" fillId="17" borderId="3" applyNumberFormat="0">
      <alignment horizontal="right" vertical="top"/>
    </xf>
    <xf numFmtId="0" fontId="4" fillId="17" borderId="3">
      <alignment horizontal="left" indent="3"/>
    </xf>
    <xf numFmtId="0" fontId="5" fillId="0" borderId="0"/>
    <xf numFmtId="0" fontId="5" fillId="0" borderId="0"/>
    <xf numFmtId="0" fontId="4" fillId="0" borderId="0">
      <alignment textRotation="90"/>
    </xf>
    <xf numFmtId="0" fontId="4" fillId="0" borderId="0"/>
    <xf numFmtId="0" fontId="115" fillId="17" borderId="0"/>
    <xf numFmtId="0" fontId="10" fillId="0" borderId="0"/>
    <xf numFmtId="0" fontId="5" fillId="0" borderId="0"/>
    <xf numFmtId="0" fontId="4" fillId="0" borderId="0"/>
    <xf numFmtId="171" fontId="4" fillId="17" borderId="2">
      <alignment horizontal="right" vertical="top"/>
    </xf>
    <xf numFmtId="0" fontId="4" fillId="17" borderId="2">
      <alignment horizontal="left" indent="5"/>
    </xf>
    <xf numFmtId="171" fontId="4" fillId="17" borderId="3" applyNumberFormat="0">
      <alignment horizontal="right" vertical="top"/>
    </xf>
    <xf numFmtId="0" fontId="4" fillId="17" borderId="3">
      <alignment horizontal="left" indent="3"/>
    </xf>
    <xf numFmtId="171" fontId="4" fillId="17" borderId="3" applyNumberFormat="0">
      <alignment horizontal="right" vertical="top"/>
    </xf>
    <xf numFmtId="0" fontId="4" fillId="17" borderId="3">
      <alignment horizontal="left" indent="3"/>
    </xf>
    <xf numFmtId="0" fontId="5" fillId="0" borderId="0"/>
    <xf numFmtId="0" fontId="5" fillId="0" borderId="0"/>
    <xf numFmtId="0" fontId="1" fillId="0" borderId="0"/>
    <xf numFmtId="0" fontId="1"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0" fontId="129" fillId="0" borderId="0" applyNumberFormat="0" applyFill="0" applyBorder="0" applyAlignment="0" applyProtection="0"/>
  </cellStyleXfs>
  <cellXfs count="1922">
    <xf numFmtId="0" fontId="0" fillId="0" borderId="0" xfId="0"/>
    <xf numFmtId="0" fontId="0" fillId="19" borderId="0" xfId="0" applyFill="1" applyAlignment="1">
      <alignment horizontal="center"/>
    </xf>
    <xf numFmtId="0" fontId="0" fillId="19" borderId="0" xfId="0" applyFill="1"/>
    <xf numFmtId="0" fontId="5" fillId="19" borderId="0" xfId="0" applyFont="1" applyFill="1" applyAlignment="1">
      <alignment horizontal="center"/>
    </xf>
    <xf numFmtId="0" fontId="0" fillId="19" borderId="12" xfId="0" applyFill="1" applyBorder="1"/>
    <xf numFmtId="0" fontId="0" fillId="19" borderId="13" xfId="0" applyFill="1" applyBorder="1"/>
    <xf numFmtId="0" fontId="5" fillId="19" borderId="0" xfId="0" applyFont="1" applyFill="1"/>
    <xf numFmtId="0" fontId="0" fillId="19" borderId="14" xfId="0" applyFill="1" applyBorder="1"/>
    <xf numFmtId="0" fontId="8" fillId="17" borderId="0" xfId="0" applyFont="1" applyFill="1"/>
    <xf numFmtId="0" fontId="8" fillId="0" borderId="0" xfId="0" applyFont="1"/>
    <xf numFmtId="0" fontId="8" fillId="19" borderId="0" xfId="0" applyFont="1" applyFill="1"/>
    <xf numFmtId="0" fontId="10" fillId="19" borderId="0" xfId="0" applyFont="1" applyFill="1" applyAlignment="1">
      <alignment horizontal="left"/>
    </xf>
    <xf numFmtId="0" fontId="10" fillId="19" borderId="0" xfId="0" applyFont="1" applyFill="1"/>
    <xf numFmtId="0" fontId="8" fillId="19" borderId="0" xfId="0" applyFont="1" applyFill="1" applyAlignment="1">
      <alignment horizontal="left"/>
    </xf>
    <xf numFmtId="0" fontId="10" fillId="17" borderId="0" xfId="0" applyFont="1" applyFill="1"/>
    <xf numFmtId="0" fontId="0" fillId="19" borderId="23" xfId="0" applyFill="1" applyBorder="1"/>
    <xf numFmtId="0" fontId="0" fillId="19" borderId="24" xfId="0" applyFill="1" applyBorder="1"/>
    <xf numFmtId="0" fontId="0" fillId="19" borderId="25" xfId="0" applyFill="1" applyBorder="1"/>
    <xf numFmtId="0" fontId="12" fillId="19" borderId="0" xfId="0" applyFont="1" applyFill="1"/>
    <xf numFmtId="0" fontId="13" fillId="19" borderId="0" xfId="0" applyFont="1" applyFill="1"/>
    <xf numFmtId="0" fontId="13" fillId="19" borderId="15" xfId="0" applyFont="1" applyFill="1" applyBorder="1"/>
    <xf numFmtId="0" fontId="13" fillId="17" borderId="0" xfId="0" applyFont="1" applyFill="1" applyAlignment="1">
      <alignment horizontal="center"/>
    </xf>
    <xf numFmtId="0" fontId="13" fillId="17" borderId="19" xfId="0" applyFont="1" applyFill="1" applyBorder="1"/>
    <xf numFmtId="0" fontId="12" fillId="17" borderId="0" xfId="0" applyFont="1" applyFill="1"/>
    <xf numFmtId="0" fontId="13" fillId="17" borderId="0" xfId="0" applyFont="1" applyFill="1"/>
    <xf numFmtId="0" fontId="13" fillId="17" borderId="22" xfId="0" applyFont="1" applyFill="1" applyBorder="1"/>
    <xf numFmtId="0" fontId="13" fillId="0" borderId="0" xfId="0" applyFont="1"/>
    <xf numFmtId="0" fontId="13" fillId="17" borderId="18" xfId="0" applyFont="1" applyFill="1" applyBorder="1"/>
    <xf numFmtId="0" fontId="13" fillId="17" borderId="20" xfId="0" applyFont="1" applyFill="1" applyBorder="1"/>
    <xf numFmtId="0" fontId="13" fillId="17" borderId="21" xfId="0" applyFont="1" applyFill="1" applyBorder="1"/>
    <xf numFmtId="0" fontId="12" fillId="19" borderId="23" xfId="0" applyFont="1" applyFill="1" applyBorder="1" applyAlignment="1">
      <alignment horizontal="left"/>
    </xf>
    <xf numFmtId="0" fontId="13" fillId="19" borderId="23" xfId="0" applyFont="1" applyFill="1" applyBorder="1"/>
    <xf numFmtId="0" fontId="12" fillId="20" borderId="0" xfId="0" applyFont="1" applyFill="1" applyAlignment="1">
      <alignment horizontal="center"/>
    </xf>
    <xf numFmtId="0" fontId="5" fillId="20" borderId="27" xfId="0" applyFont="1" applyFill="1" applyBorder="1" applyAlignment="1">
      <alignment horizontal="right" indent="1"/>
    </xf>
    <xf numFmtId="0" fontId="0" fillId="17" borderId="16" xfId="0" applyFill="1" applyBorder="1"/>
    <xf numFmtId="0" fontId="0" fillId="17" borderId="17" xfId="0" applyFill="1" applyBorder="1"/>
    <xf numFmtId="0" fontId="0" fillId="17" borderId="15" xfId="0" applyFill="1" applyBorder="1"/>
    <xf numFmtId="0" fontId="0" fillId="17" borderId="25" xfId="0" applyFill="1" applyBorder="1"/>
    <xf numFmtId="0" fontId="0" fillId="17" borderId="27" xfId="0" applyFill="1" applyBorder="1"/>
    <xf numFmtId="0" fontId="0" fillId="0" borderId="0" xfId="0" applyAlignment="1">
      <alignment wrapText="1"/>
    </xf>
    <xf numFmtId="0" fontId="42" fillId="0" borderId="0" xfId="0" applyFont="1"/>
    <xf numFmtId="0" fontId="36" fillId="0" borderId="0" xfId="0" applyFont="1"/>
    <xf numFmtId="0" fontId="42" fillId="0" borderId="0" xfId="0" applyFont="1" applyAlignment="1">
      <alignment horizontal="center"/>
    </xf>
    <xf numFmtId="0" fontId="36" fillId="0" borderId="0" xfId="0" applyFont="1" applyAlignment="1">
      <alignment horizontal="center"/>
    </xf>
    <xf numFmtId="0" fontId="12" fillId="20" borderId="0" xfId="0" applyFont="1" applyFill="1" applyAlignment="1">
      <alignment horizontal="center" vertical="center"/>
    </xf>
    <xf numFmtId="0" fontId="43" fillId="0" borderId="0" xfId="0" applyFont="1"/>
    <xf numFmtId="0" fontId="12" fillId="20" borderId="0" xfId="0" applyFont="1" applyFill="1"/>
    <xf numFmtId="0" fontId="13" fillId="20" borderId="0" xfId="0" applyFont="1" applyFill="1"/>
    <xf numFmtId="0" fontId="44" fillId="0" borderId="0" xfId="0" applyFont="1"/>
    <xf numFmtId="0" fontId="0" fillId="17" borderId="0" xfId="0" applyFill="1"/>
    <xf numFmtId="0" fontId="0" fillId="17" borderId="0" xfId="0" applyFill="1" applyAlignment="1">
      <alignment vertical="top" wrapText="1"/>
    </xf>
    <xf numFmtId="0" fontId="13" fillId="17" borderId="0" xfId="0" applyFont="1" applyFill="1" applyAlignment="1">
      <alignment vertical="center"/>
    </xf>
    <xf numFmtId="0" fontId="0" fillId="17" borderId="0" xfId="0" applyFill="1" applyAlignment="1">
      <alignment vertical="center"/>
    </xf>
    <xf numFmtId="0" fontId="13" fillId="17" borderId="0" xfId="0" applyFont="1" applyFill="1" applyAlignment="1">
      <alignment vertical="top" wrapText="1"/>
    </xf>
    <xf numFmtId="0" fontId="0" fillId="17" borderId="0" xfId="0" applyFill="1" applyAlignment="1">
      <alignment vertical="top"/>
    </xf>
    <xf numFmtId="3" fontId="44" fillId="17" borderId="0" xfId="0" applyNumberFormat="1" applyFont="1" applyFill="1" applyAlignment="1">
      <alignment horizontal="center" vertical="center" wrapText="1"/>
    </xf>
    <xf numFmtId="0" fontId="13" fillId="17" borderId="0" xfId="0" applyFont="1" applyFill="1" applyAlignment="1">
      <alignment vertical="top"/>
    </xf>
    <xf numFmtId="3" fontId="44" fillId="17" borderId="0" xfId="0" applyNumberFormat="1" applyFont="1" applyFill="1" applyAlignment="1">
      <alignment horizontal="center" vertical="center"/>
    </xf>
    <xf numFmtId="0" fontId="12" fillId="17" borderId="0" xfId="0" applyFont="1" applyFill="1" applyAlignment="1">
      <alignment vertical="center"/>
    </xf>
    <xf numFmtId="0" fontId="15" fillId="17" borderId="0" xfId="0" applyFont="1" applyFill="1" applyAlignment="1">
      <alignment wrapText="1"/>
    </xf>
    <xf numFmtId="0" fontId="12" fillId="17" borderId="0" xfId="0" applyFont="1" applyFill="1" applyAlignment="1">
      <alignment horizontal="center" vertical="center"/>
    </xf>
    <xf numFmtId="0" fontId="12" fillId="17" borderId="0" xfId="0" applyFont="1" applyFill="1" applyAlignment="1">
      <alignment horizontal="center" vertical="top" wrapText="1"/>
    </xf>
    <xf numFmtId="0" fontId="13" fillId="17" borderId="0" xfId="0" applyFont="1" applyFill="1" applyAlignment="1">
      <alignment horizontal="right" vertical="center" wrapText="1" indent="2"/>
    </xf>
    <xf numFmtId="3" fontId="13" fillId="17" borderId="0" xfId="0" applyNumberFormat="1" applyFont="1" applyFill="1" applyAlignment="1">
      <alignment horizontal="right" vertical="center" wrapText="1" indent="2"/>
    </xf>
    <xf numFmtId="0" fontId="0" fillId="19" borderId="26" xfId="0" applyFill="1" applyBorder="1"/>
    <xf numFmtId="0" fontId="0" fillId="19" borderId="16" xfId="0" applyFill="1" applyBorder="1"/>
    <xf numFmtId="0" fontId="0" fillId="19" borderId="17" xfId="0" applyFill="1" applyBorder="1"/>
    <xf numFmtId="0" fontId="0" fillId="19" borderId="15" xfId="0" applyFill="1" applyBorder="1"/>
    <xf numFmtId="0" fontId="0" fillId="19" borderId="27" xfId="0" applyFill="1" applyBorder="1"/>
    <xf numFmtId="0" fontId="13" fillId="19" borderId="31" xfId="0" applyFont="1" applyFill="1" applyBorder="1"/>
    <xf numFmtId="0" fontId="13" fillId="19" borderId="32" xfId="0" applyFont="1" applyFill="1" applyBorder="1"/>
    <xf numFmtId="0" fontId="13" fillId="19" borderId="0" xfId="0" applyFont="1" applyFill="1" applyAlignment="1">
      <alignment vertical="top" wrapText="1"/>
    </xf>
    <xf numFmtId="0" fontId="13" fillId="19" borderId="0" xfId="0" applyFont="1" applyFill="1" applyAlignment="1">
      <alignment horizontal="center"/>
    </xf>
    <xf numFmtId="3" fontId="13" fillId="19" borderId="0" xfId="0" applyNumberFormat="1" applyFont="1" applyFill="1" applyAlignment="1">
      <alignment horizontal="right" vertical="center" indent="1"/>
    </xf>
    <xf numFmtId="3" fontId="12" fillId="19" borderId="0" xfId="0" applyNumberFormat="1" applyFont="1" applyFill="1" applyAlignment="1">
      <alignment horizontal="right" vertical="center" indent="1"/>
    </xf>
    <xf numFmtId="3" fontId="13" fillId="19" borderId="33" xfId="0" applyNumberFormat="1" applyFont="1" applyFill="1" applyBorder="1" applyAlignment="1">
      <alignment horizontal="right" vertical="center" indent="1"/>
    </xf>
    <xf numFmtId="3" fontId="12" fillId="19" borderId="31" xfId="0" applyNumberFormat="1" applyFont="1" applyFill="1" applyBorder="1" applyAlignment="1">
      <alignment horizontal="right" vertical="center" indent="1"/>
    </xf>
    <xf numFmtId="3" fontId="13" fillId="19" borderId="31" xfId="0" applyNumberFormat="1" applyFont="1" applyFill="1" applyBorder="1" applyAlignment="1">
      <alignment horizontal="right" vertical="center" indent="1"/>
    </xf>
    <xf numFmtId="3" fontId="12" fillId="19" borderId="32" xfId="0" applyNumberFormat="1" applyFont="1" applyFill="1" applyBorder="1" applyAlignment="1">
      <alignment horizontal="right" vertical="center" indent="1"/>
    </xf>
    <xf numFmtId="3" fontId="13" fillId="19" borderId="32" xfId="0" applyNumberFormat="1" applyFont="1" applyFill="1" applyBorder="1" applyAlignment="1">
      <alignment horizontal="right" vertical="center" indent="1"/>
    </xf>
    <xf numFmtId="3" fontId="13" fillId="17" borderId="19" xfId="0" applyNumberFormat="1" applyFont="1" applyFill="1" applyBorder="1" applyAlignment="1">
      <alignment horizontal="right" vertical="center" indent="1"/>
    </xf>
    <xf numFmtId="3" fontId="13" fillId="17" borderId="0" xfId="0" applyNumberFormat="1" applyFont="1" applyFill="1" applyAlignment="1">
      <alignment horizontal="right" vertical="center" indent="1"/>
    </xf>
    <xf numFmtId="0" fontId="49" fillId="19" borderId="0" xfId="0" applyFont="1" applyFill="1" applyAlignment="1">
      <alignment horizontal="center"/>
    </xf>
    <xf numFmtId="0" fontId="34" fillId="19" borderId="0" xfId="0" applyFont="1" applyFill="1" applyAlignment="1">
      <alignment horizontal="left"/>
    </xf>
    <xf numFmtId="3" fontId="13" fillId="19" borderId="23" xfId="0" applyNumberFormat="1" applyFont="1" applyFill="1" applyBorder="1" applyAlignment="1">
      <alignment horizontal="right" vertical="center" indent="1"/>
    </xf>
    <xf numFmtId="0" fontId="8" fillId="0" borderId="0" xfId="0" applyFont="1" applyAlignment="1">
      <alignment horizontal="center"/>
    </xf>
    <xf numFmtId="0" fontId="13" fillId="19" borderId="25" xfId="0" applyFont="1" applyFill="1" applyBorder="1"/>
    <xf numFmtId="3" fontId="12" fillId="19" borderId="25" xfId="0" applyNumberFormat="1" applyFont="1" applyFill="1" applyBorder="1" applyAlignment="1">
      <alignment horizontal="right" vertical="center" indent="1"/>
    </xf>
    <xf numFmtId="3" fontId="13" fillId="19" borderId="25" xfId="0" applyNumberFormat="1" applyFont="1" applyFill="1" applyBorder="1" applyAlignment="1">
      <alignment horizontal="right" vertical="center" indent="1"/>
    </xf>
    <xf numFmtId="0" fontId="5" fillId="17" borderId="0" xfId="0" applyFont="1" applyFill="1" applyAlignment="1">
      <alignment horizontal="right" vertical="top" wrapText="1"/>
    </xf>
    <xf numFmtId="0" fontId="8" fillId="17" borderId="0" xfId="0" applyFont="1" applyFill="1" applyAlignment="1">
      <alignment horizontal="center"/>
    </xf>
    <xf numFmtId="3" fontId="8" fillId="0" borderId="0" xfId="0" applyNumberFormat="1" applyFont="1"/>
    <xf numFmtId="0" fontId="10" fillId="19" borderId="0" xfId="0" applyFont="1" applyFill="1" applyAlignment="1">
      <alignment vertical="top"/>
    </xf>
    <xf numFmtId="3" fontId="10" fillId="19" borderId="0" xfId="0" applyNumberFormat="1" applyFont="1" applyFill="1" applyAlignment="1">
      <alignment horizontal="right" vertical="center" indent="1"/>
    </xf>
    <xf numFmtId="0" fontId="47" fillId="17" borderId="0" xfId="0" applyFont="1" applyFill="1" applyAlignment="1">
      <alignment horizontal="left" vertical="top" wrapText="1" indent="1"/>
    </xf>
    <xf numFmtId="0" fontId="13" fillId="20" borderId="16" xfId="0" applyFont="1" applyFill="1" applyBorder="1"/>
    <xf numFmtId="0" fontId="13" fillId="20" borderId="17" xfId="0" applyFont="1" applyFill="1" applyBorder="1"/>
    <xf numFmtId="0" fontId="13" fillId="20" borderId="23" xfId="0" applyFont="1" applyFill="1" applyBorder="1" applyAlignment="1">
      <alignment horizontal="center" vertical="center"/>
    </xf>
    <xf numFmtId="0" fontId="13" fillId="20" borderId="15" xfId="0" applyFont="1" applyFill="1" applyBorder="1" applyAlignment="1">
      <alignment horizontal="center" vertical="center"/>
    </xf>
    <xf numFmtId="0" fontId="12" fillId="20" borderId="15" xfId="0" applyFont="1" applyFill="1" applyBorder="1" applyAlignment="1">
      <alignment horizontal="center" vertical="center"/>
    </xf>
    <xf numFmtId="0" fontId="12" fillId="20" borderId="23" xfId="0" applyFont="1" applyFill="1" applyBorder="1" applyAlignment="1">
      <alignment horizontal="center" vertical="center"/>
    </xf>
    <xf numFmtId="0" fontId="13" fillId="20" borderId="23" xfId="0" applyFont="1" applyFill="1" applyBorder="1"/>
    <xf numFmtId="0" fontId="13" fillId="20" borderId="15" xfId="0" applyFont="1" applyFill="1" applyBorder="1"/>
    <xf numFmtId="0" fontId="13" fillId="20" borderId="24" xfId="0" applyFont="1" applyFill="1" applyBorder="1"/>
    <xf numFmtId="0" fontId="13" fillId="20" borderId="25" xfId="0" applyFont="1" applyFill="1" applyBorder="1"/>
    <xf numFmtId="0" fontId="5" fillId="20" borderId="25" xfId="0" applyFont="1" applyFill="1" applyBorder="1" applyAlignment="1">
      <alignment horizontal="right"/>
    </xf>
    <xf numFmtId="0" fontId="12" fillId="21" borderId="26" xfId="0" applyFont="1" applyFill="1" applyBorder="1" applyAlignment="1">
      <alignment horizontal="left" vertical="center"/>
    </xf>
    <xf numFmtId="0" fontId="12" fillId="21" borderId="17" xfId="0" applyFont="1" applyFill="1" applyBorder="1" applyAlignment="1">
      <alignment horizontal="left" vertical="center" indent="2"/>
    </xf>
    <xf numFmtId="0" fontId="12" fillId="21" borderId="24" xfId="0" applyFont="1" applyFill="1" applyBorder="1" applyAlignment="1">
      <alignment horizontal="left" vertical="center"/>
    </xf>
    <xf numFmtId="0" fontId="12" fillId="21" borderId="27" xfId="0" applyFont="1" applyFill="1" applyBorder="1" applyAlignment="1">
      <alignment horizontal="left" vertical="center" indent="2"/>
    </xf>
    <xf numFmtId="0" fontId="0" fillId="17" borderId="23" xfId="0" applyFill="1" applyBorder="1"/>
    <xf numFmtId="0" fontId="13" fillId="17" borderId="23" xfId="0" applyFont="1" applyFill="1" applyBorder="1"/>
    <xf numFmtId="0" fontId="13" fillId="17" borderId="15" xfId="0" applyFont="1" applyFill="1" applyBorder="1"/>
    <xf numFmtId="0" fontId="36" fillId="17" borderId="23" xfId="0" applyFont="1" applyFill="1" applyBorder="1"/>
    <xf numFmtId="3" fontId="13" fillId="17" borderId="38" xfId="0" applyNumberFormat="1" applyFont="1" applyFill="1" applyBorder="1" applyAlignment="1" applyProtection="1">
      <alignment horizontal="right" vertical="center" indent="2"/>
      <protection locked="0"/>
    </xf>
    <xf numFmtId="0" fontId="0" fillId="17" borderId="15" xfId="0" applyFill="1" applyBorder="1" applyAlignment="1">
      <alignment wrapText="1"/>
    </xf>
    <xf numFmtId="3" fontId="13" fillId="17" borderId="39" xfId="0" applyNumberFormat="1" applyFont="1" applyFill="1" applyBorder="1" applyAlignment="1">
      <alignment horizontal="right" vertical="center" indent="2"/>
    </xf>
    <xf numFmtId="0" fontId="44" fillId="17" borderId="0" xfId="0" applyFont="1" applyFill="1" applyAlignment="1">
      <alignment vertical="top"/>
    </xf>
    <xf numFmtId="0" fontId="47" fillId="17" borderId="0" xfId="0" applyFont="1" applyFill="1" applyAlignment="1">
      <alignment horizontal="left" indent="1"/>
    </xf>
    <xf numFmtId="0" fontId="58" fillId="17" borderId="0" xfId="0" applyFont="1" applyFill="1" applyAlignment="1">
      <alignment horizontal="left" indent="1"/>
    </xf>
    <xf numFmtId="0" fontId="42" fillId="17" borderId="23" xfId="0" applyFont="1" applyFill="1" applyBorder="1"/>
    <xf numFmtId="0" fontId="44" fillId="17" borderId="15" xfId="0" applyFont="1" applyFill="1" applyBorder="1"/>
    <xf numFmtId="0" fontId="15" fillId="17" borderId="15" xfId="0" applyFont="1" applyFill="1" applyBorder="1"/>
    <xf numFmtId="0" fontId="12" fillId="17" borderId="15" xfId="0" applyFont="1" applyFill="1" applyBorder="1" applyAlignment="1">
      <alignment horizontal="center" vertical="center"/>
    </xf>
    <xf numFmtId="0" fontId="12" fillId="17" borderId="23" xfId="0" applyFont="1" applyFill="1" applyBorder="1" applyAlignment="1">
      <alignment horizontal="center" vertical="center"/>
    </xf>
    <xf numFmtId="0" fontId="0" fillId="20" borderId="26" xfId="0" applyFill="1" applyBorder="1"/>
    <xf numFmtId="0" fontId="0" fillId="20" borderId="16" xfId="0" applyFill="1" applyBorder="1"/>
    <xf numFmtId="0" fontId="0" fillId="20" borderId="17" xfId="0" applyFill="1" applyBorder="1"/>
    <xf numFmtId="0" fontId="0" fillId="20" borderId="24" xfId="0" applyFill="1" applyBorder="1"/>
    <xf numFmtId="0" fontId="0" fillId="20" borderId="25" xfId="0" applyFill="1" applyBorder="1"/>
    <xf numFmtId="4" fontId="13" fillId="17" borderId="0" xfId="0" applyNumberFormat="1" applyFont="1" applyFill="1" applyAlignment="1">
      <alignment horizontal="right" vertical="center" indent="2"/>
    </xf>
    <xf numFmtId="4" fontId="44" fillId="17" borderId="0" xfId="0" applyNumberFormat="1" applyFont="1" applyFill="1" applyAlignment="1">
      <alignment horizontal="center" vertical="center"/>
    </xf>
    <xf numFmtId="0" fontId="44" fillId="17" borderId="25" xfId="0" applyFont="1" applyFill="1" applyBorder="1" applyAlignment="1">
      <alignment horizontal="center" vertical="top" wrapText="1"/>
    </xf>
    <xf numFmtId="3" fontId="13" fillId="17" borderId="0" xfId="0" applyNumberFormat="1" applyFont="1" applyFill="1" applyAlignment="1">
      <alignment horizontal="right" vertical="center" indent="2"/>
    </xf>
    <xf numFmtId="1" fontId="12" fillId="17" borderId="0" xfId="0" quotePrefix="1" applyNumberFormat="1" applyFont="1" applyFill="1" applyAlignment="1">
      <alignment horizontal="center" vertical="top" wrapText="1"/>
    </xf>
    <xf numFmtId="4" fontId="13" fillId="17" borderId="0" xfId="0" applyNumberFormat="1" applyFont="1" applyFill="1" applyAlignment="1">
      <alignment horizontal="right" vertical="center" wrapText="1" indent="2"/>
    </xf>
    <xf numFmtId="0" fontId="36" fillId="17" borderId="24" xfId="0" applyFont="1" applyFill="1" applyBorder="1"/>
    <xf numFmtId="0" fontId="4" fillId="0" borderId="0" xfId="0" applyFont="1"/>
    <xf numFmtId="0" fontId="0" fillId="17" borderId="48" xfId="0" applyFill="1" applyBorder="1"/>
    <xf numFmtId="0" fontId="12" fillId="17" borderId="49" xfId="0" applyFont="1" applyFill="1" applyBorder="1"/>
    <xf numFmtId="0" fontId="13" fillId="17" borderId="49" xfId="0" applyFont="1" applyFill="1" applyBorder="1"/>
    <xf numFmtId="3" fontId="13" fillId="17" borderId="49" xfId="0" applyNumberFormat="1" applyFont="1" applyFill="1" applyBorder="1" applyAlignment="1">
      <alignment horizontal="right" vertical="center" indent="1"/>
    </xf>
    <xf numFmtId="0" fontId="0" fillId="17" borderId="50" xfId="0" applyFill="1" applyBorder="1"/>
    <xf numFmtId="0" fontId="0" fillId="17" borderId="51" xfId="0" applyFill="1" applyBorder="1"/>
    <xf numFmtId="0" fontId="12" fillId="17" borderId="52" xfId="0" applyFont="1" applyFill="1" applyBorder="1"/>
    <xf numFmtId="0" fontId="13" fillId="17" borderId="52" xfId="0" applyFont="1" applyFill="1" applyBorder="1"/>
    <xf numFmtId="0" fontId="13" fillId="19" borderId="24" xfId="0" applyFont="1" applyFill="1" applyBorder="1"/>
    <xf numFmtId="0" fontId="13" fillId="19" borderId="27" xfId="0" applyFont="1" applyFill="1" applyBorder="1"/>
    <xf numFmtId="3" fontId="15" fillId="17" borderId="0" xfId="33" applyNumberFormat="1" applyFont="1" applyFill="1" applyBorder="1" applyAlignment="1">
      <alignment horizontal="right" vertical="center"/>
    </xf>
    <xf numFmtId="3" fontId="44" fillId="17" borderId="0" xfId="0" applyNumberFormat="1" applyFont="1" applyFill="1" applyAlignment="1">
      <alignment horizontal="center" vertical="top" wrapText="1"/>
    </xf>
    <xf numFmtId="0" fontId="59" fillId="0" borderId="0" xfId="0" applyFont="1" applyAlignment="1">
      <alignment horizontal="center"/>
    </xf>
    <xf numFmtId="3" fontId="44" fillId="0" borderId="0" xfId="0" applyNumberFormat="1" applyFont="1" applyAlignment="1">
      <alignment horizontal="center" vertical="center"/>
    </xf>
    <xf numFmtId="0" fontId="26" fillId="17" borderId="0" xfId="41" applyFill="1" applyBorder="1" applyAlignment="1" applyProtection="1">
      <alignment horizontal="center" vertical="center" wrapText="1"/>
    </xf>
    <xf numFmtId="0" fontId="63" fillId="0" borderId="0" xfId="41" quotePrefix="1" applyNumberFormat="1" applyFont="1" applyFill="1" applyBorder="1" applyAlignment="1" applyProtection="1">
      <alignment horizontal="left" vertical="top" wrapText="1"/>
    </xf>
    <xf numFmtId="0" fontId="26" fillId="17" borderId="0" xfId="41" applyFill="1" applyBorder="1" applyAlignment="1" applyProtection="1">
      <alignment vertical="center" wrapText="1"/>
    </xf>
    <xf numFmtId="0" fontId="37" fillId="20" borderId="23" xfId="0" applyFont="1" applyFill="1" applyBorder="1"/>
    <xf numFmtId="0" fontId="37" fillId="20" borderId="0" xfId="0" applyFont="1" applyFill="1"/>
    <xf numFmtId="0" fontId="37" fillId="20" borderId="15" xfId="0" applyFont="1" applyFill="1" applyBorder="1"/>
    <xf numFmtId="3" fontId="0" fillId="0" borderId="0" xfId="0" applyNumberFormat="1"/>
    <xf numFmtId="0" fontId="8" fillId="20" borderId="0" xfId="0" applyFont="1" applyFill="1" applyAlignment="1">
      <alignment horizontal="center"/>
    </xf>
    <xf numFmtId="0" fontId="44" fillId="17" borderId="0" xfId="0" applyFont="1" applyFill="1" applyAlignment="1">
      <alignment horizontal="center" vertical="top" wrapText="1"/>
    </xf>
    <xf numFmtId="0" fontId="6" fillId="17" borderId="0" xfId="0" applyFont="1" applyFill="1" applyAlignment="1">
      <alignment vertical="top"/>
    </xf>
    <xf numFmtId="3" fontId="64" fillId="17" borderId="0" xfId="41" applyNumberFormat="1" applyFont="1" applyFill="1" applyBorder="1" applyAlignment="1" applyProtection="1">
      <alignment vertical="top"/>
    </xf>
    <xf numFmtId="3" fontId="13" fillId="0" borderId="38" xfId="0" applyNumberFormat="1" applyFont="1" applyBorder="1" applyAlignment="1" applyProtection="1">
      <alignment horizontal="right" vertical="center" indent="2"/>
      <protection locked="0"/>
    </xf>
    <xf numFmtId="3" fontId="44" fillId="17" borderId="0" xfId="0" applyNumberFormat="1" applyFont="1" applyFill="1" applyAlignment="1">
      <alignment horizontal="right" vertical="center" wrapText="1"/>
    </xf>
    <xf numFmtId="0" fontId="13" fillId="19" borderId="18" xfId="0" applyFont="1" applyFill="1" applyBorder="1"/>
    <xf numFmtId="0" fontId="13" fillId="19" borderId="19" xfId="0" applyFont="1" applyFill="1" applyBorder="1" applyAlignment="1">
      <alignment wrapText="1"/>
    </xf>
    <xf numFmtId="3" fontId="12" fillId="19" borderId="19" xfId="0" applyNumberFormat="1" applyFont="1" applyFill="1" applyBorder="1" applyAlignment="1">
      <alignment horizontal="right" vertical="center" indent="1"/>
    </xf>
    <xf numFmtId="0" fontId="13" fillId="19" borderId="20" xfId="0" applyFont="1" applyFill="1" applyBorder="1"/>
    <xf numFmtId="0" fontId="12" fillId="19" borderId="20" xfId="0" applyFont="1" applyFill="1" applyBorder="1"/>
    <xf numFmtId="0" fontId="13" fillId="19" borderId="22" xfId="0" applyFont="1" applyFill="1" applyBorder="1"/>
    <xf numFmtId="3" fontId="13" fillId="19" borderId="22" xfId="0" applyNumberFormat="1" applyFont="1" applyFill="1" applyBorder="1" applyAlignment="1">
      <alignment horizontal="right" vertical="center" indent="1"/>
    </xf>
    <xf numFmtId="3" fontId="13" fillId="24" borderId="0" xfId="0" applyNumberFormat="1" applyFont="1" applyFill="1" applyAlignment="1">
      <alignment horizontal="right" vertical="center" indent="1"/>
    </xf>
    <xf numFmtId="3" fontId="12" fillId="24" borderId="0" xfId="0" applyNumberFormat="1" applyFont="1" applyFill="1" applyAlignment="1">
      <alignment horizontal="right" vertical="center" indent="1"/>
    </xf>
    <xf numFmtId="3" fontId="12" fillId="24" borderId="19" xfId="0" applyNumberFormat="1" applyFont="1" applyFill="1" applyBorder="1" applyAlignment="1">
      <alignment horizontal="right" vertical="center" indent="1"/>
    </xf>
    <xf numFmtId="3" fontId="13" fillId="24" borderId="19" xfId="0" applyNumberFormat="1" applyFont="1" applyFill="1" applyBorder="1" applyAlignment="1">
      <alignment horizontal="right" vertical="center" indent="1"/>
    </xf>
    <xf numFmtId="3" fontId="13" fillId="24" borderId="22" xfId="0" applyNumberFormat="1" applyFont="1" applyFill="1" applyBorder="1" applyAlignment="1">
      <alignment horizontal="right" vertical="center" indent="1"/>
    </xf>
    <xf numFmtId="0" fontId="0" fillId="24" borderId="0" xfId="0" applyFill="1"/>
    <xf numFmtId="3" fontId="12" fillId="24" borderId="31" xfId="0" applyNumberFormat="1" applyFont="1" applyFill="1" applyBorder="1" applyAlignment="1">
      <alignment horizontal="right" vertical="center" indent="1"/>
    </xf>
    <xf numFmtId="3" fontId="13" fillId="24" borderId="31" xfId="0" applyNumberFormat="1" applyFont="1" applyFill="1" applyBorder="1" applyAlignment="1">
      <alignment horizontal="right" vertical="center" indent="1"/>
    </xf>
    <xf numFmtId="3" fontId="12" fillId="24" borderId="32" xfId="0" applyNumberFormat="1" applyFont="1" applyFill="1" applyBorder="1" applyAlignment="1">
      <alignment horizontal="right" vertical="center" indent="1"/>
    </xf>
    <xf numFmtId="3" fontId="13" fillId="24" borderId="32" xfId="0" applyNumberFormat="1" applyFont="1" applyFill="1" applyBorder="1" applyAlignment="1">
      <alignment horizontal="right" vertical="center" indent="1"/>
    </xf>
    <xf numFmtId="3" fontId="12" fillId="24" borderId="25" xfId="0" applyNumberFormat="1" applyFont="1" applyFill="1" applyBorder="1" applyAlignment="1">
      <alignment horizontal="right" vertical="center" indent="1"/>
    </xf>
    <xf numFmtId="3" fontId="13" fillId="24" borderId="25" xfId="0" applyNumberFormat="1" applyFont="1" applyFill="1" applyBorder="1" applyAlignment="1">
      <alignment horizontal="right" vertical="center" indent="1"/>
    </xf>
    <xf numFmtId="0" fontId="13" fillId="24" borderId="0" xfId="0" applyFont="1" applyFill="1"/>
    <xf numFmtId="0" fontId="69" fillId="19" borderId="0" xfId="0" applyFont="1" applyFill="1"/>
    <xf numFmtId="0" fontId="13" fillId="24" borderId="0" xfId="0" applyFont="1" applyFill="1" applyAlignment="1">
      <alignment horizontal="center"/>
    </xf>
    <xf numFmtId="0" fontId="13" fillId="24" borderId="59" xfId="0" applyFont="1" applyFill="1" applyBorder="1" applyAlignment="1">
      <alignment horizontal="center"/>
    </xf>
    <xf numFmtId="0" fontId="13" fillId="24" borderId="60" xfId="0" applyFont="1" applyFill="1" applyBorder="1"/>
    <xf numFmtId="0" fontId="13" fillId="24" borderId="61" xfId="0" applyFont="1" applyFill="1" applyBorder="1"/>
    <xf numFmtId="0" fontId="13" fillId="24" borderId="59" xfId="0" applyFont="1" applyFill="1" applyBorder="1"/>
    <xf numFmtId="0" fontId="0" fillId="24" borderId="59" xfId="0" applyFill="1" applyBorder="1"/>
    <xf numFmtId="0" fontId="0" fillId="24" borderId="60" xfId="0" applyFill="1" applyBorder="1"/>
    <xf numFmtId="0" fontId="0" fillId="24" borderId="61" xfId="0" applyFill="1" applyBorder="1"/>
    <xf numFmtId="0" fontId="0" fillId="24" borderId="62" xfId="0" applyFill="1" applyBorder="1"/>
    <xf numFmtId="0" fontId="0" fillId="24" borderId="63" xfId="0" applyFill="1" applyBorder="1"/>
    <xf numFmtId="0" fontId="0" fillId="24" borderId="64" xfId="0" applyFill="1" applyBorder="1"/>
    <xf numFmtId="0" fontId="0" fillId="24" borderId="25" xfId="0" applyFill="1" applyBorder="1"/>
    <xf numFmtId="0" fontId="0" fillId="24" borderId="16" xfId="0" applyFill="1" applyBorder="1"/>
    <xf numFmtId="0" fontId="13" fillId="24" borderId="22" xfId="0" applyFont="1" applyFill="1" applyBorder="1"/>
    <xf numFmtId="0" fontId="13" fillId="19" borderId="74" xfId="0" applyFont="1" applyFill="1" applyBorder="1"/>
    <xf numFmtId="3" fontId="13" fillId="19" borderId="75" xfId="0" applyNumberFormat="1" applyFont="1" applyFill="1" applyBorder="1" applyAlignment="1">
      <alignment horizontal="right" vertical="center" indent="1"/>
    </xf>
    <xf numFmtId="3" fontId="13" fillId="19" borderId="76" xfId="0" applyNumberFormat="1" applyFont="1" applyFill="1" applyBorder="1" applyAlignment="1">
      <alignment horizontal="right" vertical="center" indent="1"/>
    </xf>
    <xf numFmtId="3" fontId="13" fillId="24" borderId="75" xfId="0" applyNumberFormat="1" applyFont="1" applyFill="1" applyBorder="1" applyAlignment="1">
      <alignment horizontal="right" vertical="center" indent="1"/>
    </xf>
    <xf numFmtId="0" fontId="0" fillId="24" borderId="77" xfId="0" applyFill="1" applyBorder="1"/>
    <xf numFmtId="0" fontId="13" fillId="19" borderId="78" xfId="0" applyFont="1" applyFill="1" applyBorder="1"/>
    <xf numFmtId="0" fontId="0" fillId="24" borderId="79" xfId="0" applyFill="1" applyBorder="1"/>
    <xf numFmtId="0" fontId="13" fillId="19" borderId="80" xfId="0" applyFont="1" applyFill="1" applyBorder="1"/>
    <xf numFmtId="3" fontId="12" fillId="19" borderId="81" xfId="0" applyNumberFormat="1" applyFont="1" applyFill="1" applyBorder="1" applyAlignment="1">
      <alignment horizontal="right" vertical="center" indent="1"/>
    </xf>
    <xf numFmtId="3" fontId="13" fillId="19" borderId="82" xfId="0" applyNumberFormat="1" applyFont="1" applyFill="1" applyBorder="1" applyAlignment="1">
      <alignment horizontal="right" vertical="center" indent="1"/>
    </xf>
    <xf numFmtId="3" fontId="13" fillId="24" borderId="81" xfId="0" applyNumberFormat="1" applyFont="1" applyFill="1" applyBorder="1" applyAlignment="1">
      <alignment horizontal="right" vertical="center" indent="1"/>
    </xf>
    <xf numFmtId="3" fontId="12" fillId="24" borderId="81" xfId="0" applyNumberFormat="1" applyFont="1" applyFill="1" applyBorder="1" applyAlignment="1">
      <alignment horizontal="right" vertical="center" indent="1"/>
    </xf>
    <xf numFmtId="0" fontId="0" fillId="24" borderId="83" xfId="0" applyFill="1" applyBorder="1"/>
    <xf numFmtId="0" fontId="13" fillId="19" borderId="84" xfId="0" applyFont="1" applyFill="1" applyBorder="1"/>
    <xf numFmtId="3" fontId="13" fillId="19" borderId="85" xfId="0" applyNumberFormat="1" applyFont="1" applyFill="1" applyBorder="1" applyAlignment="1">
      <alignment horizontal="right" vertical="center" indent="1"/>
    </xf>
    <xf numFmtId="3" fontId="13" fillId="19" borderId="86" xfId="0" applyNumberFormat="1" applyFont="1" applyFill="1" applyBorder="1" applyAlignment="1">
      <alignment horizontal="right" vertical="center" indent="1"/>
    </xf>
    <xf numFmtId="3" fontId="13" fillId="24" borderId="85" xfId="0" applyNumberFormat="1" applyFont="1" applyFill="1" applyBorder="1" applyAlignment="1">
      <alignment horizontal="right" vertical="center" indent="1"/>
    </xf>
    <xf numFmtId="0" fontId="0" fillId="24" borderId="87" xfId="0" applyFill="1" applyBorder="1"/>
    <xf numFmtId="0" fontId="13" fillId="19" borderId="88" xfId="0" applyFont="1" applyFill="1" applyBorder="1"/>
    <xf numFmtId="0" fontId="0" fillId="24" borderId="89" xfId="0" applyFill="1" applyBorder="1"/>
    <xf numFmtId="0" fontId="13" fillId="19" borderId="90" xfId="0" applyFont="1" applyFill="1" applyBorder="1"/>
    <xf numFmtId="3" fontId="12" fillId="19" borderId="91" xfId="0" applyNumberFormat="1" applyFont="1" applyFill="1" applyBorder="1" applyAlignment="1">
      <alignment horizontal="right" vertical="center" indent="1"/>
    </xf>
    <xf numFmtId="3" fontId="13" fillId="19" borderId="92" xfId="0" applyNumberFormat="1" applyFont="1" applyFill="1" applyBorder="1" applyAlignment="1">
      <alignment horizontal="right" vertical="center" indent="1"/>
    </xf>
    <xf numFmtId="3" fontId="13" fillId="24" borderId="91" xfId="0" applyNumberFormat="1" applyFont="1" applyFill="1" applyBorder="1" applyAlignment="1">
      <alignment horizontal="right" vertical="center" indent="1"/>
    </xf>
    <xf numFmtId="3" fontId="12" fillId="24" borderId="91" xfId="0" applyNumberFormat="1" applyFont="1" applyFill="1" applyBorder="1" applyAlignment="1">
      <alignment horizontal="right" vertical="center" indent="1"/>
    </xf>
    <xf numFmtId="0" fontId="0" fillId="24" borderId="93" xfId="0" applyFill="1" applyBorder="1"/>
    <xf numFmtId="3" fontId="12" fillId="19" borderId="85" xfId="0" applyNumberFormat="1" applyFont="1" applyFill="1" applyBorder="1" applyAlignment="1">
      <alignment horizontal="right" vertical="center" indent="1"/>
    </xf>
    <xf numFmtId="3" fontId="12" fillId="24" borderId="85" xfId="0" applyNumberFormat="1" applyFont="1" applyFill="1" applyBorder="1" applyAlignment="1">
      <alignment horizontal="right" vertical="center" indent="1"/>
    </xf>
    <xf numFmtId="0" fontId="12" fillId="19" borderId="0" xfId="0" applyFont="1" applyFill="1" applyAlignment="1">
      <alignment horizontal="center" vertical="center"/>
    </xf>
    <xf numFmtId="0" fontId="14" fillId="17" borderId="0" xfId="0" applyFont="1" applyFill="1" applyAlignment="1">
      <alignment horizontal="left" vertical="center"/>
    </xf>
    <xf numFmtId="3" fontId="69" fillId="19" borderId="0" xfId="0" applyNumberFormat="1" applyFont="1" applyFill="1" applyAlignment="1">
      <alignment horizontal="left" vertical="center" indent="1"/>
    </xf>
    <xf numFmtId="0" fontId="73" fillId="0" borderId="0" xfId="0" applyFont="1"/>
    <xf numFmtId="0" fontId="13" fillId="25" borderId="0" xfId="0" applyFont="1" applyFill="1"/>
    <xf numFmtId="0" fontId="13" fillId="25" borderId="0" xfId="0" applyFont="1" applyFill="1" applyAlignment="1">
      <alignment horizontal="center"/>
    </xf>
    <xf numFmtId="0" fontId="13" fillId="25" borderId="0" xfId="0" applyFont="1" applyFill="1" applyAlignment="1">
      <alignment vertical="center"/>
    </xf>
    <xf numFmtId="0" fontId="13" fillId="25" borderId="23" xfId="0" applyFont="1" applyFill="1" applyBorder="1"/>
    <xf numFmtId="0" fontId="5" fillId="25" borderId="0" xfId="0" applyFont="1" applyFill="1" applyAlignment="1">
      <alignment horizontal="center" vertical="center" wrapText="1"/>
    </xf>
    <xf numFmtId="0" fontId="5" fillId="25" borderId="0" xfId="0" quotePrefix="1" applyFont="1" applyFill="1" applyAlignment="1">
      <alignment horizontal="center" vertical="center" wrapText="1"/>
    </xf>
    <xf numFmtId="0" fontId="61" fillId="25" borderId="0" xfId="0" applyFont="1" applyFill="1" applyAlignment="1">
      <alignment horizontal="center" vertical="center"/>
    </xf>
    <xf numFmtId="0" fontId="0" fillId="25" borderId="0" xfId="0" applyFill="1" applyAlignment="1">
      <alignment horizontal="center" vertical="center"/>
    </xf>
    <xf numFmtId="3" fontId="0" fillId="25" borderId="0" xfId="0" applyNumberFormat="1" applyFill="1" applyAlignment="1">
      <alignment vertical="center"/>
    </xf>
    <xf numFmtId="0" fontId="74" fillId="0" borderId="0" xfId="0" applyFont="1"/>
    <xf numFmtId="0" fontId="4" fillId="19" borderId="0" xfId="0" applyFont="1" applyFill="1"/>
    <xf numFmtId="0" fontId="74" fillId="0" borderId="0" xfId="0" applyFont="1" applyAlignment="1">
      <alignment horizontal="center"/>
    </xf>
    <xf numFmtId="0" fontId="75" fillId="0" borderId="0" xfId="0" applyFont="1"/>
    <xf numFmtId="3" fontId="74" fillId="23" borderId="57" xfId="0" applyNumberFormat="1" applyFont="1" applyFill="1" applyBorder="1" applyAlignment="1">
      <alignment horizontal="center"/>
    </xf>
    <xf numFmtId="0" fontId="8" fillId="23" borderId="57" xfId="0" applyFont="1" applyFill="1" applyBorder="1"/>
    <xf numFmtId="3" fontId="8" fillId="23" borderId="57" xfId="0" applyNumberFormat="1" applyFont="1" applyFill="1" applyBorder="1"/>
    <xf numFmtId="0" fontId="74" fillId="23" borderId="3" xfId="0" applyFont="1" applyFill="1" applyBorder="1" applyAlignment="1">
      <alignment horizontal="center"/>
    </xf>
    <xf numFmtId="3" fontId="74" fillId="23" borderId="58" xfId="0" applyNumberFormat="1" applyFont="1" applyFill="1" applyBorder="1" applyAlignment="1">
      <alignment horizontal="center"/>
    </xf>
    <xf numFmtId="0" fontId="74" fillId="0" borderId="0" xfId="0" applyFont="1" applyAlignment="1">
      <alignment horizontal="center" vertical="center"/>
    </xf>
    <xf numFmtId="0" fontId="74" fillId="23" borderId="56" xfId="0" applyFont="1" applyFill="1" applyBorder="1" applyAlignment="1">
      <alignment horizontal="center" vertical="center"/>
    </xf>
    <xf numFmtId="0" fontId="74" fillId="23" borderId="57" xfId="0" applyFont="1" applyFill="1" applyBorder="1" applyAlignment="1">
      <alignment horizontal="center" vertical="center"/>
    </xf>
    <xf numFmtId="3" fontId="74" fillId="23" borderId="57" xfId="0" applyNumberFormat="1" applyFont="1" applyFill="1" applyBorder="1" applyAlignment="1">
      <alignment horizontal="center" vertical="center"/>
    </xf>
    <xf numFmtId="3" fontId="74" fillId="23" borderId="3" xfId="0" applyNumberFormat="1" applyFont="1" applyFill="1" applyBorder="1" applyAlignment="1">
      <alignment horizontal="center" vertical="center"/>
    </xf>
    <xf numFmtId="0" fontId="78" fillId="25" borderId="0" xfId="0" applyFont="1" applyFill="1"/>
    <xf numFmtId="0" fontId="67" fillId="25" borderId="15" xfId="0" applyFont="1" applyFill="1" applyBorder="1" applyAlignment="1">
      <alignment horizontal="center" vertical="top"/>
    </xf>
    <xf numFmtId="0" fontId="76" fillId="25" borderId="0" xfId="0" applyFont="1" applyFill="1" applyAlignment="1">
      <alignment horizontal="center" vertical="top"/>
    </xf>
    <xf numFmtId="0" fontId="8" fillId="25" borderId="0" xfId="0" applyFont="1" applyFill="1" applyAlignment="1">
      <alignment horizontal="left" vertical="top"/>
    </xf>
    <xf numFmtId="0" fontId="10" fillId="25" borderId="0" xfId="0" applyFont="1" applyFill="1" applyAlignment="1">
      <alignment horizontal="left" vertical="top"/>
    </xf>
    <xf numFmtId="0" fontId="76" fillId="25" borderId="0" xfId="0" applyFont="1" applyFill="1" applyAlignment="1">
      <alignment horizontal="left" vertical="top"/>
    </xf>
    <xf numFmtId="0" fontId="0" fillId="25" borderId="0" xfId="0" applyFill="1"/>
    <xf numFmtId="0" fontId="13" fillId="25" borderId="26" xfId="0" applyFont="1" applyFill="1" applyBorder="1"/>
    <xf numFmtId="0" fontId="13" fillId="25" borderId="16" xfId="0" applyFont="1" applyFill="1" applyBorder="1"/>
    <xf numFmtId="0" fontId="13" fillId="25" borderId="16" xfId="0" applyFont="1" applyFill="1" applyBorder="1" applyAlignment="1">
      <alignment horizontal="center"/>
    </xf>
    <xf numFmtId="0" fontId="13" fillId="25" borderId="17" xfId="0" applyFont="1" applyFill="1" applyBorder="1"/>
    <xf numFmtId="0" fontId="8" fillId="25" borderId="0" xfId="45" applyFont="1" applyFill="1"/>
    <xf numFmtId="0" fontId="8" fillId="25" borderId="23" xfId="45" applyFont="1" applyFill="1" applyBorder="1"/>
    <xf numFmtId="0" fontId="8" fillId="25" borderId="0" xfId="45" applyFont="1" applyFill="1" applyAlignment="1">
      <alignment horizontal="center"/>
    </xf>
    <xf numFmtId="0" fontId="8" fillId="25" borderId="15" xfId="45" applyFont="1" applyFill="1" applyBorder="1"/>
    <xf numFmtId="0" fontId="5" fillId="25" borderId="0" xfId="45" applyFont="1" applyFill="1" applyAlignment="1">
      <alignment horizontal="center" vertical="center" wrapText="1"/>
    </xf>
    <xf numFmtId="0" fontId="5" fillId="25" borderId="0" xfId="45" quotePrefix="1" applyFont="1" applyFill="1" applyAlignment="1">
      <alignment horizontal="center" vertical="center" wrapText="1"/>
    </xf>
    <xf numFmtId="0" fontId="10" fillId="25" borderId="0" xfId="45" applyFont="1" applyFill="1" applyAlignment="1">
      <alignment horizontal="left"/>
    </xf>
    <xf numFmtId="0" fontId="61" fillId="25" borderId="0" xfId="45" applyFont="1" applyFill="1" applyAlignment="1">
      <alignment horizontal="center" vertical="center"/>
    </xf>
    <xf numFmtId="0" fontId="4" fillId="25" borderId="0" xfId="45" applyFill="1" applyAlignment="1">
      <alignment horizontal="center" vertical="center"/>
    </xf>
    <xf numFmtId="3" fontId="4" fillId="25" borderId="0" xfId="45" applyNumberFormat="1" applyFill="1" applyAlignment="1">
      <alignment vertical="center"/>
    </xf>
    <xf numFmtId="0" fontId="8" fillId="25" borderId="0" xfId="45" applyFont="1" applyFill="1" applyAlignment="1">
      <alignment horizontal="left"/>
    </xf>
    <xf numFmtId="0" fontId="10" fillId="0" borderId="0" xfId="45" applyFont="1" applyAlignment="1">
      <alignment horizontal="center"/>
    </xf>
    <xf numFmtId="0" fontId="10" fillId="25" borderId="0" xfId="45" applyFont="1" applyFill="1" applyAlignment="1">
      <alignment horizontal="right"/>
    </xf>
    <xf numFmtId="0" fontId="8" fillId="0" borderId="0" xfId="45" applyFont="1" applyAlignment="1">
      <alignment horizontal="center"/>
    </xf>
    <xf numFmtId="0" fontId="8" fillId="25" borderId="0" xfId="45" applyFont="1" applyFill="1" applyAlignment="1">
      <alignment horizontal="center" vertical="top"/>
    </xf>
    <xf numFmtId="0" fontId="8" fillId="25" borderId="0" xfId="45" applyFont="1" applyFill="1" applyAlignment="1">
      <alignment horizontal="left" vertical="top"/>
    </xf>
    <xf numFmtId="3" fontId="8" fillId="25" borderId="0" xfId="45" applyNumberFormat="1" applyFont="1" applyFill="1" applyAlignment="1">
      <alignment vertical="top"/>
    </xf>
    <xf numFmtId="9" fontId="8" fillId="25" borderId="0" xfId="48" applyFont="1" applyFill="1" applyBorder="1" applyAlignment="1">
      <alignment horizontal="right" vertical="top"/>
    </xf>
    <xf numFmtId="9" fontId="8" fillId="25" borderId="0" xfId="48" applyFont="1" applyFill="1" applyBorder="1" applyAlignment="1">
      <alignment vertical="top"/>
    </xf>
    <xf numFmtId="3" fontId="8" fillId="25" borderId="0" xfId="45" applyNumberFormat="1" applyFont="1" applyFill="1" applyAlignment="1">
      <alignment horizontal="right" vertical="top"/>
    </xf>
    <xf numFmtId="0" fontId="76" fillId="25" borderId="0" xfId="45" applyFont="1" applyFill="1" applyAlignment="1">
      <alignment horizontal="center" vertical="top"/>
    </xf>
    <xf numFmtId="0" fontId="76" fillId="25" borderId="0" xfId="45" applyFont="1" applyFill="1" applyAlignment="1">
      <alignment horizontal="left" vertical="top"/>
    </xf>
    <xf numFmtId="0" fontId="10" fillId="25" borderId="0" xfId="45" applyFont="1" applyFill="1" applyAlignment="1">
      <alignment horizontal="left" vertical="top"/>
    </xf>
    <xf numFmtId="0" fontId="8" fillId="25" borderId="15" xfId="45" applyFont="1" applyFill="1" applyBorder="1" applyAlignment="1">
      <alignment vertical="top"/>
    </xf>
    <xf numFmtId="0" fontId="68" fillId="25" borderId="0" xfId="45" applyFont="1" applyFill="1"/>
    <xf numFmtId="0" fontId="8" fillId="25" borderId="0" xfId="45" applyFont="1" applyFill="1" applyAlignment="1">
      <alignment vertical="top"/>
    </xf>
    <xf numFmtId="0" fontId="8" fillId="25" borderId="0" xfId="45" applyFont="1" applyFill="1" applyAlignment="1">
      <alignment horizontal="right" vertical="top"/>
    </xf>
    <xf numFmtId="3" fontId="8" fillId="25" borderId="0" xfId="45" applyNumberFormat="1" applyFont="1" applyFill="1"/>
    <xf numFmtId="0" fontId="8" fillId="25" borderId="25" xfId="45" applyFont="1" applyFill="1" applyBorder="1"/>
    <xf numFmtId="0" fontId="8" fillId="25" borderId="25" xfId="45" applyFont="1" applyFill="1" applyBorder="1" applyAlignment="1">
      <alignment horizontal="center"/>
    </xf>
    <xf numFmtId="0" fontId="8" fillId="25" borderId="24" xfId="45" applyFont="1" applyFill="1" applyBorder="1"/>
    <xf numFmtId="0" fontId="8" fillId="25" borderId="27" xfId="45" applyFont="1" applyFill="1" applyBorder="1"/>
    <xf numFmtId="0" fontId="10" fillId="17" borderId="0" xfId="0" applyFont="1" applyFill="1" applyAlignment="1">
      <alignment vertical="center"/>
    </xf>
    <xf numFmtId="0" fontId="8" fillId="17" borderId="0" xfId="0" applyFont="1" applyFill="1" applyAlignment="1">
      <alignment vertical="top"/>
    </xf>
    <xf numFmtId="0" fontId="4" fillId="17" borderId="23" xfId="0" applyFont="1" applyFill="1" applyBorder="1"/>
    <xf numFmtId="0" fontId="53" fillId="17" borderId="0" xfId="0" applyFont="1" applyFill="1" applyAlignment="1">
      <alignment horizontal="left" indent="1"/>
    </xf>
    <xf numFmtId="0" fontId="4" fillId="17" borderId="0" xfId="0" applyFont="1" applyFill="1" applyAlignment="1">
      <alignment vertical="top"/>
    </xf>
    <xf numFmtId="0" fontId="4" fillId="17" borderId="15" xfId="0" applyFont="1" applyFill="1" applyBorder="1"/>
    <xf numFmtId="0" fontId="8" fillId="25" borderId="0" xfId="45" applyFont="1" applyFill="1" applyAlignment="1">
      <alignment vertical="top" wrapText="1"/>
    </xf>
    <xf numFmtId="0" fontId="8" fillId="25" borderId="23" xfId="45" applyFont="1" applyFill="1" applyBorder="1" applyAlignment="1">
      <alignment horizontal="center" vertical="top"/>
    </xf>
    <xf numFmtId="0" fontId="12" fillId="19" borderId="0" xfId="0" applyFont="1" applyFill="1" applyAlignment="1">
      <alignment horizontal="left"/>
    </xf>
    <xf numFmtId="0" fontId="12" fillId="19" borderId="0" xfId="0" applyFont="1" applyFill="1" applyAlignment="1">
      <alignment horizontal="center"/>
    </xf>
    <xf numFmtId="3" fontId="14" fillId="17" borderId="0" xfId="33" applyNumberFormat="1" applyFont="1" applyFill="1" applyBorder="1" applyAlignment="1">
      <alignment horizontal="right" vertical="center" wrapText="1"/>
    </xf>
    <xf numFmtId="0" fontId="8" fillId="25" borderId="0" xfId="45" applyFont="1" applyFill="1" applyAlignment="1">
      <alignment horizontal="left" vertical="center"/>
    </xf>
    <xf numFmtId="3" fontId="8" fillId="25" borderId="0" xfId="45" applyNumberFormat="1" applyFont="1" applyFill="1" applyAlignment="1">
      <alignment vertical="center"/>
    </xf>
    <xf numFmtId="9" fontId="8" fillId="25" borderId="0" xfId="48" applyFont="1" applyFill="1" applyBorder="1" applyAlignment="1">
      <alignment horizontal="right" vertical="center"/>
    </xf>
    <xf numFmtId="9" fontId="8" fillId="25" borderId="0" xfId="48" applyFont="1" applyFill="1" applyBorder="1" applyAlignment="1">
      <alignment vertical="center"/>
    </xf>
    <xf numFmtId="0" fontId="8" fillId="25" borderId="41" xfId="45" applyFont="1" applyFill="1" applyBorder="1" applyAlignment="1">
      <alignment horizontal="center" vertical="center"/>
    </xf>
    <xf numFmtId="3" fontId="8" fillId="25" borderId="0" xfId="45" applyNumberFormat="1" applyFont="1" applyFill="1" applyAlignment="1">
      <alignment horizontal="right" vertical="center"/>
    </xf>
    <xf numFmtId="3" fontId="13" fillId="24" borderId="0" xfId="0" applyNumberFormat="1" applyFont="1" applyFill="1" applyAlignment="1">
      <alignment horizontal="center" vertical="center"/>
    </xf>
    <xf numFmtId="0" fontId="8" fillId="25" borderId="0" xfId="0" applyFont="1" applyFill="1" applyAlignment="1">
      <alignment horizontal="right"/>
    </xf>
    <xf numFmtId="0" fontId="10" fillId="25" borderId="0" xfId="0" applyFont="1" applyFill="1"/>
    <xf numFmtId="3" fontId="13" fillId="17" borderId="18" xfId="0" applyNumberFormat="1" applyFont="1" applyFill="1" applyBorder="1" applyAlignment="1">
      <alignment horizontal="right" vertical="center" indent="1"/>
    </xf>
    <xf numFmtId="3" fontId="13" fillId="17" borderId="20" xfId="0" applyNumberFormat="1" applyFont="1" applyFill="1" applyBorder="1" applyAlignment="1">
      <alignment horizontal="right" vertical="center" indent="1"/>
    </xf>
    <xf numFmtId="0" fontId="13" fillId="0" borderId="20" xfId="0" applyFont="1" applyBorder="1"/>
    <xf numFmtId="3" fontId="13" fillId="24" borderId="95" xfId="0" applyNumberFormat="1" applyFont="1" applyFill="1" applyBorder="1" applyAlignment="1">
      <alignment horizontal="right" vertical="center" indent="1"/>
    </xf>
    <xf numFmtId="3" fontId="13" fillId="24" borderId="94" xfId="0" applyNumberFormat="1" applyFont="1" applyFill="1" applyBorder="1" applyAlignment="1">
      <alignment horizontal="center" vertical="top"/>
    </xf>
    <xf numFmtId="3" fontId="13" fillId="24" borderId="96" xfId="0" applyNumberFormat="1" applyFont="1" applyFill="1" applyBorder="1" applyAlignment="1">
      <alignment horizontal="right" vertical="center" indent="1"/>
    </xf>
    <xf numFmtId="3" fontId="12" fillId="19" borderId="97" xfId="0" applyNumberFormat="1" applyFont="1" applyFill="1" applyBorder="1" applyAlignment="1">
      <alignment horizontal="right" vertical="center" indent="1"/>
    </xf>
    <xf numFmtId="3" fontId="12" fillId="19" borderId="98" xfId="0" applyNumberFormat="1" applyFont="1" applyFill="1" applyBorder="1" applyAlignment="1">
      <alignment horizontal="right" vertical="center" indent="1"/>
    </xf>
    <xf numFmtId="0" fontId="12" fillId="24" borderId="0" xfId="0" applyFont="1" applyFill="1" applyAlignment="1">
      <alignment horizontal="center"/>
    </xf>
    <xf numFmtId="0" fontId="5" fillId="19" borderId="0" xfId="0" applyFont="1" applyFill="1" applyAlignment="1">
      <alignment horizontal="left"/>
    </xf>
    <xf numFmtId="0" fontId="10" fillId="19" borderId="0" xfId="0" applyFont="1" applyFill="1" applyAlignment="1">
      <alignment wrapText="1"/>
    </xf>
    <xf numFmtId="0" fontId="10" fillId="19" borderId="16" xfId="0" applyFont="1" applyFill="1" applyBorder="1" applyAlignment="1">
      <alignment wrapText="1"/>
    </xf>
    <xf numFmtId="0" fontId="10" fillId="24" borderId="16" xfId="0" applyFont="1" applyFill="1" applyBorder="1" applyAlignment="1">
      <alignment wrapText="1"/>
    </xf>
    <xf numFmtId="0" fontId="10" fillId="24" borderId="0" xfId="0" applyFont="1" applyFill="1" applyAlignment="1">
      <alignment wrapText="1"/>
    </xf>
    <xf numFmtId="3" fontId="8" fillId="17" borderId="38" xfId="0" applyNumberFormat="1" applyFont="1" applyFill="1" applyBorder="1" applyAlignment="1" applyProtection="1">
      <alignment horizontal="right" vertical="center" indent="2"/>
      <protection locked="0"/>
    </xf>
    <xf numFmtId="0" fontId="0" fillId="0" borderId="15" xfId="0" applyBorder="1" applyAlignment="1">
      <alignment wrapText="1"/>
    </xf>
    <xf numFmtId="3" fontId="8" fillId="17" borderId="15" xfId="0" applyNumberFormat="1" applyFont="1" applyFill="1" applyBorder="1" applyAlignment="1">
      <alignment vertical="center"/>
    </xf>
    <xf numFmtId="0" fontId="8" fillId="25" borderId="23" xfId="45" applyFont="1" applyFill="1" applyBorder="1" applyAlignment="1">
      <alignment wrapText="1"/>
    </xf>
    <xf numFmtId="0" fontId="8" fillId="25" borderId="15" xfId="45" applyFont="1" applyFill="1" applyBorder="1" applyAlignment="1">
      <alignment wrapText="1"/>
    </xf>
    <xf numFmtId="0" fontId="74" fillId="23" borderId="3" xfId="0" applyFont="1" applyFill="1" applyBorder="1" applyAlignment="1">
      <alignment horizontal="center" vertical="center" wrapText="1"/>
    </xf>
    <xf numFmtId="0" fontId="0" fillId="31" borderId="0" xfId="0" applyFill="1"/>
    <xf numFmtId="0" fontId="8" fillId="17" borderId="52" xfId="0" applyFont="1" applyFill="1" applyBorder="1"/>
    <xf numFmtId="0" fontId="8" fillId="19" borderId="0" xfId="0" applyFont="1" applyFill="1" applyAlignment="1">
      <alignment wrapText="1"/>
    </xf>
    <xf numFmtId="0" fontId="8" fillId="17" borderId="0" xfId="0" applyFont="1" applyFill="1" applyAlignment="1">
      <alignment vertical="center"/>
    </xf>
    <xf numFmtId="0" fontId="8" fillId="19" borderId="31" xfId="0" applyFont="1" applyFill="1" applyBorder="1"/>
    <xf numFmtId="0" fontId="34" fillId="20" borderId="0" xfId="0" applyFont="1" applyFill="1" applyAlignment="1">
      <alignment vertical="top"/>
    </xf>
    <xf numFmtId="0" fontId="8" fillId="25" borderId="0" xfId="0" applyFont="1" applyFill="1" applyAlignment="1">
      <alignment horizontal="left"/>
    </xf>
    <xf numFmtId="3" fontId="69" fillId="19" borderId="0" xfId="0" applyNumberFormat="1" applyFont="1" applyFill="1" applyAlignment="1">
      <alignment horizontal="right" vertical="center" indent="1"/>
    </xf>
    <xf numFmtId="3" fontId="69" fillId="24" borderId="0" xfId="0" applyNumberFormat="1" applyFont="1" applyFill="1" applyAlignment="1">
      <alignment horizontal="right" vertical="center" indent="1"/>
    </xf>
    <xf numFmtId="0" fontId="8" fillId="25" borderId="26" xfId="45" applyFont="1" applyFill="1" applyBorder="1" applyAlignment="1">
      <alignment horizontal="center" vertical="center"/>
    </xf>
    <xf numFmtId="0" fontId="8" fillId="25" borderId="16" xfId="45" applyFont="1" applyFill="1" applyBorder="1" applyAlignment="1">
      <alignment horizontal="left" vertical="center"/>
    </xf>
    <xf numFmtId="3" fontId="8" fillId="25" borderId="16" xfId="45" applyNumberFormat="1" applyFont="1" applyFill="1" applyBorder="1" applyAlignment="1">
      <alignment vertical="center"/>
    </xf>
    <xf numFmtId="9" fontId="8" fillId="25" borderId="16" xfId="48" applyFont="1" applyFill="1" applyBorder="1" applyAlignment="1">
      <alignment horizontal="right" vertical="center"/>
    </xf>
    <xf numFmtId="9" fontId="8" fillId="25" borderId="16" xfId="48" applyFont="1" applyFill="1" applyBorder="1" applyAlignment="1">
      <alignment vertical="center"/>
    </xf>
    <xf numFmtId="3" fontId="8" fillId="25" borderId="16" xfId="45" applyNumberFormat="1" applyFont="1" applyFill="1" applyBorder="1" applyAlignment="1">
      <alignment horizontal="right" vertical="center"/>
    </xf>
    <xf numFmtId="0" fontId="8" fillId="25" borderId="99" xfId="45" applyFont="1" applyFill="1" applyBorder="1" applyAlignment="1">
      <alignment horizontal="center" vertical="center"/>
    </xf>
    <xf numFmtId="0" fontId="8" fillId="25" borderId="23" xfId="45" applyFont="1" applyFill="1" applyBorder="1" applyAlignment="1">
      <alignment horizontal="center" vertical="center"/>
    </xf>
    <xf numFmtId="0" fontId="8" fillId="25" borderId="24" xfId="45" applyFont="1" applyFill="1" applyBorder="1" applyAlignment="1">
      <alignment horizontal="center" vertical="center"/>
    </xf>
    <xf numFmtId="0" fontId="8" fillId="25" borderId="25" xfId="45" applyFont="1" applyFill="1" applyBorder="1" applyAlignment="1">
      <alignment horizontal="left" vertical="center"/>
    </xf>
    <xf numFmtId="3" fontId="8" fillId="25" borderId="25" xfId="45" applyNumberFormat="1" applyFont="1" applyFill="1" applyBorder="1" applyAlignment="1">
      <alignment vertical="center"/>
    </xf>
    <xf numFmtId="9" fontId="8" fillId="25" borderId="25" xfId="48" applyFont="1" applyFill="1" applyBorder="1" applyAlignment="1">
      <alignment horizontal="right" vertical="center"/>
    </xf>
    <xf numFmtId="9" fontId="8" fillId="25" borderId="25" xfId="48" applyFont="1" applyFill="1" applyBorder="1" applyAlignment="1">
      <alignment vertical="center"/>
    </xf>
    <xf numFmtId="3" fontId="8" fillId="25" borderId="25" xfId="45" applyNumberFormat="1" applyFont="1" applyFill="1" applyBorder="1" applyAlignment="1">
      <alignment horizontal="right" vertical="center"/>
    </xf>
    <xf numFmtId="0" fontId="8" fillId="25" borderId="102" xfId="45" applyFont="1" applyFill="1" applyBorder="1" applyAlignment="1">
      <alignment horizontal="center" vertical="center"/>
    </xf>
    <xf numFmtId="0" fontId="8" fillId="25" borderId="53" xfId="45" applyFont="1" applyFill="1" applyBorder="1" applyAlignment="1">
      <alignment horizontal="center" vertical="center" wrapText="1"/>
    </xf>
    <xf numFmtId="0" fontId="8" fillId="25" borderId="54" xfId="45" applyFont="1" applyFill="1" applyBorder="1" applyAlignment="1">
      <alignment vertical="center" wrapText="1"/>
    </xf>
    <xf numFmtId="3" fontId="8" fillId="25" borderId="54" xfId="45" applyNumberFormat="1" applyFont="1" applyFill="1" applyBorder="1" applyAlignment="1">
      <alignment vertical="center" wrapText="1"/>
    </xf>
    <xf numFmtId="9" fontId="8" fillId="25" borderId="54" xfId="48" applyFont="1" applyFill="1" applyBorder="1" applyAlignment="1">
      <alignment horizontal="right" vertical="center" wrapText="1"/>
    </xf>
    <xf numFmtId="9" fontId="8" fillId="25" borderId="54" xfId="48" applyFont="1" applyFill="1" applyBorder="1" applyAlignment="1">
      <alignment vertical="center" wrapText="1"/>
    </xf>
    <xf numFmtId="3" fontId="8" fillId="25" borderId="54" xfId="45" applyNumberFormat="1" applyFont="1" applyFill="1" applyBorder="1" applyAlignment="1">
      <alignment horizontal="right" vertical="center" wrapText="1"/>
    </xf>
    <xf numFmtId="0" fontId="8" fillId="25" borderId="107" xfId="45" applyFont="1" applyFill="1" applyBorder="1" applyAlignment="1">
      <alignment horizontal="center" vertical="center" wrapText="1"/>
    </xf>
    <xf numFmtId="0" fontId="8" fillId="25" borderId="16" xfId="0" applyFont="1" applyFill="1" applyBorder="1" applyAlignment="1">
      <alignment horizontal="left" vertical="top"/>
    </xf>
    <xf numFmtId="0" fontId="8" fillId="25" borderId="54" xfId="0" applyFont="1" applyFill="1" applyBorder="1" applyAlignment="1">
      <alignment horizontal="left" vertical="top"/>
    </xf>
    <xf numFmtId="0" fontId="8" fillId="25" borderId="25" xfId="0" applyFont="1" applyFill="1" applyBorder="1" applyAlignment="1">
      <alignment horizontal="left" vertical="center"/>
    </xf>
    <xf numFmtId="3" fontId="8" fillId="25" borderId="25" xfId="0" applyNumberFormat="1" applyFont="1" applyFill="1" applyBorder="1" applyAlignment="1">
      <alignment horizontal="right" vertical="center"/>
    </xf>
    <xf numFmtId="0" fontId="10" fillId="25" borderId="38" xfId="45" applyFont="1" applyFill="1" applyBorder="1" applyAlignment="1">
      <alignment horizontal="left"/>
    </xf>
    <xf numFmtId="0" fontId="4" fillId="0" borderId="0" xfId="0" applyFont="1" applyAlignment="1">
      <alignment wrapText="1"/>
    </xf>
    <xf numFmtId="3" fontId="69" fillId="19" borderId="0" xfId="0" applyNumberFormat="1" applyFont="1" applyFill="1" applyAlignment="1">
      <alignment vertical="center"/>
    </xf>
    <xf numFmtId="3" fontId="87" fillId="19" borderId="0" xfId="0" applyNumberFormat="1" applyFont="1" applyFill="1" applyAlignment="1">
      <alignment horizontal="right" vertical="center" indent="1"/>
    </xf>
    <xf numFmtId="3" fontId="12" fillId="19" borderId="0" xfId="0" applyNumberFormat="1" applyFont="1" applyFill="1" applyAlignment="1">
      <alignment wrapText="1"/>
    </xf>
    <xf numFmtId="3" fontId="69" fillId="19" borderId="0" xfId="0" applyNumberFormat="1" applyFont="1" applyFill="1" applyAlignment="1">
      <alignment vertical="center" wrapText="1"/>
    </xf>
    <xf numFmtId="3" fontId="74" fillId="23" borderId="56" xfId="0" applyNumberFormat="1" applyFont="1" applyFill="1" applyBorder="1" applyAlignment="1">
      <alignment horizontal="center"/>
    </xf>
    <xf numFmtId="0" fontId="8" fillId="25" borderId="0" xfId="0" applyFont="1" applyFill="1" applyAlignment="1">
      <alignment horizontal="center"/>
    </xf>
    <xf numFmtId="0" fontId="69" fillId="25" borderId="0" xfId="0" applyFont="1" applyFill="1"/>
    <xf numFmtId="0" fontId="8" fillId="25" borderId="0" xfId="0" applyFont="1" applyFill="1"/>
    <xf numFmtId="0" fontId="13" fillId="19" borderId="0" xfId="0" applyFont="1" applyFill="1" applyAlignment="1">
      <alignment wrapText="1"/>
    </xf>
    <xf numFmtId="0" fontId="69" fillId="19" borderId="0" xfId="0" applyFont="1" applyFill="1" applyAlignment="1">
      <alignment horizontal="left" vertical="center" wrapText="1"/>
    </xf>
    <xf numFmtId="0" fontId="12" fillId="19" borderId="0" xfId="0" applyFont="1" applyFill="1" applyAlignment="1">
      <alignment horizontal="center" wrapText="1"/>
    </xf>
    <xf numFmtId="3" fontId="12" fillId="17" borderId="0" xfId="0" applyNumberFormat="1" applyFont="1" applyFill="1" applyAlignment="1">
      <alignment horizontal="center" vertical="center"/>
    </xf>
    <xf numFmtId="3" fontId="12" fillId="19" borderId="0" xfId="0" applyNumberFormat="1" applyFont="1" applyFill="1" applyAlignment="1">
      <alignment horizontal="center" wrapText="1"/>
    </xf>
    <xf numFmtId="0" fontId="10" fillId="25" borderId="38" xfId="0" applyFont="1" applyFill="1" applyBorder="1" applyAlignment="1">
      <alignment horizontal="center"/>
    </xf>
    <xf numFmtId="0" fontId="10" fillId="34" borderId="70" xfId="0" applyFont="1" applyFill="1" applyBorder="1" applyAlignment="1">
      <alignment horizontal="center"/>
    </xf>
    <xf numFmtId="0" fontId="12" fillId="19" borderId="16" xfId="0" applyFont="1" applyFill="1" applyBorder="1"/>
    <xf numFmtId="0" fontId="13" fillId="19" borderId="16" xfId="0" applyFont="1" applyFill="1" applyBorder="1"/>
    <xf numFmtId="0" fontId="13" fillId="19" borderId="17" xfId="0" applyFont="1" applyFill="1" applyBorder="1"/>
    <xf numFmtId="0" fontId="5" fillId="17" borderId="23" xfId="0" applyFont="1" applyFill="1" applyBorder="1" applyAlignment="1">
      <alignment vertical="top" wrapText="1"/>
    </xf>
    <xf numFmtId="0" fontId="5" fillId="17" borderId="0" xfId="0" applyFont="1" applyFill="1" applyAlignment="1">
      <alignment vertical="top" wrapText="1"/>
    </xf>
    <xf numFmtId="0" fontId="5" fillId="25" borderId="0" xfId="0" applyFont="1" applyFill="1" applyAlignment="1">
      <alignment vertical="top" wrapText="1"/>
    </xf>
    <xf numFmtId="0" fontId="0" fillId="0" borderId="0" xfId="0" applyAlignment="1">
      <alignment vertical="top"/>
    </xf>
    <xf numFmtId="0" fontId="4" fillId="17" borderId="25" xfId="0" applyFont="1" applyFill="1" applyBorder="1" applyAlignment="1">
      <alignment vertical="top"/>
    </xf>
    <xf numFmtId="0" fontId="5" fillId="20" borderId="66" xfId="0" applyFont="1" applyFill="1" applyBorder="1" applyAlignment="1">
      <alignment vertical="center" wrapText="1"/>
    </xf>
    <xf numFmtId="0" fontId="5" fillId="20" borderId="34" xfId="0" applyFont="1" applyFill="1" applyBorder="1" applyAlignment="1">
      <alignment vertical="center" wrapText="1"/>
    </xf>
    <xf numFmtId="0" fontId="5" fillId="17" borderId="0" xfId="0" applyFont="1" applyFill="1" applyAlignment="1">
      <alignment horizontal="right" vertical="center" wrapText="1"/>
    </xf>
    <xf numFmtId="0" fontId="14" fillId="20" borderId="24" xfId="0" applyFont="1" applyFill="1" applyBorder="1" applyAlignment="1">
      <alignment horizontal="center" vertical="center"/>
    </xf>
    <xf numFmtId="0" fontId="14" fillId="20" borderId="25" xfId="0" applyFont="1" applyFill="1" applyBorder="1" applyAlignment="1">
      <alignment horizontal="center" vertical="center"/>
    </xf>
    <xf numFmtId="0" fontId="88" fillId="26" borderId="34" xfId="44" applyFont="1" applyFill="1" applyBorder="1" applyAlignment="1">
      <alignment horizontal="center" vertical="center" wrapText="1"/>
    </xf>
    <xf numFmtId="0" fontId="5" fillId="30" borderId="109" xfId="0" applyFont="1" applyFill="1" applyBorder="1" applyAlignment="1">
      <alignment horizontal="center" vertical="center" wrapText="1"/>
    </xf>
    <xf numFmtId="0" fontId="5" fillId="30" borderId="46" xfId="0" applyFont="1" applyFill="1" applyBorder="1" applyAlignment="1">
      <alignment horizontal="center" vertical="top" wrapText="1"/>
    </xf>
    <xf numFmtId="3" fontId="0" fillId="30" borderId="46" xfId="0" applyNumberFormat="1" applyFill="1" applyBorder="1" applyAlignment="1">
      <alignment horizontal="center" vertical="top"/>
    </xf>
    <xf numFmtId="3" fontId="0" fillId="36" borderId="46" xfId="0" applyNumberFormat="1" applyFill="1" applyBorder="1" applyAlignment="1">
      <alignment horizontal="center" vertical="top"/>
    </xf>
    <xf numFmtId="3" fontId="4" fillId="30" borderId="46" xfId="0" applyNumberFormat="1" applyFont="1" applyFill="1" applyBorder="1" applyAlignment="1">
      <alignment horizontal="center" vertical="top"/>
    </xf>
    <xf numFmtId="0" fontId="0" fillId="36" borderId="46" xfId="0" applyFill="1" applyBorder="1" applyAlignment="1">
      <alignment horizontal="center" vertical="top"/>
    </xf>
    <xf numFmtId="3" fontId="4" fillId="30" borderId="47" xfId="0" applyNumberFormat="1" applyFont="1" applyFill="1" applyBorder="1" applyAlignment="1">
      <alignment horizontal="center" vertical="top"/>
    </xf>
    <xf numFmtId="0" fontId="5" fillId="20" borderId="34" xfId="0" applyFont="1" applyFill="1" applyBorder="1" applyAlignment="1">
      <alignment horizontal="center" vertical="center" wrapText="1"/>
    </xf>
    <xf numFmtId="0" fontId="5" fillId="17" borderId="0" xfId="0" applyFont="1" applyFill="1" applyAlignment="1">
      <alignment horizontal="center" vertical="top" wrapText="1"/>
    </xf>
    <xf numFmtId="0" fontId="0" fillId="0" borderId="0" xfId="0" applyAlignment="1">
      <alignment horizontal="center" vertical="top"/>
    </xf>
    <xf numFmtId="2" fontId="0" fillId="0" borderId="0" xfId="0" applyNumberFormat="1" applyAlignment="1">
      <alignment horizontal="center" vertical="top"/>
    </xf>
    <xf numFmtId="0" fontId="71" fillId="26" borderId="16" xfId="44" applyFont="1" applyFill="1" applyBorder="1" applyAlignment="1">
      <alignment horizontal="center" vertical="top"/>
    </xf>
    <xf numFmtId="0" fontId="71" fillId="26" borderId="0" xfId="44" applyFont="1" applyFill="1" applyBorder="1" applyAlignment="1">
      <alignment horizontal="center" vertical="top"/>
    </xf>
    <xf numFmtId="0" fontId="71" fillId="26" borderId="0" xfId="44" applyFont="1" applyFill="1" applyBorder="1" applyAlignment="1">
      <alignment horizontal="center" vertical="top" wrapText="1"/>
    </xf>
    <xf numFmtId="0" fontId="70" fillId="26" borderId="0" xfId="0" applyFont="1" applyFill="1" applyAlignment="1">
      <alignment horizontal="center" vertical="top"/>
    </xf>
    <xf numFmtId="0" fontId="72" fillId="26" borderId="25" xfId="44" applyFont="1" applyFill="1" applyBorder="1" applyAlignment="1">
      <alignment horizontal="center" vertical="top"/>
    </xf>
    <xf numFmtId="0" fontId="70" fillId="25" borderId="0" xfId="0" applyFont="1" applyFill="1" applyAlignment="1">
      <alignment horizontal="center" vertical="top"/>
    </xf>
    <xf numFmtId="0" fontId="91" fillId="25" borderId="0" xfId="25" applyFont="1" applyFill="1"/>
    <xf numFmtId="0" fontId="83" fillId="25" borderId="0" xfId="0" applyFont="1" applyFill="1"/>
    <xf numFmtId="0" fontId="13" fillId="31" borderId="0" xfId="0" applyFont="1" applyFill="1"/>
    <xf numFmtId="0" fontId="74" fillId="25" borderId="0" xfId="0" applyFont="1" applyFill="1" applyAlignment="1">
      <alignment vertical="center"/>
    </xf>
    <xf numFmtId="0" fontId="54" fillId="20" borderId="16" xfId="0" applyFont="1" applyFill="1" applyBorder="1" applyProtection="1">
      <protection locked="0"/>
    </xf>
    <xf numFmtId="14" fontId="8" fillId="0" borderId="38" xfId="0" applyNumberFormat="1" applyFont="1" applyBorder="1" applyAlignment="1" applyProtection="1">
      <alignment horizontal="right" vertical="center" indent="2"/>
      <protection locked="0"/>
    </xf>
    <xf numFmtId="0" fontId="4" fillId="30" borderId="45" xfId="0" applyFont="1" applyFill="1" applyBorder="1" applyAlignment="1">
      <alignment horizontal="center" vertical="top"/>
    </xf>
    <xf numFmtId="0" fontId="4" fillId="17" borderId="0" xfId="0" applyFont="1" applyFill="1"/>
    <xf numFmtId="0" fontId="4" fillId="20" borderId="23" xfId="0" applyFont="1" applyFill="1" applyBorder="1" applyAlignment="1">
      <alignment vertical="top"/>
    </xf>
    <xf numFmtId="0" fontId="4" fillId="20" borderId="0" xfId="0" applyFont="1" applyFill="1" applyAlignment="1">
      <alignment vertical="top"/>
    </xf>
    <xf numFmtId="0" fontId="4" fillId="20" borderId="0" xfId="0" applyFont="1" applyFill="1" applyAlignment="1">
      <alignment horizontal="center" vertical="top"/>
    </xf>
    <xf numFmtId="0" fontId="4" fillId="30" borderId="46" xfId="0" applyFont="1" applyFill="1" applyBorder="1" applyAlignment="1">
      <alignment horizontal="center" vertical="top"/>
    </xf>
    <xf numFmtId="0" fontId="4" fillId="17" borderId="23" xfId="0" applyFont="1" applyFill="1" applyBorder="1" applyAlignment="1">
      <alignment vertical="top"/>
    </xf>
    <xf numFmtId="4" fontId="4" fillId="17" borderId="0" xfId="0" applyNumberFormat="1" applyFont="1" applyFill="1" applyAlignment="1">
      <alignment horizontal="center" vertical="top"/>
    </xf>
    <xf numFmtId="0" fontId="4" fillId="17" borderId="0" xfId="0" quotePrefix="1" applyFont="1" applyFill="1" applyAlignment="1">
      <alignment vertical="top"/>
    </xf>
    <xf numFmtId="4" fontId="4" fillId="17" borderId="25" xfId="0" applyNumberFormat="1" applyFont="1" applyFill="1" applyBorder="1" applyAlignment="1">
      <alignment horizontal="center" vertical="top"/>
    </xf>
    <xf numFmtId="0" fontId="4" fillId="25" borderId="25" xfId="0" applyFont="1" applyFill="1" applyBorder="1" applyAlignment="1">
      <alignment vertical="top"/>
    </xf>
    <xf numFmtId="0" fontId="4" fillId="17" borderId="0" xfId="0" applyFont="1" applyFill="1" applyAlignment="1">
      <alignment horizontal="center" vertical="top"/>
    </xf>
    <xf numFmtId="0" fontId="4" fillId="25" borderId="0" xfId="0" applyFont="1" applyFill="1" applyAlignment="1">
      <alignment horizontal="center" vertical="top"/>
    </xf>
    <xf numFmtId="0" fontId="4" fillId="25" borderId="0" xfId="0" applyFont="1" applyFill="1" applyAlignment="1">
      <alignment vertical="top"/>
    </xf>
    <xf numFmtId="0" fontId="8" fillId="27" borderId="55" xfId="0" applyFont="1" applyFill="1" applyBorder="1" applyAlignment="1" applyProtection="1">
      <alignment horizontal="left" vertical="top" wrapText="1"/>
      <protection locked="0"/>
    </xf>
    <xf numFmtId="0" fontId="8" fillId="27" borderId="100" xfId="0" applyFont="1" applyFill="1" applyBorder="1" applyAlignment="1" applyProtection="1">
      <alignment horizontal="left" vertical="top" wrapText="1"/>
      <protection locked="0"/>
    </xf>
    <xf numFmtId="0" fontId="8" fillId="27" borderId="101" xfId="0" applyFont="1" applyFill="1" applyBorder="1" applyAlignment="1" applyProtection="1">
      <alignment horizontal="left" vertical="top" wrapText="1"/>
      <protection locked="0"/>
    </xf>
    <xf numFmtId="0" fontId="8" fillId="27" borderId="103" xfId="0" applyFont="1" applyFill="1" applyBorder="1" applyAlignment="1" applyProtection="1">
      <alignment horizontal="left" vertical="top" wrapText="1"/>
      <protection locked="0"/>
    </xf>
    <xf numFmtId="0" fontId="8" fillId="27" borderId="108" xfId="0" applyFont="1" applyFill="1" applyBorder="1" applyAlignment="1" applyProtection="1">
      <alignment horizontal="left" vertical="top" wrapText="1"/>
      <protection locked="0"/>
    </xf>
    <xf numFmtId="0" fontId="8" fillId="27" borderId="103" xfId="0" applyFont="1" applyFill="1" applyBorder="1" applyAlignment="1" applyProtection="1">
      <alignment horizontal="left" vertical="center" wrapText="1"/>
      <protection locked="0"/>
    </xf>
    <xf numFmtId="0" fontId="8" fillId="27" borderId="100" xfId="45" applyFont="1" applyFill="1" applyBorder="1" applyAlignment="1" applyProtection="1">
      <alignment horizontal="left" vertical="center" wrapText="1"/>
      <protection locked="0"/>
    </xf>
    <xf numFmtId="0" fontId="8" fillId="27" borderId="101" xfId="45" applyFont="1" applyFill="1" applyBorder="1" applyAlignment="1" applyProtection="1">
      <alignment horizontal="left" vertical="center" wrapText="1"/>
      <protection locked="0"/>
    </xf>
    <xf numFmtId="0" fontId="8" fillId="27" borderId="104" xfId="45" applyFont="1" applyFill="1" applyBorder="1" applyAlignment="1" applyProtection="1">
      <alignment horizontal="left" vertical="center" wrapText="1"/>
      <protection locked="0"/>
    </xf>
    <xf numFmtId="0" fontId="8" fillId="27" borderId="105" xfId="45" applyFont="1" applyFill="1" applyBorder="1" applyAlignment="1" applyProtection="1">
      <alignment horizontal="left" vertical="center" wrapText="1"/>
      <protection locked="0"/>
    </xf>
    <xf numFmtId="0" fontId="8" fillId="27" borderId="106" xfId="45" applyFont="1" applyFill="1" applyBorder="1" applyAlignment="1" applyProtection="1">
      <alignment horizontal="left" vertical="center" wrapText="1"/>
      <protection locked="0"/>
    </xf>
    <xf numFmtId="0" fontId="8" fillId="27" borderId="108" xfId="45" applyFont="1" applyFill="1" applyBorder="1" applyAlignment="1" applyProtection="1">
      <alignment horizontal="left" vertical="center" wrapText="1"/>
      <protection locked="0"/>
    </xf>
    <xf numFmtId="0" fontId="10" fillId="31" borderId="0" xfId="0" applyFont="1" applyFill="1"/>
    <xf numFmtId="3" fontId="12" fillId="31" borderId="0" xfId="0" applyNumberFormat="1" applyFont="1" applyFill="1" applyAlignment="1">
      <alignment horizontal="right" vertical="center" indent="1"/>
    </xf>
    <xf numFmtId="0" fontId="5" fillId="35" borderId="16" xfId="0" applyFont="1" applyFill="1" applyBorder="1" applyAlignment="1">
      <alignment vertical="top"/>
    </xf>
    <xf numFmtId="0" fontId="4" fillId="35" borderId="16" xfId="0" applyFont="1" applyFill="1" applyBorder="1" applyAlignment="1">
      <alignment vertical="top"/>
    </xf>
    <xf numFmtId="0" fontId="4" fillId="35" borderId="0" xfId="0" applyFont="1" applyFill="1" applyAlignment="1">
      <alignment horizontal="center" vertical="top"/>
    </xf>
    <xf numFmtId="0" fontId="4" fillId="35" borderId="0" xfId="0" applyFont="1" applyFill="1" applyAlignment="1">
      <alignment vertical="top"/>
    </xf>
    <xf numFmtId="0" fontId="8" fillId="31" borderId="0" xfId="0" applyFont="1" applyFill="1"/>
    <xf numFmtId="0" fontId="44" fillId="17" borderId="0" xfId="0" applyFont="1" applyFill="1" applyAlignment="1">
      <alignment horizontal="center" vertical="top"/>
    </xf>
    <xf numFmtId="0" fontId="0" fillId="19" borderId="23" xfId="60" applyFont="1" applyFill="1" applyBorder="1"/>
    <xf numFmtId="0" fontId="0" fillId="0" borderId="0" xfId="60" applyFont="1"/>
    <xf numFmtId="0" fontId="43" fillId="0" borderId="0" xfId="60" applyFont="1"/>
    <xf numFmtId="170" fontId="43" fillId="0" borderId="0" xfId="60" applyNumberFormat="1" applyFont="1"/>
    <xf numFmtId="0" fontId="44" fillId="17" borderId="0" xfId="60" applyFont="1" applyFill="1"/>
    <xf numFmtId="0" fontId="92" fillId="19" borderId="0" xfId="60" applyFont="1" applyFill="1" applyAlignment="1">
      <alignment horizontal="left" vertical="center"/>
    </xf>
    <xf numFmtId="0" fontId="36" fillId="0" borderId="0" xfId="60" applyFont="1" applyAlignment="1">
      <alignment vertical="center"/>
    </xf>
    <xf numFmtId="0" fontId="93" fillId="0" borderId="0" xfId="0" applyFont="1"/>
    <xf numFmtId="0" fontId="42" fillId="17" borderId="0" xfId="60" applyFont="1" applyFill="1" applyAlignment="1">
      <alignment vertical="center"/>
    </xf>
    <xf numFmtId="0" fontId="34" fillId="19" borderId="15" xfId="60" applyFont="1" applyFill="1" applyBorder="1" applyAlignment="1">
      <alignment horizontal="left" vertical="center" wrapText="1"/>
    </xf>
    <xf numFmtId="0" fontId="34" fillId="19" borderId="0" xfId="60" applyFont="1" applyFill="1" applyAlignment="1">
      <alignment horizontal="right" vertical="center" indent="1"/>
    </xf>
    <xf numFmtId="0" fontId="94" fillId="19" borderId="0" xfId="60" applyFont="1" applyFill="1" applyAlignment="1">
      <alignment horizontal="left" vertical="center"/>
    </xf>
    <xf numFmtId="0" fontId="36" fillId="19" borderId="0" xfId="60" applyFont="1" applyFill="1" applyAlignment="1">
      <alignment horizontal="right" vertical="center" indent="1"/>
    </xf>
    <xf numFmtId="0" fontId="34" fillId="19" borderId="0" xfId="60" applyFont="1" applyFill="1" applyAlignment="1">
      <alignment horizontal="left" vertical="center"/>
    </xf>
    <xf numFmtId="0" fontId="36" fillId="17" borderId="0" xfId="60" applyFont="1" applyFill="1" applyAlignment="1">
      <alignment vertical="center"/>
    </xf>
    <xf numFmtId="0" fontId="0" fillId="17" borderId="0" xfId="60" applyFont="1" applyFill="1"/>
    <xf numFmtId="170" fontId="43" fillId="17" borderId="0" xfId="60" applyNumberFormat="1" applyFont="1" applyFill="1"/>
    <xf numFmtId="0" fontId="0" fillId="19" borderId="15" xfId="60" applyFont="1" applyFill="1" applyBorder="1"/>
    <xf numFmtId="0" fontId="5" fillId="19" borderId="0" xfId="60" applyFont="1" applyFill="1" applyAlignment="1">
      <alignment horizontal="center"/>
    </xf>
    <xf numFmtId="0" fontId="5" fillId="19" borderId="0" xfId="60" applyFont="1" applyFill="1" applyAlignment="1">
      <alignment horizontal="center" vertical="center"/>
    </xf>
    <xf numFmtId="0" fontId="5" fillId="19" borderId="0" xfId="60" applyFont="1" applyFill="1" applyAlignment="1">
      <alignment horizontal="left" vertical="center"/>
    </xf>
    <xf numFmtId="0" fontId="0" fillId="19" borderId="0" xfId="60" applyFont="1" applyFill="1"/>
    <xf numFmtId="0" fontId="0" fillId="19" borderId="0" xfId="60" applyFont="1" applyFill="1" applyAlignment="1">
      <alignment horizontal="left" vertical="center"/>
    </xf>
    <xf numFmtId="0" fontId="43" fillId="19" borderId="0" xfId="60" applyFont="1" applyFill="1" applyAlignment="1">
      <alignment vertical="center"/>
    </xf>
    <xf numFmtId="0" fontId="95" fillId="19" borderId="0" xfId="60" applyFont="1" applyFill="1" applyAlignment="1">
      <alignment horizontal="left" vertical="top" wrapText="1"/>
    </xf>
    <xf numFmtId="0" fontId="0" fillId="19" borderId="0" xfId="60" applyFont="1" applyFill="1" applyAlignment="1">
      <alignment vertical="center"/>
    </xf>
    <xf numFmtId="3" fontId="96" fillId="19" borderId="0" xfId="60" applyNumberFormat="1" applyFont="1" applyFill="1" applyAlignment="1">
      <alignment horizontal="right" vertical="center"/>
    </xf>
    <xf numFmtId="0" fontId="96" fillId="19" borderId="0" xfId="60" applyFont="1" applyFill="1" applyAlignment="1">
      <alignment horizontal="right" vertical="center"/>
    </xf>
    <xf numFmtId="0" fontId="34" fillId="19" borderId="0" xfId="60" applyFont="1" applyFill="1" applyAlignment="1">
      <alignment vertical="center"/>
    </xf>
    <xf numFmtId="0" fontId="44" fillId="0" borderId="0" xfId="60" applyFont="1" applyAlignment="1">
      <alignment vertical="center"/>
    </xf>
    <xf numFmtId="3" fontId="97" fillId="19" borderId="0" xfId="60" applyNumberFormat="1" applyFont="1" applyFill="1" applyAlignment="1">
      <alignment horizontal="right" vertical="center"/>
    </xf>
    <xf numFmtId="0" fontId="10" fillId="19" borderId="0" xfId="60" applyFont="1" applyFill="1" applyAlignment="1">
      <alignment horizontal="left" vertical="center"/>
    </xf>
    <xf numFmtId="0" fontId="75" fillId="25" borderId="0" xfId="0" applyFont="1" applyFill="1"/>
    <xf numFmtId="0" fontId="73" fillId="25" borderId="0" xfId="0" applyFont="1" applyFill="1"/>
    <xf numFmtId="0" fontId="4" fillId="25" borderId="0" xfId="60" applyFill="1"/>
    <xf numFmtId="0" fontId="0" fillId="41" borderId="110" xfId="60" applyFont="1" applyFill="1" applyBorder="1"/>
    <xf numFmtId="3" fontId="12" fillId="19" borderId="113" xfId="0" applyNumberFormat="1" applyFont="1" applyFill="1" applyBorder="1" applyAlignment="1">
      <alignment horizontal="right" vertical="center" indent="1"/>
    </xf>
    <xf numFmtId="3" fontId="12" fillId="19" borderId="114" xfId="0" applyNumberFormat="1" applyFont="1" applyFill="1" applyBorder="1" applyAlignment="1">
      <alignment horizontal="right" vertical="center" indent="1"/>
    </xf>
    <xf numFmtId="3" fontId="13" fillId="17" borderId="111" xfId="0" applyNumberFormat="1" applyFont="1" applyFill="1" applyBorder="1" applyAlignment="1">
      <alignment horizontal="right" vertical="center" indent="1"/>
    </xf>
    <xf numFmtId="0" fontId="13" fillId="31" borderId="111" xfId="0" applyFont="1" applyFill="1" applyBorder="1"/>
    <xf numFmtId="0" fontId="13" fillId="31" borderId="0" xfId="0" applyFont="1" applyFill="1" applyAlignment="1">
      <alignment horizontal="right"/>
    </xf>
    <xf numFmtId="0" fontId="13" fillId="31" borderId="22" xfId="0" applyFont="1" applyFill="1" applyBorder="1"/>
    <xf numFmtId="3" fontId="13" fillId="17" borderId="112" xfId="0" applyNumberFormat="1" applyFont="1" applyFill="1" applyBorder="1" applyAlignment="1">
      <alignment horizontal="right" vertical="center" indent="1"/>
    </xf>
    <xf numFmtId="3" fontId="13" fillId="19" borderId="94" xfId="0" applyNumberFormat="1" applyFont="1" applyFill="1" applyBorder="1" applyAlignment="1">
      <alignment horizontal="right" vertical="center" indent="1"/>
    </xf>
    <xf numFmtId="0" fontId="13" fillId="24" borderId="111" xfId="0" applyFont="1" applyFill="1" applyBorder="1"/>
    <xf numFmtId="0" fontId="35" fillId="19" borderId="0" xfId="60" applyFont="1" applyFill="1" applyAlignment="1">
      <alignment horizontal="left" vertical="center"/>
    </xf>
    <xf numFmtId="0" fontId="66" fillId="19" borderId="0" xfId="60" applyFont="1" applyFill="1" applyAlignment="1">
      <alignment vertical="center"/>
    </xf>
    <xf numFmtId="0" fontId="5" fillId="25" borderId="0" xfId="0" applyFont="1" applyFill="1"/>
    <xf numFmtId="0" fontId="4" fillId="25" borderId="0" xfId="0" applyFont="1" applyFill="1"/>
    <xf numFmtId="0" fontId="74" fillId="38" borderId="0" xfId="45" applyFont="1" applyFill="1"/>
    <xf numFmtId="0" fontId="101" fillId="25" borderId="0" xfId="0" applyFont="1" applyFill="1" applyAlignment="1">
      <alignment horizontal="left"/>
    </xf>
    <xf numFmtId="0" fontId="102" fillId="19" borderId="0" xfId="60" applyFont="1" applyFill="1" applyAlignment="1">
      <alignment vertical="center"/>
    </xf>
    <xf numFmtId="0" fontId="10" fillId="19" borderId="0" xfId="60" applyFont="1" applyFill="1" applyAlignment="1">
      <alignment horizontal="center" vertical="center"/>
    </xf>
    <xf numFmtId="0" fontId="35" fillId="19" borderId="0" xfId="60" quotePrefix="1" applyFont="1" applyFill="1" applyAlignment="1">
      <alignment horizontal="center" vertical="center"/>
    </xf>
    <xf numFmtId="3" fontId="10" fillId="17" borderId="115" xfId="0" applyNumberFormat="1" applyFont="1" applyFill="1" applyBorder="1" applyAlignment="1">
      <alignment horizontal="right" vertical="center" indent="2"/>
    </xf>
    <xf numFmtId="0" fontId="8" fillId="25" borderId="15" xfId="0" applyFont="1" applyFill="1" applyBorder="1"/>
    <xf numFmtId="0" fontId="8" fillId="25" borderId="25" xfId="0" applyFont="1" applyFill="1" applyBorder="1"/>
    <xf numFmtId="0" fontId="8" fillId="25" borderId="27" xfId="0" applyFont="1" applyFill="1" applyBorder="1"/>
    <xf numFmtId="0" fontId="10" fillId="19" borderId="0" xfId="60" quotePrefix="1" applyFont="1" applyFill="1" applyAlignment="1">
      <alignment horizontal="center" vertical="center" wrapText="1"/>
    </xf>
    <xf numFmtId="0" fontId="10" fillId="19" borderId="0" xfId="60" quotePrefix="1" applyFont="1" applyFill="1" applyAlignment="1">
      <alignment horizontal="center" vertical="center"/>
    </xf>
    <xf numFmtId="0" fontId="103" fillId="19" borderId="23" xfId="60" applyFont="1" applyFill="1" applyBorder="1" applyAlignment="1">
      <alignment vertical="center"/>
    </xf>
    <xf numFmtId="3" fontId="34" fillId="17" borderId="115" xfId="60" applyNumberFormat="1" applyFont="1" applyFill="1" applyBorder="1" applyAlignment="1">
      <alignment horizontal="right" vertical="center" indent="1"/>
    </xf>
    <xf numFmtId="170" fontId="42" fillId="17" borderId="0" xfId="64" applyNumberFormat="1" applyFont="1" applyFill="1" applyAlignment="1">
      <alignment horizontal="right" vertical="center"/>
    </xf>
    <xf numFmtId="0" fontId="53" fillId="17" borderId="0" xfId="60" applyFont="1" applyFill="1"/>
    <xf numFmtId="0" fontId="8" fillId="17" borderId="0" xfId="60" applyFont="1" applyFill="1"/>
    <xf numFmtId="4" fontId="4" fillId="17" borderId="0" xfId="63" applyNumberFormat="1" applyFill="1" applyAlignment="1">
      <alignment wrapText="1"/>
    </xf>
    <xf numFmtId="0" fontId="35" fillId="19" borderId="0" xfId="60" applyFont="1" applyFill="1" applyAlignment="1">
      <alignment horizontal="left" vertical="center" wrapText="1"/>
    </xf>
    <xf numFmtId="0" fontId="10" fillId="19" borderId="120" xfId="60" quotePrefix="1" applyFont="1" applyFill="1" applyBorder="1" applyAlignment="1">
      <alignment horizontal="center" vertical="center"/>
    </xf>
    <xf numFmtId="0" fontId="10" fillId="19" borderId="121" xfId="60" quotePrefix="1" applyFont="1" applyFill="1" applyBorder="1" applyAlignment="1">
      <alignment horizontal="center" vertical="center"/>
    </xf>
    <xf numFmtId="0" fontId="10" fillId="19" borderId="122" xfId="60" applyFont="1" applyFill="1" applyBorder="1" applyAlignment="1">
      <alignment horizontal="left" vertical="center" wrapText="1"/>
    </xf>
    <xf numFmtId="0" fontId="5" fillId="19" borderId="123" xfId="60" applyFont="1" applyFill="1" applyBorder="1" applyAlignment="1">
      <alignment horizontal="left" vertical="center"/>
    </xf>
    <xf numFmtId="0" fontId="10" fillId="19" borderId="124" xfId="60" applyFont="1" applyFill="1" applyBorder="1" applyAlignment="1">
      <alignment horizontal="left" vertical="center" wrapText="1"/>
    </xf>
    <xf numFmtId="0" fontId="95" fillId="19" borderId="120" xfId="60" applyFont="1" applyFill="1" applyBorder="1" applyAlignment="1">
      <alignment horizontal="left" vertical="top" wrapText="1"/>
    </xf>
    <xf numFmtId="0" fontId="43" fillId="19" borderId="121" xfId="60" applyFont="1" applyFill="1" applyBorder="1" applyAlignment="1">
      <alignment vertical="center"/>
    </xf>
    <xf numFmtId="3" fontId="34" fillId="17" borderId="125" xfId="60" applyNumberFormat="1" applyFont="1" applyFill="1" applyBorder="1" applyAlignment="1">
      <alignment horizontal="right" vertical="center" indent="1"/>
    </xf>
    <xf numFmtId="3" fontId="34" fillId="17" borderId="126" xfId="60" applyNumberFormat="1" applyFont="1" applyFill="1" applyBorder="1" applyAlignment="1">
      <alignment horizontal="right" vertical="center" indent="1"/>
    </xf>
    <xf numFmtId="0" fontId="5" fillId="19" borderId="120" xfId="60" applyFont="1" applyFill="1" applyBorder="1" applyAlignment="1">
      <alignment horizontal="left" vertical="center"/>
    </xf>
    <xf numFmtId="0" fontId="35" fillId="19" borderId="121" xfId="60" quotePrefix="1" applyFont="1" applyFill="1" applyBorder="1" applyAlignment="1">
      <alignment horizontal="center"/>
    </xf>
    <xf numFmtId="0" fontId="10" fillId="19" borderId="120" xfId="60" applyFont="1" applyFill="1" applyBorder="1" applyAlignment="1">
      <alignment horizontal="center" vertical="center"/>
    </xf>
    <xf numFmtId="0" fontId="0" fillId="19" borderId="123" xfId="60" applyFont="1" applyFill="1" applyBorder="1" applyAlignment="1">
      <alignment horizontal="left" vertical="center"/>
    </xf>
    <xf numFmtId="0" fontId="10" fillId="19" borderId="123" xfId="60" applyFont="1" applyFill="1" applyBorder="1" applyAlignment="1">
      <alignment horizontal="left" vertical="center" wrapText="1"/>
    </xf>
    <xf numFmtId="0" fontId="5" fillId="19" borderId="119" xfId="60" applyFont="1" applyFill="1" applyBorder="1" applyAlignment="1">
      <alignment horizontal="center"/>
    </xf>
    <xf numFmtId="0" fontId="0" fillId="19" borderId="121" xfId="60" applyFont="1" applyFill="1" applyBorder="1" applyAlignment="1">
      <alignment horizontal="left" vertical="center"/>
    </xf>
    <xf numFmtId="0" fontId="34" fillId="19" borderId="121" xfId="60" applyFont="1" applyFill="1" applyBorder="1" applyAlignment="1">
      <alignment horizontal="right" vertical="center" indent="1"/>
    </xf>
    <xf numFmtId="0" fontId="0" fillId="19" borderId="124" xfId="60" applyFont="1" applyFill="1" applyBorder="1" applyAlignment="1">
      <alignment horizontal="left" vertical="center"/>
    </xf>
    <xf numFmtId="0" fontId="14" fillId="19" borderId="0" xfId="60" applyFont="1" applyFill="1" applyAlignment="1">
      <alignment horizontal="center" vertical="center" wrapText="1"/>
    </xf>
    <xf numFmtId="0" fontId="14" fillId="19" borderId="0" xfId="60" applyFont="1" applyFill="1" applyAlignment="1">
      <alignment horizontal="left" vertical="center"/>
    </xf>
    <xf numFmtId="0" fontId="14" fillId="19" borderId="0" xfId="60" applyFont="1" applyFill="1" applyAlignment="1">
      <alignment horizontal="center"/>
    </xf>
    <xf numFmtId="0" fontId="15" fillId="19" borderId="0" xfId="60" applyFont="1" applyFill="1"/>
    <xf numFmtId="0" fontId="14" fillId="19" borderId="0" xfId="60" applyFont="1" applyFill="1" applyAlignment="1">
      <alignment horizontal="center" vertical="center"/>
    </xf>
    <xf numFmtId="0" fontId="73" fillId="19" borderId="120" xfId="60" applyFont="1" applyFill="1" applyBorder="1" applyAlignment="1">
      <alignment horizontal="left" vertical="center"/>
    </xf>
    <xf numFmtId="0" fontId="92" fillId="19" borderId="25" xfId="60" applyFont="1" applyFill="1" applyBorder="1" applyAlignment="1">
      <alignment horizontal="left" vertical="center"/>
    </xf>
    <xf numFmtId="0" fontId="34" fillId="19" borderId="27" xfId="60" applyFont="1" applyFill="1" applyBorder="1" applyAlignment="1">
      <alignment horizontal="left" vertical="center" wrapText="1"/>
    </xf>
    <xf numFmtId="0" fontId="92" fillId="19" borderId="24" xfId="60" applyFont="1" applyFill="1" applyBorder="1" applyAlignment="1">
      <alignment horizontal="left" vertical="center"/>
    </xf>
    <xf numFmtId="0" fontId="5" fillId="19" borderId="0" xfId="60" quotePrefix="1" applyFont="1" applyFill="1" applyAlignment="1">
      <alignment horizontal="center"/>
    </xf>
    <xf numFmtId="0" fontId="5" fillId="19" borderId="121" xfId="60" quotePrefix="1" applyFont="1" applyFill="1" applyBorder="1" applyAlignment="1">
      <alignment horizontal="center"/>
    </xf>
    <xf numFmtId="0" fontId="4" fillId="19" borderId="23" xfId="60" applyFill="1" applyBorder="1"/>
    <xf numFmtId="0" fontId="4" fillId="19" borderId="15" xfId="60" applyFill="1" applyBorder="1"/>
    <xf numFmtId="170" fontId="44" fillId="0" borderId="0" xfId="60" applyNumberFormat="1" applyFont="1"/>
    <xf numFmtId="0" fontId="4" fillId="0" borderId="0" xfId="60"/>
    <xf numFmtId="0" fontId="62" fillId="20" borderId="0" xfId="0" applyFont="1" applyFill="1" applyAlignment="1">
      <alignment vertical="top"/>
    </xf>
    <xf numFmtId="0" fontId="62" fillId="20" borderId="15" xfId="0" applyFont="1" applyFill="1" applyBorder="1" applyAlignment="1">
      <alignment horizontal="center" vertical="top"/>
    </xf>
    <xf numFmtId="0" fontId="4" fillId="35" borderId="46" xfId="0" applyFont="1" applyFill="1" applyBorder="1" applyAlignment="1">
      <alignment horizontal="center" vertical="top" wrapText="1"/>
    </xf>
    <xf numFmtId="3" fontId="0" fillId="25" borderId="0" xfId="0" applyNumberFormat="1" applyFill="1"/>
    <xf numFmtId="0" fontId="36" fillId="25" borderId="23" xfId="0" applyFont="1" applyFill="1" applyBorder="1"/>
    <xf numFmtId="0" fontId="8" fillId="25" borderId="0" xfId="0" applyFont="1" applyFill="1" applyAlignment="1">
      <alignment vertical="top"/>
    </xf>
    <xf numFmtId="0" fontId="75" fillId="25" borderId="0" xfId="0" applyFont="1" applyFill="1" applyAlignment="1">
      <alignment vertical="top"/>
    </xf>
    <xf numFmtId="0" fontId="78" fillId="25" borderId="0" xfId="0" applyFont="1" applyFill="1" applyAlignment="1">
      <alignment vertical="top"/>
    </xf>
    <xf numFmtId="0" fontId="0" fillId="25" borderId="15" xfId="0" applyFill="1" applyBorder="1"/>
    <xf numFmtId="3" fontId="44" fillId="25" borderId="0" xfId="0" applyNumberFormat="1" applyFont="1" applyFill="1" applyAlignment="1">
      <alignment horizontal="center" vertical="center"/>
    </xf>
    <xf numFmtId="3" fontId="13" fillId="25" borderId="38" xfId="0" applyNumberFormat="1" applyFont="1" applyFill="1" applyBorder="1" applyAlignment="1" applyProtection="1">
      <alignment horizontal="right" vertical="center" indent="2"/>
      <protection locked="0"/>
    </xf>
    <xf numFmtId="0" fontId="0" fillId="31" borderId="23" xfId="0" applyFill="1" applyBorder="1"/>
    <xf numFmtId="3" fontId="13" fillId="31" borderId="0" xfId="0" applyNumberFormat="1" applyFont="1" applyFill="1" applyAlignment="1">
      <alignment horizontal="right" vertical="center" indent="1"/>
    </xf>
    <xf numFmtId="0" fontId="8" fillId="31" borderId="0" xfId="0" applyFont="1" applyFill="1" applyAlignment="1">
      <alignment horizontal="left" vertical="top" wrapText="1"/>
    </xf>
    <xf numFmtId="0" fontId="0" fillId="31" borderId="15" xfId="0" applyFill="1" applyBorder="1"/>
    <xf numFmtId="0" fontId="26" fillId="17" borderId="25" xfId="41" applyFill="1" applyBorder="1" applyAlignment="1" applyProtection="1">
      <alignment horizontal="center" vertical="center" wrapText="1"/>
    </xf>
    <xf numFmtId="3" fontId="4" fillId="25" borderId="0" xfId="0" applyNumberFormat="1" applyFont="1" applyFill="1"/>
    <xf numFmtId="0" fontId="0" fillId="19" borderId="128" xfId="0" applyFill="1" applyBorder="1"/>
    <xf numFmtId="0" fontId="0" fillId="31" borderId="128" xfId="0" applyFill="1" applyBorder="1"/>
    <xf numFmtId="169" fontId="5" fillId="20" borderId="27" xfId="0" applyNumberFormat="1" applyFont="1" applyFill="1" applyBorder="1" applyAlignment="1">
      <alignment horizontal="left"/>
    </xf>
    <xf numFmtId="0" fontId="8" fillId="25" borderId="0" xfId="0" applyFont="1" applyFill="1" applyAlignment="1">
      <alignment horizontal="left" vertical="center"/>
    </xf>
    <xf numFmtId="3" fontId="8" fillId="25" borderId="0" xfId="0" applyNumberFormat="1" applyFont="1" applyFill="1" applyAlignment="1">
      <alignment horizontal="right" vertical="center"/>
    </xf>
    <xf numFmtId="3" fontId="10" fillId="25" borderId="0" xfId="0" applyNumberFormat="1" applyFont="1" applyFill="1" applyAlignment="1">
      <alignment horizontal="right" vertical="center"/>
    </xf>
    <xf numFmtId="0" fontId="10" fillId="0" borderId="0" xfId="45" applyFont="1" applyAlignment="1">
      <alignment horizontal="right"/>
    </xf>
    <xf numFmtId="0" fontId="5" fillId="20" borderId="71" xfId="0" applyFont="1" applyFill="1" applyBorder="1" applyAlignment="1">
      <alignment horizontal="center" vertical="center" wrapText="1"/>
    </xf>
    <xf numFmtId="0" fontId="5" fillId="17" borderId="43" xfId="0" applyFont="1" applyFill="1" applyBorder="1" applyAlignment="1">
      <alignment vertical="top" wrapText="1"/>
    </xf>
    <xf numFmtId="4" fontId="4" fillId="17" borderId="43" xfId="0" applyNumberFormat="1" applyFont="1" applyFill="1" applyBorder="1" applyAlignment="1">
      <alignment horizontal="center" vertical="top"/>
    </xf>
    <xf numFmtId="0" fontId="0" fillId="0" borderId="43" xfId="0" applyBorder="1" applyAlignment="1">
      <alignment horizontal="center" vertical="top"/>
    </xf>
    <xf numFmtId="0" fontId="13" fillId="19" borderId="128" xfId="0" applyFont="1" applyFill="1" applyBorder="1"/>
    <xf numFmtId="0" fontId="5" fillId="17" borderId="43" xfId="0" applyFont="1" applyFill="1" applyBorder="1" applyAlignment="1">
      <alignment horizontal="right" vertical="top" wrapText="1"/>
    </xf>
    <xf numFmtId="0" fontId="4" fillId="17" borderId="43" xfId="0" applyFont="1" applyFill="1" applyBorder="1"/>
    <xf numFmtId="0" fontId="5" fillId="44" borderId="129" xfId="0" applyFont="1" applyFill="1" applyBorder="1" applyAlignment="1">
      <alignment horizontal="right" vertical="center" wrapText="1"/>
    </xf>
    <xf numFmtId="0" fontId="5" fillId="44" borderId="0" xfId="0" applyFont="1" applyFill="1" applyAlignment="1">
      <alignment horizontal="right" vertical="center" wrapText="1"/>
    </xf>
    <xf numFmtId="0" fontId="5" fillId="45" borderId="0" xfId="0" applyFont="1" applyFill="1" applyAlignment="1">
      <alignment wrapText="1"/>
    </xf>
    <xf numFmtId="0" fontId="73" fillId="45" borderId="0" xfId="0" applyFont="1" applyFill="1" applyAlignment="1">
      <alignment wrapText="1"/>
    </xf>
    <xf numFmtId="0" fontId="5" fillId="45" borderId="0" xfId="60" applyFont="1" applyFill="1" applyAlignment="1">
      <alignment wrapText="1"/>
    </xf>
    <xf numFmtId="3" fontId="8" fillId="46" borderId="57" xfId="0" applyNumberFormat="1" applyFont="1" applyFill="1" applyBorder="1"/>
    <xf numFmtId="3" fontId="74" fillId="46" borderId="57" xfId="0" applyNumberFormat="1" applyFont="1" applyFill="1" applyBorder="1" applyAlignment="1">
      <alignment horizontal="center"/>
    </xf>
    <xf numFmtId="0" fontId="83" fillId="46" borderId="0" xfId="60" applyFont="1" applyFill="1"/>
    <xf numFmtId="3" fontId="34" fillId="17" borderId="38" xfId="60" applyNumberFormat="1" applyFont="1" applyFill="1" applyBorder="1" applyAlignment="1">
      <alignment horizontal="left" vertical="center" indent="1"/>
    </xf>
    <xf numFmtId="3" fontId="69" fillId="19" borderId="0" xfId="0" applyNumberFormat="1" applyFont="1" applyFill="1" applyAlignment="1">
      <alignment horizontal="left" vertical="center"/>
    </xf>
    <xf numFmtId="0" fontId="13" fillId="46" borderId="0" xfId="0" applyFont="1" applyFill="1"/>
    <xf numFmtId="0" fontId="4" fillId="26" borderId="0" xfId="0" applyFont="1" applyFill="1" applyAlignment="1">
      <alignment vertical="center"/>
    </xf>
    <xf numFmtId="3" fontId="69" fillId="19" borderId="128" xfId="0" applyNumberFormat="1" applyFont="1" applyFill="1" applyBorder="1" applyAlignment="1">
      <alignment vertical="center"/>
    </xf>
    <xf numFmtId="0" fontId="74" fillId="46" borderId="57" xfId="0" applyFont="1" applyFill="1" applyBorder="1" applyAlignment="1">
      <alignment horizontal="center" vertical="center"/>
    </xf>
    <xf numFmtId="0" fontId="74" fillId="0" borderId="57" xfId="0" applyFont="1" applyBorder="1" applyAlignment="1">
      <alignment horizontal="center" vertical="center"/>
    </xf>
    <xf numFmtId="4" fontId="44" fillId="17" borderId="0" xfId="0" applyNumberFormat="1" applyFont="1" applyFill="1" applyAlignment="1">
      <alignment horizontal="right" vertical="center"/>
    </xf>
    <xf numFmtId="0" fontId="83" fillId="17" borderId="0" xfId="0" applyFont="1" applyFill="1"/>
    <xf numFmtId="0" fontId="0" fillId="0" borderId="0" xfId="0" applyAlignment="1">
      <alignment vertical="center" wrapText="1"/>
    </xf>
    <xf numFmtId="0" fontId="83" fillId="17" borderId="0" xfId="0" applyFont="1" applyFill="1" applyAlignment="1">
      <alignment horizontal="right"/>
    </xf>
    <xf numFmtId="0" fontId="82" fillId="0" borderId="0" xfId="0" applyFont="1" applyAlignment="1">
      <alignment horizontal="center"/>
    </xf>
    <xf numFmtId="3" fontId="83" fillId="17" borderId="0" xfId="0" applyNumberFormat="1" applyFont="1" applyFill="1" applyAlignment="1">
      <alignment horizontal="center" vertical="center" wrapText="1"/>
    </xf>
    <xf numFmtId="0" fontId="83" fillId="0" borderId="0" xfId="0" applyFont="1" applyAlignment="1">
      <alignment horizontal="center"/>
    </xf>
    <xf numFmtId="0" fontId="83" fillId="0" borderId="0" xfId="0" applyFont="1" applyAlignment="1">
      <alignment horizontal="center" wrapText="1"/>
    </xf>
    <xf numFmtId="0" fontId="83" fillId="25" borderId="0" xfId="0" applyFont="1" applyFill="1" applyAlignment="1">
      <alignment horizontal="center"/>
    </xf>
    <xf numFmtId="0" fontId="83" fillId="17" borderId="0" xfId="0" applyFont="1" applyFill="1" applyAlignment="1">
      <alignment horizontal="center" vertical="center" wrapText="1"/>
    </xf>
    <xf numFmtId="3" fontId="83" fillId="0" borderId="0" xfId="0" applyNumberFormat="1" applyFont="1" applyAlignment="1">
      <alignment horizontal="center"/>
    </xf>
    <xf numFmtId="0" fontId="13" fillId="31" borderId="15" xfId="0" applyFont="1" applyFill="1" applyBorder="1"/>
    <xf numFmtId="4" fontId="41" fillId="20" borderId="0" xfId="0" applyNumberFormat="1" applyFont="1" applyFill="1" applyAlignment="1">
      <alignment horizontal="right" wrapText="1"/>
    </xf>
    <xf numFmtId="0" fontId="13" fillId="19" borderId="132" xfId="0" applyFont="1" applyFill="1" applyBorder="1"/>
    <xf numFmtId="3" fontId="12" fillId="19" borderId="133" xfId="0" applyNumberFormat="1" applyFont="1" applyFill="1" applyBorder="1" applyAlignment="1">
      <alignment horizontal="right" vertical="center" indent="1"/>
    </xf>
    <xf numFmtId="0" fontId="13" fillId="19" borderId="134" xfId="0" applyFont="1" applyFill="1" applyBorder="1"/>
    <xf numFmtId="3" fontId="13" fillId="19" borderId="134" xfId="0" applyNumberFormat="1" applyFont="1" applyFill="1" applyBorder="1" applyAlignment="1">
      <alignment horizontal="right" vertical="center" indent="1"/>
    </xf>
    <xf numFmtId="3" fontId="13" fillId="19" borderId="135" xfId="0" applyNumberFormat="1" applyFont="1" applyFill="1" applyBorder="1" applyAlignment="1">
      <alignment horizontal="right" vertical="center" indent="1"/>
    </xf>
    <xf numFmtId="0" fontId="83" fillId="19" borderId="23" xfId="60" applyFont="1" applyFill="1" applyBorder="1" applyAlignment="1">
      <alignment wrapText="1"/>
    </xf>
    <xf numFmtId="0" fontId="73" fillId="19" borderId="0" xfId="60" applyFont="1" applyFill="1" applyAlignment="1">
      <alignment horizontal="left" vertical="center" wrapText="1"/>
    </xf>
    <xf numFmtId="0" fontId="73" fillId="19" borderId="0" xfId="60" quotePrefix="1" applyFont="1" applyFill="1" applyAlignment="1">
      <alignment horizontal="left" wrapText="1"/>
    </xf>
    <xf numFmtId="0" fontId="73" fillId="19" borderId="0" xfId="60" quotePrefix="1" applyFont="1" applyFill="1" applyAlignment="1">
      <alignment horizontal="center" wrapText="1"/>
    </xf>
    <xf numFmtId="0" fontId="73" fillId="19" borderId="131" xfId="60" quotePrefix="1" applyFont="1" applyFill="1" applyBorder="1" applyAlignment="1">
      <alignment horizontal="left" wrapText="1"/>
    </xf>
    <xf numFmtId="0" fontId="83" fillId="19" borderId="0" xfId="60" applyFont="1" applyFill="1" applyAlignment="1">
      <alignment wrapText="1"/>
    </xf>
    <xf numFmtId="0" fontId="73" fillId="19" borderId="127" xfId="60" quotePrefix="1" applyFont="1" applyFill="1" applyBorder="1" applyAlignment="1">
      <alignment horizontal="left" wrapText="1"/>
    </xf>
    <xf numFmtId="0" fontId="83" fillId="19" borderId="0" xfId="60" applyFont="1" applyFill="1" applyAlignment="1">
      <alignment vertical="center" wrapText="1"/>
    </xf>
    <xf numFmtId="0" fontId="83" fillId="19" borderId="15" xfId="60" applyFont="1" applyFill="1" applyBorder="1" applyAlignment="1">
      <alignment wrapText="1"/>
    </xf>
    <xf numFmtId="0" fontId="83" fillId="17" borderId="0" xfId="60" applyFont="1" applyFill="1" applyAlignment="1">
      <alignment wrapText="1"/>
    </xf>
    <xf numFmtId="170" fontId="83" fillId="0" borderId="0" xfId="60" applyNumberFormat="1" applyFont="1" applyAlignment="1">
      <alignment wrapText="1"/>
    </xf>
    <xf numFmtId="0" fontId="83" fillId="0" borderId="0" xfId="60" applyFont="1" applyAlignment="1">
      <alignment wrapText="1"/>
    </xf>
    <xf numFmtId="4" fontId="4" fillId="25" borderId="0" xfId="0" applyNumberFormat="1" applyFont="1" applyFill="1" applyAlignment="1">
      <alignment horizontal="center" vertical="top"/>
    </xf>
    <xf numFmtId="2" fontId="4" fillId="25" borderId="0" xfId="0" applyNumberFormat="1" applyFont="1" applyFill="1" applyAlignment="1">
      <alignment horizontal="center" vertical="top"/>
    </xf>
    <xf numFmtId="0" fontId="0" fillId="25" borderId="0" xfId="0" applyFill="1" applyAlignment="1">
      <alignment horizontal="center" vertical="top"/>
    </xf>
    <xf numFmtId="2" fontId="0" fillId="25" borderId="0" xfId="0" applyNumberFormat="1" applyFill="1" applyAlignment="1">
      <alignment horizontal="center" vertical="top"/>
    </xf>
    <xf numFmtId="0" fontId="5" fillId="17" borderId="57" xfId="0" applyFont="1" applyFill="1" applyBorder="1" applyAlignment="1">
      <alignment horizontal="right" vertical="top" wrapText="1"/>
    </xf>
    <xf numFmtId="0" fontId="4" fillId="17" borderId="57" xfId="0" applyFont="1" applyFill="1" applyBorder="1"/>
    <xf numFmtId="0" fontId="5" fillId="20" borderId="42" xfId="0" applyFont="1" applyFill="1" applyBorder="1" applyAlignment="1">
      <alignment horizontal="center" vertical="center" wrapText="1"/>
    </xf>
    <xf numFmtId="0" fontId="5" fillId="17" borderId="41" xfId="0" applyFont="1" applyFill="1" applyBorder="1" applyAlignment="1">
      <alignment vertical="top" wrapText="1"/>
    </xf>
    <xf numFmtId="4" fontId="4" fillId="17" borderId="41" xfId="0" applyNumberFormat="1" applyFont="1" applyFill="1" applyBorder="1" applyAlignment="1">
      <alignment horizontal="center" vertical="top"/>
    </xf>
    <xf numFmtId="2" fontId="0" fillId="0" borderId="41" xfId="0" applyNumberFormat="1" applyBorder="1" applyAlignment="1">
      <alignment horizontal="center" vertical="top"/>
    </xf>
    <xf numFmtId="0" fontId="5" fillId="17" borderId="41" xfId="0" applyFont="1" applyFill="1" applyBorder="1" applyAlignment="1">
      <alignment horizontal="center" vertical="top" wrapText="1"/>
    </xf>
    <xf numFmtId="4" fontId="4" fillId="0" borderId="0" xfId="0" applyNumberFormat="1" applyFont="1" applyAlignment="1">
      <alignment horizontal="center" vertical="top"/>
    </xf>
    <xf numFmtId="4" fontId="4" fillId="31" borderId="46" xfId="0" applyNumberFormat="1" applyFont="1" applyFill="1" applyBorder="1"/>
    <xf numFmtId="4" fontId="4" fillId="31" borderId="47" xfId="0" applyNumberFormat="1" applyFont="1" applyFill="1" applyBorder="1"/>
    <xf numFmtId="3" fontId="83" fillId="31" borderId="38" xfId="0" applyNumberFormat="1" applyFont="1" applyFill="1" applyBorder="1" applyAlignment="1">
      <alignment horizontal="right"/>
    </xf>
    <xf numFmtId="4" fontId="4" fillId="31" borderId="45" xfId="0" applyNumberFormat="1" applyFont="1" applyFill="1" applyBorder="1"/>
    <xf numFmtId="4" fontId="4" fillId="31" borderId="26" xfId="0" applyNumberFormat="1" applyFont="1" applyFill="1" applyBorder="1" applyAlignment="1">
      <alignment horizontal="center"/>
    </xf>
    <xf numFmtId="4" fontId="4" fillId="31" borderId="23" xfId="0" applyNumberFormat="1" applyFont="1" applyFill="1" applyBorder="1" applyAlignment="1">
      <alignment horizontal="center"/>
    </xf>
    <xf numFmtId="0" fontId="4" fillId="31" borderId="46" xfId="0" applyFont="1" applyFill="1" applyBorder="1"/>
    <xf numFmtId="0" fontId="4" fillId="31" borderId="23" xfId="0" applyFont="1" applyFill="1" applyBorder="1" applyAlignment="1">
      <alignment horizontal="center"/>
    </xf>
    <xf numFmtId="0" fontId="4" fillId="43" borderId="0" xfId="0" applyFont="1" applyFill="1"/>
    <xf numFmtId="4" fontId="4" fillId="31" borderId="24" xfId="0" applyNumberFormat="1" applyFont="1" applyFill="1" applyBorder="1" applyAlignment="1">
      <alignment horizontal="center"/>
    </xf>
    <xf numFmtId="0" fontId="4" fillId="31" borderId="38" xfId="0" applyFont="1" applyFill="1" applyBorder="1"/>
    <xf numFmtId="0" fontId="4" fillId="31" borderId="53" xfId="0" applyFont="1" applyFill="1" applyBorder="1" applyAlignment="1">
      <alignment horizontal="center"/>
    </xf>
    <xf numFmtId="0" fontId="4" fillId="25" borderId="23" xfId="0" applyFont="1" applyFill="1" applyBorder="1" applyAlignment="1">
      <alignment vertical="top"/>
    </xf>
    <xf numFmtId="4" fontId="4" fillId="25" borderId="41" xfId="0" applyNumberFormat="1" applyFont="1" applyFill="1" applyBorder="1" applyAlignment="1">
      <alignment horizontal="center" vertical="top"/>
    </xf>
    <xf numFmtId="4" fontId="4" fillId="25" borderId="43" xfId="0" applyNumberFormat="1" applyFont="1" applyFill="1" applyBorder="1" applyAlignment="1">
      <alignment horizontal="center" vertical="top"/>
    </xf>
    <xf numFmtId="3" fontId="4" fillId="25" borderId="46" xfId="0" applyNumberFormat="1" applyFont="1" applyFill="1" applyBorder="1" applyAlignment="1">
      <alignment horizontal="center" vertical="top"/>
    </xf>
    <xf numFmtId="0" fontId="4" fillId="25" borderId="43" xfId="0" applyFont="1" applyFill="1" applyBorder="1"/>
    <xf numFmtId="3" fontId="0" fillId="25" borderId="46" xfId="0" applyNumberFormat="1" applyFill="1" applyBorder="1" applyAlignment="1">
      <alignment horizontal="center" vertical="top"/>
    </xf>
    <xf numFmtId="0" fontId="0" fillId="25" borderId="23" xfId="0" applyFill="1" applyBorder="1" applyAlignment="1">
      <alignment vertical="top"/>
    </xf>
    <xf numFmtId="0" fontId="0" fillId="25" borderId="0" xfId="0" applyFill="1" applyAlignment="1">
      <alignment vertical="top"/>
    </xf>
    <xf numFmtId="2" fontId="0" fillId="25" borderId="41" xfId="0" applyNumberFormat="1" applyFill="1" applyBorder="1" applyAlignment="1">
      <alignment horizontal="center" vertical="top"/>
    </xf>
    <xf numFmtId="0" fontId="0" fillId="25" borderId="43" xfId="0" applyFill="1" applyBorder="1" applyAlignment="1">
      <alignment horizontal="center" vertical="top"/>
    </xf>
    <xf numFmtId="0" fontId="0" fillId="25" borderId="46" xfId="0" applyFill="1" applyBorder="1" applyAlignment="1">
      <alignment horizontal="center" vertical="top"/>
    </xf>
    <xf numFmtId="0" fontId="5" fillId="0" borderId="0" xfId="0" applyFont="1"/>
    <xf numFmtId="0" fontId="12" fillId="19" borderId="0" xfId="0" applyFont="1" applyFill="1" applyAlignment="1">
      <alignment vertical="center"/>
    </xf>
    <xf numFmtId="3" fontId="12" fillId="19" borderId="0" xfId="0" applyNumberFormat="1" applyFont="1" applyFill="1" applyAlignment="1">
      <alignment horizontal="center" vertical="center" wrapText="1"/>
    </xf>
    <xf numFmtId="0" fontId="4" fillId="31" borderId="0" xfId="0" applyFont="1" applyFill="1"/>
    <xf numFmtId="169" fontId="8" fillId="17" borderId="65" xfId="0" applyNumberFormat="1" applyFont="1" applyFill="1" applyBorder="1" applyAlignment="1">
      <alignment horizontal="center"/>
    </xf>
    <xf numFmtId="3" fontId="10" fillId="31" borderId="0" xfId="0" applyNumberFormat="1" applyFont="1" applyFill="1" applyAlignment="1">
      <alignment horizontal="right" vertical="center" indent="1"/>
    </xf>
    <xf numFmtId="3" fontId="83" fillId="31" borderId="55" xfId="0" applyNumberFormat="1" applyFont="1" applyFill="1" applyBorder="1" applyAlignment="1">
      <alignment horizontal="right"/>
    </xf>
    <xf numFmtId="3" fontId="34" fillId="17" borderId="38" xfId="60" applyNumberFormat="1" applyFont="1" applyFill="1" applyBorder="1" applyAlignment="1" applyProtection="1">
      <alignment vertical="center"/>
      <protection locked="0"/>
    </xf>
    <xf numFmtId="3" fontId="94" fillId="19" borderId="0" xfId="60" applyNumberFormat="1" applyFont="1" applyFill="1" applyAlignment="1">
      <alignment horizontal="left" vertical="center"/>
    </xf>
    <xf numFmtId="3" fontId="34" fillId="19" borderId="0" xfId="60" applyNumberFormat="1" applyFont="1" applyFill="1" applyAlignment="1">
      <alignment horizontal="right" vertical="center" indent="1"/>
    </xf>
    <xf numFmtId="3" fontId="34" fillId="17" borderId="115" xfId="60" applyNumberFormat="1" applyFont="1" applyFill="1" applyBorder="1" applyAlignment="1">
      <alignment vertical="center"/>
    </xf>
    <xf numFmtId="3" fontId="36" fillId="19" borderId="0" xfId="60" applyNumberFormat="1" applyFont="1" applyFill="1" applyAlignment="1">
      <alignment horizontal="right" vertical="center" indent="1"/>
    </xf>
    <xf numFmtId="0" fontId="14" fillId="46" borderId="38" xfId="0" applyFont="1" applyFill="1" applyBorder="1" applyAlignment="1">
      <alignment horizontal="center" vertical="center" wrapText="1"/>
    </xf>
    <xf numFmtId="0" fontId="14" fillId="26" borderId="38" xfId="0" applyFont="1" applyFill="1" applyBorder="1" applyAlignment="1">
      <alignment horizontal="center" vertical="top" wrapText="1"/>
    </xf>
    <xf numFmtId="3" fontId="12" fillId="31" borderId="16" xfId="0" applyNumberFormat="1" applyFont="1" applyFill="1" applyBorder="1" applyAlignment="1">
      <alignment horizontal="right" vertical="center" indent="1"/>
    </xf>
    <xf numFmtId="0" fontId="13" fillId="17" borderId="0" xfId="0" applyFont="1" applyFill="1" applyAlignment="1">
      <alignment horizontal="right" vertical="center" indent="2"/>
    </xf>
    <xf numFmtId="3" fontId="46" fillId="17" borderId="0" xfId="0" applyNumberFormat="1" applyFont="1" applyFill="1" applyAlignment="1">
      <alignment horizontal="center" vertical="center" wrapText="1"/>
    </xf>
    <xf numFmtId="165" fontId="13" fillId="17" borderId="0" xfId="34" applyFont="1" applyFill="1" applyBorder="1" applyAlignment="1" applyProtection="1">
      <alignment horizontal="center" vertical="center"/>
    </xf>
    <xf numFmtId="3" fontId="13" fillId="17" borderId="0" xfId="0" applyNumberFormat="1" applyFont="1" applyFill="1" applyAlignment="1">
      <alignment vertical="top"/>
    </xf>
    <xf numFmtId="0" fontId="44" fillId="17" borderId="0" xfId="0" applyFont="1" applyFill="1" applyAlignment="1">
      <alignment horizontal="center" wrapText="1"/>
    </xf>
    <xf numFmtId="0" fontId="13" fillId="17" borderId="0" xfId="0" applyFont="1" applyFill="1" applyAlignment="1">
      <alignment vertical="center" wrapText="1"/>
    </xf>
    <xf numFmtId="0" fontId="43" fillId="17" borderId="0" xfId="0" applyFont="1" applyFill="1" applyAlignment="1">
      <alignment horizontal="right" vertical="center" indent="2"/>
    </xf>
    <xf numFmtId="3" fontId="78" fillId="25" borderId="0" xfId="0" applyNumberFormat="1" applyFont="1" applyFill="1" applyAlignment="1">
      <alignment horizontal="center" vertical="center"/>
    </xf>
    <xf numFmtId="0" fontId="75" fillId="25" borderId="0" xfId="0" applyFont="1" applyFill="1" applyAlignment="1">
      <alignment horizontal="right" vertical="center" indent="2"/>
    </xf>
    <xf numFmtId="0" fontId="13" fillId="17" borderId="0" xfId="0" applyFont="1" applyFill="1" applyAlignment="1">
      <alignment wrapText="1"/>
    </xf>
    <xf numFmtId="3" fontId="4" fillId="17" borderId="0" xfId="0" applyNumberFormat="1" applyFont="1" applyFill="1" applyAlignment="1">
      <alignment horizontal="right" vertical="center" indent="2"/>
    </xf>
    <xf numFmtId="3" fontId="44" fillId="17" borderId="0" xfId="0" applyNumberFormat="1" applyFont="1" applyFill="1" applyAlignment="1">
      <alignment vertical="center" wrapText="1"/>
    </xf>
    <xf numFmtId="3" fontId="13" fillId="25" borderId="0" xfId="0" applyNumberFormat="1" applyFont="1" applyFill="1" applyAlignment="1">
      <alignment horizontal="right" vertical="center" indent="2"/>
    </xf>
    <xf numFmtId="0" fontId="13" fillId="17" borderId="23" xfId="0" applyFont="1" applyFill="1" applyBorder="1" applyAlignment="1">
      <alignment vertical="top"/>
    </xf>
    <xf numFmtId="0" fontId="13" fillId="17" borderId="24" xfId="0" applyFont="1" applyFill="1" applyBorder="1" applyAlignment="1">
      <alignment vertical="top"/>
    </xf>
    <xf numFmtId="0" fontId="0" fillId="20" borderId="0" xfId="0" applyFill="1" applyAlignment="1">
      <alignment horizontal="center"/>
    </xf>
    <xf numFmtId="0" fontId="0" fillId="20" borderId="0" xfId="0" applyFill="1"/>
    <xf numFmtId="0" fontId="0" fillId="20" borderId="23" xfId="0" applyFill="1" applyBorder="1"/>
    <xf numFmtId="0" fontId="19" fillId="25" borderId="1" xfId="26" applyFill="1" applyProtection="1"/>
    <xf numFmtId="0" fontId="0" fillId="31" borderId="0" xfId="0" applyFill="1" applyAlignment="1">
      <alignment horizontal="left" vertical="top" wrapText="1"/>
    </xf>
    <xf numFmtId="0" fontId="4" fillId="0" borderId="0" xfId="0" applyFont="1" applyAlignment="1">
      <alignment vertical="top"/>
    </xf>
    <xf numFmtId="4" fontId="4" fillId="0" borderId="41" xfId="0" applyNumberFormat="1" applyFont="1" applyBorder="1" applyAlignment="1">
      <alignment horizontal="center" vertical="top"/>
    </xf>
    <xf numFmtId="4" fontId="4" fillId="0" borderId="43" xfId="0" applyNumberFormat="1" applyFont="1" applyBorder="1" applyAlignment="1">
      <alignment horizontal="center" vertical="top"/>
    </xf>
    <xf numFmtId="0" fontId="4" fillId="0" borderId="43" xfId="0" applyFont="1" applyBorder="1"/>
    <xf numFmtId="4" fontId="4" fillId="31" borderId="0" xfId="0" applyNumberFormat="1" applyFont="1" applyFill="1" applyAlignment="1">
      <alignment horizontal="center" vertical="top"/>
    </xf>
    <xf numFmtId="0" fontId="4" fillId="31" borderId="0" xfId="0" applyFont="1" applyFill="1" applyAlignment="1">
      <alignment vertical="top"/>
    </xf>
    <xf numFmtId="4" fontId="4" fillId="31" borderId="41" xfId="0" applyNumberFormat="1" applyFont="1" applyFill="1" applyBorder="1" applyAlignment="1">
      <alignment horizontal="center" vertical="top"/>
    </xf>
    <xf numFmtId="3" fontId="8" fillId="25" borderId="0" xfId="0" applyNumberFormat="1" applyFont="1" applyFill="1" applyAlignment="1">
      <alignment vertical="top"/>
    </xf>
    <xf numFmtId="0" fontId="8" fillId="25" borderId="128" xfId="45" applyFont="1" applyFill="1" applyBorder="1" applyAlignment="1">
      <alignment vertical="top"/>
    </xf>
    <xf numFmtId="0" fontId="13" fillId="31" borderId="0" xfId="0" applyFont="1" applyFill="1" applyAlignment="1">
      <alignment horizontal="center"/>
    </xf>
    <xf numFmtId="3" fontId="13" fillId="31" borderId="19" xfId="0" applyNumberFormat="1" applyFont="1" applyFill="1" applyBorder="1" applyAlignment="1">
      <alignment horizontal="right" vertical="center" indent="1"/>
    </xf>
    <xf numFmtId="0" fontId="13" fillId="31" borderId="19" xfId="0" applyFont="1" applyFill="1" applyBorder="1"/>
    <xf numFmtId="0" fontId="12" fillId="31" borderId="0" xfId="0" applyFont="1" applyFill="1"/>
    <xf numFmtId="0" fontId="0" fillId="31" borderId="22" xfId="0" applyFill="1" applyBorder="1"/>
    <xf numFmtId="0" fontId="0" fillId="31" borderId="18" xfId="0" applyFill="1" applyBorder="1"/>
    <xf numFmtId="0" fontId="0" fillId="31" borderId="20" xfId="0" applyFill="1" applyBorder="1"/>
    <xf numFmtId="0" fontId="0" fillId="31" borderId="21" xfId="0" applyFill="1" applyBorder="1"/>
    <xf numFmtId="0" fontId="12" fillId="31" borderId="0" xfId="0" applyFont="1" applyFill="1" applyAlignment="1">
      <alignment horizontal="center"/>
    </xf>
    <xf numFmtId="0" fontId="8" fillId="0" borderId="0" xfId="0" applyFont="1" applyAlignment="1">
      <alignment vertical="top"/>
    </xf>
    <xf numFmtId="0" fontId="13" fillId="0" borderId="0" xfId="0" applyFont="1" applyAlignment="1">
      <alignment vertical="top" wrapText="1"/>
    </xf>
    <xf numFmtId="3" fontId="8" fillId="31" borderId="0" xfId="0" applyNumberFormat="1" applyFont="1" applyFill="1" applyAlignment="1">
      <alignment horizontal="right" vertical="center" indent="1"/>
    </xf>
    <xf numFmtId="4" fontId="4" fillId="26" borderId="46" xfId="0" applyNumberFormat="1" applyFont="1" applyFill="1" applyBorder="1"/>
    <xf numFmtId="4" fontId="4" fillId="26" borderId="23" xfId="0" applyNumberFormat="1" applyFont="1" applyFill="1" applyBorder="1" applyAlignment="1">
      <alignment horizontal="center"/>
    </xf>
    <xf numFmtId="0" fontId="69" fillId="17" borderId="52" xfId="0" applyFont="1" applyFill="1" applyBorder="1"/>
    <xf numFmtId="0" fontId="8" fillId="27" borderId="103" xfId="45" applyFont="1" applyFill="1" applyBorder="1" applyAlignment="1" applyProtection="1">
      <alignment horizontal="left" vertical="center" wrapText="1"/>
      <protection locked="0"/>
    </xf>
    <xf numFmtId="0" fontId="8" fillId="27" borderId="37" xfId="45" applyFont="1" applyFill="1" applyBorder="1" applyAlignment="1" applyProtection="1">
      <alignment horizontal="left" vertical="center" wrapText="1"/>
      <protection locked="0"/>
    </xf>
    <xf numFmtId="0" fontId="8" fillId="27" borderId="35" xfId="45" applyFont="1" applyFill="1" applyBorder="1" applyAlignment="1" applyProtection="1">
      <alignment horizontal="left" vertical="center" wrapText="1"/>
      <protection locked="0"/>
    </xf>
    <xf numFmtId="0" fontId="5" fillId="46" borderId="38" xfId="0" applyFont="1" applyFill="1" applyBorder="1" applyAlignment="1">
      <alignment vertical="top" wrapText="1"/>
    </xf>
    <xf numFmtId="0" fontId="0" fillId="17" borderId="128" xfId="0" applyFill="1" applyBorder="1"/>
    <xf numFmtId="3" fontId="69" fillId="51" borderId="0" xfId="0" applyNumberFormat="1" applyFont="1" applyFill="1" applyAlignment="1">
      <alignment vertical="center"/>
    </xf>
    <xf numFmtId="0" fontId="8" fillId="51" borderId="0" xfId="0" applyFont="1" applyFill="1"/>
    <xf numFmtId="0" fontId="13" fillId="51" borderId="0" xfId="0" applyFont="1" applyFill="1"/>
    <xf numFmtId="3" fontId="12" fillId="51" borderId="0" xfId="0" applyNumberFormat="1" applyFont="1" applyFill="1" applyAlignment="1">
      <alignment vertical="center"/>
    </xf>
    <xf numFmtId="3" fontId="13" fillId="51" borderId="0" xfId="0" applyNumberFormat="1" applyFont="1" applyFill="1" applyAlignment="1">
      <alignment horizontal="right" vertical="center" indent="1"/>
    </xf>
    <xf numFmtId="3" fontId="12" fillId="51" borderId="0" xfId="0" applyNumberFormat="1" applyFont="1" applyFill="1" applyAlignment="1">
      <alignment horizontal="right" vertical="center" indent="1"/>
    </xf>
    <xf numFmtId="0" fontId="0" fillId="51" borderId="0" xfId="0" applyFill="1"/>
    <xf numFmtId="0" fontId="8" fillId="0" borderId="0" xfId="0" applyFont="1" applyAlignment="1">
      <alignment horizontal="center" wrapText="1"/>
    </xf>
    <xf numFmtId="0" fontId="13" fillId="25" borderId="128" xfId="0" applyFont="1" applyFill="1" applyBorder="1"/>
    <xf numFmtId="0" fontId="10" fillId="25" borderId="0" xfId="0" applyFont="1" applyFill="1" applyAlignment="1">
      <alignment horizontal="left"/>
    </xf>
    <xf numFmtId="0" fontId="8" fillId="51" borderId="0" xfId="0" applyFont="1" applyFill="1" applyAlignment="1">
      <alignment horizontal="left"/>
    </xf>
    <xf numFmtId="3" fontId="74" fillId="51" borderId="0" xfId="0" applyNumberFormat="1" applyFont="1" applyFill="1" applyAlignment="1">
      <alignment horizontal="right" vertical="center" indent="1"/>
    </xf>
    <xf numFmtId="3" fontId="47" fillId="51" borderId="0" xfId="0" applyNumberFormat="1" applyFont="1" applyFill="1" applyAlignment="1">
      <alignment horizontal="right" vertical="center" indent="1"/>
    </xf>
    <xf numFmtId="3" fontId="74" fillId="51" borderId="0" xfId="0" applyNumberFormat="1" applyFont="1" applyFill="1" applyAlignment="1">
      <alignment horizontal="left" vertical="center"/>
    </xf>
    <xf numFmtId="2" fontId="0" fillId="0" borderId="0" xfId="0" applyNumberFormat="1"/>
    <xf numFmtId="3" fontId="74" fillId="51" borderId="0" xfId="0" applyNumberFormat="1" applyFont="1" applyFill="1" applyAlignment="1">
      <alignment horizontal="left" vertical="center" indent="1"/>
    </xf>
    <xf numFmtId="0" fontId="74" fillId="23" borderId="58" xfId="0" applyFont="1" applyFill="1" applyBorder="1" applyAlignment="1">
      <alignment horizontal="center" vertical="center"/>
    </xf>
    <xf numFmtId="3" fontId="47" fillId="51" borderId="0" xfId="0" applyNumberFormat="1" applyFont="1" applyFill="1" applyAlignment="1">
      <alignment vertical="center"/>
    </xf>
    <xf numFmtId="0" fontId="12" fillId="19" borderId="0" xfId="0" applyFont="1" applyFill="1" applyAlignment="1">
      <alignment wrapText="1"/>
    </xf>
    <xf numFmtId="0" fontId="8" fillId="31" borderId="0" xfId="0" applyFont="1" applyFill="1" applyAlignment="1">
      <alignment vertical="top"/>
    </xf>
    <xf numFmtId="0" fontId="13" fillId="31" borderId="0" xfId="0" applyFont="1" applyFill="1" applyAlignment="1">
      <alignment vertical="top"/>
    </xf>
    <xf numFmtId="0" fontId="13" fillId="31" borderId="0" xfId="0" applyFont="1" applyFill="1" applyAlignment="1">
      <alignment vertical="top" wrapText="1"/>
    </xf>
    <xf numFmtId="3" fontId="12" fillId="31" borderId="19" xfId="0" applyNumberFormat="1" applyFont="1" applyFill="1" applyBorder="1" applyAlignment="1">
      <alignment horizontal="right" vertical="center" indent="1"/>
    </xf>
    <xf numFmtId="0" fontId="48" fillId="31" borderId="0" xfId="0" applyFont="1" applyFill="1"/>
    <xf numFmtId="3" fontId="12" fillId="31" borderId="22" xfId="0" applyNumberFormat="1" applyFont="1" applyFill="1" applyBorder="1" applyAlignment="1">
      <alignment horizontal="right" vertical="center" indent="1"/>
    </xf>
    <xf numFmtId="3" fontId="13" fillId="31" borderId="22" xfId="0" applyNumberFormat="1" applyFont="1" applyFill="1" applyBorder="1" applyAlignment="1">
      <alignment horizontal="right" vertical="center" indent="1"/>
    </xf>
    <xf numFmtId="3" fontId="13" fillId="47" borderId="0" xfId="0" applyNumberFormat="1" applyFont="1" applyFill="1" applyAlignment="1">
      <alignment horizontal="right" vertical="center" indent="1"/>
    </xf>
    <xf numFmtId="3" fontId="12" fillId="47" borderId="0" xfId="0" applyNumberFormat="1" applyFont="1" applyFill="1" applyAlignment="1">
      <alignment horizontal="right" vertical="center" indent="1"/>
    </xf>
    <xf numFmtId="0" fontId="0" fillId="47" borderId="0" xfId="0" applyFill="1"/>
    <xf numFmtId="3" fontId="13" fillId="47" borderId="19" xfId="0" applyNumberFormat="1" applyFont="1" applyFill="1" applyBorder="1" applyAlignment="1">
      <alignment horizontal="right" vertical="center" indent="1"/>
    </xf>
    <xf numFmtId="3" fontId="12" fillId="47" borderId="19" xfId="0" applyNumberFormat="1" applyFont="1" applyFill="1" applyBorder="1" applyAlignment="1">
      <alignment horizontal="right" vertical="center" indent="1"/>
    </xf>
    <xf numFmtId="0" fontId="0" fillId="47" borderId="59" xfId="0" applyFill="1" applyBorder="1"/>
    <xf numFmtId="0" fontId="0" fillId="47" borderId="60" xfId="0" applyFill="1" applyBorder="1"/>
    <xf numFmtId="3" fontId="13" fillId="47" borderId="22" xfId="0" applyNumberFormat="1" applyFont="1" applyFill="1" applyBorder="1" applyAlignment="1">
      <alignment horizontal="right" vertical="center" indent="1"/>
    </xf>
    <xf numFmtId="3" fontId="12" fillId="47" borderId="22" xfId="0" applyNumberFormat="1" applyFont="1" applyFill="1" applyBorder="1" applyAlignment="1">
      <alignment horizontal="right" vertical="center" indent="1"/>
    </xf>
    <xf numFmtId="0" fontId="0" fillId="47" borderId="61" xfId="0" applyFill="1" applyBorder="1"/>
    <xf numFmtId="0" fontId="4" fillId="26" borderId="46" xfId="0" applyFont="1" applyFill="1" applyBorder="1"/>
    <xf numFmtId="0" fontId="4" fillId="26" borderId="23" xfId="0" applyFont="1" applyFill="1" applyBorder="1" applyAlignment="1">
      <alignment horizontal="center"/>
    </xf>
    <xf numFmtId="3" fontId="4" fillId="31" borderId="46" xfId="0" applyNumberFormat="1" applyFont="1" applyFill="1" applyBorder="1" applyAlignment="1">
      <alignment horizontal="center" vertical="top"/>
    </xf>
    <xf numFmtId="0" fontId="4" fillId="31" borderId="43" xfId="0" applyFont="1" applyFill="1" applyBorder="1"/>
    <xf numFmtId="0" fontId="4" fillId="25" borderId="0" xfId="0" quotePrefix="1" applyFont="1" applyFill="1" applyAlignment="1">
      <alignment vertical="top"/>
    </xf>
    <xf numFmtId="3" fontId="34" fillId="25" borderId="38" xfId="60" applyNumberFormat="1" applyFont="1" applyFill="1" applyBorder="1" applyAlignment="1" applyProtection="1">
      <alignment vertical="center"/>
      <protection locked="0"/>
    </xf>
    <xf numFmtId="0" fontId="4" fillId="25" borderId="0" xfId="0" applyFont="1" applyFill="1" applyAlignment="1">
      <alignment horizontal="left" vertical="top" wrapText="1" indent="1"/>
    </xf>
    <xf numFmtId="0" fontId="4" fillId="20" borderId="26" xfId="0" applyFont="1" applyFill="1" applyBorder="1"/>
    <xf numFmtId="0" fontId="9" fillId="20" borderId="0" xfId="0" applyFont="1" applyFill="1" applyAlignment="1">
      <alignment horizontal="center"/>
    </xf>
    <xf numFmtId="0" fontId="10" fillId="20" borderId="0" xfId="0" applyFont="1" applyFill="1" applyAlignment="1">
      <alignment horizontal="center"/>
    </xf>
    <xf numFmtId="0" fontId="34" fillId="20" borderId="0" xfId="0" applyFont="1" applyFill="1" applyAlignment="1">
      <alignment horizontal="center"/>
    </xf>
    <xf numFmtId="0" fontId="35" fillId="20" borderId="0" xfId="0" applyFont="1" applyFill="1" applyAlignment="1">
      <alignment horizontal="center" shrinkToFit="1"/>
    </xf>
    <xf numFmtId="3" fontId="4" fillId="25" borderId="0" xfId="94" applyNumberFormat="1" applyFill="1"/>
    <xf numFmtId="0" fontId="13" fillId="31" borderId="128" xfId="0" applyFont="1" applyFill="1" applyBorder="1"/>
    <xf numFmtId="0" fontId="119" fillId="0" borderId="0" xfId="0" applyFont="1" applyAlignment="1">
      <alignment vertical="top" wrapText="1"/>
    </xf>
    <xf numFmtId="0" fontId="120" fillId="0" borderId="0" xfId="0" applyFont="1" applyAlignment="1">
      <alignment vertical="top"/>
    </xf>
    <xf numFmtId="3" fontId="124" fillId="17" borderId="0" xfId="0" applyNumberFormat="1" applyFont="1" applyFill="1" applyAlignment="1">
      <alignment horizontal="center" vertical="center" wrapText="1"/>
    </xf>
    <xf numFmtId="165" fontId="119" fillId="17" borderId="0" xfId="34" applyFont="1" applyFill="1" applyBorder="1" applyAlignment="1" applyProtection="1">
      <alignment horizontal="center" vertical="center"/>
    </xf>
    <xf numFmtId="3" fontId="5" fillId="31" borderId="0" xfId="0" applyNumberFormat="1" applyFont="1" applyFill="1" applyAlignment="1">
      <alignment horizontal="right" vertical="center"/>
    </xf>
    <xf numFmtId="0" fontId="5" fillId="26" borderId="130" xfId="0" applyFont="1" applyFill="1" applyBorder="1" applyAlignment="1">
      <alignment horizontal="right" vertical="center" wrapText="1"/>
    </xf>
    <xf numFmtId="0" fontId="8" fillId="25" borderId="0" xfId="45" applyFont="1" applyFill="1" applyAlignment="1">
      <alignment horizontal="center" vertical="center"/>
    </xf>
    <xf numFmtId="0" fontId="8" fillId="25" borderId="25" xfId="0" applyFont="1" applyFill="1" applyBorder="1" applyAlignment="1">
      <alignment horizontal="left"/>
    </xf>
    <xf numFmtId="0" fontId="80" fillId="19" borderId="0" xfId="0" applyFont="1" applyFill="1" applyAlignment="1">
      <alignment horizontal="center" vertical="center"/>
    </xf>
    <xf numFmtId="0" fontId="80" fillId="19" borderId="0" xfId="0" applyFont="1" applyFill="1" applyAlignment="1">
      <alignment horizontal="center" vertical="center" wrapText="1"/>
    </xf>
    <xf numFmtId="3" fontId="12" fillId="31" borderId="0" xfId="0" applyNumberFormat="1" applyFont="1" applyFill="1" applyAlignment="1">
      <alignment horizontal="center"/>
    </xf>
    <xf numFmtId="0" fontId="12" fillId="19" borderId="25" xfId="0" applyFont="1" applyFill="1" applyBorder="1" applyAlignment="1">
      <alignment horizontal="center"/>
    </xf>
    <xf numFmtId="0" fontId="74" fillId="25" borderId="0" xfId="0" applyFont="1" applyFill="1" applyAlignment="1">
      <alignment horizontal="center" vertical="center"/>
    </xf>
    <xf numFmtId="0" fontId="8" fillId="19" borderId="0" xfId="0" applyFont="1" applyFill="1" applyAlignment="1">
      <alignment horizontal="center"/>
    </xf>
    <xf numFmtId="0" fontId="12" fillId="24" borderId="0" xfId="0" applyFont="1" applyFill="1" applyAlignment="1">
      <alignment horizontal="center" vertical="center"/>
    </xf>
    <xf numFmtId="0" fontId="12" fillId="19" borderId="116" xfId="0" applyFont="1" applyFill="1" applyBorder="1" applyAlignment="1">
      <alignment horizontal="center"/>
    </xf>
    <xf numFmtId="3" fontId="8" fillId="19" borderId="0" xfId="0" applyNumberFormat="1" applyFont="1" applyFill="1" applyAlignment="1">
      <alignment vertical="center"/>
    </xf>
    <xf numFmtId="3" fontId="10" fillId="17" borderId="115" xfId="0" applyNumberFormat="1" applyFont="1" applyFill="1" applyBorder="1" applyAlignment="1">
      <alignment vertical="center"/>
    </xf>
    <xf numFmtId="3" fontId="10" fillId="25" borderId="115" xfId="0" applyNumberFormat="1" applyFont="1" applyFill="1" applyBorder="1" applyAlignment="1">
      <alignment vertical="center"/>
    </xf>
    <xf numFmtId="3" fontId="12" fillId="17" borderId="115" xfId="0" applyNumberFormat="1" applyFont="1" applyFill="1" applyBorder="1" applyAlignment="1">
      <alignment vertical="center"/>
    </xf>
    <xf numFmtId="9" fontId="10" fillId="24" borderId="137" xfId="48" applyFont="1" applyFill="1" applyBorder="1" applyAlignment="1" applyProtection="1">
      <alignment vertical="center"/>
    </xf>
    <xf numFmtId="3" fontId="12" fillId="17" borderId="38" xfId="0" applyNumberFormat="1" applyFont="1" applyFill="1" applyBorder="1" applyAlignment="1" applyProtection="1">
      <alignment vertical="center"/>
      <protection locked="0"/>
    </xf>
    <xf numFmtId="3" fontId="12" fillId="17" borderId="137" xfId="0" applyNumberFormat="1" applyFont="1" applyFill="1" applyBorder="1" applyAlignment="1">
      <alignment vertical="center"/>
    </xf>
    <xf numFmtId="3" fontId="12" fillId="24" borderId="137" xfId="0" applyNumberFormat="1" applyFont="1" applyFill="1" applyBorder="1" applyAlignment="1">
      <alignment vertical="center"/>
    </xf>
    <xf numFmtId="3" fontId="12" fillId="47" borderId="137" xfId="0" applyNumberFormat="1" applyFont="1" applyFill="1" applyBorder="1" applyAlignment="1">
      <alignment vertical="center"/>
    </xf>
    <xf numFmtId="3" fontId="12" fillId="25" borderId="137" xfId="0" applyNumberFormat="1" applyFont="1" applyFill="1" applyBorder="1" applyAlignment="1">
      <alignment vertical="center"/>
    </xf>
    <xf numFmtId="3" fontId="12" fillId="25" borderId="38" xfId="0" applyNumberFormat="1" applyFont="1" applyFill="1" applyBorder="1" applyAlignment="1" applyProtection="1">
      <alignment vertical="center"/>
      <protection locked="0"/>
    </xf>
    <xf numFmtId="3" fontId="10" fillId="25" borderId="38" xfId="0" applyNumberFormat="1" applyFont="1" applyFill="1" applyBorder="1" applyAlignment="1" applyProtection="1">
      <alignment vertical="center"/>
      <protection locked="0"/>
    </xf>
    <xf numFmtId="3" fontId="12" fillId="0" borderId="38" xfId="0" applyNumberFormat="1" applyFont="1" applyBorder="1" applyAlignment="1" applyProtection="1">
      <alignment vertical="center"/>
      <protection locked="0"/>
    </xf>
    <xf numFmtId="3" fontId="12" fillId="0" borderId="115" xfId="0" applyNumberFormat="1" applyFont="1" applyBorder="1" applyAlignment="1">
      <alignment vertical="center"/>
    </xf>
    <xf numFmtId="3" fontId="12" fillId="24" borderId="115" xfId="0" applyNumberFormat="1" applyFont="1" applyFill="1" applyBorder="1" applyAlignment="1">
      <alignment vertical="center"/>
    </xf>
    <xf numFmtId="3" fontId="12" fillId="25" borderId="115" xfId="0" applyNumberFormat="1" applyFont="1" applyFill="1" applyBorder="1" applyAlignment="1">
      <alignment vertical="center"/>
    </xf>
    <xf numFmtId="3" fontId="12" fillId="24" borderId="138" xfId="0" applyNumberFormat="1" applyFont="1" applyFill="1" applyBorder="1" applyAlignment="1">
      <alignment vertical="center"/>
    </xf>
    <xf numFmtId="3" fontId="12" fillId="17" borderId="139" xfId="0" applyNumberFormat="1" applyFont="1" applyFill="1" applyBorder="1" applyAlignment="1">
      <alignment vertical="center"/>
    </xf>
    <xf numFmtId="3" fontId="10" fillId="0" borderId="140" xfId="0" applyNumberFormat="1" applyFont="1" applyBorder="1" applyAlignment="1" applyProtection="1">
      <alignment vertical="center"/>
      <protection locked="0"/>
    </xf>
    <xf numFmtId="0" fontId="8" fillId="31" borderId="0" xfId="0" applyFont="1" applyFill="1" applyAlignment="1">
      <alignment wrapText="1"/>
    </xf>
    <xf numFmtId="0" fontId="13" fillId="31" borderId="31" xfId="0" applyFont="1" applyFill="1" applyBorder="1"/>
    <xf numFmtId="0" fontId="13" fillId="31" borderId="32" xfId="0" applyFont="1" applyFill="1" applyBorder="1"/>
    <xf numFmtId="0" fontId="13" fillId="31" borderId="25" xfId="0" applyFont="1" applyFill="1" applyBorder="1"/>
    <xf numFmtId="0" fontId="8" fillId="31" borderId="31" xfId="0" applyFont="1" applyFill="1" applyBorder="1"/>
    <xf numFmtId="0" fontId="0" fillId="31" borderId="16" xfId="0" applyFill="1" applyBorder="1"/>
    <xf numFmtId="0" fontId="0" fillId="19" borderId="141" xfId="0" applyFill="1" applyBorder="1"/>
    <xf numFmtId="3" fontId="12" fillId="37" borderId="38" xfId="0" applyNumberFormat="1" applyFont="1" applyFill="1" applyBorder="1" applyAlignment="1" applyProtection="1">
      <alignment vertical="center"/>
      <protection locked="0"/>
    </xf>
    <xf numFmtId="3" fontId="12" fillId="37" borderId="137" xfId="0" applyNumberFormat="1" applyFont="1" applyFill="1" applyBorder="1" applyAlignment="1">
      <alignment vertical="center"/>
    </xf>
    <xf numFmtId="3" fontId="10" fillId="37" borderId="38" xfId="0" applyNumberFormat="1" applyFont="1" applyFill="1" applyBorder="1" applyAlignment="1" applyProtection="1">
      <alignment vertical="center"/>
      <protection locked="0"/>
    </xf>
    <xf numFmtId="0" fontId="0" fillId="24" borderId="31" xfId="0" applyFill="1" applyBorder="1"/>
    <xf numFmtId="0" fontId="0" fillId="24" borderId="32" xfId="0" applyFill="1" applyBorder="1"/>
    <xf numFmtId="0" fontId="0" fillId="24" borderId="142" xfId="0" applyFill="1" applyBorder="1"/>
    <xf numFmtId="0" fontId="0" fillId="24" borderId="111" xfId="0" applyFill="1" applyBorder="1"/>
    <xf numFmtId="0" fontId="0" fillId="24" borderId="22" xfId="0" applyFill="1" applyBorder="1"/>
    <xf numFmtId="0" fontId="0" fillId="24" borderId="143" xfId="0" applyFill="1" applyBorder="1"/>
    <xf numFmtId="0" fontId="0" fillId="24" borderId="12" xfId="0" applyFill="1" applyBorder="1"/>
    <xf numFmtId="0" fontId="0" fillId="24" borderId="13" xfId="0" applyFill="1" applyBorder="1"/>
    <xf numFmtId="0" fontId="0" fillId="24" borderId="14" xfId="0" applyFill="1" applyBorder="1"/>
    <xf numFmtId="0" fontId="0" fillId="24" borderId="112" xfId="0" applyFill="1" applyBorder="1"/>
    <xf numFmtId="0" fontId="0" fillId="24" borderId="20" xfId="0" applyFill="1" applyBorder="1"/>
    <xf numFmtId="0" fontId="0" fillId="24" borderId="21" xfId="0" applyFill="1" applyBorder="1"/>
    <xf numFmtId="0" fontId="0" fillId="24" borderId="85" xfId="0" applyFill="1" applyBorder="1"/>
    <xf numFmtId="0" fontId="0" fillId="24" borderId="91" xfId="0" applyFill="1" applyBorder="1"/>
    <xf numFmtId="0" fontId="0" fillId="24" borderId="84" xfId="0" applyFill="1" applyBorder="1"/>
    <xf numFmtId="0" fontId="0" fillId="24" borderId="88" xfId="0" applyFill="1" applyBorder="1"/>
    <xf numFmtId="0" fontId="0" fillId="24" borderId="90" xfId="0" applyFill="1" applyBorder="1"/>
    <xf numFmtId="3" fontId="13" fillId="17" borderId="144" xfId="0" applyNumberFormat="1" applyFont="1" applyFill="1" applyBorder="1" applyAlignment="1">
      <alignment horizontal="right" vertical="center" indent="1"/>
    </xf>
    <xf numFmtId="3" fontId="13" fillId="17" borderId="145" xfId="0" applyNumberFormat="1" applyFont="1" applyFill="1" applyBorder="1" applyAlignment="1">
      <alignment horizontal="right" vertical="center" indent="1"/>
    </xf>
    <xf numFmtId="3" fontId="12" fillId="17" borderId="0" xfId="0" applyNumberFormat="1" applyFont="1" applyFill="1" applyAlignment="1">
      <alignment horizontal="right" vertical="center" indent="1"/>
    </xf>
    <xf numFmtId="0" fontId="13" fillId="19" borderId="146" xfId="0" applyFont="1" applyFill="1" applyBorder="1"/>
    <xf numFmtId="0" fontId="8" fillId="19" borderId="0" xfId="0" applyFont="1" applyFill="1" applyAlignment="1">
      <alignment vertical="top" wrapText="1"/>
    </xf>
    <xf numFmtId="0" fontId="4" fillId="31" borderId="0" xfId="0" applyFont="1" applyFill="1" applyAlignment="1">
      <alignment vertical="top" wrapText="1"/>
    </xf>
    <xf numFmtId="0" fontId="0" fillId="31" borderId="0" xfId="0" applyFill="1" applyAlignment="1">
      <alignment vertical="top" wrapText="1"/>
    </xf>
    <xf numFmtId="0" fontId="5" fillId="20" borderId="26" xfId="0" applyFont="1" applyFill="1" applyBorder="1" applyAlignment="1">
      <alignment vertical="top"/>
    </xf>
    <xf numFmtId="0" fontId="5" fillId="20" borderId="16" xfId="0" applyFont="1" applyFill="1" applyBorder="1" applyAlignment="1">
      <alignment vertical="top"/>
    </xf>
    <xf numFmtId="0" fontId="13" fillId="25" borderId="141" xfId="0" applyFont="1" applyFill="1" applyBorder="1"/>
    <xf numFmtId="0" fontId="35" fillId="25" borderId="0" xfId="0" applyFont="1" applyFill="1"/>
    <xf numFmtId="0" fontId="8" fillId="25" borderId="141" xfId="45" applyFont="1" applyFill="1" applyBorder="1"/>
    <xf numFmtId="0" fontId="8" fillId="25" borderId="128" xfId="45" applyFont="1" applyFill="1" applyBorder="1"/>
    <xf numFmtId="0" fontId="35" fillId="25" borderId="0" xfId="45" applyFont="1" applyFill="1"/>
    <xf numFmtId="0" fontId="34" fillId="19" borderId="0" xfId="0" applyFont="1" applyFill="1"/>
    <xf numFmtId="0" fontId="69" fillId="19" borderId="0" xfId="0" applyFont="1" applyFill="1" applyAlignment="1">
      <alignment vertical="center" wrapText="1"/>
    </xf>
    <xf numFmtId="0" fontId="10" fillId="19" borderId="0" xfId="0" applyFont="1" applyFill="1" applyAlignment="1">
      <alignment horizontal="center" wrapText="1"/>
    </xf>
    <xf numFmtId="0" fontId="80" fillId="19" borderId="0" xfId="0" applyFont="1" applyFill="1" applyAlignment="1">
      <alignment horizontal="center" vertical="top" wrapText="1"/>
    </xf>
    <xf numFmtId="0" fontId="10" fillId="19" borderId="0" xfId="0" applyFont="1" applyFill="1" applyAlignment="1">
      <alignment horizontal="center" vertical="top"/>
    </xf>
    <xf numFmtId="0" fontId="0" fillId="19" borderId="147" xfId="0" applyFill="1" applyBorder="1"/>
    <xf numFmtId="3" fontId="13" fillId="19" borderId="148" xfId="0" applyNumberFormat="1" applyFont="1" applyFill="1" applyBorder="1" applyAlignment="1">
      <alignment horizontal="right" vertical="center" indent="1"/>
    </xf>
    <xf numFmtId="0" fontId="8" fillId="23" borderId="0" xfId="0" applyFont="1" applyFill="1"/>
    <xf numFmtId="0" fontId="13" fillId="19" borderId="147" xfId="0" applyFont="1" applyFill="1" applyBorder="1"/>
    <xf numFmtId="0" fontId="80" fillId="31" borderId="0" xfId="0" applyFont="1" applyFill="1" applyAlignment="1">
      <alignment horizontal="center" vertical="center" wrapText="1"/>
    </xf>
    <xf numFmtId="0" fontId="74" fillId="19" borderId="0" xfId="0" applyFont="1" applyFill="1"/>
    <xf numFmtId="0" fontId="74" fillId="31" borderId="0" xfId="0" applyFont="1" applyFill="1"/>
    <xf numFmtId="0" fontId="8" fillId="25" borderId="147" xfId="45" applyFont="1" applyFill="1" applyBorder="1" applyAlignment="1">
      <alignment vertical="top"/>
    </xf>
    <xf numFmtId="0" fontId="8" fillId="25" borderId="147" xfId="45" applyFont="1" applyFill="1" applyBorder="1"/>
    <xf numFmtId="3" fontId="8" fillId="25" borderId="136" xfId="45" applyNumberFormat="1" applyFont="1" applyFill="1" applyBorder="1" applyAlignment="1">
      <alignment vertical="top"/>
    </xf>
    <xf numFmtId="0" fontId="10" fillId="25" borderId="0" xfId="45" applyFont="1" applyFill="1" applyAlignment="1">
      <alignment vertical="top" wrapText="1"/>
    </xf>
    <xf numFmtId="0" fontId="8" fillId="25" borderId="149" xfId="45" applyFont="1" applyFill="1" applyBorder="1" applyAlignment="1">
      <alignment horizontal="center" vertical="center"/>
    </xf>
    <xf numFmtId="0" fontId="8" fillId="25" borderId="136" xfId="45" applyFont="1" applyFill="1" applyBorder="1" applyAlignment="1">
      <alignment vertical="center" wrapText="1"/>
    </xf>
    <xf numFmtId="0" fontId="8" fillId="25" borderId="0" xfId="45" applyFont="1" applyFill="1" applyAlignment="1">
      <alignment vertical="center" wrapText="1"/>
    </xf>
    <xf numFmtId="0" fontId="8" fillId="25" borderId="25" xfId="45" applyFont="1" applyFill="1" applyBorder="1" applyAlignment="1">
      <alignment horizontal="left" vertical="center" wrapText="1"/>
    </xf>
    <xf numFmtId="3" fontId="8" fillId="25" borderId="136" xfId="45" applyNumberFormat="1" applyFont="1" applyFill="1" applyBorder="1" applyAlignment="1">
      <alignment vertical="center"/>
    </xf>
    <xf numFmtId="0" fontId="8" fillId="25" borderId="25" xfId="45" applyFont="1" applyFill="1" applyBorder="1" applyAlignment="1">
      <alignment vertical="center"/>
    </xf>
    <xf numFmtId="0" fontId="8" fillId="25" borderId="25" xfId="45" applyFont="1" applyFill="1" applyBorder="1" applyAlignment="1">
      <alignment horizontal="center" vertical="center"/>
    </xf>
    <xf numFmtId="9" fontId="8" fillId="25" borderId="136" xfId="48" applyFont="1" applyFill="1" applyBorder="1" applyAlignment="1">
      <alignment horizontal="right" vertical="center"/>
    </xf>
    <xf numFmtId="0" fontId="8" fillId="27" borderId="150" xfId="45" applyFont="1" applyFill="1" applyBorder="1" applyAlignment="1" applyProtection="1">
      <alignment horizontal="left" vertical="center" wrapText="1"/>
      <protection locked="0"/>
    </xf>
    <xf numFmtId="0" fontId="8" fillId="27" borderId="151" xfId="45" applyFont="1" applyFill="1" applyBorder="1" applyAlignment="1" applyProtection="1">
      <alignment horizontal="left" vertical="center" wrapText="1"/>
      <protection locked="0"/>
    </xf>
    <xf numFmtId="3" fontId="8" fillId="25" borderId="136" xfId="45" applyNumberFormat="1" applyFont="1" applyFill="1" applyBorder="1" applyAlignment="1">
      <alignment horizontal="right" vertical="center"/>
    </xf>
    <xf numFmtId="0" fontId="5" fillId="35" borderId="34" xfId="0" applyFont="1" applyFill="1" applyBorder="1" applyAlignment="1">
      <alignment horizontal="center" vertical="center" wrapText="1"/>
    </xf>
    <xf numFmtId="0" fontId="5" fillId="20" borderId="34" xfId="0" applyFont="1" applyFill="1" applyBorder="1" applyAlignment="1">
      <alignment vertical="center"/>
    </xf>
    <xf numFmtId="0" fontId="4" fillId="25" borderId="24" xfId="0" applyFont="1" applyFill="1" applyBorder="1" applyAlignment="1">
      <alignment vertical="top"/>
    </xf>
    <xf numFmtId="0" fontId="5" fillId="52" borderId="0" xfId="0" applyFont="1" applyFill="1" applyAlignment="1">
      <alignment wrapText="1"/>
    </xf>
    <xf numFmtId="3" fontId="8" fillId="25" borderId="38" xfId="0" applyNumberFormat="1" applyFont="1" applyFill="1" applyBorder="1" applyAlignment="1" applyProtection="1">
      <alignment horizontal="right" vertical="center" indent="2"/>
      <protection locked="0"/>
    </xf>
    <xf numFmtId="3" fontId="10" fillId="25" borderId="115" xfId="0" applyNumberFormat="1" applyFont="1" applyFill="1" applyBorder="1"/>
    <xf numFmtId="3" fontId="10" fillId="47" borderId="115" xfId="0" applyNumberFormat="1" applyFont="1" applyFill="1" applyBorder="1" applyAlignment="1">
      <alignment vertical="justify"/>
    </xf>
    <xf numFmtId="3" fontId="74" fillId="24" borderId="0" xfId="0" applyNumberFormat="1" applyFont="1" applyFill="1" applyAlignment="1">
      <alignment vertical="center" wrapText="1"/>
    </xf>
    <xf numFmtId="0" fontId="10" fillId="31" borderId="0" xfId="0" applyFont="1" applyFill="1" applyAlignment="1">
      <alignment vertical="top"/>
    </xf>
    <xf numFmtId="0" fontId="69" fillId="19" borderId="0" xfId="0" applyFont="1" applyFill="1" applyAlignment="1">
      <alignment vertical="center"/>
    </xf>
    <xf numFmtId="3" fontId="10" fillId="19" borderId="0" xfId="0" applyNumberFormat="1" applyFont="1" applyFill="1" applyAlignment="1">
      <alignment vertical="top"/>
    </xf>
    <xf numFmtId="0" fontId="10" fillId="19" borderId="0" xfId="0" applyFont="1" applyFill="1" applyAlignment="1">
      <alignment vertical="top" wrapText="1"/>
    </xf>
    <xf numFmtId="9" fontId="10" fillId="25" borderId="137" xfId="48" applyFont="1" applyFill="1" applyBorder="1" applyAlignment="1" applyProtection="1">
      <alignment vertical="center"/>
    </xf>
    <xf numFmtId="0" fontId="10" fillId="31" borderId="0" xfId="0" applyFont="1" applyFill="1" applyAlignment="1">
      <alignment vertical="top" wrapText="1"/>
    </xf>
    <xf numFmtId="0" fontId="120" fillId="31" borderId="0" xfId="0" applyFont="1" applyFill="1"/>
    <xf numFmtId="3" fontId="123" fillId="19" borderId="0" xfId="60" applyNumberFormat="1" applyFont="1" applyFill="1" applyAlignment="1">
      <alignment horizontal="right" vertical="center"/>
    </xf>
    <xf numFmtId="0" fontId="10" fillId="0" borderId="0" xfId="0" applyFont="1"/>
    <xf numFmtId="3" fontId="12" fillId="47" borderId="115" xfId="0" applyNumberFormat="1" applyFont="1" applyFill="1" applyBorder="1" applyAlignment="1">
      <alignment vertical="center"/>
    </xf>
    <xf numFmtId="2" fontId="13" fillId="25" borderId="0" xfId="0" applyNumberFormat="1" applyFont="1" applyFill="1"/>
    <xf numFmtId="0" fontId="5" fillId="24" borderId="0" xfId="0" applyFont="1" applyFill="1" applyAlignment="1">
      <alignment horizontal="right"/>
    </xf>
    <xf numFmtId="0" fontId="13" fillId="19" borderId="81" xfId="0" applyFont="1" applyFill="1" applyBorder="1"/>
    <xf numFmtId="0" fontId="10" fillId="19" borderId="0" xfId="0" applyFont="1" applyFill="1" applyAlignment="1">
      <alignment horizontal="centerContinuous" vertical="top"/>
    </xf>
    <xf numFmtId="0" fontId="12" fillId="19" borderId="0" xfId="0" applyFont="1" applyFill="1" applyAlignment="1">
      <alignment horizontal="center" vertical="top"/>
    </xf>
    <xf numFmtId="0" fontId="13" fillId="19" borderId="0" xfId="0" applyFont="1" applyFill="1" applyAlignment="1">
      <alignment vertical="top"/>
    </xf>
    <xf numFmtId="3" fontId="13" fillId="24" borderId="0" xfId="0" applyNumberFormat="1" applyFont="1" applyFill="1" applyAlignment="1">
      <alignment horizontal="right" vertical="top"/>
    </xf>
    <xf numFmtId="0" fontId="80" fillId="47" borderId="0" xfId="0" applyFont="1" applyFill="1" applyAlignment="1">
      <alignment horizontal="center" vertical="top" wrapText="1"/>
    </xf>
    <xf numFmtId="0" fontId="13" fillId="47" borderId="0" xfId="0" applyFont="1" applyFill="1" applyAlignment="1">
      <alignment vertical="top"/>
    </xf>
    <xf numFmtId="0" fontId="13" fillId="19" borderId="0" xfId="0" applyFont="1" applyFill="1" applyAlignment="1">
      <alignment horizontal="centerContinuous"/>
    </xf>
    <xf numFmtId="0" fontId="12" fillId="19" borderId="0" xfId="0" applyFont="1" applyFill="1" applyAlignment="1">
      <alignment vertical="top"/>
    </xf>
    <xf numFmtId="0" fontId="80" fillId="31" borderId="0" xfId="0" applyFont="1" applyFill="1" applyAlignment="1">
      <alignment horizontal="center" vertical="top" wrapText="1"/>
    </xf>
    <xf numFmtId="3" fontId="12" fillId="19" borderId="0" xfId="0" applyNumberFormat="1" applyFont="1" applyFill="1" applyAlignment="1">
      <alignment horizontal="center" vertical="top" wrapText="1"/>
    </xf>
    <xf numFmtId="0" fontId="12" fillId="19" borderId="0" xfId="0" applyFont="1" applyFill="1" applyAlignment="1">
      <alignment horizontal="centerContinuous"/>
    </xf>
    <xf numFmtId="0" fontId="8" fillId="19" borderId="0" xfId="0" applyFont="1" applyFill="1" applyAlignment="1">
      <alignment horizontal="centerContinuous"/>
    </xf>
    <xf numFmtId="3" fontId="74" fillId="19" borderId="22" xfId="0" applyNumberFormat="1" applyFont="1" applyFill="1" applyBorder="1" applyAlignment="1">
      <alignment horizontal="left" vertical="center" indent="1"/>
    </xf>
    <xf numFmtId="0" fontId="69" fillId="19" borderId="21" xfId="0" applyFont="1" applyFill="1" applyBorder="1"/>
    <xf numFmtId="3" fontId="10" fillId="19" borderId="19" xfId="0" applyNumberFormat="1" applyFont="1" applyFill="1" applyBorder="1" applyAlignment="1">
      <alignment horizontal="right" vertical="center" indent="1"/>
    </xf>
    <xf numFmtId="0" fontId="8" fillId="17" borderId="0" xfId="0" applyFont="1" applyFill="1" applyAlignment="1">
      <alignment vertical="top" wrapText="1"/>
    </xf>
    <xf numFmtId="0" fontId="47" fillId="17" borderId="0" xfId="0" applyFont="1" applyFill="1" applyAlignment="1">
      <alignment vertical="top" wrapText="1"/>
    </xf>
    <xf numFmtId="4" fontId="83" fillId="17" borderId="0" xfId="0" applyNumberFormat="1" applyFont="1" applyFill="1" applyAlignment="1">
      <alignment horizontal="right" vertical="center"/>
    </xf>
    <xf numFmtId="3" fontId="34" fillId="17" borderId="140" xfId="60" applyNumberFormat="1" applyFont="1" applyFill="1" applyBorder="1" applyAlignment="1">
      <alignment vertical="center"/>
    </xf>
    <xf numFmtId="0" fontId="36" fillId="17" borderId="141" xfId="0" applyFont="1" applyFill="1" applyBorder="1"/>
    <xf numFmtId="0" fontId="15" fillId="17" borderId="147" xfId="0" applyFont="1" applyFill="1" applyBorder="1"/>
    <xf numFmtId="0" fontId="10" fillId="17" borderId="0" xfId="0" applyFont="1" applyFill="1" applyAlignment="1">
      <alignment vertical="top"/>
    </xf>
    <xf numFmtId="0" fontId="47" fillId="17" borderId="0" xfId="0" applyFont="1" applyFill="1" applyAlignment="1">
      <alignment vertical="top"/>
    </xf>
    <xf numFmtId="0" fontId="83" fillId="0" borderId="0" xfId="0" applyFont="1" applyAlignment="1">
      <alignment horizontal="left"/>
    </xf>
    <xf numFmtId="3" fontId="10" fillId="17" borderId="0" xfId="0" applyNumberFormat="1" applyFont="1" applyFill="1" applyAlignment="1">
      <alignment horizontal="right" vertical="center" indent="2"/>
    </xf>
    <xf numFmtId="3" fontId="125" fillId="24" borderId="0" xfId="0" applyNumberFormat="1" applyFont="1" applyFill="1" applyAlignment="1" applyProtection="1">
      <alignment vertical="center"/>
      <protection hidden="1"/>
    </xf>
    <xf numFmtId="3" fontId="125" fillId="47" borderId="0" xfId="0" applyNumberFormat="1" applyFont="1" applyFill="1" applyAlignment="1">
      <alignment vertical="center"/>
    </xf>
    <xf numFmtId="0" fontId="10" fillId="19" borderId="0" xfId="0" applyFont="1" applyFill="1" applyAlignment="1">
      <alignment horizontal="left" vertical="top" wrapText="1"/>
    </xf>
    <xf numFmtId="0" fontId="73" fillId="31" borderId="0" xfId="0" applyFont="1" applyFill="1" applyAlignment="1">
      <alignment vertical="center" wrapText="1"/>
    </xf>
    <xf numFmtId="3" fontId="74" fillId="24" borderId="73" xfId="0" applyNumberFormat="1" applyFont="1" applyFill="1" applyBorder="1" applyAlignment="1">
      <alignment vertical="center"/>
    </xf>
    <xf numFmtId="3" fontId="12" fillId="19" borderId="153" xfId="0" applyNumberFormat="1" applyFont="1" applyFill="1" applyBorder="1" applyAlignment="1">
      <alignment horizontal="right" vertical="center" indent="1"/>
    </xf>
    <xf numFmtId="0" fontId="13" fillId="19" borderId="153" xfId="0" applyFont="1" applyFill="1" applyBorder="1"/>
    <xf numFmtId="3" fontId="13" fillId="19" borderId="153" xfId="0" applyNumberFormat="1" applyFont="1" applyFill="1" applyBorder="1" applyAlignment="1">
      <alignment horizontal="right" vertical="center" indent="1"/>
    </xf>
    <xf numFmtId="3" fontId="13" fillId="24" borderId="153" xfId="0" applyNumberFormat="1" applyFont="1" applyFill="1" applyBorder="1" applyAlignment="1">
      <alignment horizontal="right" vertical="center" indent="1"/>
    </xf>
    <xf numFmtId="0" fontId="0" fillId="24" borderId="153" xfId="0" applyFill="1" applyBorder="1"/>
    <xf numFmtId="0" fontId="126" fillId="19" borderId="0" xfId="0" applyFont="1" applyFill="1" applyAlignment="1">
      <alignment horizontal="center"/>
    </xf>
    <xf numFmtId="0" fontId="126" fillId="19" borderId="0" xfId="0" applyFont="1" applyFill="1" applyAlignment="1">
      <alignment horizontal="center" vertical="center"/>
    </xf>
    <xf numFmtId="0" fontId="5" fillId="31" borderId="0" xfId="0" applyFont="1" applyFill="1" applyAlignment="1">
      <alignment horizontal="left" vertical="center" wrapText="1"/>
    </xf>
    <xf numFmtId="0" fontId="5" fillId="31" borderId="0" xfId="0" applyFont="1" applyFill="1" applyAlignment="1">
      <alignment horizontal="center"/>
    </xf>
    <xf numFmtId="0" fontId="73" fillId="31" borderId="0" xfId="0" applyFont="1" applyFill="1" applyAlignment="1">
      <alignment horizontal="center" vertical="center" wrapText="1"/>
    </xf>
    <xf numFmtId="14" fontId="10" fillId="31" borderId="38" xfId="0" applyNumberFormat="1" applyFont="1" applyFill="1" applyBorder="1" applyAlignment="1" applyProtection="1">
      <alignment vertical="center"/>
      <protection locked="0"/>
    </xf>
    <xf numFmtId="3" fontId="10" fillId="17" borderId="38" xfId="0" applyNumberFormat="1" applyFont="1" applyFill="1" applyBorder="1" applyAlignment="1" applyProtection="1">
      <alignment vertical="center"/>
      <protection locked="0"/>
    </xf>
    <xf numFmtId="0" fontId="10" fillId="19" borderId="16" xfId="0" applyFont="1" applyFill="1" applyBorder="1"/>
    <xf numFmtId="0" fontId="116" fillId="38" borderId="0" xfId="0" applyFont="1" applyFill="1" applyAlignment="1">
      <alignment horizontal="center" vertical="center"/>
    </xf>
    <xf numFmtId="0" fontId="116" fillId="25" borderId="0" xfId="0" applyFont="1" applyFill="1"/>
    <xf numFmtId="0" fontId="4" fillId="38" borderId="0" xfId="0" applyFont="1" applyFill="1" applyAlignment="1">
      <alignment horizontal="center"/>
    </xf>
    <xf numFmtId="0" fontId="116" fillId="25" borderId="0" xfId="0" applyFont="1" applyFill="1" applyAlignment="1">
      <alignment vertical="center"/>
    </xf>
    <xf numFmtId="0" fontId="127" fillId="38" borderId="0" xfId="0" applyFont="1" applyFill="1" applyAlignment="1">
      <alignment vertical="center"/>
    </xf>
    <xf numFmtId="0" fontId="127" fillId="38" borderId="0" xfId="0" applyFont="1" applyFill="1" applyAlignment="1">
      <alignment horizontal="center" vertical="center"/>
    </xf>
    <xf numFmtId="0" fontId="0" fillId="38" borderId="0" xfId="0" applyFill="1" applyAlignment="1">
      <alignment horizontal="center" vertical="center"/>
    </xf>
    <xf numFmtId="0" fontId="8" fillId="25" borderId="0" xfId="0" applyFont="1" applyFill="1" applyAlignment="1">
      <alignment horizontal="left" vertical="top" wrapText="1"/>
    </xf>
    <xf numFmtId="3" fontId="69" fillId="51" borderId="0" xfId="0" applyNumberFormat="1" applyFont="1" applyFill="1" applyAlignment="1">
      <alignment horizontal="left" vertical="center"/>
    </xf>
    <xf numFmtId="0" fontId="45" fillId="19" borderId="0" xfId="0" applyFont="1" applyFill="1"/>
    <xf numFmtId="0" fontId="69" fillId="31" borderId="22" xfId="0" applyFont="1" applyFill="1" applyBorder="1"/>
    <xf numFmtId="3" fontId="69" fillId="31" borderId="0" xfId="0" applyNumberFormat="1" applyFont="1" applyFill="1" applyAlignment="1">
      <alignment horizontal="left" vertical="center" indent="2"/>
    </xf>
    <xf numFmtId="3" fontId="8" fillId="17" borderId="16" xfId="33" applyNumberFormat="1" applyFont="1" applyFill="1" applyBorder="1" applyAlignment="1">
      <alignment horizontal="right" vertical="center"/>
    </xf>
    <xf numFmtId="0" fontId="10" fillId="25" borderId="136" xfId="0" applyFont="1" applyFill="1" applyBorder="1" applyAlignment="1">
      <alignment horizontal="center" vertical="top"/>
    </xf>
    <xf numFmtId="3" fontId="8" fillId="17" borderId="0" xfId="33" applyNumberFormat="1" applyFont="1" applyFill="1" applyBorder="1" applyAlignment="1">
      <alignment horizontal="right" vertical="center"/>
    </xf>
    <xf numFmtId="0" fontId="10" fillId="25" borderId="0" xfId="0" applyFont="1" applyFill="1" applyAlignment="1">
      <alignment horizontal="center" vertical="top"/>
    </xf>
    <xf numFmtId="3" fontId="8" fillId="17" borderId="25" xfId="33" applyNumberFormat="1" applyFont="1" applyFill="1" applyBorder="1" applyAlignment="1">
      <alignment horizontal="right" vertical="center"/>
    </xf>
    <xf numFmtId="0" fontId="10" fillId="25" borderId="25" xfId="0" applyFont="1" applyFill="1" applyBorder="1" applyAlignment="1">
      <alignment horizontal="center" vertical="top"/>
    </xf>
    <xf numFmtId="3" fontId="8" fillId="17" borderId="54" xfId="33" applyNumberFormat="1" applyFont="1" applyFill="1" applyBorder="1" applyAlignment="1">
      <alignment horizontal="right" vertical="center" wrapText="1"/>
    </xf>
    <xf numFmtId="0" fontId="10" fillId="25" borderId="0" xfId="0" applyFont="1" applyFill="1" applyAlignment="1">
      <alignment horizontal="center" vertical="center"/>
    </xf>
    <xf numFmtId="3" fontId="8" fillId="17" borderId="136" xfId="33" applyNumberFormat="1" applyFont="1" applyFill="1" applyBorder="1" applyAlignment="1">
      <alignment horizontal="right" vertical="center"/>
    </xf>
    <xf numFmtId="0" fontId="10" fillId="25" borderId="136" xfId="0" applyFont="1" applyFill="1" applyBorder="1" applyAlignment="1">
      <alignment horizontal="center" vertical="center"/>
    </xf>
    <xf numFmtId="0" fontId="10" fillId="25" borderId="25" xfId="0" applyFont="1" applyFill="1" applyBorder="1" applyAlignment="1">
      <alignment horizontal="center" vertical="center"/>
    </xf>
    <xf numFmtId="0" fontId="8" fillId="25" borderId="23" xfId="0" applyFont="1" applyFill="1" applyBorder="1"/>
    <xf numFmtId="0" fontId="8" fillId="25" borderId="128" xfId="0" applyFont="1" applyFill="1" applyBorder="1"/>
    <xf numFmtId="0" fontId="10" fillId="0" borderId="0" xfId="0" applyFont="1" applyAlignment="1">
      <alignment horizontal="center"/>
    </xf>
    <xf numFmtId="0" fontId="10" fillId="25" borderId="0" xfId="0" applyFont="1" applyFill="1" applyAlignment="1">
      <alignment horizontal="right"/>
    </xf>
    <xf numFmtId="0" fontId="8" fillId="25" borderId="53" xfId="0" applyFont="1" applyFill="1" applyBorder="1" applyAlignment="1">
      <alignment horizontal="center" vertical="top"/>
    </xf>
    <xf numFmtId="3" fontId="8" fillId="25" borderId="54" xfId="0" applyNumberFormat="1" applyFont="1" applyFill="1" applyBorder="1" applyAlignment="1">
      <alignment vertical="top"/>
    </xf>
    <xf numFmtId="9" fontId="8" fillId="25" borderId="54" xfId="48" applyFont="1" applyFill="1" applyBorder="1" applyAlignment="1">
      <alignment horizontal="right" vertical="top"/>
    </xf>
    <xf numFmtId="9" fontId="8" fillId="25" borderId="54" xfId="48" applyFont="1" applyFill="1" applyBorder="1" applyAlignment="1">
      <alignment vertical="top"/>
    </xf>
    <xf numFmtId="3" fontId="8" fillId="25" borderId="54" xfId="0" applyNumberFormat="1" applyFont="1" applyFill="1" applyBorder="1" applyAlignment="1">
      <alignment horizontal="right" vertical="top"/>
    </xf>
    <xf numFmtId="0" fontId="10" fillId="25" borderId="54" xfId="0" applyFont="1" applyFill="1" applyBorder="1" applyAlignment="1">
      <alignment horizontal="center" vertical="top"/>
    </xf>
    <xf numFmtId="0" fontId="8" fillId="25" borderId="55" xfId="0" applyFont="1" applyFill="1" applyBorder="1" applyAlignment="1">
      <alignment horizontal="center" vertical="top"/>
    </xf>
    <xf numFmtId="0" fontId="8" fillId="25" borderId="0" xfId="0" applyFont="1" applyFill="1" applyAlignment="1">
      <alignment horizontal="center" vertical="top"/>
    </xf>
    <xf numFmtId="3" fontId="8" fillId="25" borderId="0" xfId="0" applyNumberFormat="1" applyFont="1" applyFill="1" applyAlignment="1">
      <alignment horizontal="right" vertical="top"/>
    </xf>
    <xf numFmtId="0" fontId="8" fillId="25" borderId="15" xfId="0" applyFont="1" applyFill="1" applyBorder="1" applyAlignment="1">
      <alignment vertical="top"/>
    </xf>
    <xf numFmtId="0" fontId="8" fillId="25" borderId="26" xfId="0" applyFont="1" applyFill="1" applyBorder="1" applyAlignment="1">
      <alignment horizontal="center" vertical="top"/>
    </xf>
    <xf numFmtId="3" fontId="8" fillId="25" borderId="16" xfId="0" applyNumberFormat="1" applyFont="1" applyFill="1" applyBorder="1" applyAlignment="1">
      <alignment vertical="top"/>
    </xf>
    <xf numFmtId="9" fontId="8" fillId="25" borderId="16" xfId="48" applyFont="1" applyFill="1" applyBorder="1" applyAlignment="1">
      <alignment horizontal="right" vertical="top"/>
    </xf>
    <xf numFmtId="9" fontId="8" fillId="25" borderId="16" xfId="48" applyFont="1" applyFill="1" applyBorder="1" applyAlignment="1">
      <alignment vertical="top"/>
    </xf>
    <xf numFmtId="3" fontId="8" fillId="25" borderId="16" xfId="0" applyNumberFormat="1" applyFont="1" applyFill="1" applyBorder="1" applyAlignment="1">
      <alignment horizontal="right" vertical="top"/>
    </xf>
    <xf numFmtId="0" fontId="10" fillId="25" borderId="16" xfId="0" applyFont="1" applyFill="1" applyBorder="1" applyAlignment="1">
      <alignment horizontal="center" vertical="top"/>
    </xf>
    <xf numFmtId="0" fontId="8" fillId="25" borderId="99" xfId="0" applyFont="1" applyFill="1" applyBorder="1" applyAlignment="1">
      <alignment horizontal="center" vertical="top"/>
    </xf>
    <xf numFmtId="0" fontId="8" fillId="25" borderId="23" xfId="0" applyFont="1" applyFill="1" applyBorder="1" applyAlignment="1">
      <alignment horizontal="center" vertical="top"/>
    </xf>
    <xf numFmtId="0" fontId="8" fillId="25" borderId="41" xfId="0" applyFont="1" applyFill="1" applyBorder="1" applyAlignment="1">
      <alignment horizontal="center" vertical="top"/>
    </xf>
    <xf numFmtId="0" fontId="8" fillId="25" borderId="128" xfId="0" applyFont="1" applyFill="1" applyBorder="1" applyAlignment="1">
      <alignment vertical="top"/>
    </xf>
    <xf numFmtId="0" fontId="8" fillId="25" borderId="24" xfId="0" applyFont="1" applyFill="1" applyBorder="1" applyAlignment="1">
      <alignment horizontal="center" vertical="top"/>
    </xf>
    <xf numFmtId="0" fontId="8" fillId="25" borderId="25" xfId="0" applyFont="1" applyFill="1" applyBorder="1" applyAlignment="1">
      <alignment horizontal="left" vertical="top"/>
    </xf>
    <xf numFmtId="3" fontId="8" fillId="25" borderId="25" xfId="0" applyNumberFormat="1" applyFont="1" applyFill="1" applyBorder="1" applyAlignment="1">
      <alignment vertical="top"/>
    </xf>
    <xf numFmtId="9" fontId="8" fillId="25" borderId="25" xfId="48" applyFont="1" applyFill="1" applyBorder="1" applyAlignment="1">
      <alignment horizontal="right" vertical="top"/>
    </xf>
    <xf numFmtId="9" fontId="8" fillId="25" borderId="25" xfId="48" applyFont="1" applyFill="1" applyBorder="1" applyAlignment="1">
      <alignment vertical="top"/>
    </xf>
    <xf numFmtId="3" fontId="8" fillId="25" borderId="25" xfId="0" applyNumberFormat="1" applyFont="1" applyFill="1" applyBorder="1" applyAlignment="1">
      <alignment horizontal="right" vertical="top"/>
    </xf>
    <xf numFmtId="0" fontId="8" fillId="25" borderId="102" xfId="0" applyFont="1" applyFill="1" applyBorder="1" applyAlignment="1">
      <alignment horizontal="center" vertical="top"/>
    </xf>
    <xf numFmtId="0" fontId="8" fillId="25" borderId="0" xfId="0" applyFont="1" applyFill="1" applyAlignment="1">
      <alignment horizontal="right" vertical="top"/>
    </xf>
    <xf numFmtId="0" fontId="8" fillId="25" borderId="141" xfId="0" applyFont="1" applyFill="1" applyBorder="1"/>
    <xf numFmtId="0" fontId="8" fillId="25" borderId="147" xfId="0" applyFont="1" applyFill="1" applyBorder="1" applyAlignment="1">
      <alignment vertical="top"/>
    </xf>
    <xf numFmtId="0" fontId="8" fillId="25" borderId="24" xfId="0" applyFont="1" applyFill="1" applyBorder="1" applyAlignment="1">
      <alignment horizontal="center"/>
    </xf>
    <xf numFmtId="0" fontId="8" fillId="25" borderId="25" xfId="0" applyFont="1" applyFill="1" applyBorder="1" applyAlignment="1">
      <alignment horizontal="center" vertical="top"/>
    </xf>
    <xf numFmtId="175" fontId="8" fillId="25" borderId="54" xfId="48" applyNumberFormat="1" applyFont="1" applyFill="1" applyBorder="1" applyAlignment="1">
      <alignment horizontal="right" vertical="top"/>
    </xf>
    <xf numFmtId="0" fontId="8" fillId="25" borderId="107" xfId="0" applyFont="1" applyFill="1" applyBorder="1" applyAlignment="1">
      <alignment horizontal="center" vertical="top"/>
    </xf>
    <xf numFmtId="0" fontId="8" fillId="25" borderId="23" xfId="0" applyFont="1" applyFill="1" applyBorder="1" applyAlignment="1">
      <alignment vertical="center"/>
    </xf>
    <xf numFmtId="0" fontId="8" fillId="25" borderId="24" xfId="0" applyFont="1" applyFill="1" applyBorder="1" applyAlignment="1">
      <alignment horizontal="center" vertical="center"/>
    </xf>
    <xf numFmtId="3" fontId="8" fillId="29" borderId="25" xfId="0" applyNumberFormat="1" applyFont="1" applyFill="1" applyBorder="1" applyAlignment="1">
      <alignment vertical="center"/>
    </xf>
    <xf numFmtId="3" fontId="8" fillId="25" borderId="25" xfId="0" applyNumberFormat="1" applyFont="1" applyFill="1" applyBorder="1" applyAlignment="1">
      <alignment vertical="center"/>
    </xf>
    <xf numFmtId="0" fontId="8" fillId="25" borderId="25" xfId="0" applyFont="1" applyFill="1" applyBorder="1" applyAlignment="1">
      <alignment vertical="center"/>
    </xf>
    <xf numFmtId="0" fontId="8" fillId="25" borderId="25" xfId="0" applyFont="1" applyFill="1" applyBorder="1" applyAlignment="1">
      <alignment horizontal="center" vertical="center"/>
    </xf>
    <xf numFmtId="0" fontId="8" fillId="25" borderId="102" xfId="0" applyFont="1" applyFill="1" applyBorder="1" applyAlignment="1">
      <alignment horizontal="center" vertical="center"/>
    </xf>
    <xf numFmtId="0" fontId="8" fillId="25" borderId="15" xfId="0" applyFont="1" applyFill="1" applyBorder="1" applyAlignment="1">
      <alignment vertical="center"/>
    </xf>
    <xf numFmtId="0" fontId="8" fillId="25" borderId="0" xfId="0" applyFont="1" applyFill="1" applyAlignment="1">
      <alignment horizontal="center" vertical="center"/>
    </xf>
    <xf numFmtId="3" fontId="8" fillId="25" borderId="0" xfId="0" applyNumberFormat="1" applyFont="1" applyFill="1" applyAlignment="1">
      <alignment vertical="center"/>
    </xf>
    <xf numFmtId="0" fontId="8" fillId="25" borderId="0" xfId="0" applyFont="1" applyFill="1" applyAlignment="1">
      <alignment vertical="center"/>
    </xf>
    <xf numFmtId="0" fontId="8" fillId="25" borderId="128" xfId="0" applyFont="1" applyFill="1" applyBorder="1" applyAlignment="1">
      <alignment vertical="center"/>
    </xf>
    <xf numFmtId="0" fontId="8" fillId="0" borderId="23" xfId="0" applyFont="1" applyBorder="1"/>
    <xf numFmtId="0" fontId="8" fillId="25" borderId="24" xfId="0" applyFont="1" applyFill="1" applyBorder="1"/>
    <xf numFmtId="0" fontId="8" fillId="25" borderId="25" xfId="0" applyFont="1" applyFill="1" applyBorder="1" applyAlignment="1">
      <alignment horizontal="center"/>
    </xf>
    <xf numFmtId="0" fontId="74" fillId="23" borderId="57" xfId="0" applyFont="1" applyFill="1" applyBorder="1" applyAlignment="1">
      <alignment horizontal="center"/>
    </xf>
    <xf numFmtId="0" fontId="128" fillId="51" borderId="0" xfId="0" applyFont="1" applyFill="1" applyAlignment="1">
      <alignment horizontal="left" indent="2"/>
    </xf>
    <xf numFmtId="0" fontId="128" fillId="51" borderId="0" xfId="0" applyFont="1" applyFill="1" applyAlignment="1">
      <alignment horizontal="left" vertical="center" indent="2"/>
    </xf>
    <xf numFmtId="0" fontId="13" fillId="31" borderId="0" xfId="0" applyFont="1" applyFill="1" applyAlignment="1">
      <alignment horizontal="left"/>
    </xf>
    <xf numFmtId="3" fontId="10" fillId="19" borderId="0" xfId="0" applyNumberFormat="1" applyFont="1" applyFill="1" applyAlignment="1">
      <alignment horizontal="center" vertical="center" wrapText="1"/>
    </xf>
    <xf numFmtId="0" fontId="75" fillId="20" borderId="26" xfId="0" applyFont="1" applyFill="1" applyBorder="1"/>
    <xf numFmtId="0" fontId="8" fillId="20" borderId="16" xfId="0" applyFont="1" applyFill="1" applyBorder="1"/>
    <xf numFmtId="0" fontId="8" fillId="20" borderId="16" xfId="0" applyFont="1" applyFill="1" applyBorder="1" applyAlignment="1">
      <alignment horizontal="center"/>
    </xf>
    <xf numFmtId="0" fontId="8" fillId="20" borderId="17" xfId="0" applyFont="1" applyFill="1" applyBorder="1"/>
    <xf numFmtId="0" fontId="15" fillId="0" borderId="0" xfId="0" applyFont="1" applyAlignment="1">
      <alignment horizontal="center"/>
    </xf>
    <xf numFmtId="0" fontId="8" fillId="20" borderId="15" xfId="0" applyFont="1" applyFill="1" applyBorder="1" applyAlignment="1">
      <alignment horizontal="center"/>
    </xf>
    <xf numFmtId="0" fontId="75" fillId="20" borderId="23" xfId="0" applyFont="1" applyFill="1" applyBorder="1" applyAlignment="1">
      <alignment horizontal="center"/>
    </xf>
    <xf numFmtId="0" fontId="74" fillId="17" borderId="0" xfId="0" applyFont="1" applyFill="1"/>
    <xf numFmtId="0" fontId="75" fillId="20" borderId="23" xfId="0" applyFont="1" applyFill="1" applyBorder="1"/>
    <xf numFmtId="0" fontId="8" fillId="20" borderId="0" xfId="0" applyFont="1" applyFill="1"/>
    <xf numFmtId="0" fontId="8" fillId="20" borderId="15" xfId="0" applyFont="1" applyFill="1" applyBorder="1"/>
    <xf numFmtId="0" fontId="43" fillId="0" borderId="0" xfId="0" applyFont="1" applyAlignment="1">
      <alignment vertical="center"/>
    </xf>
    <xf numFmtId="0" fontId="75" fillId="20" borderId="24" xfId="0" applyFont="1" applyFill="1" applyBorder="1"/>
    <xf numFmtId="0" fontId="8" fillId="20" borderId="25" xfId="0" applyFont="1" applyFill="1" applyBorder="1"/>
    <xf numFmtId="169" fontId="4" fillId="20" borderId="25" xfId="0" applyNumberFormat="1" applyFont="1" applyFill="1" applyBorder="1" applyAlignment="1">
      <alignment horizontal="left"/>
    </xf>
    <xf numFmtId="0" fontId="8" fillId="20" borderId="27" xfId="0" applyFont="1" applyFill="1" applyBorder="1"/>
    <xf numFmtId="0" fontId="75" fillId="19" borderId="23" xfId="0" applyFont="1" applyFill="1" applyBorder="1"/>
    <xf numFmtId="0" fontId="8" fillId="19" borderId="15" xfId="0" applyFont="1" applyFill="1" applyBorder="1"/>
    <xf numFmtId="0" fontId="8" fillId="19" borderId="128" xfId="0" applyFont="1" applyFill="1" applyBorder="1"/>
    <xf numFmtId="0" fontId="8" fillId="19" borderId="0" xfId="0" applyFont="1" applyFill="1" applyAlignment="1">
      <alignment vertical="top"/>
    </xf>
    <xf numFmtId="0" fontId="10" fillId="19" borderId="116" xfId="0" applyFont="1" applyFill="1" applyBorder="1" applyAlignment="1">
      <alignment horizontal="center"/>
    </xf>
    <xf numFmtId="3" fontId="8" fillId="19" borderId="0" xfId="0" applyNumberFormat="1" applyFont="1" applyFill="1" applyAlignment="1">
      <alignment horizontal="right" vertical="center" indent="1"/>
    </xf>
    <xf numFmtId="3" fontId="11" fillId="19" borderId="0" xfId="0" applyNumberFormat="1" applyFont="1" applyFill="1" applyAlignment="1">
      <alignment horizontal="right" vertical="center" indent="1"/>
    </xf>
    <xf numFmtId="3" fontId="8" fillId="31" borderId="0" xfId="0" applyNumberFormat="1" applyFont="1" applyFill="1" applyAlignment="1">
      <alignment horizontal="left" vertical="center" indent="1"/>
    </xf>
    <xf numFmtId="0" fontId="74" fillId="31" borderId="0" xfId="0" applyFont="1" applyFill="1" applyAlignment="1">
      <alignment vertical="top"/>
    </xf>
    <xf numFmtId="3" fontId="10" fillId="37" borderId="115" xfId="0" applyNumberFormat="1" applyFont="1" applyFill="1" applyBorder="1" applyAlignment="1">
      <alignment vertical="center"/>
    </xf>
    <xf numFmtId="3" fontId="10" fillId="17" borderId="65" xfId="0" applyNumberFormat="1" applyFont="1" applyFill="1" applyBorder="1" applyAlignment="1">
      <alignment vertical="center"/>
    </xf>
    <xf numFmtId="3" fontId="8" fillId="19" borderId="0" xfId="0" applyNumberFormat="1" applyFont="1" applyFill="1" applyAlignment="1">
      <alignment wrapText="1"/>
    </xf>
    <xf numFmtId="0" fontId="43" fillId="23" borderId="56" xfId="0" applyFont="1" applyFill="1" applyBorder="1" applyAlignment="1">
      <alignment horizontal="center"/>
    </xf>
    <xf numFmtId="3" fontId="10" fillId="31" borderId="0" xfId="0" applyNumberFormat="1" applyFont="1" applyFill="1" applyAlignment="1">
      <alignment horizontal="left" vertical="center" indent="1"/>
    </xf>
    <xf numFmtId="0" fontId="43" fillId="23" borderId="58" xfId="0" applyFont="1" applyFill="1" applyBorder="1" applyAlignment="1">
      <alignment horizontal="center"/>
    </xf>
    <xf numFmtId="3" fontId="10" fillId="17" borderId="137" xfId="0" applyNumberFormat="1" applyFont="1" applyFill="1" applyBorder="1" applyAlignment="1">
      <alignment vertical="center"/>
    </xf>
    <xf numFmtId="0" fontId="43" fillId="23" borderId="57" xfId="0" applyFont="1" applyFill="1" applyBorder="1" applyAlignment="1">
      <alignment horizontal="center"/>
    </xf>
    <xf numFmtId="1" fontId="43" fillId="23" borderId="57" xfId="0" applyNumberFormat="1" applyFont="1" applyFill="1" applyBorder="1" applyAlignment="1">
      <alignment horizontal="center"/>
    </xf>
    <xf numFmtId="0" fontId="47" fillId="51" borderId="0" xfId="0" applyFont="1" applyFill="1"/>
    <xf numFmtId="0" fontId="8" fillId="51" borderId="0" xfId="0" applyFont="1" applyFill="1" applyAlignment="1">
      <alignment vertical="top"/>
    </xf>
    <xf numFmtId="3" fontId="8" fillId="51" borderId="0" xfId="0" applyNumberFormat="1" applyFont="1" applyFill="1" applyAlignment="1">
      <alignment horizontal="right" vertical="center" indent="1"/>
    </xf>
    <xf numFmtId="3" fontId="69" fillId="51" borderId="0" xfId="0" applyNumberFormat="1" applyFont="1" applyFill="1" applyAlignment="1">
      <alignment horizontal="left" vertical="center" indent="1"/>
    </xf>
    <xf numFmtId="3" fontId="56" fillId="19" borderId="0" xfId="0" applyNumberFormat="1" applyFont="1" applyFill="1" applyAlignment="1">
      <alignment horizontal="left" vertical="center"/>
    </xf>
    <xf numFmtId="1" fontId="43" fillId="23" borderId="58" xfId="0" applyNumberFormat="1" applyFont="1" applyFill="1" applyBorder="1" applyAlignment="1">
      <alignment horizontal="center"/>
    </xf>
    <xf numFmtId="0" fontId="56" fillId="31" borderId="0" xfId="0" applyFont="1" applyFill="1" applyAlignment="1">
      <alignment horizontal="left" vertical="center"/>
    </xf>
    <xf numFmtId="1" fontId="43" fillId="23" borderId="0" xfId="0" applyNumberFormat="1" applyFont="1" applyFill="1" applyAlignment="1">
      <alignment horizontal="center"/>
    </xf>
    <xf numFmtId="3" fontId="10" fillId="25" borderId="137" xfId="0" applyNumberFormat="1" applyFont="1" applyFill="1" applyBorder="1" applyAlignment="1">
      <alignment vertical="center"/>
    </xf>
    <xf numFmtId="167" fontId="55" fillId="19" borderId="0" xfId="0" applyNumberFormat="1" applyFont="1" applyFill="1" applyAlignment="1">
      <alignment horizontal="right" vertical="center"/>
    </xf>
    <xf numFmtId="3" fontId="55" fillId="19" borderId="0" xfId="0" applyNumberFormat="1" applyFont="1" applyFill="1" applyAlignment="1">
      <alignment horizontal="left" vertical="center" indent="1"/>
    </xf>
    <xf numFmtId="3" fontId="8" fillId="19" borderId="0" xfId="0" applyNumberFormat="1" applyFont="1" applyFill="1" applyAlignment="1">
      <alignment horizontal="left" vertical="center" indent="1"/>
    </xf>
    <xf numFmtId="0" fontId="75" fillId="19" borderId="66" xfId="0" applyFont="1" applyFill="1" applyBorder="1"/>
    <xf numFmtId="0" fontId="8" fillId="19" borderId="34" xfId="0" applyFont="1" applyFill="1" applyBorder="1"/>
    <xf numFmtId="3" fontId="11" fillId="19" borderId="34" xfId="0" applyNumberFormat="1" applyFont="1" applyFill="1" applyBorder="1" applyAlignment="1">
      <alignment horizontal="right" vertical="center"/>
    </xf>
    <xf numFmtId="3" fontId="52" fillId="19" borderId="34" xfId="0" applyNumberFormat="1" applyFont="1" applyFill="1" applyBorder="1" applyAlignment="1">
      <alignment horizontal="left" vertical="center" indent="1"/>
    </xf>
    <xf numFmtId="3" fontId="8" fillId="19" borderId="34" xfId="0" applyNumberFormat="1" applyFont="1" applyFill="1" applyBorder="1" applyAlignment="1">
      <alignment horizontal="left" vertical="center" indent="1"/>
    </xf>
    <xf numFmtId="0" fontId="8" fillId="19" borderId="35" xfId="0" applyFont="1" applyFill="1" applyBorder="1"/>
    <xf numFmtId="0" fontId="75" fillId="17" borderId="67" xfId="0" applyFont="1" applyFill="1" applyBorder="1"/>
    <xf numFmtId="0" fontId="8" fillId="17" borderId="36" xfId="0" applyFont="1" applyFill="1" applyBorder="1"/>
    <xf numFmtId="3" fontId="11" fillId="17" borderId="36" xfId="0" applyNumberFormat="1" applyFont="1" applyFill="1" applyBorder="1" applyAlignment="1">
      <alignment horizontal="right" vertical="center"/>
    </xf>
    <xf numFmtId="3" fontId="52" fillId="17" borderId="36" xfId="0" applyNumberFormat="1" applyFont="1" applyFill="1" applyBorder="1" applyAlignment="1">
      <alignment horizontal="left" vertical="center" indent="1"/>
    </xf>
    <xf numFmtId="3" fontId="8" fillId="17" borderId="36" xfId="0" applyNumberFormat="1" applyFont="1" applyFill="1" applyBorder="1" applyAlignment="1">
      <alignment horizontal="left" vertical="center" indent="1"/>
    </xf>
    <xf numFmtId="0" fontId="8" fillId="17" borderId="37" xfId="0" applyFont="1" applyFill="1" applyBorder="1"/>
    <xf numFmtId="3" fontId="76" fillId="17" borderId="23" xfId="0" applyNumberFormat="1" applyFont="1" applyFill="1" applyBorder="1"/>
    <xf numFmtId="0" fontId="45" fillId="22" borderId="44" xfId="0" applyFont="1" applyFill="1" applyBorder="1" applyAlignment="1">
      <alignment horizontal="left"/>
    </xf>
    <xf numFmtId="0" fontId="45" fillId="22" borderId="36" xfId="0" applyFont="1" applyFill="1" applyBorder="1" applyAlignment="1">
      <alignment horizontal="left"/>
    </xf>
    <xf numFmtId="0" fontId="45" fillId="22" borderId="36" xfId="0" applyFont="1" applyFill="1" applyBorder="1"/>
    <xf numFmtId="0" fontId="45" fillId="22" borderId="40" xfId="0" applyFont="1" applyFill="1" applyBorder="1"/>
    <xf numFmtId="0" fontId="8" fillId="17" borderId="15" xfId="0" applyFont="1" applyFill="1" applyBorder="1"/>
    <xf numFmtId="0" fontId="45" fillId="22" borderId="43" xfId="0" applyFont="1" applyFill="1" applyBorder="1" applyAlignment="1">
      <alignment horizontal="left"/>
    </xf>
    <xf numFmtId="0" fontId="45" fillId="22" borderId="0" xfId="0" applyFont="1" applyFill="1" applyAlignment="1">
      <alignment horizontal="left"/>
    </xf>
    <xf numFmtId="0" fontId="45" fillId="22" borderId="0" xfId="0" applyFont="1" applyFill="1"/>
    <xf numFmtId="0" fontId="45" fillId="22" borderId="41" xfId="0" applyFont="1" applyFill="1" applyBorder="1"/>
    <xf numFmtId="1" fontId="77" fillId="17" borderId="23" xfId="0" applyNumberFormat="1" applyFont="1" applyFill="1" applyBorder="1" applyAlignment="1">
      <alignment horizontal="right"/>
    </xf>
    <xf numFmtId="3" fontId="45" fillId="22" borderId="0" xfId="0" applyNumberFormat="1" applyFont="1" applyFill="1" applyAlignment="1">
      <alignment horizontal="left"/>
    </xf>
    <xf numFmtId="3" fontId="45" fillId="22" borderId="0" xfId="0" applyNumberFormat="1" applyFont="1" applyFill="1" applyAlignment="1">
      <alignment horizontal="right" vertical="center"/>
    </xf>
    <xf numFmtId="3" fontId="60" fillId="22" borderId="0" xfId="0" applyNumberFormat="1" applyFont="1" applyFill="1" applyAlignment="1">
      <alignment horizontal="left" vertical="center" indent="1"/>
    </xf>
    <xf numFmtId="3" fontId="45" fillId="22" borderId="0" xfId="0" applyNumberFormat="1" applyFont="1" applyFill="1" applyAlignment="1">
      <alignment horizontal="left" vertical="center" indent="1"/>
    </xf>
    <xf numFmtId="166" fontId="8" fillId="0" borderId="0" xfId="0" applyNumberFormat="1" applyFont="1"/>
    <xf numFmtId="0" fontId="75" fillId="17" borderId="23" xfId="0" applyFont="1" applyFill="1" applyBorder="1"/>
    <xf numFmtId="0" fontId="49" fillId="22" borderId="34" xfId="0" applyFont="1" applyFill="1" applyBorder="1" applyAlignment="1">
      <alignment horizontal="left"/>
    </xf>
    <xf numFmtId="0" fontId="49" fillId="22" borderId="34" xfId="0" applyFont="1" applyFill="1" applyBorder="1"/>
    <xf numFmtId="0" fontId="49" fillId="22" borderId="42" xfId="0" applyFont="1" applyFill="1" applyBorder="1"/>
    <xf numFmtId="0" fontId="75" fillId="17" borderId="24" xfId="0" applyFont="1" applyFill="1" applyBorder="1"/>
    <xf numFmtId="0" fontId="8" fillId="17" borderId="25" xfId="0" applyFont="1" applyFill="1" applyBorder="1"/>
    <xf numFmtId="3" fontId="8" fillId="17" borderId="25" xfId="0" applyNumberFormat="1" applyFont="1" applyFill="1" applyBorder="1" applyAlignment="1">
      <alignment horizontal="right" vertical="center" indent="1"/>
    </xf>
    <xf numFmtId="3" fontId="52" fillId="17" borderId="25" xfId="0" applyNumberFormat="1" applyFont="1" applyFill="1" applyBorder="1" applyAlignment="1">
      <alignment horizontal="left" vertical="center" indent="1"/>
    </xf>
    <xf numFmtId="0" fontId="8" fillId="17" borderId="27" xfId="0" applyFont="1" applyFill="1" applyBorder="1"/>
    <xf numFmtId="3" fontId="8" fillId="19" borderId="0" xfId="0" applyNumberFormat="1" applyFont="1" applyFill="1" applyAlignment="1">
      <alignment horizontal="right" vertical="center"/>
    </xf>
    <xf numFmtId="3" fontId="8" fillId="19" borderId="0" xfId="0" applyNumberFormat="1" applyFont="1" applyFill="1" applyAlignment="1">
      <alignment horizontal="center" vertical="center"/>
    </xf>
    <xf numFmtId="0" fontId="8" fillId="24" borderId="0" xfId="0" applyFont="1" applyFill="1"/>
    <xf numFmtId="3" fontId="10" fillId="24" borderId="72" xfId="0" applyNumberFormat="1" applyFont="1" applyFill="1" applyBorder="1" applyAlignment="1">
      <alignment horizontal="center" vertical="center"/>
    </xf>
    <xf numFmtId="3" fontId="10" fillId="24" borderId="0" xfId="0" applyNumberFormat="1" applyFont="1" applyFill="1" applyAlignment="1">
      <alignment horizontal="center" vertical="center" wrapText="1"/>
    </xf>
    <xf numFmtId="3" fontId="8" fillId="24" borderId="0" xfId="0" applyNumberFormat="1" applyFont="1" applyFill="1" applyAlignment="1">
      <alignment horizontal="right" vertical="center" indent="1"/>
    </xf>
    <xf numFmtId="3" fontId="10" fillId="24" borderId="0" xfId="0" applyNumberFormat="1" applyFont="1" applyFill="1" applyAlignment="1">
      <alignment horizontal="right" vertical="center" indent="1"/>
    </xf>
    <xf numFmtId="3" fontId="10" fillId="24" borderId="0" xfId="0" applyNumberFormat="1" applyFont="1" applyFill="1" applyAlignment="1">
      <alignment horizontal="center" vertical="center"/>
    </xf>
    <xf numFmtId="1" fontId="43" fillId="23" borderId="56" xfId="0" applyNumberFormat="1" applyFont="1" applyFill="1" applyBorder="1" applyAlignment="1">
      <alignment horizontal="center"/>
    </xf>
    <xf numFmtId="3" fontId="10" fillId="24" borderId="137" xfId="0" applyNumberFormat="1" applyFont="1" applyFill="1" applyBorder="1" applyAlignment="1">
      <alignment vertical="center"/>
    </xf>
    <xf numFmtId="3" fontId="8" fillId="24" borderId="0" xfId="0" applyNumberFormat="1" applyFont="1" applyFill="1" applyAlignment="1">
      <alignment vertical="center"/>
    </xf>
    <xf numFmtId="3" fontId="10" fillId="24" borderId="0" xfId="0" applyNumberFormat="1" applyFont="1" applyFill="1" applyAlignment="1">
      <alignment vertical="center"/>
    </xf>
    <xf numFmtId="0" fontId="12" fillId="19" borderId="0" xfId="0" applyFont="1" applyFill="1" applyAlignment="1">
      <alignment horizontal="right"/>
    </xf>
    <xf numFmtId="0" fontId="10" fillId="24" borderId="0" xfId="0" applyFont="1" applyFill="1" applyAlignment="1">
      <alignment horizontal="right"/>
    </xf>
    <xf numFmtId="3" fontId="74" fillId="24" borderId="0" xfId="0" applyNumberFormat="1" applyFont="1" applyFill="1" applyAlignment="1">
      <alignment vertical="center"/>
    </xf>
    <xf numFmtId="3" fontId="10" fillId="47" borderId="137" xfId="0" applyNumberFormat="1" applyFont="1" applyFill="1" applyBorder="1" applyAlignment="1">
      <alignment vertical="center"/>
    </xf>
    <xf numFmtId="3" fontId="8" fillId="47" borderId="0" xfId="0" applyNumberFormat="1" applyFont="1" applyFill="1" applyAlignment="1">
      <alignment vertical="center"/>
    </xf>
    <xf numFmtId="3" fontId="73" fillId="47" borderId="0" xfId="0" applyNumberFormat="1" applyFont="1" applyFill="1" applyAlignment="1">
      <alignment vertical="center"/>
    </xf>
    <xf numFmtId="3" fontId="10" fillId="47" borderId="39" xfId="0" applyNumberFormat="1" applyFont="1" applyFill="1" applyBorder="1" applyAlignment="1">
      <alignment horizontal="right" vertical="center" indent="1"/>
    </xf>
    <xf numFmtId="3" fontId="8" fillId="0" borderId="0" xfId="0" applyNumberFormat="1" applyFont="1" applyAlignment="1">
      <alignment vertical="center"/>
    </xf>
    <xf numFmtId="3" fontId="10" fillId="47" borderId="0" xfId="0" applyNumberFormat="1" applyFont="1" applyFill="1" applyAlignment="1">
      <alignment horizontal="right" vertical="center" indent="1"/>
    </xf>
    <xf numFmtId="3" fontId="8" fillId="47" borderId="0" xfId="0" applyNumberFormat="1" applyFont="1" applyFill="1" applyAlignment="1">
      <alignment horizontal="right" vertical="center" indent="1"/>
    </xf>
    <xf numFmtId="3" fontId="10" fillId="47" borderId="115" xfId="0" applyNumberFormat="1" applyFont="1" applyFill="1" applyBorder="1" applyAlignment="1">
      <alignment vertical="center"/>
    </xf>
    <xf numFmtId="3" fontId="10" fillId="47" borderId="0" xfId="0" applyNumberFormat="1" applyFont="1" applyFill="1" applyAlignment="1">
      <alignment vertical="center"/>
    </xf>
    <xf numFmtId="0" fontId="121" fillId="19" borderId="23" xfId="0" applyFont="1" applyFill="1" applyBorder="1"/>
    <xf numFmtId="0" fontId="119" fillId="19" borderId="0" xfId="0" applyFont="1" applyFill="1"/>
    <xf numFmtId="0" fontId="118" fillId="19" borderId="0" xfId="0" applyFont="1" applyFill="1"/>
    <xf numFmtId="0" fontId="119" fillId="24" borderId="0" xfId="0" applyFont="1" applyFill="1"/>
    <xf numFmtId="3" fontId="118" fillId="24" borderId="0" xfId="0" applyNumberFormat="1" applyFont="1" applyFill="1" applyAlignment="1">
      <alignment horizontal="center" vertical="center"/>
    </xf>
    <xf numFmtId="3" fontId="118" fillId="24" borderId="0" xfId="0" applyNumberFormat="1" applyFont="1" applyFill="1" applyAlignment="1">
      <alignment horizontal="center" vertical="center" wrapText="1"/>
    </xf>
    <xf numFmtId="3" fontId="119" fillId="24" borderId="0" xfId="0" applyNumberFormat="1" applyFont="1" applyFill="1" applyAlignment="1">
      <alignment horizontal="right" vertical="center" indent="1"/>
    </xf>
    <xf numFmtId="0" fontId="84" fillId="19" borderId="0" xfId="0" applyFont="1" applyFill="1"/>
    <xf numFmtId="0" fontId="84" fillId="24" borderId="0" xfId="0" applyFont="1" applyFill="1"/>
    <xf numFmtId="0" fontId="74" fillId="24" borderId="0" xfId="0" applyFont="1" applyFill="1"/>
    <xf numFmtId="0" fontId="83" fillId="19" borderId="128" xfId="0" applyFont="1" applyFill="1" applyBorder="1"/>
    <xf numFmtId="3" fontId="74" fillId="0" borderId="0" xfId="0" applyNumberFormat="1" applyFont="1"/>
    <xf numFmtId="0" fontId="8" fillId="17" borderId="18" xfId="0" applyFont="1" applyFill="1" applyBorder="1"/>
    <xf numFmtId="0" fontId="8" fillId="17" borderId="19" xfId="0" applyFont="1" applyFill="1" applyBorder="1"/>
    <xf numFmtId="0" fontId="8" fillId="24" borderId="19" xfId="0" applyFont="1" applyFill="1" applyBorder="1"/>
    <xf numFmtId="3" fontId="8" fillId="24" borderId="19" xfId="0" applyNumberFormat="1" applyFont="1" applyFill="1" applyBorder="1" applyAlignment="1">
      <alignment vertical="center"/>
    </xf>
    <xf numFmtId="0" fontId="8" fillId="24" borderId="59" xfId="0" applyFont="1" applyFill="1" applyBorder="1"/>
    <xf numFmtId="1" fontId="43" fillId="0" borderId="0" xfId="0" applyNumberFormat="1" applyFont="1" applyAlignment="1">
      <alignment horizontal="center"/>
    </xf>
    <xf numFmtId="0" fontId="8" fillId="17" borderId="20" xfId="0" applyFont="1" applyFill="1" applyBorder="1"/>
    <xf numFmtId="3" fontId="10" fillId="24" borderId="72" xfId="0" applyNumberFormat="1" applyFont="1" applyFill="1" applyBorder="1" applyAlignment="1">
      <alignment vertical="center"/>
    </xf>
    <xf numFmtId="0" fontId="8" fillId="24" borderId="60" xfId="0" applyFont="1" applyFill="1" applyBorder="1"/>
    <xf numFmtId="0" fontId="109" fillId="17" borderId="21" xfId="0" applyFont="1" applyFill="1" applyBorder="1"/>
    <xf numFmtId="0" fontId="109" fillId="17" borderId="22" xfId="0" applyFont="1" applyFill="1" applyBorder="1"/>
    <xf numFmtId="0" fontId="109" fillId="24" borderId="22" xfId="0" applyFont="1" applyFill="1" applyBorder="1"/>
    <xf numFmtId="0" fontId="109" fillId="24" borderId="61" xfId="0" applyFont="1" applyFill="1" applyBorder="1"/>
    <xf numFmtId="0" fontId="109" fillId="19" borderId="15" xfId="0" applyFont="1" applyFill="1" applyBorder="1"/>
    <xf numFmtId="0" fontId="109" fillId="17" borderId="0" xfId="0" applyFont="1" applyFill="1"/>
    <xf numFmtId="0" fontId="109" fillId="0" borderId="0" xfId="0" applyFont="1"/>
    <xf numFmtId="3" fontId="109" fillId="0" borderId="0" xfId="0" applyNumberFormat="1" applyFont="1"/>
    <xf numFmtId="0" fontId="109" fillId="19" borderId="0" xfId="0" applyFont="1" applyFill="1"/>
    <xf numFmtId="0" fontId="109" fillId="17" borderId="36" xfId="0" applyFont="1" applyFill="1" applyBorder="1"/>
    <xf numFmtId="0" fontId="109" fillId="17" borderId="37" xfId="0" applyFont="1" applyFill="1" applyBorder="1"/>
    <xf numFmtId="0" fontId="75" fillId="25" borderId="23" xfId="0" applyFont="1" applyFill="1" applyBorder="1"/>
    <xf numFmtId="0" fontId="110" fillId="22" borderId="44" xfId="0" applyFont="1" applyFill="1" applyBorder="1"/>
    <xf numFmtId="0" fontId="69" fillId="22" borderId="36" xfId="0" applyFont="1" applyFill="1" applyBorder="1" applyAlignment="1">
      <alignment horizontal="left"/>
    </xf>
    <xf numFmtId="0" fontId="110" fillId="22" borderId="36" xfId="0" applyFont="1" applyFill="1" applyBorder="1" applyAlignment="1">
      <alignment horizontal="left"/>
    </xf>
    <xf numFmtId="0" fontId="110" fillId="22" borderId="36" xfId="0" applyFont="1" applyFill="1" applyBorder="1"/>
    <xf numFmtId="0" fontId="110" fillId="22" borderId="40" xfId="0" applyFont="1" applyFill="1" applyBorder="1"/>
    <xf numFmtId="0" fontId="109" fillId="17" borderId="15" xfId="0" applyFont="1" applyFill="1" applyBorder="1"/>
    <xf numFmtId="0" fontId="109" fillId="0" borderId="0" xfId="0" applyFont="1" applyAlignment="1">
      <alignment horizontal="center"/>
    </xf>
    <xf numFmtId="0" fontId="69" fillId="22" borderId="43" xfId="0" applyFont="1" applyFill="1" applyBorder="1"/>
    <xf numFmtId="0" fontId="69" fillId="22" borderId="0" xfId="0" applyFont="1" applyFill="1" applyAlignment="1">
      <alignment horizontal="left"/>
    </xf>
    <xf numFmtId="0" fontId="110" fillId="22" borderId="0" xfId="0" applyFont="1" applyFill="1"/>
    <xf numFmtId="0" fontId="110" fillId="22" borderId="41" xfId="0" applyFont="1" applyFill="1" applyBorder="1"/>
    <xf numFmtId="1" fontId="77" fillId="25" borderId="23" xfId="0" applyNumberFormat="1" applyFont="1" applyFill="1" applyBorder="1" applyAlignment="1">
      <alignment horizontal="right"/>
    </xf>
    <xf numFmtId="3" fontId="69" fillId="22" borderId="0" xfId="0" applyNumberFormat="1" applyFont="1" applyFill="1" applyAlignment="1">
      <alignment horizontal="left"/>
    </xf>
    <xf numFmtId="3" fontId="109" fillId="0" borderId="0" xfId="0" applyNumberFormat="1" applyFont="1" applyAlignment="1">
      <alignment horizontal="center"/>
    </xf>
    <xf numFmtId="0" fontId="109" fillId="17" borderId="128" xfId="0" applyFont="1" applyFill="1" applyBorder="1"/>
    <xf numFmtId="0" fontId="69" fillId="22" borderId="34" xfId="0" applyFont="1" applyFill="1" applyBorder="1"/>
    <xf numFmtId="0" fontId="110" fillId="22" borderId="34" xfId="0" applyFont="1" applyFill="1" applyBorder="1"/>
    <xf numFmtId="0" fontId="110" fillId="22" borderId="42" xfId="0" applyFont="1" applyFill="1" applyBorder="1"/>
    <xf numFmtId="0" fontId="8" fillId="19" borderId="16" xfId="0" applyFont="1" applyFill="1" applyBorder="1"/>
    <xf numFmtId="0" fontId="8" fillId="31" borderId="17" xfId="0" applyFont="1" applyFill="1" applyBorder="1"/>
    <xf numFmtId="0" fontId="78" fillId="19" borderId="23" xfId="0" applyFont="1" applyFill="1" applyBorder="1"/>
    <xf numFmtId="0" fontId="76" fillId="19" borderId="23" xfId="0" applyFont="1" applyFill="1" applyBorder="1"/>
    <xf numFmtId="0" fontId="69" fillId="19" borderId="15" xfId="0" applyFont="1" applyFill="1" applyBorder="1"/>
    <xf numFmtId="0" fontId="69" fillId="0" borderId="0" xfId="0" applyFont="1"/>
    <xf numFmtId="3" fontId="8" fillId="17" borderId="0" xfId="0" applyNumberFormat="1" applyFont="1" applyFill="1"/>
    <xf numFmtId="0" fontId="85" fillId="24" borderId="0" xfId="0" applyFont="1" applyFill="1"/>
    <xf numFmtId="0" fontId="78" fillId="19" borderId="141" xfId="0" applyFont="1" applyFill="1" applyBorder="1"/>
    <xf numFmtId="3" fontId="0" fillId="24" borderId="0" xfId="0" applyNumberFormat="1" applyFill="1"/>
    <xf numFmtId="0" fontId="47" fillId="0" borderId="0" xfId="0" applyFont="1"/>
    <xf numFmtId="3" fontId="57" fillId="17" borderId="0" xfId="0" applyNumberFormat="1" applyFont="1" applyFill="1"/>
    <xf numFmtId="3" fontId="84" fillId="24" borderId="0" xfId="0" applyNumberFormat="1" applyFont="1" applyFill="1" applyAlignment="1">
      <alignment horizontal="right" vertical="center" indent="1"/>
    </xf>
    <xf numFmtId="3" fontId="83" fillId="24" borderId="0" xfId="0" applyNumberFormat="1" applyFont="1" applyFill="1"/>
    <xf numFmtId="3" fontId="113" fillId="24" borderId="0" xfId="0" applyNumberFormat="1" applyFont="1" applyFill="1"/>
    <xf numFmtId="3" fontId="104" fillId="24" borderId="0" xfId="0" applyNumberFormat="1" applyFont="1" applyFill="1"/>
    <xf numFmtId="3" fontId="10" fillId="24" borderId="115" xfId="0" applyNumberFormat="1" applyFont="1" applyFill="1" applyBorder="1" applyAlignment="1">
      <alignment vertical="center"/>
    </xf>
    <xf numFmtId="3" fontId="105" fillId="24" borderId="0" xfId="0" applyNumberFormat="1" applyFont="1" applyFill="1"/>
    <xf numFmtId="3" fontId="0" fillId="47" borderId="0" xfId="0" applyNumberFormat="1" applyFill="1"/>
    <xf numFmtId="0" fontId="83" fillId="24" borderId="0" xfId="0" applyFont="1" applyFill="1"/>
    <xf numFmtId="0" fontId="120" fillId="19" borderId="0" xfId="0" applyFont="1" applyFill="1"/>
    <xf numFmtId="3" fontId="118" fillId="24" borderId="0" xfId="0" applyNumberFormat="1" applyFont="1" applyFill="1" applyAlignment="1">
      <alignment horizontal="right" vertical="center" indent="1"/>
    </xf>
    <xf numFmtId="3" fontId="10" fillId="24" borderId="0" xfId="0" applyNumberFormat="1" applyFont="1" applyFill="1" applyAlignment="1">
      <alignment horizontal="right"/>
    </xf>
    <xf numFmtId="3" fontId="8" fillId="17" borderId="19" xfId="0" applyNumberFormat="1" applyFont="1" applyFill="1" applyBorder="1" applyAlignment="1">
      <alignment horizontal="right" vertical="center" indent="1"/>
    </xf>
    <xf numFmtId="3" fontId="8" fillId="24" borderId="19" xfId="0" applyNumberFormat="1" applyFont="1" applyFill="1" applyBorder="1" applyAlignment="1">
      <alignment horizontal="right" vertical="center" indent="1"/>
    </xf>
    <xf numFmtId="0" fontId="8" fillId="17" borderId="21" xfId="0" applyFont="1" applyFill="1" applyBorder="1"/>
    <xf numFmtId="0" fontId="8" fillId="17" borderId="22" xfId="0" applyFont="1" applyFill="1" applyBorder="1"/>
    <xf numFmtId="0" fontId="8" fillId="24" borderId="22" xfId="0" applyFont="1" applyFill="1" applyBorder="1"/>
    <xf numFmtId="0" fontId="8" fillId="24" borderId="61" xfId="0" applyFont="1" applyFill="1" applyBorder="1"/>
    <xf numFmtId="0" fontId="74" fillId="22" borderId="44" xfId="0" applyFont="1" applyFill="1" applyBorder="1" applyAlignment="1">
      <alignment horizontal="left"/>
    </xf>
    <xf numFmtId="0" fontId="8" fillId="22" borderId="40" xfId="0" applyFont="1" applyFill="1" applyBorder="1"/>
    <xf numFmtId="0" fontId="74" fillId="22" borderId="43" xfId="0" applyFont="1" applyFill="1" applyBorder="1" applyAlignment="1">
      <alignment horizontal="left"/>
    </xf>
    <xf numFmtId="0" fontId="74" fillId="22" borderId="0" xfId="0" applyFont="1" applyFill="1" applyAlignment="1">
      <alignment horizontal="left"/>
    </xf>
    <xf numFmtId="0" fontId="74" fillId="22" borderId="0" xfId="0" applyFont="1" applyFill="1"/>
    <xf numFmtId="0" fontId="8" fillId="22" borderId="41" xfId="0" applyFont="1" applyFill="1" applyBorder="1"/>
    <xf numFmtId="0" fontId="8" fillId="17" borderId="128" xfId="0" applyFont="1" applyFill="1" applyBorder="1"/>
    <xf numFmtId="0" fontId="74" fillId="22" borderId="34" xfId="0" applyFont="1" applyFill="1" applyBorder="1" applyAlignment="1">
      <alignment horizontal="left"/>
    </xf>
    <xf numFmtId="0" fontId="74" fillId="22" borderId="34" xfId="0" applyFont="1" applyFill="1" applyBorder="1"/>
    <xf numFmtId="0" fontId="8" fillId="22" borderId="42" xfId="0" applyFont="1" applyFill="1" applyBorder="1"/>
    <xf numFmtId="0" fontId="75" fillId="25" borderId="23" xfId="0" applyFont="1" applyFill="1" applyBorder="1" applyAlignment="1">
      <alignment vertical="center"/>
    </xf>
    <xf numFmtId="0" fontId="0" fillId="25" borderId="0" xfId="0" applyFill="1" applyAlignment="1">
      <alignment vertical="center"/>
    </xf>
    <xf numFmtId="0" fontId="0" fillId="25" borderId="15" xfId="0" applyFill="1" applyBorder="1" applyAlignment="1">
      <alignment vertical="center"/>
    </xf>
    <xf numFmtId="0" fontId="8" fillId="0" borderId="0" xfId="0" applyFont="1" applyAlignment="1">
      <alignment horizontal="center" vertical="center"/>
    </xf>
    <xf numFmtId="0" fontId="8" fillId="0" borderId="0" xfId="0" applyFont="1" applyAlignment="1">
      <alignment vertical="center"/>
    </xf>
    <xf numFmtId="0" fontId="76" fillId="25" borderId="23" xfId="0" applyFont="1" applyFill="1" applyBorder="1"/>
    <xf numFmtId="0" fontId="43" fillId="25" borderId="0" xfId="0" applyFont="1" applyFill="1"/>
    <xf numFmtId="0" fontId="12" fillId="25" borderId="0" xfId="0" applyFont="1" applyFill="1"/>
    <xf numFmtId="0" fontId="75" fillId="25" borderId="24" xfId="0" applyFont="1" applyFill="1" applyBorder="1"/>
    <xf numFmtId="0" fontId="13" fillId="25" borderId="25" xfId="0" applyFont="1" applyFill="1" applyBorder="1"/>
    <xf numFmtId="0" fontId="0" fillId="25" borderId="25" xfId="0" applyFill="1" applyBorder="1"/>
    <xf numFmtId="0" fontId="79" fillId="25" borderId="0" xfId="0" applyFont="1" applyFill="1" applyAlignment="1">
      <alignment horizontal="left"/>
    </xf>
    <xf numFmtId="4" fontId="5" fillId="25" borderId="0" xfId="0" applyNumberFormat="1" applyFont="1" applyFill="1" applyAlignment="1">
      <alignment horizontal="right"/>
    </xf>
    <xf numFmtId="0" fontId="74" fillId="25" borderId="0" xfId="0" applyFont="1" applyFill="1"/>
    <xf numFmtId="0" fontId="74" fillId="25" borderId="0" xfId="0" applyFont="1" applyFill="1" applyAlignment="1">
      <alignment horizontal="center"/>
    </xf>
    <xf numFmtId="0" fontId="111" fillId="25" borderId="0" xfId="0" applyFont="1" applyFill="1"/>
    <xf numFmtId="0" fontId="108" fillId="25" borderId="0" xfId="0" applyFont="1" applyFill="1"/>
    <xf numFmtId="0" fontId="108" fillId="25" borderId="0" xfId="0" applyFont="1" applyFill="1" applyAlignment="1">
      <alignment horizontal="center"/>
    </xf>
    <xf numFmtId="0" fontId="112" fillId="25" borderId="1" xfId="26" applyFont="1" applyFill="1" applyProtection="1"/>
    <xf numFmtId="0" fontId="19" fillId="25" borderId="1" xfId="26" applyFill="1" applyAlignment="1" applyProtection="1">
      <alignment vertical="center"/>
    </xf>
    <xf numFmtId="169" fontId="74" fillId="25" borderId="0" xfId="0" applyNumberFormat="1" applyFont="1" applyFill="1"/>
    <xf numFmtId="0" fontId="74" fillId="25" borderId="0" xfId="0" applyFont="1" applyFill="1" applyAlignment="1">
      <alignment horizontal="right"/>
    </xf>
    <xf numFmtId="174" fontId="74" fillId="25" borderId="0" xfId="0" applyNumberFormat="1" applyFont="1" applyFill="1" applyAlignment="1">
      <alignment horizontal="left"/>
    </xf>
    <xf numFmtId="0" fontId="75" fillId="25" borderId="0" xfId="0" applyFont="1" applyFill="1" applyAlignment="1">
      <alignment horizontal="center"/>
    </xf>
    <xf numFmtId="0" fontId="8" fillId="25" borderId="0" xfId="0" applyFont="1" applyFill="1" applyAlignment="1">
      <alignment horizontal="left" vertical="center" wrapText="1"/>
    </xf>
    <xf numFmtId="3" fontId="8" fillId="25" borderId="25" xfId="45" applyNumberFormat="1" applyFont="1" applyFill="1" applyBorder="1" applyAlignment="1">
      <alignment vertical="top"/>
    </xf>
    <xf numFmtId="0" fontId="13" fillId="17" borderId="26" xfId="0" applyFont="1" applyFill="1" applyBorder="1" applyAlignment="1">
      <alignment vertical="top"/>
    </xf>
    <xf numFmtId="0" fontId="49" fillId="19" borderId="27" xfId="0" applyFont="1" applyFill="1" applyBorder="1" applyAlignment="1">
      <alignment horizontal="center"/>
    </xf>
    <xf numFmtId="0" fontId="49" fillId="19" borderId="128" xfId="0" applyFont="1" applyFill="1" applyBorder="1" applyAlignment="1">
      <alignment horizontal="center"/>
    </xf>
    <xf numFmtId="0" fontId="49" fillId="19" borderId="25" xfId="0" applyFont="1" applyFill="1" applyBorder="1" applyAlignment="1">
      <alignment horizontal="center"/>
    </xf>
    <xf numFmtId="0" fontId="74" fillId="25" borderId="0" xfId="0" applyFont="1" applyFill="1" applyAlignment="1">
      <alignment wrapText="1"/>
    </xf>
    <xf numFmtId="0" fontId="83" fillId="19" borderId="23" xfId="0" applyFont="1" applyFill="1" applyBorder="1"/>
    <xf numFmtId="0" fontId="43" fillId="0" borderId="0" xfId="60" applyFont="1" applyAlignment="1">
      <alignment horizontal="center"/>
    </xf>
    <xf numFmtId="0" fontId="0" fillId="0" borderId="0" xfId="60" applyFont="1" applyAlignment="1">
      <alignment horizontal="center"/>
    </xf>
    <xf numFmtId="0" fontId="83" fillId="0" borderId="0" xfId="60" applyFont="1" applyAlignment="1">
      <alignment horizontal="center" wrapText="1"/>
    </xf>
    <xf numFmtId="0" fontId="44" fillId="0" borderId="0" xfId="60" applyFont="1" applyAlignment="1">
      <alignment horizontal="center"/>
    </xf>
    <xf numFmtId="0" fontId="43" fillId="17" borderId="0" xfId="60" applyFont="1" applyFill="1" applyAlignment="1">
      <alignment horizontal="center"/>
    </xf>
    <xf numFmtId="3" fontId="82" fillId="17" borderId="0" xfId="60" applyNumberFormat="1" applyFont="1" applyFill="1" applyAlignment="1">
      <alignment horizontal="center" vertical="center"/>
    </xf>
    <xf numFmtId="3" fontId="43" fillId="0" borderId="0" xfId="60" applyNumberFormat="1" applyFont="1" applyAlignment="1">
      <alignment horizontal="center"/>
    </xf>
    <xf numFmtId="0" fontId="8" fillId="0" borderId="0" xfId="60" applyFont="1" applyAlignment="1">
      <alignment horizontal="center"/>
    </xf>
    <xf numFmtId="0" fontId="93" fillId="0" borderId="0" xfId="0" applyFont="1" applyAlignment="1">
      <alignment horizontal="center"/>
    </xf>
    <xf numFmtId="0" fontId="5" fillId="20" borderId="136" xfId="0" applyFont="1" applyFill="1" applyBorder="1" applyAlignment="1">
      <alignment vertical="top"/>
    </xf>
    <xf numFmtId="0" fontId="0" fillId="31" borderId="141" xfId="0" applyFill="1" applyBorder="1"/>
    <xf numFmtId="3" fontId="12" fillId="24" borderId="0" xfId="0" applyNumberFormat="1" applyFont="1" applyFill="1" applyAlignment="1">
      <alignment vertical="center"/>
    </xf>
    <xf numFmtId="0" fontId="38" fillId="19" borderId="0" xfId="0" applyFont="1" applyFill="1" applyAlignment="1">
      <alignment vertical="top"/>
    </xf>
    <xf numFmtId="0" fontId="4" fillId="38" borderId="0" xfId="0" applyFont="1" applyFill="1" applyAlignment="1">
      <alignment vertical="top"/>
    </xf>
    <xf numFmtId="0" fontId="4" fillId="38" borderId="23" xfId="0" applyFont="1" applyFill="1" applyBorder="1" applyAlignment="1">
      <alignment vertical="top"/>
    </xf>
    <xf numFmtId="4" fontId="4" fillId="38" borderId="0" xfId="0" applyNumberFormat="1" applyFont="1" applyFill="1" applyAlignment="1">
      <alignment horizontal="center" vertical="top"/>
    </xf>
    <xf numFmtId="4" fontId="4" fillId="38" borderId="41" xfId="0" applyNumberFormat="1" applyFont="1" applyFill="1" applyBorder="1" applyAlignment="1">
      <alignment horizontal="center" vertical="top"/>
    </xf>
    <xf numFmtId="0" fontId="8" fillId="25" borderId="16" xfId="45" applyFont="1" applyFill="1" applyBorder="1" applyAlignment="1">
      <alignment horizontal="center" vertical="center"/>
    </xf>
    <xf numFmtId="3" fontId="15" fillId="25" borderId="16" xfId="33" applyNumberFormat="1" applyFont="1" applyFill="1" applyBorder="1" applyAlignment="1">
      <alignment horizontal="right" vertical="center"/>
    </xf>
    <xf numFmtId="0" fontId="12" fillId="25" borderId="16" xfId="0" applyFont="1" applyFill="1" applyBorder="1" applyAlignment="1">
      <alignment horizontal="center" vertical="top"/>
    </xf>
    <xf numFmtId="0" fontId="8" fillId="25" borderId="16" xfId="45" applyFont="1" applyFill="1" applyBorder="1" applyAlignment="1">
      <alignment horizontal="left" vertical="center" wrapText="1"/>
    </xf>
    <xf numFmtId="0" fontId="10" fillId="25" borderId="25" xfId="45" applyFont="1" applyFill="1" applyBorder="1" applyAlignment="1">
      <alignment horizontal="left" vertical="center"/>
    </xf>
    <xf numFmtId="3" fontId="15" fillId="25" borderId="25" xfId="33" applyNumberFormat="1" applyFont="1" applyFill="1" applyBorder="1" applyAlignment="1">
      <alignment horizontal="right" vertical="center"/>
    </xf>
    <xf numFmtId="0" fontId="12" fillId="25" borderId="25" xfId="0" applyFont="1" applyFill="1" applyBorder="1" applyAlignment="1">
      <alignment horizontal="center" vertical="top"/>
    </xf>
    <xf numFmtId="0" fontId="14" fillId="25" borderId="0" xfId="0" applyFont="1" applyFill="1" applyAlignment="1">
      <alignment horizontal="left"/>
    </xf>
    <xf numFmtId="0" fontId="14" fillId="25" borderId="0" xfId="0" applyFont="1" applyFill="1" applyAlignment="1">
      <alignment horizontal="center"/>
    </xf>
    <xf numFmtId="0" fontId="14" fillId="25" borderId="0" xfId="0" applyFont="1" applyFill="1"/>
    <xf numFmtId="0" fontId="15" fillId="25" borderId="0" xfId="0" applyFont="1" applyFill="1"/>
    <xf numFmtId="0" fontId="15" fillId="25" borderId="0" xfId="0" applyFont="1" applyFill="1" applyAlignment="1">
      <alignment horizontal="right" vertical="top"/>
    </xf>
    <xf numFmtId="0" fontId="130" fillId="25" borderId="0" xfId="0" applyFont="1" applyFill="1" applyAlignment="1">
      <alignment horizontal="center" vertical="top"/>
    </xf>
    <xf numFmtId="0" fontId="130" fillId="25" borderId="0" xfId="0" applyFont="1" applyFill="1" applyAlignment="1">
      <alignment horizontal="left" vertical="top"/>
    </xf>
    <xf numFmtId="0" fontId="15" fillId="25" borderId="0" xfId="0" applyFont="1" applyFill="1" applyAlignment="1">
      <alignment horizontal="right"/>
    </xf>
    <xf numFmtId="0" fontId="15" fillId="25" borderId="0" xfId="0" applyFont="1" applyFill="1" applyAlignment="1">
      <alignment horizontal="center"/>
    </xf>
    <xf numFmtId="3" fontId="15" fillId="25" borderId="0" xfId="0" applyNumberFormat="1" applyFont="1" applyFill="1" applyAlignment="1">
      <alignment horizontal="right"/>
    </xf>
    <xf numFmtId="3" fontId="15" fillId="25" borderId="0" xfId="0" applyNumberFormat="1" applyFont="1" applyFill="1" applyAlignment="1">
      <alignment horizontal="center"/>
    </xf>
    <xf numFmtId="3" fontId="15" fillId="31" borderId="0" xfId="0" applyNumberFormat="1" applyFont="1" applyFill="1" applyAlignment="1">
      <alignment horizontal="left"/>
    </xf>
    <xf numFmtId="1" fontId="15" fillId="31" borderId="0" xfId="0" applyNumberFormat="1" applyFont="1" applyFill="1" applyAlignment="1">
      <alignment horizontal="right"/>
    </xf>
    <xf numFmtId="3" fontId="15" fillId="31" borderId="0" xfId="0" applyNumberFormat="1" applyFont="1" applyFill="1" applyAlignment="1">
      <alignment horizontal="center"/>
    </xf>
    <xf numFmtId="1" fontId="15" fillId="31" borderId="0" xfId="0" applyNumberFormat="1" applyFont="1" applyFill="1"/>
    <xf numFmtId="0" fontId="15" fillId="31" borderId="0" xfId="0" applyFont="1" applyFill="1"/>
    <xf numFmtId="3" fontId="15" fillId="31" borderId="0" xfId="0" applyNumberFormat="1" applyFont="1" applyFill="1" applyAlignment="1">
      <alignment horizontal="left" vertical="center"/>
    </xf>
    <xf numFmtId="1" fontId="15" fillId="31" borderId="0" xfId="0" applyNumberFormat="1" applyFont="1" applyFill="1" applyAlignment="1">
      <alignment horizontal="center"/>
    </xf>
    <xf numFmtId="2" fontId="15" fillId="31" borderId="0" xfId="0" applyNumberFormat="1" applyFont="1" applyFill="1" applyAlignment="1">
      <alignment horizontal="right"/>
    </xf>
    <xf numFmtId="2" fontId="15" fillId="31" borderId="0" xfId="0" applyNumberFormat="1" applyFont="1" applyFill="1" applyAlignment="1">
      <alignment horizontal="center"/>
    </xf>
    <xf numFmtId="2" fontId="15" fillId="31" borderId="0" xfId="0" applyNumberFormat="1" applyFont="1" applyFill="1"/>
    <xf numFmtId="0" fontId="15" fillId="31" borderId="0" xfId="0" applyFont="1" applyFill="1" applyAlignment="1">
      <alignment horizontal="left"/>
    </xf>
    <xf numFmtId="3" fontId="131" fillId="31" borderId="0" xfId="0" applyNumberFormat="1" applyFont="1" applyFill="1" applyAlignment="1">
      <alignment horizontal="left"/>
    </xf>
    <xf numFmtId="3" fontId="80" fillId="31" borderId="0" xfId="0" applyNumberFormat="1" applyFont="1" applyFill="1" applyAlignment="1">
      <alignment horizontal="left"/>
    </xf>
    <xf numFmtId="3" fontId="15" fillId="39" borderId="0" xfId="0" applyNumberFormat="1" applyFont="1" applyFill="1" applyAlignment="1">
      <alignment horizontal="left"/>
    </xf>
    <xf numFmtId="14" fontId="15" fillId="39" borderId="0" xfId="0" applyNumberFormat="1" applyFont="1" applyFill="1" applyAlignment="1">
      <alignment horizontal="right"/>
    </xf>
    <xf numFmtId="14" fontId="15" fillId="39" borderId="0" xfId="0" applyNumberFormat="1" applyFont="1" applyFill="1" applyAlignment="1">
      <alignment horizontal="center"/>
    </xf>
    <xf numFmtId="14" fontId="15" fillId="39" borderId="0" xfId="0" applyNumberFormat="1" applyFont="1" applyFill="1"/>
    <xf numFmtId="0" fontId="15" fillId="39" borderId="0" xfId="0" applyFont="1" applyFill="1"/>
    <xf numFmtId="3" fontId="15" fillId="39" borderId="0" xfId="0" applyNumberFormat="1" applyFont="1" applyFill="1" applyAlignment="1">
      <alignment horizontal="left" vertical="center"/>
    </xf>
    <xf numFmtId="1" fontId="15" fillId="39" borderId="0" xfId="0" applyNumberFormat="1" applyFont="1" applyFill="1" applyAlignment="1">
      <alignment horizontal="right"/>
    </xf>
    <xf numFmtId="1" fontId="15" fillId="39" borderId="0" xfId="0" applyNumberFormat="1" applyFont="1" applyFill="1" applyAlignment="1">
      <alignment horizontal="center"/>
    </xf>
    <xf numFmtId="1" fontId="15" fillId="39" borderId="0" xfId="0" applyNumberFormat="1" applyFont="1" applyFill="1"/>
    <xf numFmtId="1" fontId="15" fillId="38" borderId="0" xfId="0" applyNumberFormat="1" applyFont="1" applyFill="1" applyAlignment="1">
      <alignment horizontal="right"/>
    </xf>
    <xf numFmtId="1" fontId="15" fillId="38" borderId="0" xfId="0" applyNumberFormat="1" applyFont="1" applyFill="1" applyAlignment="1">
      <alignment horizontal="center"/>
    </xf>
    <xf numFmtId="1" fontId="15" fillId="38" borderId="0" xfId="0" applyNumberFormat="1" applyFont="1" applyFill="1"/>
    <xf numFmtId="0" fontId="15" fillId="38" borderId="0" xfId="0" applyFont="1" applyFill="1"/>
    <xf numFmtId="0" fontId="15" fillId="39" borderId="0" xfId="0" applyFont="1" applyFill="1" applyAlignment="1">
      <alignment horizontal="left"/>
    </xf>
    <xf numFmtId="3" fontId="80" fillId="39" borderId="0" xfId="0" applyNumberFormat="1" applyFont="1" applyFill="1" applyAlignment="1">
      <alignment horizontal="left" vertical="center"/>
    </xf>
    <xf numFmtId="3" fontId="131" fillId="39" borderId="0" xfId="0" applyNumberFormat="1" applyFont="1" applyFill="1" applyAlignment="1">
      <alignment horizontal="left" vertical="center"/>
    </xf>
    <xf numFmtId="49" fontId="15" fillId="39" borderId="0" xfId="0" applyNumberFormat="1" applyFont="1" applyFill="1"/>
    <xf numFmtId="169" fontId="15" fillId="39" borderId="0" xfId="0" applyNumberFormat="1" applyFont="1" applyFill="1" applyAlignment="1">
      <alignment horizontal="right"/>
    </xf>
    <xf numFmtId="169" fontId="15" fillId="39" borderId="0" xfId="0" applyNumberFormat="1" applyFont="1" applyFill="1"/>
    <xf numFmtId="0" fontId="15" fillId="42" borderId="0" xfId="0" applyFont="1" applyFill="1" applyAlignment="1">
      <alignment horizontal="left"/>
    </xf>
    <xf numFmtId="1" fontId="15" fillId="42" borderId="0" xfId="0" applyNumberFormat="1" applyFont="1" applyFill="1" applyAlignment="1">
      <alignment horizontal="right"/>
    </xf>
    <xf numFmtId="1" fontId="15" fillId="42" borderId="0" xfId="0" applyNumberFormat="1" applyFont="1" applyFill="1" applyAlignment="1">
      <alignment horizontal="center"/>
    </xf>
    <xf numFmtId="1" fontId="15" fillId="42" borderId="0" xfId="0" applyNumberFormat="1" applyFont="1" applyFill="1"/>
    <xf numFmtId="0" fontId="15" fillId="42" borderId="0" xfId="0" applyFont="1" applyFill="1"/>
    <xf numFmtId="3" fontId="15" fillId="42" borderId="0" xfId="0" applyNumberFormat="1" applyFont="1" applyFill="1" applyAlignment="1">
      <alignment horizontal="left" vertical="center"/>
    </xf>
    <xf numFmtId="2" fontId="15" fillId="42" borderId="0" xfId="0" applyNumberFormat="1" applyFont="1" applyFill="1" applyAlignment="1">
      <alignment horizontal="right"/>
    </xf>
    <xf numFmtId="0" fontId="15" fillId="25" borderId="0" xfId="0" applyFont="1" applyFill="1" applyAlignment="1">
      <alignment horizontal="left"/>
    </xf>
    <xf numFmtId="173" fontId="15" fillId="25" borderId="0" xfId="0" applyNumberFormat="1" applyFont="1" applyFill="1" applyAlignment="1">
      <alignment horizontal="right"/>
    </xf>
    <xf numFmtId="1" fontId="15" fillId="25" borderId="0" xfId="0" applyNumberFormat="1" applyFont="1" applyFill="1" applyAlignment="1">
      <alignment horizontal="center"/>
    </xf>
    <xf numFmtId="1" fontId="15" fillId="25" borderId="0" xfId="0" applyNumberFormat="1" applyFont="1" applyFill="1"/>
    <xf numFmtId="2" fontId="15" fillId="25" borderId="0" xfId="0" applyNumberFormat="1" applyFont="1" applyFill="1" applyAlignment="1">
      <alignment horizontal="right"/>
    </xf>
    <xf numFmtId="172" fontId="15" fillId="25" borderId="0" xfId="0" applyNumberFormat="1" applyFont="1" applyFill="1" applyAlignment="1">
      <alignment horizontal="right"/>
    </xf>
    <xf numFmtId="1" fontId="15" fillId="25" borderId="0" xfId="0" applyNumberFormat="1" applyFont="1" applyFill="1" applyAlignment="1">
      <alignment horizontal="right"/>
    </xf>
    <xf numFmtId="0" fontId="132" fillId="28" borderId="0" xfId="0" applyFont="1" applyFill="1" applyAlignment="1">
      <alignment horizontal="left"/>
    </xf>
    <xf numFmtId="1" fontId="15" fillId="28" borderId="0" xfId="0" applyNumberFormat="1" applyFont="1" applyFill="1" applyAlignment="1">
      <alignment horizontal="right"/>
    </xf>
    <xf numFmtId="1" fontId="15" fillId="28" borderId="0" xfId="0" applyNumberFormat="1" applyFont="1" applyFill="1" applyAlignment="1">
      <alignment horizontal="center"/>
    </xf>
    <xf numFmtId="1" fontId="15" fillId="28" borderId="0" xfId="0" applyNumberFormat="1" applyFont="1" applyFill="1"/>
    <xf numFmtId="0" fontId="15" fillId="28" borderId="0" xfId="0" applyFont="1" applyFill="1"/>
    <xf numFmtId="0" fontId="80" fillId="28" borderId="0" xfId="0" applyFont="1" applyFill="1" applyAlignment="1">
      <alignment horizontal="left"/>
    </xf>
    <xf numFmtId="14" fontId="15" fillId="28" borderId="0" xfId="0" applyNumberFormat="1" applyFont="1" applyFill="1" applyAlignment="1">
      <alignment horizontal="right"/>
    </xf>
    <xf numFmtId="14" fontId="15" fillId="28" borderId="0" xfId="0" applyNumberFormat="1" applyFont="1" applyFill="1" applyAlignment="1">
      <alignment horizontal="center"/>
    </xf>
    <xf numFmtId="14" fontId="15" fillId="28" borderId="0" xfId="0" applyNumberFormat="1" applyFont="1" applyFill="1"/>
    <xf numFmtId="0" fontId="15" fillId="28" borderId="0" xfId="0" applyFont="1" applyFill="1" applyAlignment="1">
      <alignment horizontal="right"/>
    </xf>
    <xf numFmtId="0" fontId="15" fillId="44" borderId="0" xfId="0" applyFont="1" applyFill="1"/>
    <xf numFmtId="0" fontId="15" fillId="44" borderId="0" xfId="0" applyFont="1" applyFill="1" applyAlignment="1">
      <alignment horizontal="right"/>
    </xf>
    <xf numFmtId="0" fontId="15" fillId="44" borderId="0" xfId="0" applyFont="1" applyFill="1" applyAlignment="1">
      <alignment horizontal="center"/>
    </xf>
    <xf numFmtId="49" fontId="14" fillId="44" borderId="0" xfId="0" applyNumberFormat="1" applyFont="1" applyFill="1"/>
    <xf numFmtId="3" fontId="15" fillId="44" borderId="0" xfId="0" applyNumberFormat="1" applyFont="1" applyFill="1" applyAlignment="1">
      <alignment horizontal="right"/>
    </xf>
    <xf numFmtId="3" fontId="133" fillId="44" borderId="0" xfId="0" applyNumberFormat="1" applyFont="1" applyFill="1" applyAlignment="1">
      <alignment horizontal="center"/>
    </xf>
    <xf numFmtId="3" fontId="133" fillId="44" borderId="0" xfId="0" applyNumberFormat="1" applyFont="1" applyFill="1"/>
    <xf numFmtId="1" fontId="15" fillId="44" borderId="0" xfId="0" applyNumberFormat="1" applyFont="1" applyFill="1" applyAlignment="1">
      <alignment horizontal="right"/>
    </xf>
    <xf numFmtId="0" fontId="14" fillId="44" borderId="0" xfId="0" applyFont="1" applyFill="1"/>
    <xf numFmtId="1" fontId="15" fillId="44" borderId="0" xfId="0" applyNumberFormat="1" applyFont="1" applyFill="1" applyAlignment="1">
      <alignment horizontal="center"/>
    </xf>
    <xf numFmtId="1" fontId="15" fillId="44" borderId="0" xfId="0" applyNumberFormat="1" applyFont="1" applyFill="1"/>
    <xf numFmtId="0" fontId="15" fillId="49" borderId="0" xfId="0" applyFont="1" applyFill="1"/>
    <xf numFmtId="3" fontId="15" fillId="49" borderId="0" xfId="0" applyNumberFormat="1" applyFont="1" applyFill="1" applyAlignment="1">
      <alignment horizontal="right"/>
    </xf>
    <xf numFmtId="0" fontId="15" fillId="49" borderId="0" xfId="0" applyFont="1" applyFill="1" applyAlignment="1">
      <alignment horizontal="center"/>
    </xf>
    <xf numFmtId="3" fontId="15" fillId="49" borderId="0" xfId="0" applyNumberFormat="1" applyFont="1" applyFill="1"/>
    <xf numFmtId="0" fontId="132" fillId="49" borderId="0" xfId="0" applyFont="1" applyFill="1" applyAlignment="1">
      <alignment horizontal="left"/>
    </xf>
    <xf numFmtId="3" fontId="15" fillId="49" borderId="0" xfId="0" applyNumberFormat="1" applyFont="1" applyFill="1" applyAlignment="1">
      <alignment horizontal="center"/>
    </xf>
    <xf numFmtId="0" fontId="80" fillId="49" borderId="0" xfId="0" applyFont="1" applyFill="1"/>
    <xf numFmtId="9" fontId="15" fillId="49" borderId="0" xfId="0" applyNumberFormat="1" applyFont="1" applyFill="1" applyAlignment="1">
      <alignment horizontal="right"/>
    </xf>
    <xf numFmtId="9" fontId="15" fillId="49" borderId="0" xfId="0" applyNumberFormat="1" applyFont="1" applyFill="1" applyAlignment="1">
      <alignment horizontal="center"/>
    </xf>
    <xf numFmtId="9" fontId="15" fillId="49" borderId="0" xfId="0" applyNumberFormat="1" applyFont="1" applyFill="1"/>
    <xf numFmtId="0" fontId="15" fillId="49" borderId="0" xfId="0" applyFont="1" applyFill="1" applyAlignment="1">
      <alignment horizontal="right"/>
    </xf>
    <xf numFmtId="0" fontId="15" fillId="49" borderId="0" xfId="0" applyFont="1" applyFill="1" applyAlignment="1">
      <alignment horizontal="left"/>
    </xf>
    <xf numFmtId="1" fontId="15" fillId="49" borderId="0" xfId="0" applyNumberFormat="1" applyFont="1" applyFill="1" applyAlignment="1">
      <alignment horizontal="right"/>
    </xf>
    <xf numFmtId="1" fontId="15" fillId="49" borderId="0" xfId="0" applyNumberFormat="1" applyFont="1" applyFill="1"/>
    <xf numFmtId="1" fontId="15" fillId="49" borderId="0" xfId="0" applyNumberFormat="1" applyFont="1" applyFill="1" applyAlignment="1">
      <alignment horizontal="center"/>
    </xf>
    <xf numFmtId="0" fontId="15" fillId="32" borderId="0" xfId="0" applyFont="1" applyFill="1"/>
    <xf numFmtId="3" fontId="15" fillId="32" borderId="0" xfId="0" applyNumberFormat="1" applyFont="1" applyFill="1" applyAlignment="1">
      <alignment horizontal="right"/>
    </xf>
    <xf numFmtId="3" fontId="15" fillId="32" borderId="0" xfId="0" applyNumberFormat="1" applyFont="1" applyFill="1" applyAlignment="1">
      <alignment horizontal="center"/>
    </xf>
    <xf numFmtId="3" fontId="15" fillId="32" borderId="0" xfId="0" applyNumberFormat="1" applyFont="1" applyFill="1"/>
    <xf numFmtId="9" fontId="15" fillId="32" borderId="0" xfId="0" applyNumberFormat="1" applyFont="1" applyFill="1" applyAlignment="1">
      <alignment horizontal="right"/>
    </xf>
    <xf numFmtId="9" fontId="15" fillId="32" borderId="0" xfId="0" applyNumberFormat="1" applyFont="1" applyFill="1" applyAlignment="1">
      <alignment horizontal="center"/>
    </xf>
    <xf numFmtId="9" fontId="15" fillId="32" borderId="0" xfId="0" applyNumberFormat="1" applyFont="1" applyFill="1"/>
    <xf numFmtId="1" fontId="15" fillId="32" borderId="0" xfId="0" applyNumberFormat="1" applyFont="1" applyFill="1" applyAlignment="1">
      <alignment horizontal="right"/>
    </xf>
    <xf numFmtId="1" fontId="15" fillId="32" borderId="0" xfId="0" applyNumberFormat="1" applyFont="1" applyFill="1" applyAlignment="1">
      <alignment horizontal="center"/>
    </xf>
    <xf numFmtId="1" fontId="15" fillId="32" borderId="0" xfId="0" applyNumberFormat="1" applyFont="1" applyFill="1"/>
    <xf numFmtId="0" fontId="15" fillId="32" borderId="0" xfId="0" applyFont="1" applyFill="1" applyAlignment="1">
      <alignment horizontal="center"/>
    </xf>
    <xf numFmtId="0" fontId="15" fillId="50" borderId="0" xfId="0" applyFont="1" applyFill="1"/>
    <xf numFmtId="1" fontId="15" fillId="50" borderId="0" xfId="0" applyNumberFormat="1" applyFont="1" applyFill="1" applyAlignment="1">
      <alignment horizontal="right"/>
    </xf>
    <xf numFmtId="1" fontId="15" fillId="50" borderId="0" xfId="0" applyNumberFormat="1" applyFont="1" applyFill="1" applyAlignment="1">
      <alignment horizontal="center"/>
    </xf>
    <xf numFmtId="1" fontId="15" fillId="50" borderId="0" xfId="0" applyNumberFormat="1" applyFont="1" applyFill="1"/>
    <xf numFmtId="0" fontId="15" fillId="0" borderId="0" xfId="0" applyFont="1"/>
    <xf numFmtId="0" fontId="15" fillId="0" borderId="0" xfId="0" applyFont="1" applyAlignment="1">
      <alignment horizontal="right"/>
    </xf>
    <xf numFmtId="0" fontId="15" fillId="25" borderId="0" xfId="0" applyFont="1" applyFill="1" applyAlignment="1">
      <alignment horizontal="left" vertical="center" wrapText="1"/>
    </xf>
    <xf numFmtId="3" fontId="13" fillId="25" borderId="0" xfId="0" applyNumberFormat="1" applyFont="1" applyFill="1"/>
    <xf numFmtId="3" fontId="4" fillId="25" borderId="27" xfId="94" applyNumberFormat="1" applyFill="1" applyBorder="1"/>
    <xf numFmtId="3" fontId="4" fillId="25" borderId="128" xfId="94" applyNumberFormat="1" applyFill="1" applyBorder="1"/>
    <xf numFmtId="0" fontId="5" fillId="20" borderId="38" xfId="0" applyFont="1" applyFill="1" applyBorder="1" applyAlignment="1">
      <alignment vertical="top" wrapText="1"/>
    </xf>
    <xf numFmtId="0" fontId="5" fillId="20" borderId="55" xfId="0" applyFont="1" applyFill="1" applyBorder="1" applyAlignment="1">
      <alignment vertical="top" wrapText="1"/>
    </xf>
    <xf numFmtId="0" fontId="5" fillId="46" borderId="55" xfId="0" applyFont="1" applyFill="1" applyBorder="1" applyAlignment="1">
      <alignment vertical="top" wrapText="1"/>
    </xf>
    <xf numFmtId="0" fontId="5" fillId="46" borderId="38" xfId="0" applyFont="1" applyFill="1" applyBorder="1"/>
    <xf numFmtId="3" fontId="4" fillId="0" borderId="0" xfId="0" applyNumberFormat="1" applyFont="1" applyAlignment="1">
      <alignment horizontal="right"/>
    </xf>
    <xf numFmtId="0" fontId="4" fillId="20" borderId="0" xfId="0" applyFont="1" applyFill="1" applyAlignment="1">
      <alignment horizontal="center" vertical="top" wrapText="1"/>
    </xf>
    <xf numFmtId="0" fontId="4" fillId="35" borderId="23" xfId="0" applyFont="1" applyFill="1" applyBorder="1" applyAlignment="1">
      <alignment horizontal="center" vertical="top" wrapText="1"/>
    </xf>
    <xf numFmtId="0" fontId="5" fillId="46" borderId="53" xfId="0" applyFont="1" applyFill="1" applyBorder="1" applyAlignment="1">
      <alignment vertical="top" wrapText="1"/>
    </xf>
    <xf numFmtId="0" fontId="5" fillId="20" borderId="16" xfId="0" applyFont="1" applyFill="1" applyBorder="1"/>
    <xf numFmtId="0" fontId="5" fillId="20" borderId="17" xfId="0" applyFont="1" applyFill="1" applyBorder="1" applyAlignment="1">
      <alignment horizontal="center"/>
    </xf>
    <xf numFmtId="0" fontId="5" fillId="25" borderId="141" xfId="0" applyFont="1" applyFill="1" applyBorder="1"/>
    <xf numFmtId="0" fontId="79" fillId="25" borderId="0" xfId="0" applyFont="1" applyFill="1" applyProtection="1">
      <protection locked="0"/>
    </xf>
    <xf numFmtId="0" fontId="134" fillId="25" borderId="0" xfId="0" applyFont="1" applyFill="1"/>
    <xf numFmtId="3" fontId="13" fillId="38" borderId="0" xfId="0" applyNumberFormat="1" applyFont="1" applyFill="1"/>
    <xf numFmtId="0" fontId="0" fillId="25" borderId="0" xfId="0" applyFill="1" applyAlignment="1">
      <alignment horizontal="center"/>
    </xf>
    <xf numFmtId="0" fontId="14" fillId="48" borderId="25" xfId="0" applyFont="1" applyFill="1" applyBorder="1"/>
    <xf numFmtId="0" fontId="5" fillId="53" borderId="38" xfId="0" applyFont="1" applyFill="1" applyBorder="1"/>
    <xf numFmtId="0" fontId="5" fillId="20" borderId="16" xfId="0" applyFont="1" applyFill="1" applyBorder="1" applyAlignment="1">
      <alignment horizontal="center"/>
    </xf>
    <xf numFmtId="0" fontId="4" fillId="20" borderId="0" xfId="0" applyFont="1" applyFill="1" applyAlignment="1">
      <alignment horizontal="center"/>
    </xf>
    <xf numFmtId="0" fontId="5" fillId="20" borderId="110" xfId="0" applyFont="1" applyFill="1" applyBorder="1" applyAlignment="1">
      <alignment horizontal="center"/>
    </xf>
    <xf numFmtId="0" fontId="4" fillId="25" borderId="0" xfId="0" applyFont="1" applyFill="1" applyAlignment="1">
      <alignment horizontal="center"/>
    </xf>
    <xf numFmtId="0" fontId="4" fillId="25" borderId="38" xfId="0" applyFont="1" applyFill="1" applyBorder="1" applyAlignment="1">
      <alignment horizontal="center"/>
    </xf>
    <xf numFmtId="0" fontId="5" fillId="25" borderId="0" xfId="0" applyFont="1" applyFill="1" applyAlignment="1">
      <alignment horizontal="center"/>
    </xf>
    <xf numFmtId="0" fontId="14" fillId="48" borderId="24" xfId="0" applyFont="1" applyFill="1" applyBorder="1"/>
    <xf numFmtId="0" fontId="14" fillId="24" borderId="25" xfId="0" applyFont="1" applyFill="1" applyBorder="1"/>
    <xf numFmtId="0" fontId="5" fillId="25" borderId="53" xfId="0" applyFont="1" applyFill="1" applyBorder="1" applyAlignment="1">
      <alignment horizontal="center"/>
    </xf>
    <xf numFmtId="0" fontId="5" fillId="25" borderId="38" xfId="0" applyFont="1" applyFill="1" applyBorder="1" applyAlignment="1">
      <alignment horizontal="center" vertical="top" wrapText="1"/>
    </xf>
    <xf numFmtId="0" fontId="5" fillId="38" borderId="110" xfId="0" applyFont="1" applyFill="1" applyBorder="1" applyAlignment="1">
      <alignment horizontal="center" vertical="top" wrapText="1"/>
    </xf>
    <xf numFmtId="0" fontId="5" fillId="25" borderId="55" xfId="0" applyFont="1" applyFill="1" applyBorder="1" applyAlignment="1">
      <alignment horizontal="center" vertical="top" wrapText="1"/>
    </xf>
    <xf numFmtId="0" fontId="5" fillId="25" borderId="110" xfId="0" applyFont="1" applyFill="1" applyBorder="1" applyAlignment="1">
      <alignment horizontal="center" vertical="top" wrapText="1"/>
    </xf>
    <xf numFmtId="0" fontId="5" fillId="25" borderId="110" xfId="0" applyFont="1" applyFill="1" applyBorder="1" applyAlignment="1">
      <alignment horizontal="center"/>
    </xf>
    <xf numFmtId="0" fontId="5" fillId="38" borderId="55" xfId="0" applyFont="1" applyFill="1" applyBorder="1" applyAlignment="1">
      <alignment horizontal="center"/>
    </xf>
    <xf numFmtId="0" fontId="5" fillId="25" borderId="55" xfId="0" applyFont="1" applyFill="1" applyBorder="1" applyAlignment="1">
      <alignment horizontal="center"/>
    </xf>
    <xf numFmtId="0" fontId="5" fillId="50" borderId="110" xfId="0" applyFont="1" applyFill="1" applyBorder="1" applyAlignment="1">
      <alignment horizontal="center" vertical="top" wrapText="1"/>
    </xf>
    <xf numFmtId="0" fontId="5" fillId="50" borderId="53" xfId="0" applyFont="1" applyFill="1" applyBorder="1" applyAlignment="1">
      <alignment horizontal="center" vertical="top" wrapText="1"/>
    </xf>
    <xf numFmtId="0" fontId="5" fillId="50" borderId="55" xfId="0" applyFont="1" applyFill="1" applyBorder="1" applyAlignment="1">
      <alignment horizontal="center" vertical="top" wrapText="1"/>
    </xf>
    <xf numFmtId="0" fontId="5" fillId="24" borderId="24" xfId="0" applyFont="1" applyFill="1" applyBorder="1"/>
    <xf numFmtId="3" fontId="4" fillId="25" borderId="0" xfId="0" applyNumberFormat="1" applyFont="1" applyFill="1" applyAlignment="1">
      <alignment wrapText="1"/>
    </xf>
    <xf numFmtId="3" fontId="4" fillId="25" borderId="128" xfId="0" applyNumberFormat="1" applyFont="1" applyFill="1" applyBorder="1" applyAlignment="1">
      <alignment wrapText="1"/>
    </xf>
    <xf numFmtId="3" fontId="4" fillId="25" borderId="25" xfId="0" applyNumberFormat="1" applyFont="1" applyFill="1" applyBorder="1" applyAlignment="1">
      <alignment wrapText="1"/>
    </xf>
    <xf numFmtId="0" fontId="75" fillId="20" borderId="141" xfId="0" applyFont="1" applyFill="1" applyBorder="1"/>
    <xf numFmtId="0" fontId="8" fillId="20" borderId="147" xfId="0" applyFont="1" applyFill="1" applyBorder="1"/>
    <xf numFmtId="0" fontId="131" fillId="25" borderId="0" xfId="0" applyFont="1" applyFill="1" applyAlignment="1">
      <alignment horizontal="left" vertical="center" wrapText="1"/>
    </xf>
    <xf numFmtId="1" fontId="5" fillId="20" borderId="47" xfId="0" applyNumberFormat="1" applyFont="1" applyFill="1" applyBorder="1" applyAlignment="1">
      <alignment horizontal="center" vertical="top" wrapText="1"/>
    </xf>
    <xf numFmtId="0" fontId="5" fillId="20" borderId="27" xfId="0" applyFont="1" applyFill="1" applyBorder="1" applyAlignment="1">
      <alignment vertical="top" wrapText="1"/>
    </xf>
    <xf numFmtId="0" fontId="5" fillId="20" borderId="147" xfId="0" applyFont="1" applyFill="1" applyBorder="1" applyAlignment="1">
      <alignment horizontal="center" vertical="top" wrapText="1"/>
    </xf>
    <xf numFmtId="0" fontId="5" fillId="20" borderId="0" xfId="0" applyFont="1" applyFill="1" applyAlignment="1">
      <alignment horizontal="center" vertical="top" wrapText="1"/>
    </xf>
    <xf numFmtId="0" fontId="5" fillId="35" borderId="45" xfId="0" applyFont="1" applyFill="1" applyBorder="1" applyAlignment="1">
      <alignment horizontal="center" vertical="top" wrapText="1"/>
    </xf>
    <xf numFmtId="0" fontId="5" fillId="20" borderId="45" xfId="0" applyFont="1" applyFill="1" applyBorder="1" applyAlignment="1">
      <alignment vertical="top" wrapText="1"/>
    </xf>
    <xf numFmtId="0" fontId="5" fillId="20" borderId="17" xfId="0" applyFont="1" applyFill="1" applyBorder="1" applyAlignment="1">
      <alignment vertical="top" wrapText="1"/>
    </xf>
    <xf numFmtId="0" fontId="5" fillId="35" borderId="17" xfId="0" applyFont="1" applyFill="1" applyBorder="1" applyAlignment="1">
      <alignment vertical="top" wrapText="1"/>
    </xf>
    <xf numFmtId="4" fontId="4" fillId="55" borderId="56" xfId="0" applyNumberFormat="1" applyFont="1" applyFill="1" applyBorder="1"/>
    <xf numFmtId="4" fontId="4" fillId="55" borderId="56" xfId="0" applyNumberFormat="1" applyFont="1" applyFill="1" applyBorder="1" applyAlignment="1">
      <alignment horizontal="center"/>
    </xf>
    <xf numFmtId="0" fontId="0" fillId="55" borderId="56" xfId="0" applyFill="1" applyBorder="1"/>
    <xf numFmtId="169" fontId="0" fillId="32" borderId="56" xfId="0" applyNumberFormat="1" applyFill="1" applyBorder="1"/>
    <xf numFmtId="169" fontId="0" fillId="26" borderId="56" xfId="0" applyNumberFormat="1" applyFill="1" applyBorder="1"/>
    <xf numFmtId="3" fontId="4" fillId="55" borderId="56" xfId="0" applyNumberFormat="1" applyFont="1" applyFill="1" applyBorder="1"/>
    <xf numFmtId="1" fontId="0" fillId="38" borderId="56" xfId="0" applyNumberFormat="1" applyFill="1" applyBorder="1"/>
    <xf numFmtId="1" fontId="0" fillId="39" borderId="56" xfId="0" applyNumberFormat="1" applyFill="1" applyBorder="1"/>
    <xf numFmtId="9" fontId="0" fillId="39" borderId="56" xfId="48" applyFont="1" applyFill="1" applyBorder="1"/>
    <xf numFmtId="4" fontId="4" fillId="55" borderId="57" xfId="0" applyNumberFormat="1" applyFont="1" applyFill="1" applyBorder="1"/>
    <xf numFmtId="4" fontId="4" fillId="55" borderId="57" xfId="0" applyNumberFormat="1" applyFont="1" applyFill="1" applyBorder="1" applyAlignment="1">
      <alignment horizontal="center"/>
    </xf>
    <xf numFmtId="0" fontId="0" fillId="55" borderId="57" xfId="0" applyFill="1" applyBorder="1"/>
    <xf numFmtId="169" fontId="0" fillId="32" borderId="57" xfId="0" applyNumberFormat="1" applyFill="1" applyBorder="1"/>
    <xf numFmtId="169" fontId="0" fillId="26" borderId="57" xfId="0" applyNumberFormat="1" applyFill="1" applyBorder="1"/>
    <xf numFmtId="3" fontId="4" fillId="55" borderId="57" xfId="0" applyNumberFormat="1" applyFont="1" applyFill="1" applyBorder="1"/>
    <xf numFmtId="1" fontId="0" fillId="38" borderId="57" xfId="0" applyNumberFormat="1" applyFill="1" applyBorder="1"/>
    <xf numFmtId="1" fontId="0" fillId="39" borderId="57" xfId="0" applyNumberFormat="1" applyFill="1" applyBorder="1"/>
    <xf numFmtId="9" fontId="0" fillId="39" borderId="57" xfId="48" applyFont="1" applyFill="1" applyBorder="1"/>
    <xf numFmtId="0" fontId="4" fillId="55" borderId="57" xfId="0" applyFont="1" applyFill="1" applyBorder="1"/>
    <xf numFmtId="0" fontId="4" fillId="55" borderId="57" xfId="0" applyFont="1" applyFill="1" applyBorder="1" applyAlignment="1">
      <alignment horizontal="center"/>
    </xf>
    <xf numFmtId="4" fontId="4" fillId="36" borderId="57" xfId="0" applyNumberFormat="1" applyFont="1" applyFill="1" applyBorder="1"/>
    <xf numFmtId="4" fontId="4" fillId="36" borderId="57" xfId="0" applyNumberFormat="1" applyFont="1" applyFill="1" applyBorder="1" applyAlignment="1">
      <alignment horizontal="center"/>
    </xf>
    <xf numFmtId="0" fontId="0" fillId="36" borderId="57" xfId="0" applyFill="1" applyBorder="1"/>
    <xf numFmtId="4" fontId="4" fillId="55" borderId="58" xfId="0" applyNumberFormat="1" applyFont="1" applyFill="1" applyBorder="1"/>
    <xf numFmtId="4" fontId="4" fillId="55" borderId="58" xfId="0" applyNumberFormat="1" applyFont="1" applyFill="1" applyBorder="1" applyAlignment="1">
      <alignment horizontal="center"/>
    </xf>
    <xf numFmtId="0" fontId="0" fillId="55" borderId="58" xfId="0" applyFill="1" applyBorder="1"/>
    <xf numFmtId="169" fontId="0" fillId="32" borderId="58" xfId="0" applyNumberFormat="1" applyFill="1" applyBorder="1"/>
    <xf numFmtId="169" fontId="0" fillId="26" borderId="58" xfId="0" applyNumberFormat="1" applyFill="1" applyBorder="1"/>
    <xf numFmtId="3" fontId="4" fillId="55" borderId="58" xfId="0" applyNumberFormat="1" applyFont="1" applyFill="1" applyBorder="1"/>
    <xf numFmtId="1" fontId="0" fillId="38" borderId="58" xfId="0" applyNumberFormat="1" applyFill="1" applyBorder="1"/>
    <xf numFmtId="1" fontId="0" fillId="39" borderId="58" xfId="0" applyNumberFormat="1" applyFill="1" applyBorder="1"/>
    <xf numFmtId="9" fontId="0" fillId="39" borderId="58" xfId="48" applyFont="1" applyFill="1" applyBorder="1"/>
    <xf numFmtId="169" fontId="0" fillId="0" borderId="0" xfId="0" applyNumberFormat="1"/>
    <xf numFmtId="4" fontId="5" fillId="31" borderId="155" xfId="0" applyNumberFormat="1" applyFont="1" applyFill="1" applyBorder="1"/>
    <xf numFmtId="0" fontId="5" fillId="31" borderId="155" xfId="0" applyFont="1" applyFill="1" applyBorder="1"/>
    <xf numFmtId="170" fontId="5" fillId="31" borderId="155" xfId="0" applyNumberFormat="1" applyFont="1" applyFill="1" applyBorder="1"/>
    <xf numFmtId="170" fontId="0" fillId="0" borderId="0" xfId="0" applyNumberFormat="1"/>
    <xf numFmtId="0" fontId="85" fillId="31" borderId="0" xfId="0" applyFont="1" applyFill="1" applyAlignment="1">
      <alignment horizontal="left" vertical="top" wrapText="1"/>
    </xf>
    <xf numFmtId="0" fontId="85" fillId="31" borderId="0" xfId="0" applyFont="1" applyFill="1" applyAlignment="1">
      <alignment vertical="top" wrapText="1"/>
    </xf>
    <xf numFmtId="3" fontId="80" fillId="38" borderId="0" xfId="0" applyNumberFormat="1" applyFont="1" applyFill="1" applyAlignment="1">
      <alignment horizontal="left" vertical="center"/>
    </xf>
    <xf numFmtId="0" fontId="5" fillId="0" borderId="45" xfId="0" applyFont="1" applyBorder="1" applyAlignment="1">
      <alignment vertical="top" wrapText="1"/>
    </xf>
    <xf numFmtId="0" fontId="5" fillId="0" borderId="38" xfId="0" applyFont="1" applyBorder="1" applyAlignment="1">
      <alignment horizontal="center" vertical="top" wrapText="1"/>
    </xf>
    <xf numFmtId="0" fontId="5" fillId="25" borderId="38" xfId="0" applyFont="1" applyFill="1" applyBorder="1" applyAlignment="1">
      <alignment horizontal="center"/>
    </xf>
    <xf numFmtId="3" fontId="10" fillId="0" borderId="140" xfId="0" applyNumberFormat="1" applyFont="1" applyBorder="1" applyAlignment="1">
      <alignment vertical="center"/>
    </xf>
    <xf numFmtId="0" fontId="131" fillId="49" borderId="0" xfId="0" applyFont="1" applyFill="1" applyAlignment="1">
      <alignment horizontal="left"/>
    </xf>
    <xf numFmtId="1" fontId="131" fillId="49" borderId="0" xfId="0" applyNumberFormat="1" applyFont="1" applyFill="1" applyAlignment="1">
      <alignment horizontal="right"/>
    </xf>
    <xf numFmtId="3" fontId="131" fillId="49" borderId="0" xfId="0" applyNumberFormat="1" applyFont="1" applyFill="1" applyAlignment="1">
      <alignment horizontal="center"/>
    </xf>
    <xf numFmtId="1" fontId="131" fillId="49" borderId="0" xfId="0" applyNumberFormat="1" applyFont="1" applyFill="1"/>
    <xf numFmtId="0" fontId="131" fillId="49" borderId="0" xfId="0" applyFont="1" applyFill="1"/>
    <xf numFmtId="1" fontId="131" fillId="49" borderId="0" xfId="0" applyNumberFormat="1" applyFont="1" applyFill="1" applyAlignment="1">
      <alignment horizontal="center"/>
    </xf>
    <xf numFmtId="0" fontId="131" fillId="32" borderId="0" xfId="0" applyFont="1" applyFill="1"/>
    <xf numFmtId="1" fontId="131" fillId="32" borderId="0" xfId="0" applyNumberFormat="1" applyFont="1" applyFill="1" applyAlignment="1">
      <alignment horizontal="right"/>
    </xf>
    <xf numFmtId="1" fontId="131" fillId="32" borderId="0" xfId="0" applyNumberFormat="1" applyFont="1" applyFill="1" applyAlignment="1">
      <alignment horizontal="center"/>
    </xf>
    <xf numFmtId="1" fontId="131" fillId="32" borderId="0" xfId="0" applyNumberFormat="1" applyFont="1" applyFill="1"/>
    <xf numFmtId="0" fontId="0" fillId="20" borderId="141" xfId="0" applyFill="1" applyBorder="1"/>
    <xf numFmtId="0" fontId="0" fillId="20" borderId="147" xfId="0" applyFill="1" applyBorder="1"/>
    <xf numFmtId="0" fontId="9" fillId="20" borderId="141" xfId="0" applyFont="1" applyFill="1" applyBorder="1" applyAlignment="1">
      <alignment horizontal="center"/>
    </xf>
    <xf numFmtId="0" fontId="9" fillId="20" borderId="147" xfId="0" applyFont="1" applyFill="1" applyBorder="1" applyAlignment="1">
      <alignment horizontal="center"/>
    </xf>
    <xf numFmtId="0" fontId="34" fillId="20" borderId="141" xfId="0" applyFont="1" applyFill="1" applyBorder="1" applyAlignment="1">
      <alignment horizontal="center"/>
    </xf>
    <xf numFmtId="0" fontId="34" fillId="20" borderId="147" xfId="0" applyFont="1" applyFill="1" applyBorder="1" applyAlignment="1">
      <alignment horizontal="center"/>
    </xf>
    <xf numFmtId="0" fontId="10" fillId="20" borderId="141" xfId="0" applyFont="1" applyFill="1" applyBorder="1" applyAlignment="1">
      <alignment horizontal="center"/>
    </xf>
    <xf numFmtId="0" fontId="8" fillId="20" borderId="147" xfId="0" applyFont="1" applyFill="1" applyBorder="1" applyAlignment="1">
      <alignment horizontal="center"/>
    </xf>
    <xf numFmtId="0" fontId="35" fillId="20" borderId="141" xfId="0" applyFont="1" applyFill="1" applyBorder="1" applyAlignment="1">
      <alignment horizontal="center" shrinkToFit="1"/>
    </xf>
    <xf numFmtId="0" fontId="35" fillId="20" borderId="147" xfId="0" applyFont="1" applyFill="1" applyBorder="1" applyAlignment="1">
      <alignment horizontal="center" shrinkToFit="1"/>
    </xf>
    <xf numFmtId="0" fontId="10" fillId="20" borderId="141" xfId="0" applyFont="1" applyFill="1" applyBorder="1" applyAlignment="1">
      <alignment horizontal="center" vertical="top"/>
    </xf>
    <xf numFmtId="0" fontId="10" fillId="20" borderId="147" xfId="0" applyFont="1" applyFill="1" applyBorder="1" applyAlignment="1">
      <alignment horizontal="center" vertical="top"/>
    </xf>
    <xf numFmtId="0" fontId="10" fillId="20" borderId="147" xfId="0" applyFont="1" applyFill="1" applyBorder="1" applyAlignment="1">
      <alignment horizontal="center"/>
    </xf>
    <xf numFmtId="0" fontId="0" fillId="20" borderId="141" xfId="0" applyFill="1" applyBorder="1" applyAlignment="1">
      <alignment horizontal="center"/>
    </xf>
    <xf numFmtId="0" fontId="0" fillId="20" borderId="147" xfId="0" applyFill="1" applyBorder="1" applyAlignment="1">
      <alignment horizontal="center"/>
    </xf>
    <xf numFmtId="3" fontId="74" fillId="25" borderId="0" xfId="0" applyNumberFormat="1" applyFont="1" applyFill="1" applyAlignment="1" applyProtection="1">
      <alignment vertical="center"/>
      <protection locked="0"/>
    </xf>
    <xf numFmtId="3" fontId="74" fillId="25" borderId="0" xfId="0" applyNumberFormat="1" applyFont="1" applyFill="1" applyAlignment="1">
      <alignment vertical="center"/>
    </xf>
    <xf numFmtId="0" fontId="86" fillId="19" borderId="120" xfId="60" applyFont="1" applyFill="1" applyBorder="1" applyAlignment="1">
      <alignment horizontal="right" vertical="center"/>
    </xf>
    <xf numFmtId="0" fontId="80" fillId="32" borderId="0" xfId="0" applyFont="1" applyFill="1"/>
    <xf numFmtId="0" fontId="133" fillId="32" borderId="0" xfId="0" applyFont="1" applyFill="1"/>
    <xf numFmtId="0" fontId="0" fillId="25" borderId="26" xfId="0" applyFill="1" applyBorder="1"/>
    <xf numFmtId="0" fontId="0" fillId="25" borderId="16" xfId="0" applyFill="1" applyBorder="1"/>
    <xf numFmtId="0" fontId="0" fillId="25" borderId="17" xfId="0" applyFill="1" applyBorder="1"/>
    <xf numFmtId="0" fontId="5" fillId="25" borderId="141" xfId="0" applyFont="1" applyFill="1" applyBorder="1" applyAlignment="1">
      <alignment horizontal="center"/>
    </xf>
    <xf numFmtId="0" fontId="0" fillId="25" borderId="147" xfId="0" applyFill="1" applyBorder="1"/>
    <xf numFmtId="0" fontId="0" fillId="25" borderId="24" xfId="0" applyFill="1" applyBorder="1"/>
    <xf numFmtId="0" fontId="0" fillId="25" borderId="27" xfId="0" applyFill="1" applyBorder="1"/>
    <xf numFmtId="0" fontId="0" fillId="25" borderId="141" xfId="0" applyFill="1" applyBorder="1"/>
    <xf numFmtId="0" fontId="36" fillId="25" borderId="141" xfId="0" applyFont="1" applyFill="1" applyBorder="1"/>
    <xf numFmtId="0" fontId="38" fillId="25" borderId="0" xfId="0" applyFont="1" applyFill="1"/>
    <xf numFmtId="0" fontId="36" fillId="25" borderId="0" xfId="0" applyFont="1" applyFill="1"/>
    <xf numFmtId="0" fontId="36" fillId="25" borderId="147" xfId="0" applyFont="1" applyFill="1" applyBorder="1"/>
    <xf numFmtId="0" fontId="39" fillId="25" borderId="28" xfId="0" applyFont="1" applyFill="1" applyBorder="1"/>
    <xf numFmtId="0" fontId="40" fillId="25" borderId="0" xfId="0" applyFont="1" applyFill="1"/>
    <xf numFmtId="0" fontId="4" fillId="25" borderId="0" xfId="0" applyFont="1" applyFill="1" applyAlignment="1">
      <alignment horizontal="left" wrapText="1" indent="2"/>
    </xf>
    <xf numFmtId="0" fontId="8" fillId="25" borderId="29" xfId="0" applyFont="1" applyFill="1" applyBorder="1"/>
    <xf numFmtId="0" fontId="39" fillId="25" borderId="30" xfId="0" applyFont="1" applyFill="1" applyBorder="1"/>
    <xf numFmtId="0" fontId="40" fillId="25" borderId="0" xfId="0" applyFont="1" applyFill="1" applyAlignment="1">
      <alignment wrapText="1"/>
    </xf>
    <xf numFmtId="0" fontId="36" fillId="25" borderId="0" xfId="0" applyFont="1" applyFill="1" applyAlignment="1">
      <alignment horizontal="left"/>
    </xf>
    <xf numFmtId="0" fontId="36" fillId="25" borderId="0" xfId="0" applyFont="1" applyFill="1" applyAlignment="1">
      <alignment wrapText="1"/>
    </xf>
    <xf numFmtId="0" fontId="36" fillId="25" borderId="141" xfId="0" applyFont="1" applyFill="1" applyBorder="1" applyAlignment="1">
      <alignment vertical="top"/>
    </xf>
    <xf numFmtId="0" fontId="36" fillId="25" borderId="0" xfId="0" applyFont="1" applyFill="1" applyAlignment="1">
      <alignment horizontal="left" vertical="top" wrapText="1"/>
    </xf>
    <xf numFmtId="0" fontId="36" fillId="25" borderId="147" xfId="0" applyFont="1" applyFill="1" applyBorder="1" applyAlignment="1">
      <alignment vertical="top"/>
    </xf>
    <xf numFmtId="0" fontId="38" fillId="25" borderId="0" xfId="0" applyFont="1" applyFill="1" applyAlignment="1">
      <alignment horizontal="center"/>
    </xf>
    <xf numFmtId="0" fontId="36" fillId="25" borderId="0" xfId="0" applyFont="1" applyFill="1" applyAlignment="1">
      <alignment horizontal="left" wrapText="1"/>
    </xf>
    <xf numFmtId="0" fontId="36" fillId="25" borderId="0" xfId="0" applyFont="1" applyFill="1" applyAlignment="1">
      <alignment vertical="top"/>
    </xf>
    <xf numFmtId="0" fontId="38" fillId="25" borderId="0" xfId="0" applyFont="1" applyFill="1" applyAlignment="1">
      <alignment horizontal="left" vertical="top" wrapText="1"/>
    </xf>
    <xf numFmtId="0" fontId="39" fillId="25" borderId="0" xfId="0" applyFont="1" applyFill="1" applyAlignment="1">
      <alignment horizontal="center" vertical="center" wrapText="1"/>
    </xf>
    <xf numFmtId="0" fontId="83" fillId="25" borderId="0" xfId="0" applyFont="1" applyFill="1" applyAlignment="1">
      <alignment wrapText="1"/>
    </xf>
    <xf numFmtId="0" fontId="34" fillId="25" borderId="0" xfId="0" applyFont="1" applyFill="1"/>
    <xf numFmtId="0" fontId="36" fillId="25" borderId="24" xfId="0" applyFont="1" applyFill="1" applyBorder="1"/>
    <xf numFmtId="0" fontId="36" fillId="25" borderId="25" xfId="0" applyFont="1" applyFill="1" applyBorder="1"/>
    <xf numFmtId="0" fontId="36" fillId="25" borderId="27" xfId="0" applyFont="1" applyFill="1" applyBorder="1"/>
    <xf numFmtId="1" fontId="138" fillId="32" borderId="0" xfId="0" applyNumberFormat="1" applyFont="1" applyFill="1"/>
    <xf numFmtId="1" fontId="80" fillId="32" borderId="0" xfId="0" applyNumberFormat="1" applyFont="1" applyFill="1" applyAlignment="1">
      <alignment horizontal="right"/>
    </xf>
    <xf numFmtId="1" fontId="80" fillId="32" borderId="0" xfId="0" applyNumberFormat="1" applyFont="1" applyFill="1" applyAlignment="1">
      <alignment horizontal="center"/>
    </xf>
    <xf numFmtId="1" fontId="80" fillId="32" borderId="0" xfId="0" applyNumberFormat="1" applyFont="1" applyFill="1"/>
    <xf numFmtId="0" fontId="8" fillId="25" borderId="26" xfId="0" applyFont="1" applyFill="1" applyBorder="1" applyAlignment="1">
      <alignment horizontal="center" vertical="center"/>
    </xf>
    <xf numFmtId="0" fontId="8" fillId="25" borderId="25" xfId="0" applyFont="1" applyFill="1" applyBorder="1" applyAlignment="1">
      <alignment horizontal="left" vertical="center" wrapText="1"/>
    </xf>
    <xf numFmtId="0" fontId="8" fillId="25" borderId="25" xfId="0" applyFont="1" applyFill="1" applyBorder="1" applyAlignment="1">
      <alignment horizontal="right" vertical="center"/>
    </xf>
    <xf numFmtId="0" fontId="8" fillId="27" borderId="100" xfId="0" applyFont="1" applyFill="1" applyBorder="1" applyAlignment="1" applyProtection="1">
      <alignment horizontal="left" vertical="center" wrapText="1"/>
      <protection locked="0"/>
    </xf>
    <xf numFmtId="3" fontId="131" fillId="49" borderId="0" xfId="0" applyNumberFormat="1" applyFont="1" applyFill="1" applyAlignment="1">
      <alignment horizontal="right"/>
    </xf>
    <xf numFmtId="3" fontId="131" fillId="49" borderId="0" xfId="0" applyNumberFormat="1" applyFont="1" applyFill="1"/>
    <xf numFmtId="0" fontId="131" fillId="44" borderId="0" xfId="0" applyFont="1" applyFill="1"/>
    <xf numFmtId="0" fontId="131" fillId="49" borderId="0" xfId="0" applyFont="1" applyFill="1" applyAlignment="1">
      <alignment horizontal="center"/>
    </xf>
    <xf numFmtId="0" fontId="8" fillId="31" borderId="0" xfId="0" applyFont="1" applyFill="1" applyAlignment="1">
      <alignment horizontal="left"/>
    </xf>
    <xf numFmtId="0" fontId="74" fillId="31" borderId="0" xfId="0" applyFont="1" applyFill="1" applyAlignment="1">
      <alignment horizontal="center" vertical="center"/>
    </xf>
    <xf numFmtId="0" fontId="45" fillId="19" borderId="0" xfId="0" applyFont="1" applyFill="1" applyAlignment="1">
      <alignment horizontal="center"/>
    </xf>
    <xf numFmtId="0" fontId="74" fillId="31" borderId="16" xfId="0" applyFont="1" applyFill="1" applyBorder="1" applyAlignment="1">
      <alignment horizontal="center" vertical="center"/>
    </xf>
    <xf numFmtId="0" fontId="8" fillId="31" borderId="0" xfId="0" applyFont="1" applyFill="1" applyAlignment="1">
      <alignment horizontal="left" vertical="center"/>
    </xf>
    <xf numFmtId="0" fontId="8" fillId="31" borderId="0" xfId="0" applyFont="1" applyFill="1" applyAlignment="1">
      <alignment horizontal="center" vertical="center"/>
    </xf>
    <xf numFmtId="3" fontId="8" fillId="31" borderId="0" xfId="0" applyNumberFormat="1" applyFont="1" applyFill="1" applyAlignment="1">
      <alignment vertical="center"/>
    </xf>
    <xf numFmtId="0" fontId="0" fillId="31" borderId="17" xfId="0" applyFill="1" applyBorder="1"/>
    <xf numFmtId="0" fontId="0" fillId="31" borderId="147" xfId="0" applyFill="1" applyBorder="1"/>
    <xf numFmtId="0" fontId="4" fillId="31" borderId="147" xfId="0" applyFont="1" applyFill="1" applyBorder="1"/>
    <xf numFmtId="0" fontId="0" fillId="31" borderId="25" xfId="0" applyFill="1" applyBorder="1"/>
    <xf numFmtId="0" fontId="74" fillId="31" borderId="25" xfId="0" applyFont="1" applyFill="1" applyBorder="1" applyAlignment="1">
      <alignment horizontal="center" vertical="center"/>
    </xf>
    <xf numFmtId="0" fontId="0" fillId="31" borderId="27" xfId="0" applyFill="1" applyBorder="1"/>
    <xf numFmtId="0" fontId="0" fillId="31" borderId="26" xfId="0" applyFill="1" applyBorder="1"/>
    <xf numFmtId="3" fontId="0" fillId="31" borderId="23" xfId="0" applyNumberFormat="1" applyFill="1" applyBorder="1"/>
    <xf numFmtId="0" fontId="0" fillId="31" borderId="24" xfId="0" applyFill="1" applyBorder="1"/>
    <xf numFmtId="0" fontId="131" fillId="42" borderId="0" xfId="0" applyFont="1" applyFill="1" applyAlignment="1">
      <alignment horizontal="left"/>
    </xf>
    <xf numFmtId="1" fontId="131" fillId="42" borderId="0" xfId="0" applyNumberFormat="1" applyFont="1" applyFill="1" applyAlignment="1">
      <alignment horizontal="right"/>
    </xf>
    <xf numFmtId="1" fontId="131" fillId="42" borderId="0" xfId="0" applyNumberFormat="1" applyFont="1" applyFill="1" applyAlignment="1">
      <alignment horizontal="center"/>
    </xf>
    <xf numFmtId="1" fontId="131" fillId="42" borderId="0" xfId="0" applyNumberFormat="1" applyFont="1" applyFill="1"/>
    <xf numFmtId="0" fontId="131" fillId="42" borderId="0" xfId="0" applyFont="1" applyFill="1"/>
    <xf numFmtId="0" fontId="131" fillId="39" borderId="0" xfId="0" applyFont="1" applyFill="1"/>
    <xf numFmtId="0" fontId="78" fillId="31" borderId="141" xfId="0" applyFont="1" applyFill="1" applyBorder="1"/>
    <xf numFmtId="0" fontId="80" fillId="42" borderId="0" xfId="0" applyFont="1" applyFill="1" applyAlignment="1">
      <alignment horizontal="left"/>
    </xf>
    <xf numFmtId="1" fontId="80" fillId="42" borderId="0" xfId="0" applyNumberFormat="1" applyFont="1" applyFill="1" applyAlignment="1">
      <alignment horizontal="right"/>
    </xf>
    <xf numFmtId="1" fontId="80" fillId="42" borderId="0" xfId="0" applyNumberFormat="1" applyFont="1" applyFill="1" applyAlignment="1">
      <alignment horizontal="center"/>
    </xf>
    <xf numFmtId="1" fontId="80" fillId="42" borderId="0" xfId="0" applyNumberFormat="1" applyFont="1" applyFill="1"/>
    <xf numFmtId="0" fontId="80" fillId="42" borderId="0" xfId="0" applyFont="1" applyFill="1"/>
    <xf numFmtId="0" fontId="80" fillId="39" borderId="0" xfId="0" applyFont="1" applyFill="1"/>
    <xf numFmtId="3" fontId="10" fillId="31" borderId="0" xfId="0" applyNumberFormat="1" applyFont="1" applyFill="1" applyAlignment="1">
      <alignment vertical="center"/>
    </xf>
    <xf numFmtId="0" fontId="139" fillId="25" borderId="0" xfId="0" applyFont="1" applyFill="1"/>
    <xf numFmtId="0" fontId="140" fillId="25" borderId="0" xfId="0" applyFont="1" applyFill="1"/>
    <xf numFmtId="0" fontId="0" fillId="41" borderId="0" xfId="60" applyFont="1" applyFill="1"/>
    <xf numFmtId="3" fontId="0" fillId="25" borderId="0" xfId="33" applyNumberFormat="1" applyFont="1" applyFill="1"/>
    <xf numFmtId="0" fontId="4" fillId="0" borderId="0" xfId="0" applyFont="1" applyAlignment="1">
      <alignment horizontal="right" vertical="center" wrapText="1"/>
    </xf>
    <xf numFmtId="4" fontId="4" fillId="31" borderId="45" xfId="0" applyNumberFormat="1" applyFont="1" applyFill="1" applyBorder="1" applyAlignment="1">
      <alignment horizontal="center"/>
    </xf>
    <xf numFmtId="4" fontId="4" fillId="31" borderId="46" xfId="0" applyNumberFormat="1" applyFont="1" applyFill="1" applyBorder="1" applyAlignment="1">
      <alignment horizontal="center"/>
    </xf>
    <xf numFmtId="0" fontId="4" fillId="31" borderId="46" xfId="0" applyFont="1" applyFill="1" applyBorder="1" applyAlignment="1">
      <alignment horizontal="center"/>
    </xf>
    <xf numFmtId="4" fontId="4" fillId="31" borderId="47" xfId="0" applyNumberFormat="1" applyFont="1" applyFill="1" applyBorder="1" applyAlignment="1">
      <alignment horizontal="center"/>
    </xf>
    <xf numFmtId="169" fontId="0" fillId="26" borderId="44" xfId="0" applyNumberFormat="1" applyFill="1" applyBorder="1"/>
    <xf numFmtId="169" fontId="0" fillId="26" borderId="43" xfId="0" applyNumberFormat="1" applyFill="1" applyBorder="1"/>
    <xf numFmtId="169" fontId="0" fillId="26" borderId="71" xfId="0" applyNumberFormat="1" applyFill="1" applyBorder="1"/>
    <xf numFmtId="3" fontId="4" fillId="55" borderId="40" xfId="0" applyNumberFormat="1" applyFont="1" applyFill="1" applyBorder="1"/>
    <xf numFmtId="3" fontId="4" fillId="55" borderId="41" xfId="0" applyNumberFormat="1" applyFont="1" applyFill="1" applyBorder="1"/>
    <xf numFmtId="3" fontId="4" fillId="55" borderId="42" xfId="0" applyNumberFormat="1" applyFont="1" applyFill="1" applyBorder="1"/>
    <xf numFmtId="3" fontId="4" fillId="0" borderId="46" xfId="0" applyNumberFormat="1" applyFont="1" applyBorder="1" applyAlignment="1">
      <alignment horizontal="right"/>
    </xf>
    <xf numFmtId="0" fontId="5" fillId="35" borderId="38" xfId="0" applyFont="1" applyFill="1" applyBorder="1" applyAlignment="1">
      <alignment horizontal="center" vertical="top" wrapText="1"/>
    </xf>
    <xf numFmtId="0" fontId="5" fillId="20" borderId="38" xfId="0" applyFont="1" applyFill="1" applyBorder="1" applyAlignment="1">
      <alignment horizontal="center" vertical="top" wrapText="1"/>
    </xf>
    <xf numFmtId="0" fontId="5" fillId="35" borderId="38" xfId="0" applyFont="1" applyFill="1" applyBorder="1"/>
    <xf numFmtId="0" fontId="91" fillId="26" borderId="0" xfId="44" applyFont="1" applyFill="1" applyBorder="1" applyAlignment="1">
      <alignment horizontal="center" vertical="top"/>
    </xf>
    <xf numFmtId="0" fontId="4" fillId="26" borderId="0" xfId="0" applyFont="1" applyFill="1" applyAlignment="1">
      <alignment horizontal="center" vertical="top"/>
    </xf>
    <xf numFmtId="1" fontId="77" fillId="17" borderId="141" xfId="0" applyNumberFormat="1" applyFont="1" applyFill="1" applyBorder="1" applyAlignment="1">
      <alignment horizontal="right"/>
    </xf>
    <xf numFmtId="1" fontId="77" fillId="25" borderId="141" xfId="0" applyNumberFormat="1" applyFont="1" applyFill="1" applyBorder="1" applyAlignment="1">
      <alignment horizontal="right"/>
    </xf>
    <xf numFmtId="0" fontId="80" fillId="39" borderId="0" xfId="0" applyFont="1" applyFill="1" applyAlignment="1">
      <alignment horizontal="left" vertical="top"/>
    </xf>
    <xf numFmtId="1" fontId="15" fillId="56" borderId="0" xfId="0" applyNumberFormat="1" applyFont="1" applyFill="1"/>
    <xf numFmtId="1" fontId="15" fillId="56" borderId="0" xfId="0" applyNumberFormat="1" applyFont="1" applyFill="1" applyAlignment="1">
      <alignment horizontal="right"/>
    </xf>
    <xf numFmtId="0" fontId="141" fillId="25" borderId="0" xfId="54" applyFont="1" applyFill="1" applyBorder="1" applyAlignment="1" applyProtection="1"/>
    <xf numFmtId="3" fontId="12" fillId="37" borderId="38" xfId="0" applyNumberFormat="1" applyFont="1" applyFill="1" applyBorder="1" applyAlignment="1">
      <alignment vertical="center"/>
    </xf>
    <xf numFmtId="0" fontId="4" fillId="35" borderId="45" xfId="0" applyFont="1" applyFill="1" applyBorder="1" applyAlignment="1">
      <alignment horizontal="center" vertical="top" wrapText="1"/>
    </xf>
    <xf numFmtId="0" fontId="4" fillId="25" borderId="0" xfId="0" applyFont="1" applyFill="1" applyAlignment="1">
      <alignment horizontal="right"/>
    </xf>
    <xf numFmtId="0" fontId="8" fillId="25" borderId="0" xfId="0" applyFont="1" applyFill="1" applyAlignment="1">
      <alignment horizontal="right" vertical="center"/>
    </xf>
    <xf numFmtId="3" fontId="8" fillId="25" borderId="0" xfId="0" applyNumberFormat="1" applyFont="1" applyFill="1"/>
    <xf numFmtId="0" fontId="10" fillId="34" borderId="3" xfId="0" applyFont="1" applyFill="1" applyBorder="1" applyAlignment="1">
      <alignment horizontal="center"/>
    </xf>
    <xf numFmtId="0" fontId="5" fillId="46" borderId="45" xfId="0" applyFont="1" applyFill="1" applyBorder="1" applyAlignment="1">
      <alignment vertical="top" wrapText="1"/>
    </xf>
    <xf numFmtId="9" fontId="131" fillId="49" borderId="0" xfId="0" applyNumberFormat="1" applyFont="1" applyFill="1" applyAlignment="1">
      <alignment horizontal="right"/>
    </xf>
    <xf numFmtId="0" fontId="8" fillId="25" borderId="136" xfId="0" applyFont="1" applyFill="1" applyBorder="1" applyAlignment="1">
      <alignment horizontal="left" vertical="center"/>
    </xf>
    <xf numFmtId="3" fontId="8" fillId="25" borderId="136" xfId="0" applyNumberFormat="1" applyFont="1" applyFill="1" applyBorder="1" applyAlignment="1">
      <alignment vertical="top"/>
    </xf>
    <xf numFmtId="3" fontId="8" fillId="25" borderId="136" xfId="0" applyNumberFormat="1" applyFont="1" applyFill="1" applyBorder="1" applyAlignment="1">
      <alignment vertical="center"/>
    </xf>
    <xf numFmtId="0" fontId="8" fillId="25" borderId="136" xfId="0" applyFont="1" applyFill="1" applyBorder="1" applyAlignment="1">
      <alignment horizontal="right" vertical="center"/>
    </xf>
    <xf numFmtId="0" fontId="8" fillId="25" borderId="136" xfId="0" applyFont="1" applyFill="1" applyBorder="1" applyAlignment="1">
      <alignment vertical="center"/>
    </xf>
    <xf numFmtId="3" fontId="8" fillId="25" borderId="136" xfId="0" applyNumberFormat="1" applyFont="1" applyFill="1" applyBorder="1" applyAlignment="1">
      <alignment horizontal="right" vertical="center"/>
    </xf>
    <xf numFmtId="0" fontId="8" fillId="25" borderId="136" xfId="0" applyFont="1" applyFill="1" applyBorder="1" applyAlignment="1">
      <alignment horizontal="center" vertical="center"/>
    </xf>
    <xf numFmtId="0" fontId="8" fillId="25" borderId="136" xfId="0" applyFont="1" applyFill="1" applyBorder="1" applyAlignment="1">
      <alignment horizontal="center"/>
    </xf>
    <xf numFmtId="0" fontId="8" fillId="25" borderId="53" xfId="0" applyFont="1" applyFill="1" applyBorder="1" applyAlignment="1">
      <alignment horizontal="center" vertical="center"/>
    </xf>
    <xf numFmtId="0" fontId="8" fillId="25" borderId="110" xfId="0" applyFont="1" applyFill="1" applyBorder="1" applyAlignment="1">
      <alignment horizontal="left" vertical="center" wrapText="1"/>
    </xf>
    <xf numFmtId="9" fontId="8" fillId="25" borderId="110" xfId="0" applyNumberFormat="1" applyFont="1" applyFill="1" applyBorder="1" applyAlignment="1">
      <alignment vertical="center"/>
    </xf>
    <xf numFmtId="3" fontId="8" fillId="25" borderId="110" xfId="0" applyNumberFormat="1" applyFont="1" applyFill="1" applyBorder="1" applyAlignment="1">
      <alignment vertical="center"/>
    </xf>
    <xf numFmtId="3" fontId="8" fillId="25" borderId="110" xfId="0" applyNumberFormat="1" applyFont="1" applyFill="1" applyBorder="1" applyAlignment="1">
      <alignment horizontal="right" vertical="center"/>
    </xf>
    <xf numFmtId="9" fontId="8" fillId="25" borderId="110" xfId="0" applyNumberFormat="1" applyFont="1" applyFill="1" applyBorder="1" applyAlignment="1">
      <alignment horizontal="right" vertical="center"/>
    </xf>
    <xf numFmtId="0" fontId="8" fillId="25" borderId="110" xfId="0" applyFont="1" applyFill="1" applyBorder="1" applyAlignment="1">
      <alignment vertical="center"/>
    </xf>
    <xf numFmtId="0" fontId="8" fillId="25" borderId="110" xfId="0" applyFont="1" applyFill="1" applyBorder="1" applyAlignment="1">
      <alignment horizontal="right" vertical="center"/>
    </xf>
    <xf numFmtId="0" fontId="8" fillId="25" borderId="110" xfId="0" applyFont="1" applyFill="1" applyBorder="1" applyAlignment="1">
      <alignment horizontal="center" vertical="center"/>
    </xf>
    <xf numFmtId="0" fontId="10" fillId="25" borderId="110" xfId="0" applyFont="1" applyFill="1" applyBorder="1" applyAlignment="1">
      <alignment horizontal="center" vertical="center"/>
    </xf>
    <xf numFmtId="0" fontId="8" fillId="25" borderId="110" xfId="0" applyFont="1" applyFill="1" applyBorder="1" applyAlignment="1">
      <alignment horizontal="center"/>
    </xf>
    <xf numFmtId="0" fontId="8" fillId="27" borderId="108" xfId="0" applyFont="1" applyFill="1" applyBorder="1" applyAlignment="1" applyProtection="1">
      <alignment horizontal="left" vertical="center" wrapText="1"/>
      <protection locked="0"/>
    </xf>
    <xf numFmtId="0" fontId="8" fillId="25" borderId="25" xfId="0" applyFont="1" applyFill="1" applyBorder="1" applyAlignment="1" applyProtection="1">
      <alignment horizontal="left" vertical="center" wrapText="1"/>
      <protection locked="0"/>
    </xf>
    <xf numFmtId="0" fontId="8" fillId="25" borderId="136" xfId="0" applyFont="1" applyFill="1" applyBorder="1" applyAlignment="1" applyProtection="1">
      <alignment horizontal="left" vertical="center" wrapText="1"/>
      <protection locked="0"/>
    </xf>
    <xf numFmtId="3" fontId="44" fillId="17" borderId="0" xfId="0" applyNumberFormat="1" applyFont="1" applyFill="1" applyAlignment="1">
      <alignment horizontal="left" vertical="center"/>
    </xf>
    <xf numFmtId="0" fontId="109" fillId="25" borderId="0" xfId="0" applyFont="1" applyFill="1"/>
    <xf numFmtId="0" fontId="0" fillId="25" borderId="0" xfId="60" applyFont="1" applyFill="1"/>
    <xf numFmtId="0" fontId="83" fillId="25" borderId="0" xfId="60" applyFont="1" applyFill="1" applyAlignment="1">
      <alignment wrapText="1"/>
    </xf>
    <xf numFmtId="0" fontId="36" fillId="25" borderId="0" xfId="60" applyFont="1" applyFill="1" applyAlignment="1">
      <alignment vertical="center"/>
    </xf>
    <xf numFmtId="0" fontId="92" fillId="19" borderId="26" xfId="60" applyFont="1" applyFill="1" applyBorder="1" applyAlignment="1">
      <alignment horizontal="left" vertical="center"/>
    </xf>
    <xf numFmtId="0" fontId="92" fillId="19" borderId="16" xfId="60" applyFont="1" applyFill="1" applyBorder="1" applyAlignment="1">
      <alignment horizontal="left" vertical="center"/>
    </xf>
    <xf numFmtId="0" fontId="34" fillId="19" borderId="17" xfId="60" applyFont="1" applyFill="1" applyBorder="1" applyAlignment="1">
      <alignment horizontal="left" vertical="center" wrapText="1"/>
    </xf>
    <xf numFmtId="0" fontId="92" fillId="19" borderId="27" xfId="60" applyFont="1" applyFill="1" applyBorder="1" applyAlignment="1">
      <alignment horizontal="left" vertical="center"/>
    </xf>
    <xf numFmtId="0" fontId="44" fillId="25" borderId="0" xfId="60" applyFont="1" applyFill="1"/>
    <xf numFmtId="170" fontId="43" fillId="25" borderId="0" xfId="60" applyNumberFormat="1" applyFont="1" applyFill="1"/>
    <xf numFmtId="0" fontId="43" fillId="25" borderId="0" xfId="60" applyFont="1" applyFill="1" applyAlignment="1">
      <alignment horizontal="center"/>
    </xf>
    <xf numFmtId="0" fontId="8" fillId="25" borderId="0" xfId="60" applyFont="1" applyFill="1" applyAlignment="1">
      <alignment horizontal="center"/>
    </xf>
    <xf numFmtId="0" fontId="36" fillId="25" borderId="0" xfId="0" applyFont="1" applyFill="1" applyAlignment="1">
      <alignment horizontal="center"/>
    </xf>
    <xf numFmtId="0" fontId="0" fillId="25" borderId="0" xfId="0" applyFill="1" applyAlignment="1">
      <alignment wrapText="1"/>
    </xf>
    <xf numFmtId="0" fontId="44" fillId="25" borderId="0" xfId="0" applyFont="1" applyFill="1"/>
    <xf numFmtId="0" fontId="19" fillId="25" borderId="156" xfId="26" applyFill="1" applyBorder="1" applyProtection="1"/>
    <xf numFmtId="0" fontId="19" fillId="25" borderId="0" xfId="26" applyFill="1" applyBorder="1" applyProtection="1"/>
    <xf numFmtId="0" fontId="36" fillId="25" borderId="0" xfId="0" applyFont="1" applyFill="1" applyAlignment="1">
      <alignment vertical="top" wrapText="1"/>
    </xf>
    <xf numFmtId="0" fontId="4" fillId="25" borderId="0" xfId="0" applyFont="1" applyFill="1" applyAlignment="1">
      <alignment vertical="top" wrapText="1"/>
    </xf>
    <xf numFmtId="0" fontId="36" fillId="25" borderId="0" xfId="0" applyFont="1" applyFill="1" applyAlignment="1">
      <alignment horizontal="left" vertical="top" wrapText="1"/>
    </xf>
    <xf numFmtId="0" fontId="36" fillId="25" borderId="117" xfId="0" applyFont="1" applyFill="1" applyBorder="1" applyAlignment="1">
      <alignment horizontal="left" vertical="center" wrapText="1"/>
    </xf>
    <xf numFmtId="0" fontId="36" fillId="25" borderId="119" xfId="0" applyFont="1" applyFill="1" applyBorder="1" applyAlignment="1">
      <alignment horizontal="left" vertical="center" wrapText="1"/>
    </xf>
    <xf numFmtId="0" fontId="36" fillId="25" borderId="120" xfId="0" applyFont="1" applyFill="1" applyBorder="1" applyAlignment="1">
      <alignment horizontal="left" vertical="center" wrapText="1"/>
    </xf>
    <xf numFmtId="0" fontId="36" fillId="25" borderId="121" xfId="0" applyFont="1" applyFill="1" applyBorder="1" applyAlignment="1">
      <alignment horizontal="left" vertical="center" wrapText="1"/>
    </xf>
    <xf numFmtId="0" fontId="36" fillId="25" borderId="122" xfId="0" applyFont="1" applyFill="1" applyBorder="1" applyAlignment="1">
      <alignment horizontal="left" vertical="center" wrapText="1"/>
    </xf>
    <xf numFmtId="0" fontId="36" fillId="25" borderId="124" xfId="0" applyFont="1" applyFill="1" applyBorder="1" applyAlignment="1">
      <alignment horizontal="left" vertical="center" wrapText="1"/>
    </xf>
    <xf numFmtId="0" fontId="39" fillId="25" borderId="0" xfId="0" applyFont="1" applyFill="1" applyAlignment="1">
      <alignment horizontal="left" vertical="top" wrapText="1" indent="1"/>
    </xf>
    <xf numFmtId="0" fontId="4" fillId="25" borderId="0" xfId="0" applyFont="1" applyFill="1" applyAlignment="1">
      <alignment horizontal="left" vertical="top" wrapText="1" indent="1"/>
    </xf>
    <xf numFmtId="0" fontId="33" fillId="20" borderId="141" xfId="0" applyFont="1" applyFill="1" applyBorder="1" applyAlignment="1">
      <alignment horizontal="center"/>
    </xf>
    <xf numFmtId="0" fontId="33" fillId="20" borderId="0" xfId="0" applyFont="1" applyFill="1" applyAlignment="1">
      <alignment horizontal="center"/>
    </xf>
    <xf numFmtId="0" fontId="33" fillId="20" borderId="147" xfId="0" applyFont="1" applyFill="1" applyBorder="1" applyAlignment="1">
      <alignment horizontal="center"/>
    </xf>
    <xf numFmtId="0" fontId="34" fillId="20" borderId="141" xfId="0" applyFont="1" applyFill="1" applyBorder="1" applyAlignment="1">
      <alignment horizontal="center"/>
    </xf>
    <xf numFmtId="0" fontId="34" fillId="20" borderId="0" xfId="0" applyFont="1" applyFill="1" applyAlignment="1">
      <alignment horizontal="center"/>
    </xf>
    <xf numFmtId="0" fontId="34" fillId="20" borderId="147" xfId="0" applyFont="1" applyFill="1" applyBorder="1" applyAlignment="1">
      <alignment horizontal="center"/>
    </xf>
    <xf numFmtId="0" fontId="36" fillId="25" borderId="0" xfId="0" applyFont="1" applyFill="1" applyAlignment="1">
      <alignment horizontal="center" vertical="center" wrapText="1"/>
    </xf>
    <xf numFmtId="0" fontId="86" fillId="20" borderId="0" xfId="0" applyFont="1" applyFill="1" applyAlignment="1">
      <alignment horizontal="center" vertical="top" wrapText="1"/>
    </xf>
    <xf numFmtId="0" fontId="137" fillId="20" borderId="0" xfId="0" applyFont="1" applyFill="1" applyAlignment="1">
      <alignment horizontal="center" vertical="top" wrapText="1"/>
    </xf>
    <xf numFmtId="0" fontId="34" fillId="20" borderId="141" xfId="0" applyFont="1" applyFill="1" applyBorder="1" applyAlignment="1">
      <alignment horizontal="center" shrinkToFit="1"/>
    </xf>
    <xf numFmtId="0" fontId="34" fillId="20" borderId="0" xfId="0" applyFont="1" applyFill="1" applyAlignment="1">
      <alignment horizontal="center" vertical="top" wrapText="1"/>
    </xf>
    <xf numFmtId="0" fontId="0" fillId="20" borderId="0" xfId="0" applyFill="1" applyAlignment="1">
      <alignment horizontal="center" vertical="top" wrapText="1"/>
    </xf>
    <xf numFmtId="0" fontId="39" fillId="25" borderId="0" xfId="0" applyFont="1" applyFill="1" applyAlignment="1">
      <alignment horizontal="left" vertical="top" wrapText="1"/>
    </xf>
    <xf numFmtId="0" fontId="8" fillId="19" borderId="0" xfId="0" applyFont="1" applyFill="1" applyAlignment="1">
      <alignment vertical="top" wrapText="1"/>
    </xf>
    <xf numFmtId="0" fontId="8" fillId="19" borderId="0" xfId="0" applyFont="1" applyFill="1" applyAlignment="1">
      <alignment horizontal="left" vertical="top" wrapText="1"/>
    </xf>
    <xf numFmtId="0" fontId="8" fillId="31" borderId="0" xfId="0" applyFont="1" applyFill="1"/>
    <xf numFmtId="0" fontId="8" fillId="19" borderId="0" xfId="0" applyFont="1" applyFill="1"/>
    <xf numFmtId="0" fontId="8" fillId="17" borderId="0" xfId="0" applyFont="1" applyFill="1"/>
    <xf numFmtId="3" fontId="69" fillId="22" borderId="0" xfId="0" applyNumberFormat="1" applyFont="1" applyFill="1" applyAlignment="1">
      <alignment horizontal="left"/>
    </xf>
    <xf numFmtId="0" fontId="8" fillId="0" borderId="56" xfId="0" applyFont="1" applyBorder="1" applyAlignment="1">
      <alignment horizontal="center" wrapText="1"/>
    </xf>
    <xf numFmtId="0" fontId="8" fillId="0" borderId="58" xfId="0" applyFont="1" applyBorder="1" applyAlignment="1">
      <alignment horizontal="center" wrapText="1"/>
    </xf>
    <xf numFmtId="3" fontId="45" fillId="22" borderId="0" xfId="0" applyNumberFormat="1" applyFont="1" applyFill="1" applyAlignment="1">
      <alignment horizontal="left"/>
    </xf>
    <xf numFmtId="3" fontId="56" fillId="19" borderId="0" xfId="0" applyNumberFormat="1" applyFont="1" applyFill="1" applyAlignment="1">
      <alignment horizontal="left" vertical="center"/>
    </xf>
    <xf numFmtId="0" fontId="56" fillId="0" borderId="0" xfId="0" applyFont="1" applyAlignment="1">
      <alignment horizontal="left" vertical="center"/>
    </xf>
    <xf numFmtId="3" fontId="11" fillId="19" borderId="0" xfId="0" applyNumberFormat="1" applyFont="1" applyFill="1" applyAlignment="1">
      <alignment horizontal="right" vertical="center"/>
    </xf>
    <xf numFmtId="0" fontId="8" fillId="19" borderId="0" xfId="0" applyFont="1" applyFill="1" applyAlignment="1">
      <alignment vertical="top"/>
    </xf>
    <xf numFmtId="0" fontId="13" fillId="19" borderId="0" xfId="0" applyFont="1" applyFill="1"/>
    <xf numFmtId="0" fontId="8" fillId="51" borderId="0" xfId="0" applyFont="1" applyFill="1"/>
    <xf numFmtId="0" fontId="8" fillId="19" borderId="0" xfId="0" applyFont="1" applyFill="1" applyAlignment="1">
      <alignment horizontal="left"/>
    </xf>
    <xf numFmtId="0" fontId="69" fillId="22" borderId="36" xfId="0" applyFont="1" applyFill="1" applyBorder="1" applyAlignment="1">
      <alignment horizontal="left"/>
    </xf>
    <xf numFmtId="0" fontId="8" fillId="19" borderId="0" xfId="0" applyFont="1" applyFill="1" applyAlignment="1">
      <alignment wrapText="1"/>
    </xf>
    <xf numFmtId="0" fontId="0" fillId="0" borderId="0" xfId="0" applyAlignment="1">
      <alignment wrapText="1"/>
    </xf>
    <xf numFmtId="0" fontId="81" fillId="22" borderId="71" xfId="0" applyFont="1" applyFill="1" applyBorder="1" applyAlignment="1">
      <alignment horizontal="left"/>
    </xf>
    <xf numFmtId="0" fontId="81" fillId="22" borderId="34" xfId="0" applyFont="1" applyFill="1" applyBorder="1" applyAlignment="1">
      <alignment horizontal="left"/>
    </xf>
    <xf numFmtId="3" fontId="10" fillId="19" borderId="0" xfId="0" applyNumberFormat="1" applyFont="1" applyFill="1" applyAlignment="1">
      <alignment horizontal="center" vertical="center" wrapText="1"/>
    </xf>
    <xf numFmtId="0" fontId="8" fillId="19" borderId="0" xfId="0" applyFont="1" applyFill="1" applyAlignment="1">
      <alignment horizontal="left" wrapText="1"/>
    </xf>
    <xf numFmtId="0" fontId="47" fillId="19" borderId="0" xfId="0" applyFont="1" applyFill="1" applyAlignment="1">
      <alignment horizontal="left" wrapText="1"/>
    </xf>
    <xf numFmtId="0" fontId="8" fillId="19" borderId="0" xfId="0" applyFont="1" applyFill="1" applyAlignment="1">
      <alignment horizontal="left" vertical="center" wrapText="1"/>
    </xf>
    <xf numFmtId="0" fontId="8" fillId="25" borderId="56" xfId="0" applyFont="1" applyFill="1" applyBorder="1" applyAlignment="1">
      <alignment horizontal="center" wrapText="1"/>
    </xf>
    <xf numFmtId="0" fontId="8" fillId="25" borderId="58" xfId="0" applyFont="1" applyFill="1" applyBorder="1" applyAlignment="1">
      <alignment horizontal="center" wrapText="1"/>
    </xf>
    <xf numFmtId="0" fontId="8" fillId="25" borderId="0" xfId="0" applyFont="1" applyFill="1" applyAlignment="1">
      <alignment horizontal="left" vertical="top" wrapText="1"/>
    </xf>
    <xf numFmtId="0" fontId="51" fillId="17" borderId="25" xfId="0" applyFont="1" applyFill="1" applyBorder="1" applyAlignment="1">
      <alignment horizontal="center"/>
    </xf>
    <xf numFmtId="1" fontId="81" fillId="22" borderId="71" xfId="0" applyNumberFormat="1" applyFont="1" applyFill="1" applyBorder="1" applyAlignment="1">
      <alignment horizontal="center"/>
    </xf>
    <xf numFmtId="0" fontId="81" fillId="22" borderId="34" xfId="0" applyFont="1" applyFill="1" applyBorder="1" applyAlignment="1">
      <alignment horizontal="center"/>
    </xf>
    <xf numFmtId="0" fontId="86" fillId="25" borderId="0" xfId="0" applyFont="1" applyFill="1" applyAlignment="1">
      <alignment horizontal="center" vertical="center"/>
    </xf>
    <xf numFmtId="0" fontId="47" fillId="17" borderId="152" xfId="0" applyFont="1" applyFill="1" applyBorder="1" applyAlignment="1">
      <alignment horizontal="left" vertical="top" wrapText="1"/>
    </xf>
    <xf numFmtId="0" fontId="8" fillId="31" borderId="0" xfId="0" applyFont="1" applyFill="1" applyAlignment="1">
      <alignment horizontal="left" vertical="center" wrapText="1"/>
    </xf>
    <xf numFmtId="0" fontId="8" fillId="31" borderId="0" xfId="0" applyFont="1" applyFill="1" applyAlignment="1">
      <alignment horizontal="left" wrapText="1"/>
    </xf>
    <xf numFmtId="0" fontId="69" fillId="19" borderId="3" xfId="0" applyFont="1" applyFill="1" applyBorder="1" applyAlignment="1">
      <alignment horizontal="left" vertical="center" wrapText="1"/>
    </xf>
    <xf numFmtId="1" fontId="122" fillId="22" borderId="71" xfId="0" applyNumberFormat="1" applyFont="1" applyFill="1" applyBorder="1" applyAlignment="1">
      <alignment horizontal="left"/>
    </xf>
    <xf numFmtId="0" fontId="122" fillId="22" borderId="34" xfId="0" applyFont="1" applyFill="1" applyBorder="1" applyAlignment="1">
      <alignment horizontal="left"/>
    </xf>
    <xf numFmtId="0" fontId="9" fillId="20" borderId="23" xfId="0" applyFont="1" applyFill="1" applyBorder="1" applyAlignment="1">
      <alignment horizontal="center"/>
    </xf>
    <xf numFmtId="0" fontId="9" fillId="20" borderId="0" xfId="0" applyFont="1" applyFill="1" applyAlignment="1">
      <alignment horizontal="center"/>
    </xf>
    <xf numFmtId="0" fontId="9" fillId="20" borderId="15" xfId="0" applyFont="1" applyFill="1" applyBorder="1" applyAlignment="1">
      <alignment horizontal="center"/>
    </xf>
    <xf numFmtId="168" fontId="11" fillId="19" borderId="0" xfId="0" applyNumberFormat="1" applyFont="1" applyFill="1" applyAlignment="1">
      <alignment horizontal="center" vertical="center"/>
    </xf>
    <xf numFmtId="0" fontId="8" fillId="20" borderId="0" xfId="0" applyFont="1" applyFill="1" applyAlignment="1">
      <alignment horizontal="center" vertical="top"/>
    </xf>
    <xf numFmtId="0" fontId="8" fillId="20" borderId="24" xfId="0" applyFont="1" applyFill="1" applyBorder="1" applyAlignment="1">
      <alignment horizontal="center"/>
    </xf>
    <xf numFmtId="0" fontId="8" fillId="20" borderId="25" xfId="0" applyFont="1" applyFill="1" applyBorder="1" applyAlignment="1">
      <alignment horizontal="center"/>
    </xf>
    <xf numFmtId="0" fontId="8" fillId="20" borderId="27" xfId="0" applyFont="1" applyFill="1" applyBorder="1" applyAlignment="1">
      <alignment horizontal="center"/>
    </xf>
    <xf numFmtId="0" fontId="8" fillId="0" borderId="0" xfId="0" applyFont="1" applyAlignment="1">
      <alignment vertical="top" wrapText="1"/>
    </xf>
    <xf numFmtId="0" fontId="10" fillId="31" borderId="0" xfId="0" applyFont="1" applyFill="1" applyAlignment="1">
      <alignment vertical="top"/>
    </xf>
    <xf numFmtId="0" fontId="8" fillId="20" borderId="23" xfId="0" applyFont="1" applyFill="1" applyBorder="1" applyAlignment="1">
      <alignment horizontal="center"/>
    </xf>
    <xf numFmtId="0" fontId="8" fillId="20" borderId="0" xfId="0" applyFont="1" applyFill="1" applyAlignment="1">
      <alignment horizontal="center"/>
    </xf>
    <xf numFmtId="0" fontId="8" fillId="20" borderId="15" xfId="0" applyFont="1" applyFill="1" applyBorder="1" applyAlignment="1">
      <alignment horizontal="center"/>
    </xf>
    <xf numFmtId="0" fontId="69" fillId="20" borderId="23" xfId="0" applyFont="1" applyFill="1" applyBorder="1" applyAlignment="1">
      <alignment horizontal="center"/>
    </xf>
    <xf numFmtId="0" fontId="69" fillId="20" borderId="0" xfId="0" applyFont="1" applyFill="1" applyAlignment="1">
      <alignment horizontal="center"/>
    </xf>
    <xf numFmtId="0" fontId="69" fillId="20" borderId="15" xfId="0" applyFont="1" applyFill="1" applyBorder="1" applyAlignment="1">
      <alignment horizontal="center"/>
    </xf>
    <xf numFmtId="3" fontId="8" fillId="19" borderId="0" xfId="0" applyNumberFormat="1" applyFont="1" applyFill="1" applyAlignment="1">
      <alignment horizontal="right" vertical="top" wrapText="1"/>
    </xf>
    <xf numFmtId="3" fontId="8" fillId="19" borderId="0" xfId="0" applyNumberFormat="1" applyFont="1" applyFill="1" applyAlignment="1">
      <alignment horizontal="right" wrapText="1"/>
    </xf>
    <xf numFmtId="0" fontId="8" fillId="31" borderId="0" xfId="0" applyFont="1" applyFill="1" applyAlignment="1">
      <alignment vertical="top"/>
    </xf>
    <xf numFmtId="0" fontId="15" fillId="17" borderId="68" xfId="0" applyFont="1" applyFill="1" applyBorder="1" applyAlignment="1">
      <alignment horizontal="left" vertical="top"/>
    </xf>
    <xf numFmtId="0" fontId="15" fillId="17" borderId="69" xfId="0" applyFont="1" applyFill="1" applyBorder="1" applyAlignment="1">
      <alignment horizontal="left" vertical="top"/>
    </xf>
    <xf numFmtId="0" fontId="15" fillId="17" borderId="70" xfId="0" applyFont="1" applyFill="1" applyBorder="1" applyAlignment="1">
      <alignment horizontal="left" vertical="top"/>
    </xf>
    <xf numFmtId="0" fontId="15" fillId="17" borderId="68" xfId="0" applyFont="1" applyFill="1" applyBorder="1" applyAlignment="1" applyProtection="1">
      <alignment horizontal="left" vertical="top"/>
      <protection locked="0"/>
    </xf>
    <xf numFmtId="0" fontId="15" fillId="17" borderId="69" xfId="0" applyFont="1" applyFill="1" applyBorder="1" applyAlignment="1" applyProtection="1">
      <alignment horizontal="left" vertical="top"/>
      <protection locked="0"/>
    </xf>
    <xf numFmtId="0" fontId="15" fillId="17" borderId="70" xfId="0" applyFont="1" applyFill="1" applyBorder="1" applyAlignment="1" applyProtection="1">
      <alignment horizontal="left" vertical="top"/>
      <protection locked="0"/>
    </xf>
    <xf numFmtId="0" fontId="129" fillId="17" borderId="68" xfId="112" applyFill="1" applyBorder="1" applyAlignment="1" applyProtection="1">
      <alignment horizontal="left" vertical="top"/>
      <protection locked="0"/>
    </xf>
    <xf numFmtId="0" fontId="129" fillId="17" borderId="69" xfId="112" applyFill="1" applyBorder="1" applyAlignment="1" applyProtection="1">
      <alignment horizontal="left" vertical="top"/>
      <protection locked="0"/>
    </xf>
    <xf numFmtId="0" fontId="129" fillId="17" borderId="70" xfId="112" applyFill="1" applyBorder="1" applyAlignment="1" applyProtection="1">
      <alignment horizontal="left" vertical="top"/>
      <protection locked="0"/>
    </xf>
    <xf numFmtId="49" fontId="15" fillId="17" borderId="68" xfId="0" applyNumberFormat="1" applyFont="1" applyFill="1" applyBorder="1" applyAlignment="1" applyProtection="1">
      <alignment horizontal="left" vertical="top"/>
      <protection locked="0"/>
    </xf>
    <xf numFmtId="49" fontId="15" fillId="17" borderId="69" xfId="0" applyNumberFormat="1" applyFont="1" applyFill="1" applyBorder="1" applyAlignment="1" applyProtection="1">
      <alignment horizontal="left" vertical="top"/>
      <protection locked="0"/>
    </xf>
    <xf numFmtId="49" fontId="15" fillId="17" borderId="70" xfId="0" applyNumberFormat="1" applyFont="1" applyFill="1" applyBorder="1" applyAlignment="1" applyProtection="1">
      <alignment horizontal="left" vertical="top"/>
      <protection locked="0"/>
    </xf>
    <xf numFmtId="0" fontId="8" fillId="31" borderId="0" xfId="0" applyFont="1" applyFill="1" applyAlignment="1">
      <alignment horizontal="left" vertical="top" wrapText="1"/>
    </xf>
    <xf numFmtId="0" fontId="8" fillId="31" borderId="22" xfId="0" applyFont="1" applyFill="1" applyBorder="1" applyAlignment="1">
      <alignment horizontal="left" vertical="top" wrapText="1"/>
    </xf>
    <xf numFmtId="0" fontId="10" fillId="19" borderId="0" xfId="0" applyFont="1" applyFill="1" applyAlignment="1">
      <alignment horizontal="left" vertical="top" wrapText="1"/>
    </xf>
    <xf numFmtId="3" fontId="128" fillId="24" borderId="0" xfId="0" applyNumberFormat="1" applyFont="1" applyFill="1" applyAlignment="1">
      <alignment horizontal="center" wrapText="1"/>
    </xf>
    <xf numFmtId="3" fontId="128" fillId="24" borderId="0" xfId="0" applyNumberFormat="1" applyFont="1" applyFill="1" applyAlignment="1">
      <alignment horizontal="center" vertical="top" wrapText="1"/>
    </xf>
    <xf numFmtId="3" fontId="74" fillId="24" borderId="0" xfId="0" applyNumberFormat="1" applyFont="1" applyFill="1" applyAlignment="1">
      <alignment horizontal="center" vertical="center" wrapText="1"/>
    </xf>
    <xf numFmtId="0" fontId="10" fillId="19" borderId="0" xfId="0" applyFont="1" applyFill="1" applyAlignment="1">
      <alignment horizontal="left" wrapText="1"/>
    </xf>
    <xf numFmtId="0" fontId="13" fillId="31" borderId="0" xfId="0" applyFont="1" applyFill="1" applyAlignment="1">
      <alignment horizontal="left" vertical="top" wrapText="1"/>
    </xf>
    <xf numFmtId="0" fontId="5" fillId="19" borderId="16" xfId="0" applyFont="1" applyFill="1" applyBorder="1" applyAlignment="1">
      <alignment horizontal="left"/>
    </xf>
    <xf numFmtId="0" fontId="8" fillId="51" borderId="0" xfId="0" applyFont="1" applyFill="1" applyAlignment="1">
      <alignment horizontal="left" wrapText="1"/>
    </xf>
    <xf numFmtId="0" fontId="69" fillId="0" borderId="0" xfId="0" applyFont="1" applyAlignment="1">
      <alignment wrapText="1"/>
    </xf>
    <xf numFmtId="0" fontId="5" fillId="0" borderId="0" xfId="0" applyFont="1" applyAlignment="1">
      <alignment wrapText="1"/>
    </xf>
    <xf numFmtId="0" fontId="43" fillId="0" borderId="56" xfId="0" applyFont="1" applyBorder="1" applyAlignment="1">
      <alignment horizontal="center" vertical="center" wrapText="1"/>
    </xf>
    <xf numFmtId="0" fontId="43" fillId="0" borderId="58" xfId="0" applyFont="1" applyBorder="1" applyAlignment="1">
      <alignment horizontal="center" vertical="center"/>
    </xf>
    <xf numFmtId="0" fontId="82" fillId="0" borderId="0" xfId="0" applyFont="1" applyAlignment="1">
      <alignment horizontal="left" vertical="center"/>
    </xf>
    <xf numFmtId="0" fontId="74" fillId="0" borderId="56" xfId="0" applyFont="1" applyBorder="1" applyAlignment="1">
      <alignment horizontal="center" wrapText="1"/>
    </xf>
    <xf numFmtId="0" fontId="74" fillId="0" borderId="57" xfId="0" applyFont="1" applyBorder="1" applyAlignment="1">
      <alignment horizontal="center" wrapText="1"/>
    </xf>
    <xf numFmtId="0" fontId="74" fillId="0" borderId="58" xfId="0" applyFont="1" applyBorder="1" applyAlignment="1">
      <alignment horizontal="center" wrapText="1"/>
    </xf>
    <xf numFmtId="0" fontId="8" fillId="31" borderId="0" xfId="0" applyFont="1" applyFill="1" applyAlignment="1">
      <alignment vertical="top" wrapText="1"/>
    </xf>
    <xf numFmtId="0" fontId="13" fillId="19" borderId="0" xfId="0" applyFont="1" applyFill="1" applyAlignment="1">
      <alignment vertical="top" wrapText="1"/>
    </xf>
    <xf numFmtId="0" fontId="0" fillId="0" borderId="0" xfId="0" applyAlignment="1">
      <alignment vertical="top" wrapText="1"/>
    </xf>
    <xf numFmtId="0" fontId="10" fillId="19" borderId="0" xfId="0" applyFont="1" applyFill="1" applyAlignment="1">
      <alignment horizontal="center" vertical="center" wrapText="1"/>
    </xf>
    <xf numFmtId="0" fontId="0" fillId="0" borderId="0" xfId="0" applyAlignment="1">
      <alignment vertical="center" wrapText="1"/>
    </xf>
    <xf numFmtId="3" fontId="12" fillId="19" borderId="0" xfId="0" applyNumberFormat="1" applyFont="1" applyFill="1" applyAlignment="1">
      <alignment horizontal="center" vertical="center" wrapText="1"/>
    </xf>
    <xf numFmtId="0" fontId="12" fillId="19" borderId="0" xfId="0" applyFont="1" applyFill="1" applyAlignment="1">
      <alignment horizontal="center" vertical="center" wrapText="1"/>
    </xf>
    <xf numFmtId="0" fontId="69" fillId="19" borderId="0" xfId="0" applyFont="1" applyFill="1" applyAlignment="1">
      <alignment horizontal="left" vertical="center" wrapText="1"/>
    </xf>
    <xf numFmtId="0" fontId="45" fillId="19" borderId="0" xfId="0" applyFont="1" applyFill="1" applyAlignment="1">
      <alignment horizontal="center" wrapText="1"/>
    </xf>
    <xf numFmtId="0" fontId="45" fillId="19" borderId="25" xfId="0" applyFont="1" applyFill="1" applyBorder="1" applyAlignment="1">
      <alignment horizontal="center" wrapText="1"/>
    </xf>
    <xf numFmtId="0" fontId="13" fillId="31" borderId="0" xfId="0" applyFont="1" applyFill="1" applyAlignment="1">
      <alignment horizontal="left"/>
    </xf>
    <xf numFmtId="0" fontId="10" fillId="24" borderId="19" xfId="0" applyFont="1" applyFill="1" applyBorder="1" applyAlignment="1">
      <alignment horizontal="center" vertical="center" wrapText="1"/>
    </xf>
    <xf numFmtId="0" fontId="12" fillId="24" borderId="72" xfId="0" applyFont="1" applyFill="1" applyBorder="1" applyAlignment="1">
      <alignment horizontal="center" vertical="center"/>
    </xf>
    <xf numFmtId="0" fontId="8" fillId="17" borderId="0" xfId="0" applyFont="1" applyFill="1" applyAlignment="1">
      <alignment horizontal="left" vertical="top"/>
    </xf>
    <xf numFmtId="0" fontId="5" fillId="19" borderId="0" xfId="0" applyFont="1" applyFill="1" applyAlignment="1">
      <alignment horizontal="left"/>
    </xf>
    <xf numFmtId="0" fontId="10" fillId="19" borderId="0" xfId="0" applyFont="1" applyFill="1" applyAlignment="1">
      <alignment horizontal="center" vertical="center"/>
    </xf>
    <xf numFmtId="0" fontId="10" fillId="19" borderId="120" xfId="60" applyFont="1" applyFill="1" applyBorder="1" applyAlignment="1">
      <alignment horizontal="center"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0" fillId="0" borderId="121" xfId="0" applyBorder="1" applyAlignment="1">
      <alignment horizontal="center" vertical="center" wrapText="1"/>
    </xf>
    <xf numFmtId="0" fontId="10" fillId="19" borderId="120" xfId="60" quotePrefix="1" applyFont="1" applyFill="1" applyBorder="1" applyAlignment="1">
      <alignment horizontal="center" vertical="center" wrapText="1"/>
    </xf>
    <xf numFmtId="2" fontId="53" fillId="17" borderId="0" xfId="63" applyNumberFormat="1" applyFont="1" applyFill="1" applyAlignment="1">
      <alignment wrapText="1"/>
    </xf>
    <xf numFmtId="0" fontId="53" fillId="17" borderId="0" xfId="60" applyFont="1" applyFill="1" applyAlignment="1">
      <alignment wrapText="1"/>
    </xf>
    <xf numFmtId="0" fontId="99" fillId="40" borderId="23" xfId="60" applyFont="1" applyFill="1" applyBorder="1" applyAlignment="1">
      <alignment horizontal="left"/>
    </xf>
    <xf numFmtId="0" fontId="98" fillId="40" borderId="0" xfId="60" applyFont="1" applyFill="1" applyAlignment="1">
      <alignment horizontal="left"/>
    </xf>
    <xf numFmtId="0" fontId="98" fillId="40" borderId="15" xfId="60" applyFont="1" applyFill="1" applyBorder="1" applyAlignment="1">
      <alignment horizontal="left"/>
    </xf>
    <xf numFmtId="0" fontId="95" fillId="19" borderId="0" xfId="60" applyFont="1" applyFill="1" applyAlignment="1">
      <alignment horizontal="center" vertical="center" wrapText="1"/>
    </xf>
    <xf numFmtId="0" fontId="0" fillId="0" borderId="0" xfId="60" applyFont="1" applyAlignment="1">
      <alignment horizontal="center" vertical="center"/>
    </xf>
    <xf numFmtId="0" fontId="83" fillId="31" borderId="0" xfId="60" applyFont="1" applyFill="1" applyAlignment="1">
      <alignment horizontal="left" wrapText="1"/>
    </xf>
    <xf numFmtId="0" fontId="83" fillId="31" borderId="121" xfId="60" applyFont="1" applyFill="1" applyBorder="1" applyAlignment="1">
      <alignment horizontal="left" wrapText="1"/>
    </xf>
    <xf numFmtId="0" fontId="10" fillId="19" borderId="117" xfId="60" quotePrefix="1" applyFont="1" applyFill="1"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14" fillId="19" borderId="0" xfId="60" applyFont="1" applyFill="1" applyAlignment="1">
      <alignment horizontal="center" vertical="center" wrapText="1"/>
    </xf>
    <xf numFmtId="0" fontId="15" fillId="0" borderId="0" xfId="0" applyFont="1" applyAlignment="1">
      <alignment horizontal="center" vertical="center"/>
    </xf>
    <xf numFmtId="0" fontId="34" fillId="19" borderId="117" xfId="60" applyFont="1" applyFill="1" applyBorder="1" applyAlignment="1">
      <alignment horizontal="center" vertical="center"/>
    </xf>
    <xf numFmtId="0" fontId="0" fillId="0" borderId="118" xfId="0" applyBorder="1" applyAlignment="1">
      <alignment horizontal="center"/>
    </xf>
    <xf numFmtId="0" fontId="0" fillId="0" borderId="119" xfId="0" applyBorder="1" applyAlignment="1">
      <alignment horizontal="center"/>
    </xf>
    <xf numFmtId="0" fontId="73" fillId="19" borderId="127" xfId="60" applyFont="1" applyFill="1" applyBorder="1" applyAlignment="1">
      <alignment horizontal="left" vertical="center" wrapText="1"/>
    </xf>
    <xf numFmtId="0" fontId="4" fillId="0" borderId="120" xfId="0" applyFont="1" applyBorder="1" applyAlignment="1">
      <alignment wrapText="1"/>
    </xf>
    <xf numFmtId="0" fontId="45" fillId="19" borderId="25" xfId="0" applyFont="1" applyFill="1" applyBorder="1" applyAlignment="1">
      <alignment horizontal="left"/>
    </xf>
    <xf numFmtId="0" fontId="50" fillId="0" borderId="25" xfId="0" applyFont="1" applyBorder="1" applyAlignment="1">
      <alignment horizontal="left"/>
    </xf>
    <xf numFmtId="0" fontId="74" fillId="0" borderId="0" xfId="0" applyFont="1" applyAlignment="1">
      <alignment horizontal="center" vertical="center" wrapText="1"/>
    </xf>
    <xf numFmtId="0" fontId="114" fillId="19" borderId="0" xfId="0" applyFont="1" applyFill="1" applyAlignment="1" applyProtection="1">
      <alignment horizontal="left" vertical="top" wrapText="1"/>
      <protection locked="0"/>
    </xf>
    <xf numFmtId="0" fontId="45" fillId="19" borderId="0" xfId="0" applyFont="1" applyFill="1" applyAlignment="1">
      <alignment horizontal="left" wrapText="1"/>
    </xf>
    <xf numFmtId="0" fontId="69" fillId="19" borderId="53" xfId="0" applyFont="1" applyFill="1" applyBorder="1" applyAlignment="1">
      <alignment horizontal="left" wrapText="1"/>
    </xf>
    <xf numFmtId="0" fontId="69" fillId="19" borderId="110" xfId="0" applyFont="1" applyFill="1" applyBorder="1" applyAlignment="1">
      <alignment horizontal="left" wrapText="1"/>
    </xf>
    <xf numFmtId="0" fontId="69" fillId="19" borderId="55" xfId="0" applyFont="1" applyFill="1" applyBorder="1" applyAlignment="1">
      <alignment horizontal="left" wrapText="1"/>
    </xf>
    <xf numFmtId="0" fontId="69" fillId="19" borderId="0" xfId="0" applyFont="1" applyFill="1" applyAlignment="1">
      <alignment horizontal="left" wrapText="1"/>
    </xf>
    <xf numFmtId="0" fontId="8" fillId="17" borderId="0" xfId="0" applyFont="1" applyFill="1" applyAlignment="1">
      <alignment horizontal="left"/>
    </xf>
    <xf numFmtId="0" fontId="10" fillId="19" borderId="0" xfId="0" applyFont="1" applyFill="1" applyAlignment="1">
      <alignment horizontal="left"/>
    </xf>
    <xf numFmtId="0" fontId="8" fillId="31" borderId="0" xfId="0" applyFont="1" applyFill="1" applyAlignment="1">
      <alignment horizontal="left"/>
    </xf>
    <xf numFmtId="0" fontId="8" fillId="31" borderId="154" xfId="0" applyFont="1" applyFill="1" applyBorder="1" applyAlignment="1">
      <alignment horizontal="left"/>
    </xf>
    <xf numFmtId="0" fontId="10" fillId="31" borderId="0" xfId="0" applyFont="1" applyFill="1" applyAlignment="1">
      <alignment horizontal="left"/>
    </xf>
    <xf numFmtId="0" fontId="10" fillId="31" borderId="154" xfId="0" applyFont="1" applyFill="1" applyBorder="1" applyAlignment="1">
      <alignment horizontal="left"/>
    </xf>
    <xf numFmtId="0" fontId="8" fillId="17" borderId="0" xfId="0" applyFont="1" applyFill="1" applyAlignment="1">
      <alignment vertical="top" wrapText="1"/>
    </xf>
    <xf numFmtId="0" fontId="47" fillId="17" borderId="0" xfId="0" applyFont="1" applyFill="1" applyAlignment="1">
      <alignment horizontal="left" vertical="top" wrapText="1" indent="1"/>
    </xf>
    <xf numFmtId="0" fontId="13" fillId="17" borderId="68" xfId="0" applyFont="1" applyFill="1" applyBorder="1" applyAlignment="1">
      <alignment horizontal="left" indent="1"/>
    </xf>
    <xf numFmtId="0" fontId="13" fillId="17" borderId="70" xfId="0" applyFont="1" applyFill="1" applyBorder="1" applyAlignment="1">
      <alignment horizontal="left" indent="1"/>
    </xf>
    <xf numFmtId="0" fontId="8" fillId="0" borderId="0" xfId="0" applyFont="1" applyAlignment="1">
      <alignment horizontal="left" vertical="top" wrapText="1"/>
    </xf>
    <xf numFmtId="0" fontId="12" fillId="21" borderId="16" xfId="0" applyFont="1" applyFill="1" applyBorder="1" applyAlignment="1">
      <alignment horizontal="left" vertical="center" wrapText="1"/>
    </xf>
    <xf numFmtId="0" fontId="0" fillId="0" borderId="16" xfId="0" applyBorder="1" applyAlignment="1">
      <alignment horizontal="left" vertical="center" wrapText="1"/>
    </xf>
    <xf numFmtId="0" fontId="0" fillId="0" borderId="25" xfId="0" applyBorder="1" applyAlignment="1">
      <alignment horizontal="left" vertical="center" wrapText="1"/>
    </xf>
    <xf numFmtId="0" fontId="13" fillId="17" borderId="0" xfId="0" applyFont="1" applyFill="1" applyAlignment="1">
      <alignment vertical="top" wrapText="1"/>
    </xf>
    <xf numFmtId="0" fontId="0" fillId="17" borderId="0" xfId="0" applyFill="1" applyAlignment="1">
      <alignment vertical="top"/>
    </xf>
    <xf numFmtId="49" fontId="13" fillId="17" borderId="68" xfId="0" applyNumberFormat="1" applyFont="1" applyFill="1" applyBorder="1" applyAlignment="1">
      <alignment horizontal="left" indent="1"/>
    </xf>
    <xf numFmtId="49" fontId="13" fillId="17" borderId="70" xfId="0" applyNumberFormat="1" applyFont="1" applyFill="1" applyBorder="1" applyAlignment="1">
      <alignment horizontal="left" indent="1"/>
    </xf>
    <xf numFmtId="0" fontId="12" fillId="20" borderId="23" xfId="0" applyFont="1" applyFill="1" applyBorder="1" applyAlignment="1">
      <alignment horizontal="center" vertical="center" wrapText="1"/>
    </xf>
    <xf numFmtId="0" fontId="12" fillId="20" borderId="0" xfId="0" applyFont="1" applyFill="1" applyAlignment="1">
      <alignment horizontal="center" vertical="center" wrapText="1"/>
    </xf>
    <xf numFmtId="0" fontId="12" fillId="20" borderId="15"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15" xfId="0" applyBorder="1" applyAlignment="1">
      <alignment horizontal="center" vertical="center" wrapText="1"/>
    </xf>
    <xf numFmtId="0" fontId="10" fillId="20" borderId="0" xfId="0" applyFont="1" applyFill="1" applyAlignment="1">
      <alignment horizontal="center" vertical="center"/>
    </xf>
    <xf numFmtId="0" fontId="12" fillId="20" borderId="0" xfId="0" applyFont="1" applyFill="1" applyAlignment="1">
      <alignment horizontal="center" vertical="center"/>
    </xf>
    <xf numFmtId="0" fontId="10" fillId="20" borderId="0" xfId="0" applyFont="1" applyFill="1" applyAlignment="1">
      <alignment horizontal="center" vertical="center" wrapText="1"/>
    </xf>
    <xf numFmtId="0" fontId="13" fillId="20" borderId="0" xfId="0" applyFont="1" applyFill="1" applyAlignment="1">
      <alignment horizontal="center" vertical="center" wrapText="1"/>
    </xf>
    <xf numFmtId="0" fontId="12" fillId="20" borderId="23" xfId="0" applyFont="1" applyFill="1" applyBorder="1" applyAlignment="1">
      <alignment horizontal="center" vertical="center"/>
    </xf>
    <xf numFmtId="0" fontId="12" fillId="20" borderId="15" xfId="0" applyFont="1" applyFill="1" applyBorder="1" applyAlignment="1">
      <alignment horizontal="center" vertical="center"/>
    </xf>
    <xf numFmtId="0" fontId="10" fillId="46" borderId="0" xfId="0" applyFont="1" applyFill="1" applyAlignment="1">
      <alignment horizontal="left" vertical="center" wrapText="1"/>
    </xf>
    <xf numFmtId="4" fontId="13" fillId="17" borderId="68" xfId="0" applyNumberFormat="1" applyFont="1" applyFill="1" applyBorder="1" applyAlignment="1">
      <alignment horizontal="left" indent="1"/>
    </xf>
    <xf numFmtId="4" fontId="13" fillId="17" borderId="70" xfId="0" applyNumberFormat="1" applyFont="1" applyFill="1" applyBorder="1" applyAlignment="1">
      <alignment horizontal="left" indent="1"/>
    </xf>
    <xf numFmtId="0" fontId="0" fillId="17" borderId="0" xfId="0" applyFill="1" applyAlignment="1">
      <alignment horizontal="left" vertical="top" indent="1"/>
    </xf>
    <xf numFmtId="0" fontId="13" fillId="17" borderId="0" xfId="0" applyFont="1" applyFill="1" applyAlignment="1">
      <alignment horizontal="left" vertical="top" wrapText="1" indent="1"/>
    </xf>
    <xf numFmtId="0" fontId="0" fillId="17" borderId="0" xfId="0" applyFill="1" applyAlignment="1">
      <alignment vertical="top" wrapText="1"/>
    </xf>
    <xf numFmtId="0" fontId="44" fillId="17" borderId="0" xfId="0" applyFont="1" applyFill="1" applyAlignment="1">
      <alignment horizontal="right" vertical="center" wrapText="1"/>
    </xf>
    <xf numFmtId="0" fontId="0" fillId="0" borderId="0" xfId="0" applyAlignment="1">
      <alignment horizontal="right" vertical="center" wrapText="1"/>
    </xf>
    <xf numFmtId="0" fontId="0" fillId="17" borderId="0" xfId="0" applyFill="1" applyAlignment="1">
      <alignment horizontal="left" vertical="top" wrapText="1" indent="1"/>
    </xf>
    <xf numFmtId="0" fontId="10" fillId="26" borderId="0" xfId="0" applyFont="1" applyFill="1" applyAlignment="1">
      <alignment vertical="center" wrapText="1"/>
    </xf>
    <xf numFmtId="3" fontId="83" fillId="17" borderId="0" xfId="0" applyNumberFormat="1" applyFont="1" applyFill="1" applyAlignment="1">
      <alignment horizontal="center" vertical="top" wrapText="1"/>
    </xf>
    <xf numFmtId="0" fontId="83" fillId="0" borderId="0" xfId="0" applyFont="1" applyAlignment="1">
      <alignment wrapText="1"/>
    </xf>
    <xf numFmtId="0" fontId="83" fillId="0" borderId="15" xfId="0" applyFont="1" applyBorder="1" applyAlignment="1">
      <alignment wrapText="1"/>
    </xf>
    <xf numFmtId="0" fontId="83" fillId="0" borderId="25" xfId="0" applyFont="1" applyBorder="1" applyAlignment="1">
      <alignment wrapText="1"/>
    </xf>
    <xf numFmtId="0" fontId="83" fillId="0" borderId="27" xfId="0" applyFont="1" applyBorder="1" applyAlignment="1">
      <alignment wrapText="1"/>
    </xf>
    <xf numFmtId="0" fontId="65" fillId="17" borderId="25" xfId="0" applyFont="1" applyFill="1" applyBorder="1" applyAlignment="1">
      <alignment vertical="top" wrapText="1"/>
    </xf>
    <xf numFmtId="0" fontId="65" fillId="0" borderId="25" xfId="0" applyFont="1" applyBorder="1" applyAlignment="1">
      <alignment vertical="top" wrapText="1"/>
    </xf>
    <xf numFmtId="3" fontId="44" fillId="17" borderId="73" xfId="0" applyNumberFormat="1" applyFont="1" applyFill="1" applyBorder="1" applyAlignment="1">
      <alignment horizontal="center" wrapText="1"/>
    </xf>
    <xf numFmtId="0" fontId="0" fillId="0" borderId="25" xfId="0" applyBorder="1" applyAlignment="1">
      <alignment horizontal="center" wrapText="1"/>
    </xf>
    <xf numFmtId="3" fontId="83" fillId="17" borderId="0" xfId="0" applyNumberFormat="1" applyFont="1" applyFill="1" applyAlignment="1">
      <alignment horizontal="center" vertical="center"/>
    </xf>
    <xf numFmtId="0" fontId="47" fillId="17" borderId="0" xfId="0" applyFont="1" applyFill="1" applyAlignment="1">
      <alignment vertical="top" wrapText="1"/>
    </xf>
    <xf numFmtId="0" fontId="0" fillId="33" borderId="26" xfId="0" applyFill="1" applyBorder="1" applyAlignment="1" applyProtection="1">
      <alignment horizontal="center" vertical="center" wrapText="1"/>
      <protection locked="0"/>
    </xf>
    <xf numFmtId="0" fontId="0" fillId="33" borderId="16" xfId="0" applyFill="1" applyBorder="1" applyAlignment="1" applyProtection="1">
      <alignment horizontal="center" vertical="center" wrapText="1"/>
      <protection locked="0"/>
    </xf>
    <xf numFmtId="0" fontId="0" fillId="33" borderId="17" xfId="0" applyFill="1" applyBorder="1" applyAlignment="1" applyProtection="1">
      <alignment horizontal="center" vertical="center" wrapText="1"/>
      <protection locked="0"/>
    </xf>
    <xf numFmtId="0" fontId="0" fillId="33" borderId="23" xfId="0" applyFill="1" applyBorder="1" applyAlignment="1" applyProtection="1">
      <alignment horizontal="center" vertical="center" wrapText="1"/>
      <protection locked="0"/>
    </xf>
    <xf numFmtId="0" fontId="0" fillId="33" borderId="0" xfId="0" applyFill="1" applyAlignment="1" applyProtection="1">
      <alignment horizontal="center" vertical="center" wrapText="1"/>
      <protection locked="0"/>
    </xf>
    <xf numFmtId="0" fontId="0" fillId="33" borderId="15" xfId="0" applyFill="1" applyBorder="1" applyAlignment="1" applyProtection="1">
      <alignment horizontal="center" vertical="center" wrapText="1"/>
      <protection locked="0"/>
    </xf>
    <xf numFmtId="0" fontId="0" fillId="33" borderId="24" xfId="0" applyFill="1" applyBorder="1" applyAlignment="1" applyProtection="1">
      <alignment horizontal="center" vertical="center" wrapText="1"/>
      <protection locked="0"/>
    </xf>
    <xf numFmtId="0" fontId="0" fillId="33" borderId="25" xfId="0" applyFill="1" applyBorder="1" applyAlignment="1" applyProtection="1">
      <alignment horizontal="center" vertical="center" wrapText="1"/>
      <protection locked="0"/>
    </xf>
    <xf numFmtId="0" fontId="0" fillId="33" borderId="27" xfId="0" applyFill="1" applyBorder="1" applyAlignment="1" applyProtection="1">
      <alignment horizontal="center" vertical="center" wrapText="1"/>
      <protection locked="0"/>
    </xf>
    <xf numFmtId="0" fontId="12" fillId="17" borderId="0" xfId="0" applyFont="1" applyFill="1" applyAlignment="1">
      <alignment wrapText="1"/>
    </xf>
    <xf numFmtId="4" fontId="83" fillId="17" borderId="0" xfId="0" applyNumberFormat="1" applyFont="1" applyFill="1" applyAlignment="1">
      <alignment horizontal="right" vertical="center" wrapText="1"/>
    </xf>
    <xf numFmtId="4" fontId="83" fillId="17" borderId="0" xfId="0" applyNumberFormat="1" applyFont="1" applyFill="1" applyAlignment="1">
      <alignment horizontal="right" vertical="center"/>
    </xf>
    <xf numFmtId="0" fontId="47" fillId="17" borderId="0" xfId="0" applyFont="1" applyFill="1" applyAlignment="1">
      <alignment horizontal="left" vertical="top" wrapText="1"/>
    </xf>
    <xf numFmtId="0" fontId="10" fillId="25" borderId="0" xfId="0" applyFont="1" applyFill="1" applyAlignment="1">
      <alignment horizontal="left" wrapText="1"/>
    </xf>
    <xf numFmtId="0" fontId="8" fillId="32" borderId="53" xfId="45" applyFont="1" applyFill="1" applyBorder="1" applyAlignment="1" applyProtection="1">
      <alignment horizontal="center" vertical="center" wrapText="1"/>
      <protection locked="0"/>
    </xf>
    <xf numFmtId="0" fontId="8" fillId="32" borderId="54" xfId="45" applyFont="1" applyFill="1" applyBorder="1" applyAlignment="1" applyProtection="1">
      <alignment horizontal="center" vertical="center" wrapText="1"/>
      <protection locked="0"/>
    </xf>
    <xf numFmtId="0" fontId="8" fillId="32" borderId="55" xfId="45" applyFont="1" applyFill="1" applyBorder="1" applyAlignment="1" applyProtection="1">
      <alignment horizontal="center" vertical="center" wrapText="1"/>
      <protection locked="0"/>
    </xf>
    <xf numFmtId="0" fontId="8" fillId="25" borderId="3" xfId="0" applyFont="1" applyFill="1" applyBorder="1" applyAlignment="1">
      <alignment horizontal="right"/>
    </xf>
    <xf numFmtId="0" fontId="10" fillId="0" borderId="68" xfId="0" applyFont="1" applyBorder="1" applyAlignment="1">
      <alignment horizontal="center"/>
    </xf>
    <xf numFmtId="0" fontId="10" fillId="0" borderId="70" xfId="0" applyFont="1" applyBorder="1" applyAlignment="1">
      <alignment horizontal="center"/>
    </xf>
    <xf numFmtId="0" fontId="34" fillId="25" borderId="0" xfId="45" applyFont="1" applyFill="1" applyAlignment="1">
      <alignment horizontal="center"/>
    </xf>
    <xf numFmtId="0" fontId="8" fillId="25" borderId="68" xfId="0" applyFont="1" applyFill="1" applyBorder="1" applyAlignment="1">
      <alignment horizontal="left" indent="4"/>
    </xf>
    <xf numFmtId="0" fontId="8" fillId="25" borderId="69" xfId="0" applyFont="1" applyFill="1" applyBorder="1" applyAlignment="1">
      <alignment horizontal="left" indent="4"/>
    </xf>
    <xf numFmtId="0" fontId="8" fillId="25" borderId="70" xfId="0" applyFont="1" applyFill="1" applyBorder="1" applyAlignment="1">
      <alignment horizontal="left" indent="4"/>
    </xf>
    <xf numFmtId="3" fontId="10" fillId="25" borderId="0" xfId="45" applyNumberFormat="1" applyFont="1" applyFill="1" applyAlignment="1">
      <alignment horizontal="left" vertical="top" wrapText="1" indent="2"/>
    </xf>
    <xf numFmtId="0" fontId="10" fillId="0" borderId="68" xfId="45" applyFont="1" applyBorder="1" applyAlignment="1">
      <alignment horizontal="center"/>
    </xf>
    <xf numFmtId="0" fontId="10" fillId="0" borderId="70" xfId="45" applyFont="1" applyBorder="1" applyAlignment="1">
      <alignment horizontal="center"/>
    </xf>
    <xf numFmtId="0" fontId="5" fillId="37" borderId="24" xfId="0" applyFont="1" applyFill="1" applyBorder="1" applyAlignment="1">
      <alignment horizontal="center"/>
    </xf>
    <xf numFmtId="0" fontId="5" fillId="37" borderId="25" xfId="0" applyFont="1" applyFill="1" applyBorder="1" applyAlignment="1">
      <alignment horizontal="center"/>
    </xf>
    <xf numFmtId="0" fontId="5" fillId="37" borderId="27" xfId="0" applyFont="1" applyFill="1" applyBorder="1" applyAlignment="1">
      <alignment horizontal="center"/>
    </xf>
    <xf numFmtId="0" fontId="5" fillId="54" borderId="24" xfId="0" applyFont="1" applyFill="1" applyBorder="1" applyAlignment="1">
      <alignment horizontal="center"/>
    </xf>
    <xf numFmtId="0" fontId="5" fillId="54" borderId="25" xfId="0" applyFont="1" applyFill="1" applyBorder="1" applyAlignment="1">
      <alignment horizontal="center"/>
    </xf>
    <xf numFmtId="0" fontId="5" fillId="54" borderId="27" xfId="0" applyFont="1" applyFill="1" applyBorder="1" applyAlignment="1">
      <alignment horizontal="center"/>
    </xf>
    <xf numFmtId="0" fontId="5" fillId="0" borderId="26" xfId="0" applyFont="1" applyBorder="1" applyAlignment="1">
      <alignment vertical="top" wrapText="1"/>
    </xf>
    <xf numFmtId="0" fontId="5" fillId="46" borderId="17" xfId="0" applyFont="1" applyFill="1" applyBorder="1"/>
    <xf numFmtId="0" fontId="5" fillId="0" borderId="38" xfId="0" applyFont="1" applyBorder="1"/>
  </cellXfs>
  <cellStyles count="113">
    <cellStyle name="%" xfId="60" xr:uid="{00000000-0005-0000-0000-00000000000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ellBACode" xfId="77" xr:uid="{5BF1656A-E76F-404A-84AD-C01BA0B15401}"/>
    <cellStyle name="CellBACode 2" xfId="95" xr:uid="{429630FB-78C6-4907-A78F-7F08554FB37C}"/>
    <cellStyle name="CellBAName" xfId="78" xr:uid="{D125B45E-B206-47C0-9669-D8C6850E8A3C}"/>
    <cellStyle name="CellBAName 2" xfId="96" xr:uid="{74EDC7BE-DBDD-41BD-A926-9E097595E67C}"/>
    <cellStyle name="CellBAValue" xfId="27" xr:uid="{00000000-0005-0000-0000-00001B000000}"/>
    <cellStyle name="CellBAValue 2" xfId="28" xr:uid="{00000000-0005-0000-0000-00001C000000}"/>
    <cellStyle name="CellMCCode" xfId="79" xr:uid="{9E798746-A2A1-4373-B0FA-090601FF5CEF}"/>
    <cellStyle name="CellMCCode 2" xfId="97" xr:uid="{02DE0BE4-460C-4ADF-A34E-B7E3F1DDC07E}"/>
    <cellStyle name="CellMCName" xfId="80" xr:uid="{03B0A12C-128D-4972-BF33-024F18BCA6E4}"/>
    <cellStyle name="CellMCName 2" xfId="98" xr:uid="{2EAB1CC4-C5AF-43C0-9380-2D8B99236A8F}"/>
    <cellStyle name="CellNationCode" xfId="81" xr:uid="{182850AB-925A-4D44-90B2-F5FFE0E674AC}"/>
    <cellStyle name="CellNationName" xfId="82" xr:uid="{E5A3C43E-8119-42BC-9C27-96F57323C155}"/>
    <cellStyle name="CellNationValue" xfId="29" xr:uid="{00000000-0005-0000-0000-00001D000000}"/>
    <cellStyle name="CellRegionCode" xfId="83" xr:uid="{54921792-C976-4F7C-AECA-4C1199354C37}"/>
    <cellStyle name="CellRegionName" xfId="84" xr:uid="{DBB718B2-BA72-4DB5-BE2A-A8FDE3730076}"/>
    <cellStyle name="CellUACode" xfId="85" xr:uid="{E4406A4D-B9C8-47A1-B621-E1E3CD7C42BC}"/>
    <cellStyle name="CellUACode 2" xfId="99" xr:uid="{73AD437B-00F9-4907-8770-FF913E48203C}"/>
    <cellStyle name="CellUAName" xfId="86" xr:uid="{5EED78DB-DFEF-4169-B915-420FCACA10DB}"/>
    <cellStyle name="CellUAName 2" xfId="100" xr:uid="{F3619EDC-4E4D-4D02-A66F-58C56C486C9B}"/>
    <cellStyle name="CellUAValue" xfId="30" xr:uid="{00000000-0005-0000-0000-00001E000000}"/>
    <cellStyle name="CellUAValue 2" xfId="31" xr:uid="{00000000-0005-0000-0000-00001F000000}"/>
    <cellStyle name="Check Cell" xfId="32" builtinId="23" customBuiltin="1"/>
    <cellStyle name="Comma" xfId="33" builtinId="3"/>
    <cellStyle name="Comma 2" xfId="52" xr:uid="{00000000-0005-0000-0000-000022000000}"/>
    <cellStyle name="Comma 2 2" xfId="53" xr:uid="{00000000-0005-0000-0000-000023000000}"/>
    <cellStyle name="Comma 2 2 2" xfId="73" xr:uid="{45398699-4064-41DF-9C60-A96636DA7B2B}"/>
    <cellStyle name="Comma 2 2 2 2" xfId="108" xr:uid="{C08C94B3-B45F-4B9B-ACF5-3E0AEB0EC088}"/>
    <cellStyle name="Comma 2 3" xfId="72" xr:uid="{D5580FA8-40A1-49F3-9322-1B228C63C409}"/>
    <cellStyle name="Comma 2 3 2" xfId="107" xr:uid="{434DCB42-663E-4C00-BCC3-BA80025B4F7A}"/>
    <cellStyle name="Comma 3" xfId="61" xr:uid="{00000000-0005-0000-0000-000024000000}"/>
    <cellStyle name="Comma 3 2" xfId="76" xr:uid="{965F0132-591E-45D8-A840-6DF2D89C85E0}"/>
    <cellStyle name="Comma 3 2 2" xfId="111" xr:uid="{FABAFEFE-E2A0-45AC-8EAB-37B25B0DEFF2}"/>
    <cellStyle name="Comma 4" xfId="70" xr:uid="{11006F35-77F8-433A-9C6E-4B5FF3F6EB44}"/>
    <cellStyle name="Comma 4 2" xfId="105" xr:uid="{1CFC51C2-0E5D-49DD-949B-0DFD87F743A4}"/>
    <cellStyle name="Currency" xfId="34" builtinId="4"/>
    <cellStyle name="Currency 2" xfId="71" xr:uid="{066B58A8-0684-401B-AFE9-3689757BE9EC}"/>
    <cellStyle name="Currency 2 2" xfId="106" xr:uid="{4CD6A176-4BC1-4A11-BCAD-5FD4871C1117}"/>
    <cellStyle name="Data_Total" xfId="87" xr:uid="{3008A6E7-36CC-4219-9969-884F4B8991E1}"/>
    <cellStyle name="Explanatory Text" xfId="35" builtinId="53" customBuiltin="1"/>
    <cellStyle name="Good" xfId="36" builtinId="26" customBuiltin="1"/>
    <cellStyle name="Heading 1" xfId="37" builtinId="16" customBuiltin="1"/>
    <cellStyle name="Heading 2" xfId="38" builtinId="17" customBuiltin="1"/>
    <cellStyle name="Heading 3" xfId="39" builtinId="18" customBuiltin="1"/>
    <cellStyle name="Heading 4" xfId="40" builtinId="19" customBuiltin="1"/>
    <cellStyle name="Headings" xfId="88" xr:uid="{2D5F92CB-DBC1-4D3B-9630-3947235E29F8}"/>
    <cellStyle name="Headings 2" xfId="101" xr:uid="{645A7508-944D-4F08-8A8A-4974CC11A1E5}"/>
    <cellStyle name="Hyperlink" xfId="112" builtinId="8"/>
    <cellStyle name="Hyperlink 2" xfId="54" xr:uid="{00000000-0005-0000-0000-00002D000000}"/>
    <cellStyle name="Hyperlink 2 2" xfId="65" xr:uid="{00000000-0005-0000-0000-00002E000000}"/>
    <cellStyle name="Hyperlink 3" xfId="66" xr:uid="{00000000-0005-0000-0000-00002F000000}"/>
    <cellStyle name="Hyperlink 4" xfId="67" xr:uid="{00000000-0005-0000-0000-000030000000}"/>
    <cellStyle name="Hyperlink_140108 Draft NNDR1Sup 201415" xfId="41" xr:uid="{00000000-0005-0000-0000-000031000000}"/>
    <cellStyle name="Input" xfId="42" builtinId="20" customBuiltin="1"/>
    <cellStyle name="Linked Cell" xfId="43" builtinId="24" customBuiltin="1"/>
    <cellStyle name="Neutral" xfId="44" builtinId="28" customBuiltin="1"/>
    <cellStyle name="Neutral 2" xfId="56" xr:uid="{00000000-0005-0000-0000-000035000000}"/>
    <cellStyle name="Normal" xfId="0" builtinId="0"/>
    <cellStyle name="Normal 2" xfId="45" xr:uid="{00000000-0005-0000-0000-000037000000}"/>
    <cellStyle name="Normal 2 2" xfId="68" xr:uid="{00000000-0005-0000-0000-000038000000}"/>
    <cellStyle name="Normal 3" xfId="57" xr:uid="{00000000-0005-0000-0000-000039000000}"/>
    <cellStyle name="Normal 3 2" xfId="64" xr:uid="{00000000-0005-0000-0000-00003A000000}"/>
    <cellStyle name="Normal 3 3" xfId="94" xr:uid="{36ABAF77-12F2-47F3-9D05-AD5A5DF6DF8D}"/>
    <cellStyle name="Normal 4" xfId="59" xr:uid="{00000000-0005-0000-0000-00003B000000}"/>
    <cellStyle name="Normal 4 2" xfId="75" xr:uid="{3657152A-03C0-490E-A8B1-3EF6DFB76F37}"/>
    <cellStyle name="Normal 4 2 2" xfId="110" xr:uid="{65CD38B6-C94A-4FBB-96B0-23F5CCE53D5D}"/>
    <cellStyle name="Normal 4 3" xfId="104" xr:uid="{AB3B5E3D-12E6-4335-8742-673E31A81EB9}"/>
    <cellStyle name="Normal 5" xfId="55" xr:uid="{00000000-0005-0000-0000-00003C000000}"/>
    <cellStyle name="Normal 5 2" xfId="62" xr:uid="{00000000-0005-0000-0000-00003D000000}"/>
    <cellStyle name="Normal 5 3" xfId="74" xr:uid="{C57D2D4D-6189-4F9B-A269-6CE695FB0388}"/>
    <cellStyle name="Normal 5 3 2" xfId="109" xr:uid="{BA70C64E-DB3D-4C08-8F2F-3AC677A73F83}"/>
    <cellStyle name="Normal 5 4" xfId="103" xr:uid="{414F4A11-926F-4E02-9CAB-71A33A08D1CE}"/>
    <cellStyle name="Normal 6" xfId="69" xr:uid="{00000000-0005-0000-0000-00003E000000}"/>
    <cellStyle name="Normal_Sheet1" xfId="63" xr:uid="{00000000-0005-0000-0000-00003F000000}"/>
    <cellStyle name="Note" xfId="46" builtinId="10" customBuiltin="1"/>
    <cellStyle name="Output" xfId="47" builtinId="21" customBuiltin="1"/>
    <cellStyle name="Percent" xfId="48" builtinId="5"/>
    <cellStyle name="Percent 2" xfId="58" xr:uid="{00000000-0005-0000-0000-000043000000}"/>
    <cellStyle name="Row_CategoryHeadings" xfId="89" xr:uid="{9FDC4338-6D5D-4E1F-BB3C-202796DC3274}"/>
    <cellStyle name="Source" xfId="90" xr:uid="{613CC219-AB3C-4F69-A05E-574FB82F3960}"/>
    <cellStyle name="Style4" xfId="91" xr:uid="{16E8C9D7-FF2A-4C81-AE42-031D13154A72}"/>
    <cellStyle name="Table_Name" xfId="92" xr:uid="{D78D7423-AF5B-4ABF-8FFC-B61BEF2090DF}"/>
    <cellStyle name="Title" xfId="49" builtinId="15" customBuiltin="1"/>
    <cellStyle name="Total" xfId="50" builtinId="25" customBuiltin="1"/>
    <cellStyle name="Warning Text" xfId="51" builtinId="11" customBuiltin="1"/>
    <cellStyle name="Warnings" xfId="93" xr:uid="{8261C79C-AD78-4171-B452-80AB06A984D0}"/>
    <cellStyle name="Warnings 2" xfId="102" xr:uid="{3AA3741E-50C1-4D72-A1B2-71DE5A5FCAAE}"/>
  </cellStyles>
  <dxfs count="171">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patternType="none">
          <bgColor indexed="65"/>
        </patternFill>
      </fill>
    </dxf>
    <dxf>
      <font>
        <b/>
        <i val="0"/>
        <condense val="0"/>
        <extend val="0"/>
      </font>
      <fill>
        <patternFill>
          <bgColor indexed="17"/>
        </patternFill>
      </fill>
    </dxf>
    <dxf>
      <font>
        <b/>
        <i val="0"/>
        <condense val="0"/>
        <extend val="0"/>
        <color auto="1"/>
      </font>
      <fill>
        <patternFill>
          <bgColor indexed="10"/>
        </patternFill>
      </fill>
    </dxf>
    <dxf>
      <fill>
        <patternFill patternType="none">
          <bgColor indexed="65"/>
        </patternFill>
      </fill>
    </dxf>
    <dxf>
      <font>
        <b/>
        <i val="0"/>
        <strike val="0"/>
        <color theme="0"/>
      </font>
      <fill>
        <patternFill>
          <bgColor rgb="FFFF0000"/>
        </patternFill>
      </fill>
    </dxf>
    <dxf>
      <font>
        <b/>
        <i val="0"/>
        <color theme="0"/>
      </font>
      <fill>
        <patternFill>
          <bgColor indexed="17"/>
        </patternFill>
      </fill>
    </dxf>
    <dxf>
      <font>
        <b/>
        <i val="0"/>
        <color theme="0"/>
      </font>
      <fill>
        <patternFill>
          <bgColor indexed="10"/>
        </patternFill>
      </fill>
    </dxf>
    <dxf>
      <fill>
        <patternFill>
          <bgColor theme="9" tint="0.59996337778862885"/>
        </patternFill>
      </fill>
    </dxf>
    <dxf>
      <fill>
        <patternFill>
          <bgColor theme="9" tint="0.59996337778862885"/>
        </patternFill>
      </fill>
    </dxf>
    <dxf>
      <font>
        <b/>
        <i val="0"/>
        <color theme="0"/>
      </font>
      <fill>
        <patternFill>
          <bgColor indexed="17"/>
        </patternFill>
      </fill>
    </dxf>
    <dxf>
      <font>
        <b/>
        <i val="0"/>
        <color theme="0"/>
      </font>
      <fill>
        <patternFill>
          <bgColor indexed="10"/>
        </patternFill>
      </fill>
    </dxf>
    <dxf>
      <fill>
        <patternFill>
          <bgColor theme="9" tint="0.59996337778862885"/>
        </patternFill>
      </fill>
    </dxf>
    <dxf>
      <font>
        <b/>
        <i val="0"/>
        <color theme="0"/>
      </font>
      <fill>
        <patternFill>
          <bgColor indexed="17"/>
        </patternFill>
      </fill>
    </dxf>
    <dxf>
      <font>
        <b/>
        <i val="0"/>
        <color theme="0"/>
      </font>
      <fill>
        <patternFill>
          <bgColor indexed="10"/>
        </patternFill>
      </fill>
    </dxf>
    <dxf>
      <font>
        <b/>
        <i val="0"/>
        <condense val="0"/>
        <extend val="0"/>
      </font>
      <fill>
        <patternFill>
          <bgColor indexed="17"/>
        </patternFill>
      </fill>
    </dxf>
    <dxf>
      <font>
        <b/>
        <i val="0"/>
        <condense val="0"/>
        <extend val="0"/>
        <color auto="1"/>
      </font>
      <fill>
        <patternFill>
          <bgColor indexed="10"/>
        </patternFill>
      </fill>
    </dxf>
    <dxf>
      <fill>
        <patternFill patternType="none">
          <bgColor indexed="65"/>
        </patternFill>
      </fill>
    </dxf>
    <dxf>
      <font>
        <b/>
        <i val="0"/>
        <condense val="0"/>
        <extend val="0"/>
      </font>
      <fill>
        <patternFill>
          <bgColor indexed="17"/>
        </patternFill>
      </fill>
    </dxf>
    <dxf>
      <font>
        <b/>
        <i val="0"/>
        <condense val="0"/>
        <extend val="0"/>
        <color auto="1"/>
      </font>
      <fill>
        <patternFill>
          <bgColor indexed="10"/>
        </patternFill>
      </fill>
    </dxf>
    <dxf>
      <fill>
        <patternFill patternType="none">
          <bgColor indexed="65"/>
        </patternFill>
      </fill>
    </dxf>
    <dxf>
      <font>
        <b/>
        <i val="0"/>
        <color theme="0"/>
      </font>
      <fill>
        <patternFill>
          <bgColor indexed="17"/>
        </patternFill>
      </fill>
    </dxf>
    <dxf>
      <font>
        <b/>
        <i val="0"/>
        <color theme="0"/>
      </font>
      <fill>
        <patternFill>
          <bgColor indexed="10"/>
        </patternFill>
      </fill>
    </dxf>
    <dxf>
      <font>
        <b/>
        <i val="0"/>
      </font>
      <fill>
        <patternFill>
          <bgColor theme="8" tint="0.59996337778862885"/>
        </patternFill>
      </fill>
    </dxf>
    <dxf>
      <font>
        <b/>
        <i val="0"/>
        <strike val="0"/>
        <color theme="0"/>
      </font>
      <fill>
        <patternFill>
          <bgColor rgb="FFFF0000"/>
        </patternFill>
      </fill>
    </dxf>
    <dxf>
      <font>
        <b/>
        <i val="0"/>
        <color theme="0"/>
      </font>
      <fill>
        <patternFill>
          <bgColor indexed="17"/>
        </patternFill>
      </fill>
    </dxf>
    <dxf>
      <font>
        <b/>
        <i val="0"/>
        <color theme="0"/>
      </font>
      <fill>
        <patternFill>
          <bgColor indexed="10"/>
        </patternFill>
      </fill>
    </dxf>
    <dxf>
      <fill>
        <patternFill>
          <bgColor theme="9" tint="0.59996337778862885"/>
        </patternFill>
      </fill>
    </dxf>
    <dxf>
      <font>
        <b/>
        <i val="0"/>
        <color theme="0"/>
      </font>
      <fill>
        <patternFill>
          <bgColor indexed="17"/>
        </patternFill>
      </fill>
    </dxf>
    <dxf>
      <font>
        <b/>
        <i val="0"/>
        <color theme="0"/>
      </font>
      <fill>
        <patternFill>
          <bgColor indexed="10"/>
        </patternFill>
      </fill>
    </dxf>
    <dxf>
      <fill>
        <patternFill>
          <bgColor theme="9" tint="0.59996337778862885"/>
        </patternFill>
      </fill>
    </dxf>
    <dxf>
      <font>
        <b/>
        <i val="0"/>
        <condense val="0"/>
        <extend val="0"/>
      </font>
      <fill>
        <patternFill>
          <bgColor indexed="17"/>
        </patternFill>
      </fill>
    </dxf>
    <dxf>
      <font>
        <b/>
        <i val="0"/>
        <condense val="0"/>
        <extend val="0"/>
        <color auto="1"/>
      </font>
      <fill>
        <patternFill>
          <bgColor indexed="10"/>
        </patternFill>
      </fill>
    </dxf>
    <dxf>
      <font>
        <b/>
        <i val="0"/>
        <color theme="0"/>
      </font>
      <fill>
        <patternFill>
          <bgColor indexed="17"/>
        </patternFill>
      </fill>
    </dxf>
    <dxf>
      <font>
        <b/>
        <i val="0"/>
        <color theme="0"/>
      </font>
      <fill>
        <patternFill>
          <bgColor indexed="10"/>
        </patternFill>
      </fill>
    </dxf>
    <dxf>
      <fill>
        <patternFill>
          <bgColor theme="9" tint="0.59996337778862885"/>
        </patternFill>
      </fill>
    </dxf>
    <dxf>
      <fill>
        <patternFill>
          <bgColor theme="0" tint="-0.14996795556505021"/>
        </patternFill>
      </fill>
    </dxf>
    <dxf>
      <fill>
        <patternFill>
          <bgColor rgb="FFFF0000"/>
        </patternFill>
      </fill>
    </dxf>
    <dxf>
      <font>
        <color theme="1"/>
      </font>
      <fill>
        <patternFill patternType="solid">
          <bgColor theme="0" tint="-4.9989318521683403E-2"/>
        </patternFill>
      </fill>
      <border>
        <left/>
        <right/>
        <top/>
        <bottom/>
        <vertical/>
        <horizontal/>
      </border>
    </dxf>
    <dxf>
      <fill>
        <patternFill>
          <bgColor theme="0" tint="-0.14996795556505021"/>
        </patternFill>
      </fill>
    </dxf>
    <dxf>
      <fill>
        <patternFill>
          <bgColor rgb="FFFF0000"/>
        </patternFill>
      </fill>
    </dxf>
    <dxf>
      <fill>
        <patternFill>
          <bgColor rgb="FFFF0000"/>
        </patternFill>
      </fill>
    </dxf>
    <dxf>
      <fill>
        <patternFill>
          <bgColor theme="0" tint="-0.14996795556505021"/>
        </patternFill>
      </fill>
    </dxf>
    <dxf>
      <fill>
        <patternFill>
          <bgColor theme="0" tint="-0.24994659260841701"/>
        </patternFill>
      </fill>
    </dxf>
    <dxf>
      <fill>
        <patternFill>
          <bgColor theme="0" tint="-0.24994659260841701"/>
        </patternFill>
      </fill>
    </dxf>
    <dxf>
      <font>
        <strike val="0"/>
        <color theme="0" tint="-0.14996795556505021"/>
      </font>
      <fill>
        <patternFill>
          <bgColor theme="0" tint="-0.14996795556505021"/>
        </patternFill>
      </fill>
      <border>
        <left/>
        <right/>
        <top/>
        <bottom/>
      </border>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ont>
        <b/>
        <i val="0"/>
        <color rgb="FFFF0000"/>
      </font>
    </dxf>
    <dxf>
      <font>
        <color theme="0" tint="-0.14996795556505021"/>
      </font>
      <fill>
        <patternFill>
          <bgColor theme="0" tint="-0.14996795556505021"/>
        </patternFill>
      </fill>
    </dxf>
    <dxf>
      <font>
        <b/>
        <i val="0"/>
        <color rgb="FFFF0000"/>
      </font>
    </dxf>
    <dxf>
      <font>
        <color theme="0" tint="-0.14996795556505021"/>
      </font>
      <fill>
        <patternFill>
          <bgColor theme="0" tint="-0.14996795556505021"/>
        </patternFill>
      </fill>
      <border>
        <left/>
        <right/>
        <top/>
        <bottom/>
      </border>
    </dxf>
    <dxf>
      <font>
        <b/>
        <i val="0"/>
        <color rgb="FFFF0000"/>
      </font>
    </dxf>
    <dxf>
      <font>
        <color theme="0" tint="-0.14996795556505021"/>
      </font>
      <fill>
        <patternFill>
          <bgColor theme="0" tint="-0.14996795556505021"/>
        </patternFill>
      </fill>
    </dxf>
    <dxf>
      <font>
        <color rgb="FFFF0000"/>
      </font>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tint="-0.14996795556505021"/>
      </font>
      <fill>
        <patternFill>
          <bgColor theme="0" tint="-0.14996795556505021"/>
        </patternFill>
      </fill>
      <border>
        <left/>
        <right/>
        <top/>
        <bottom/>
      </border>
    </dxf>
    <dxf>
      <fill>
        <patternFill>
          <bgColor theme="0" tint="-0.14996795556505021"/>
        </patternFill>
      </fill>
    </dxf>
    <dxf>
      <font>
        <b/>
        <i val="0"/>
        <color rgb="FFFF0000"/>
      </font>
    </dxf>
    <dxf>
      <font>
        <color theme="0" tint="-0.14996795556505021"/>
      </font>
      <fill>
        <patternFill>
          <bgColor theme="0" tint="-0.14996795556505021"/>
        </patternFill>
      </fill>
      <border>
        <left/>
        <right/>
        <top/>
        <bottom/>
      </border>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numFmt numFmtId="19" formatCode="dd/mm/yyyy"/>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ont>
        <color auto="1"/>
      </font>
      <fill>
        <patternFill>
          <bgColor theme="0" tint="-0.14996795556505021"/>
        </patternFill>
      </fill>
    </dxf>
    <dxf>
      <fill>
        <patternFill>
          <bgColor theme="0" tint="-0.14996795556505021"/>
        </patternFill>
      </fill>
    </dxf>
    <dxf>
      <font>
        <color auto="1"/>
      </font>
      <fill>
        <patternFill>
          <bgColor theme="0" tint="-0.14996795556505021"/>
        </patternFill>
      </fill>
    </dxf>
    <dxf>
      <fill>
        <patternFill>
          <bgColor theme="0" tint="-0.14996795556505021"/>
        </patternFill>
      </fill>
    </dxf>
    <dxf>
      <font>
        <color auto="1"/>
      </font>
      <fill>
        <patternFill>
          <bgColor theme="0" tint="-0.14996795556505021"/>
        </patternFill>
      </fill>
    </dxf>
    <dxf>
      <font>
        <color theme="6" tint="0.39994506668294322"/>
      </font>
      <fill>
        <patternFill>
          <bgColor theme="6" tint="0.39994506668294322"/>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patternFill>
      </fill>
    </dxf>
    <dxf>
      <font>
        <b/>
        <i val="0"/>
        <color rgb="FFFF0000"/>
      </font>
    </dxf>
    <dxf>
      <font>
        <b/>
        <i val="0"/>
        <color rgb="FFFF0000"/>
      </font>
    </dxf>
  </dxfs>
  <tableStyles count="0" defaultTableStyle="TableStyleMedium9" defaultPivotStyle="PivotStyleLight16"/>
  <colors>
    <mruColors>
      <color rgb="FF99CCFF"/>
      <color rgb="FFF2DCDB"/>
      <color rgb="FFFFFFCC"/>
      <color rgb="FFFFFF99"/>
      <color rgb="FFDAEEF3"/>
      <color rgb="FFFF07CA"/>
      <color rgb="FFCC0000"/>
      <color rgb="FFFFB7B7"/>
      <color rgb="FF00FF99"/>
      <color rgb="FFFF9B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4.xml"/></Relationships>
</file>

<file path=xl/ctrlProps/ctrlProp1.xml><?xml version="1.0" encoding="utf-8"?>
<formControlPr xmlns="http://schemas.microsoft.com/office/spreadsheetml/2009/9/main" objectType="List" dx="16" fmlaLink="F1" fmlaRange="Data!$B$5:$C$301" noThreeD="1" sel="297" val="29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1000124</xdr:colOff>
      <xdr:row>5</xdr:row>
      <xdr:rowOff>107605</xdr:rowOff>
    </xdr:to>
    <xdr:pic>
      <xdr:nvPicPr>
        <xdr:cNvPr id="5" name="Picture 4">
          <a:extLst>
            <a:ext uri="{FF2B5EF4-FFF2-40B4-BE49-F238E27FC236}">
              <a16:creationId xmlns:a16="http://schemas.microsoft.com/office/drawing/2014/main" id="{F48366CF-5253-7F92-475B-C3E4517677CD}"/>
            </a:ext>
          </a:extLst>
        </xdr:cNvPr>
        <xdr:cNvPicPr>
          <a:picLocks noChangeAspect="1"/>
        </xdr:cNvPicPr>
      </xdr:nvPicPr>
      <xdr:blipFill>
        <a:blip xmlns:r="http://schemas.openxmlformats.org/officeDocument/2006/relationships" r:embed="rId1"/>
        <a:stretch>
          <a:fillRect/>
        </a:stretch>
      </xdr:blipFill>
      <xdr:spPr>
        <a:xfrm>
          <a:off x="0" y="0"/>
          <a:ext cx="2524124" cy="15268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457200</xdr:colOff>
          <xdr:row>9</xdr:row>
          <xdr:rowOff>76200</xdr:rowOff>
        </xdr:from>
        <xdr:to>
          <xdr:col>13</xdr:col>
          <xdr:colOff>95250</xdr:colOff>
          <xdr:row>13</xdr:row>
          <xdr:rowOff>95250</xdr:rowOff>
        </xdr:to>
        <xdr:sp macro="" textlink="">
          <xdr:nvSpPr>
            <xdr:cNvPr id="2053" name="List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24</xdr:col>
      <xdr:colOff>3990975</xdr:colOff>
      <xdr:row>1</xdr:row>
      <xdr:rowOff>0</xdr:rowOff>
    </xdr:from>
    <xdr:to>
      <xdr:col>25</xdr:col>
      <xdr:colOff>0</xdr:colOff>
      <xdr:row>1</xdr:row>
      <xdr:rowOff>0</xdr:rowOff>
    </xdr:to>
    <xdr:sp macro="" textlink="">
      <xdr:nvSpPr>
        <xdr:cNvPr id="4" name="Line 1">
          <a:extLst>
            <a:ext uri="{FF2B5EF4-FFF2-40B4-BE49-F238E27FC236}">
              <a16:creationId xmlns:a16="http://schemas.microsoft.com/office/drawing/2014/main" id="{00000000-0008-0000-0700-000004000000}"/>
            </a:ext>
          </a:extLst>
        </xdr:cNvPr>
        <xdr:cNvSpPr>
          <a:spLocks noChangeShapeType="1"/>
        </xdr:cNvSpPr>
      </xdr:nvSpPr>
      <xdr:spPr bwMode="auto">
        <a:xfrm>
          <a:off x="15240000" y="161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ndr.statistics@communities.gov.uk"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104"/>
  <sheetViews>
    <sheetView tabSelected="1" zoomScaleNormal="100" workbookViewId="0"/>
  </sheetViews>
  <sheetFormatPr defaultRowHeight="12.75" x14ac:dyDescent="0.2"/>
  <cols>
    <col min="1" max="1" width="5.7109375" style="261" customWidth="1"/>
    <col min="2" max="2" width="17.140625" style="261" customWidth="1"/>
    <col min="3" max="3" width="126.7109375" style="261" customWidth="1"/>
    <col min="4" max="4" width="5.7109375" style="261" customWidth="1"/>
    <col min="5" max="16384" width="9.140625" style="261"/>
  </cols>
  <sheetData>
    <row r="1" spans="1:4" x14ac:dyDescent="0.2">
      <c r="A1" s="779" t="s">
        <v>699</v>
      </c>
      <c r="B1" s="126"/>
      <c r="C1" s="126"/>
      <c r="D1" s="127"/>
    </row>
    <row r="2" spans="1:4" ht="26.25" customHeight="1" x14ac:dyDescent="0.2">
      <c r="A2" s="1506"/>
      <c r="B2" s="703"/>
      <c r="C2" s="703"/>
      <c r="D2" s="1507"/>
    </row>
    <row r="3" spans="1:4" ht="26.25" customHeight="1" x14ac:dyDescent="0.2">
      <c r="A3" s="1506"/>
      <c r="B3" s="703"/>
      <c r="C3" s="703"/>
      <c r="D3" s="1507"/>
    </row>
    <row r="4" spans="1:4" ht="23.25" x14ac:dyDescent="0.35">
      <c r="A4" s="1687" t="s">
        <v>5628</v>
      </c>
      <c r="B4" s="1688"/>
      <c r="C4" s="1688"/>
      <c r="D4" s="1689"/>
    </row>
    <row r="5" spans="1:4" ht="23.25" x14ac:dyDescent="0.35">
      <c r="A5" s="1687" t="s">
        <v>5629</v>
      </c>
      <c r="B5" s="1688"/>
      <c r="C5" s="1688"/>
      <c r="D5" s="1689"/>
    </row>
    <row r="6" spans="1:4" s="382" customFormat="1" ht="15.75" x14ac:dyDescent="0.25">
      <c r="A6" s="1508"/>
      <c r="B6" s="780"/>
      <c r="C6" s="780"/>
      <c r="D6" s="1509"/>
    </row>
    <row r="7" spans="1:4" s="382" customFormat="1" ht="18" x14ac:dyDescent="0.25">
      <c r="A7" s="1690" t="s">
        <v>5630</v>
      </c>
      <c r="B7" s="1691"/>
      <c r="C7" s="1691"/>
      <c r="D7" s="1692"/>
    </row>
    <row r="8" spans="1:4" s="382" customFormat="1" ht="20.25" customHeight="1" x14ac:dyDescent="0.25">
      <c r="A8" s="1512"/>
      <c r="B8" s="781"/>
      <c r="C8" s="159"/>
      <c r="D8" s="1513"/>
    </row>
    <row r="9" spans="1:4" s="382" customFormat="1" ht="18" x14ac:dyDescent="0.25">
      <c r="A9" s="1690" t="s">
        <v>5631</v>
      </c>
      <c r="B9" s="1691"/>
      <c r="C9" s="1691"/>
      <c r="D9" s="1692"/>
    </row>
    <row r="10" spans="1:4" ht="14.25" customHeight="1" x14ac:dyDescent="0.25">
      <c r="A10" s="1510"/>
      <c r="B10" s="782"/>
      <c r="C10" s="782"/>
      <c r="D10" s="1511"/>
    </row>
    <row r="11" spans="1:4" ht="18" x14ac:dyDescent="0.25">
      <c r="A11" s="1696" t="s">
        <v>5632</v>
      </c>
      <c r="B11" s="1691"/>
      <c r="C11" s="1691"/>
      <c r="D11" s="1692"/>
    </row>
    <row r="12" spans="1:4" ht="20.25" x14ac:dyDescent="0.3">
      <c r="A12" s="1514"/>
      <c r="B12" s="783"/>
      <c r="C12" s="783"/>
      <c r="D12" s="1515"/>
    </row>
    <row r="13" spans="1:4" ht="20.25" x14ac:dyDescent="0.2">
      <c r="A13" s="1516"/>
      <c r="B13" s="1694" t="s">
        <v>5633</v>
      </c>
      <c r="C13" s="1695"/>
      <c r="D13" s="1517"/>
    </row>
    <row r="14" spans="1:4" ht="15.75" x14ac:dyDescent="0.25">
      <c r="A14" s="1512"/>
      <c r="B14" s="781"/>
      <c r="C14" s="781"/>
      <c r="D14" s="1518"/>
    </row>
    <row r="15" spans="1:4" ht="15.75" x14ac:dyDescent="0.25">
      <c r="A15" s="1512"/>
      <c r="B15" s="1697" t="s">
        <v>5634</v>
      </c>
      <c r="C15" s="1697"/>
      <c r="D15" s="1518"/>
    </row>
    <row r="16" spans="1:4" ht="25.5" customHeight="1" x14ac:dyDescent="0.25">
      <c r="A16" s="1512"/>
      <c r="B16" s="1698"/>
      <c r="C16" s="1698"/>
      <c r="D16" s="1518"/>
    </row>
    <row r="17" spans="1:4" x14ac:dyDescent="0.2">
      <c r="A17" s="1519"/>
      <c r="B17" s="702"/>
      <c r="C17" s="702"/>
      <c r="D17" s="1520"/>
    </row>
    <row r="18" spans="1:4" ht="13.5" thickBot="1" x14ac:dyDescent="0.25">
      <c r="A18" s="128"/>
      <c r="B18" s="129"/>
      <c r="C18" s="129"/>
      <c r="D18" s="33"/>
    </row>
    <row r="19" spans="1:4" ht="13.5" thickBot="1" x14ac:dyDescent="0.25"/>
    <row r="20" spans="1:4" x14ac:dyDescent="0.2">
      <c r="A20" s="1526"/>
      <c r="B20" s="1527"/>
      <c r="C20" s="1527"/>
      <c r="D20" s="1528"/>
    </row>
    <row r="21" spans="1:4" ht="18" customHeight="1" x14ac:dyDescent="0.2">
      <c r="A21" s="1529"/>
      <c r="B21" s="1693" t="s">
        <v>5645</v>
      </c>
      <c r="C21" s="1693"/>
      <c r="D21" s="1530"/>
    </row>
    <row r="22" spans="1:4" ht="18" customHeight="1" x14ac:dyDescent="0.2">
      <c r="A22" s="1529"/>
      <c r="B22" s="1693"/>
      <c r="C22" s="1693"/>
      <c r="D22" s="1530"/>
    </row>
    <row r="23" spans="1:4" ht="13.5" thickBot="1" x14ac:dyDescent="0.25">
      <c r="A23" s="1531"/>
      <c r="B23" s="1241"/>
      <c r="C23" s="1241"/>
      <c r="D23" s="1532"/>
    </row>
    <row r="24" spans="1:4" x14ac:dyDescent="0.2">
      <c r="A24" s="1533"/>
      <c r="D24" s="1530"/>
    </row>
    <row r="25" spans="1:4" s="1536" customFormat="1" ht="18" x14ac:dyDescent="0.25">
      <c r="A25" s="1534"/>
      <c r="B25" s="1535" t="s">
        <v>5635</v>
      </c>
      <c r="D25" s="1537"/>
    </row>
    <row r="26" spans="1:4" s="1536" customFormat="1" ht="20.100000000000001" customHeight="1" x14ac:dyDescent="0.25">
      <c r="A26" s="1534"/>
      <c r="B26" s="1676" t="s">
        <v>5636</v>
      </c>
      <c r="C26" s="1676"/>
      <c r="D26" s="1537"/>
    </row>
    <row r="27" spans="1:4" s="1536" customFormat="1" ht="20.100000000000001" customHeight="1" x14ac:dyDescent="0.25">
      <c r="A27" s="1534"/>
      <c r="B27" s="1676"/>
      <c r="C27" s="1676"/>
      <c r="D27" s="1537"/>
    </row>
    <row r="28" spans="1:4" s="1536" customFormat="1" ht="20.100000000000001" customHeight="1" x14ac:dyDescent="0.25">
      <c r="A28" s="1534"/>
      <c r="B28" s="1676"/>
      <c r="C28" s="1676"/>
      <c r="D28" s="1537"/>
    </row>
    <row r="29" spans="1:4" s="1536" customFormat="1" ht="23.25" customHeight="1" x14ac:dyDescent="0.25">
      <c r="A29" s="1534"/>
      <c r="B29" s="1536" t="s">
        <v>5637</v>
      </c>
      <c r="D29" s="1537"/>
    </row>
    <row r="30" spans="1:4" s="1536" customFormat="1" ht="23.25" customHeight="1" thickBot="1" x14ac:dyDescent="0.3">
      <c r="A30" s="1534"/>
      <c r="D30" s="1537"/>
    </row>
    <row r="31" spans="1:4" s="1536" customFormat="1" ht="20.100000000000001" customHeight="1" thickTop="1" thickBot="1" x14ac:dyDescent="0.35">
      <c r="A31" s="1534"/>
      <c r="B31" s="1538"/>
      <c r="C31" s="1685" t="s">
        <v>5866</v>
      </c>
      <c r="D31" s="1537"/>
    </row>
    <row r="32" spans="1:4" s="1536" customFormat="1" ht="20.100000000000001" customHeight="1" thickTop="1" x14ac:dyDescent="0.3">
      <c r="A32" s="1534"/>
      <c r="B32" s="1539"/>
      <c r="C32" s="1686"/>
      <c r="D32" s="1537"/>
    </row>
    <row r="33" spans="1:4" s="1536" customFormat="1" ht="20.100000000000001" customHeight="1" thickBot="1" x14ac:dyDescent="0.35">
      <c r="A33" s="1534"/>
      <c r="B33" s="1539"/>
      <c r="C33" s="1540"/>
      <c r="D33" s="1537"/>
    </row>
    <row r="34" spans="1:4" s="1536" customFormat="1" ht="20.100000000000001" customHeight="1" thickTop="1" thickBot="1" x14ac:dyDescent="0.3">
      <c r="A34" s="1534"/>
      <c r="B34" s="1541"/>
      <c r="C34" s="1699" t="s">
        <v>5887</v>
      </c>
      <c r="D34" s="1537"/>
    </row>
    <row r="35" spans="1:4" s="1536" customFormat="1" ht="20.100000000000001" customHeight="1" thickTop="1" x14ac:dyDescent="0.25">
      <c r="A35" s="1534"/>
      <c r="B35" s="382"/>
      <c r="C35" s="1699"/>
      <c r="D35" s="1537"/>
    </row>
    <row r="36" spans="1:4" s="1536" customFormat="1" ht="20.100000000000001" customHeight="1" x14ac:dyDescent="0.25">
      <c r="A36" s="1534"/>
      <c r="B36" s="382"/>
      <c r="C36" s="1699"/>
      <c r="D36" s="1537"/>
    </row>
    <row r="37" spans="1:4" s="1536" customFormat="1" ht="20.100000000000001" customHeight="1" x14ac:dyDescent="0.25">
      <c r="A37" s="1534"/>
      <c r="B37" s="382"/>
      <c r="C37" s="1699"/>
      <c r="D37" s="1537"/>
    </row>
    <row r="38" spans="1:4" s="1536" customFormat="1" ht="20.100000000000001" customHeight="1" x14ac:dyDescent="0.25">
      <c r="A38" s="1534"/>
      <c r="B38" s="382"/>
      <c r="C38" s="1699"/>
      <c r="D38" s="1537"/>
    </row>
    <row r="39" spans="1:4" s="1536" customFormat="1" ht="20.100000000000001" customHeight="1" x14ac:dyDescent="0.25">
      <c r="A39" s="1534"/>
      <c r="B39" s="382"/>
      <c r="C39" s="1699"/>
      <c r="D39" s="1537"/>
    </row>
    <row r="40" spans="1:4" s="1536" customFormat="1" ht="20.100000000000001" customHeight="1" x14ac:dyDescent="0.3">
      <c r="A40" s="1534"/>
      <c r="B40" s="1539"/>
      <c r="C40" s="1699"/>
      <c r="D40" s="1537"/>
    </row>
    <row r="41" spans="1:4" s="1536" customFormat="1" ht="20.100000000000001" customHeight="1" x14ac:dyDescent="0.3">
      <c r="A41" s="1534"/>
      <c r="B41" s="1539"/>
      <c r="C41" s="1699"/>
      <c r="D41" s="1537"/>
    </row>
    <row r="42" spans="1:4" s="1536" customFormat="1" ht="20.100000000000001" customHeight="1" x14ac:dyDescent="0.3">
      <c r="A42" s="1534"/>
      <c r="B42" s="1539"/>
      <c r="C42" s="1699"/>
      <c r="D42" s="1537"/>
    </row>
    <row r="43" spans="1:4" s="1536" customFormat="1" ht="20.100000000000001" customHeight="1" x14ac:dyDescent="0.3">
      <c r="A43" s="1534"/>
      <c r="B43" s="1539"/>
      <c r="C43" s="1699"/>
      <c r="D43" s="1537"/>
    </row>
    <row r="44" spans="1:4" s="1536" customFormat="1" ht="20.100000000000001" customHeight="1" x14ac:dyDescent="0.3">
      <c r="A44" s="1534"/>
      <c r="B44" s="1539"/>
      <c r="C44" s="1699"/>
      <c r="D44" s="1537"/>
    </row>
    <row r="45" spans="1:4" s="1536" customFormat="1" ht="20.100000000000001" customHeight="1" x14ac:dyDescent="0.3">
      <c r="A45" s="1534"/>
      <c r="B45" s="1539"/>
      <c r="C45" s="1699"/>
      <c r="D45" s="1537"/>
    </row>
    <row r="46" spans="1:4" s="1536" customFormat="1" ht="88.5" customHeight="1" thickBot="1" x14ac:dyDescent="0.35">
      <c r="A46" s="1534"/>
      <c r="B46" s="1539"/>
      <c r="C46" s="1699"/>
      <c r="D46" s="1537"/>
    </row>
    <row r="47" spans="1:4" s="1536" customFormat="1" ht="20.25" thickTop="1" thickBot="1" x14ac:dyDescent="0.35">
      <c r="A47" s="1534"/>
      <c r="B47" s="1542"/>
      <c r="C47" s="1685" t="s">
        <v>5867</v>
      </c>
      <c r="D47" s="1537"/>
    </row>
    <row r="48" spans="1:4" s="1536" customFormat="1" ht="20.100000000000001" customHeight="1" thickTop="1" x14ac:dyDescent="0.3">
      <c r="A48" s="1534"/>
      <c r="B48" s="1543"/>
      <c r="C48" s="1686"/>
      <c r="D48" s="1537"/>
    </row>
    <row r="49" spans="1:4" s="1536" customFormat="1" ht="20.100000000000001" customHeight="1" x14ac:dyDescent="0.3">
      <c r="A49" s="1534"/>
      <c r="B49" s="1543"/>
      <c r="C49" s="778"/>
      <c r="D49" s="1537"/>
    </row>
    <row r="50" spans="1:4" s="1536" customFormat="1" ht="20.100000000000001" customHeight="1" x14ac:dyDescent="0.25">
      <c r="A50" s="1534"/>
      <c r="B50" s="1544" t="s">
        <v>5646</v>
      </c>
      <c r="C50" s="1544"/>
      <c r="D50" s="1537"/>
    </row>
    <row r="51" spans="1:4" s="1536" customFormat="1" ht="20.100000000000001" customHeight="1" x14ac:dyDescent="0.25">
      <c r="A51" s="1534"/>
      <c r="B51" s="1545"/>
      <c r="C51" s="1545"/>
      <c r="D51" s="1537"/>
    </row>
    <row r="52" spans="1:4" s="1551" customFormat="1" ht="20.100000000000001" customHeight="1" x14ac:dyDescent="0.2">
      <c r="A52" s="1546"/>
      <c r="B52" s="1678" t="s">
        <v>5647</v>
      </c>
      <c r="C52" s="1678"/>
      <c r="D52" s="1548"/>
    </row>
    <row r="53" spans="1:4" s="1536" customFormat="1" ht="20.100000000000001" customHeight="1" x14ac:dyDescent="0.25">
      <c r="A53" s="1534"/>
      <c r="B53" s="1678"/>
      <c r="C53" s="1678"/>
      <c r="D53" s="1537"/>
    </row>
    <row r="54" spans="1:4" s="1536" customFormat="1" ht="20.100000000000001" customHeight="1" x14ac:dyDescent="0.25">
      <c r="A54" s="1534"/>
      <c r="B54" s="1547"/>
      <c r="C54" s="1547"/>
      <c r="D54" s="1537"/>
    </row>
    <row r="55" spans="1:4" s="1536" customFormat="1" ht="20.100000000000001" customHeight="1" x14ac:dyDescent="0.25">
      <c r="A55" s="1534"/>
      <c r="B55" s="1549" t="s">
        <v>5638</v>
      </c>
      <c r="C55" s="1550"/>
      <c r="D55" s="1537"/>
    </row>
    <row r="56" spans="1:4" s="1536" customFormat="1" ht="20.100000000000001" customHeight="1" x14ac:dyDescent="0.25">
      <c r="A56" s="1534"/>
      <c r="B56" s="1678" t="s">
        <v>5648</v>
      </c>
      <c r="C56" s="1678"/>
      <c r="D56" s="1537"/>
    </row>
    <row r="57" spans="1:4" s="1536" customFormat="1" ht="20.100000000000001" customHeight="1" x14ac:dyDescent="0.25">
      <c r="A57" s="1534"/>
      <c r="B57" s="1678"/>
      <c r="C57" s="1678"/>
      <c r="D57" s="1537"/>
    </row>
    <row r="58" spans="1:4" s="1536" customFormat="1" ht="20.100000000000001" customHeight="1" x14ac:dyDescent="0.25">
      <c r="A58" s="1534"/>
      <c r="B58" s="1678"/>
      <c r="C58" s="1678"/>
      <c r="D58" s="1537"/>
    </row>
    <row r="59" spans="1:4" s="1536" customFormat="1" ht="20.100000000000001" customHeight="1" x14ac:dyDescent="0.25">
      <c r="A59" s="1534"/>
      <c r="B59" s="1678"/>
      <c r="C59" s="1678"/>
      <c r="D59" s="1537"/>
    </row>
    <row r="60" spans="1:4" s="1536" customFormat="1" ht="20.100000000000001" customHeight="1" x14ac:dyDescent="0.25">
      <c r="A60" s="1534"/>
      <c r="B60" s="1551" t="s">
        <v>5639</v>
      </c>
      <c r="C60" s="1551"/>
      <c r="D60" s="1537"/>
    </row>
    <row r="61" spans="1:4" s="1536" customFormat="1" ht="20.100000000000001" customHeight="1" x14ac:dyDescent="0.25">
      <c r="A61" s="1534"/>
      <c r="B61" s="1547"/>
      <c r="C61" s="1547"/>
      <c r="D61" s="1537"/>
    </row>
    <row r="62" spans="1:4" s="1536" customFormat="1" ht="20.100000000000001" customHeight="1" x14ac:dyDescent="0.25">
      <c r="A62" s="1534"/>
      <c r="B62" s="1552" t="s">
        <v>914</v>
      </c>
      <c r="C62" s="1547"/>
      <c r="D62" s="1537"/>
    </row>
    <row r="63" spans="1:4" s="1536" customFormat="1" ht="18" customHeight="1" x14ac:dyDescent="0.25">
      <c r="A63" s="1534"/>
      <c r="B63" s="1679" t="s">
        <v>5862</v>
      </c>
      <c r="C63" s="1680"/>
      <c r="D63" s="1537"/>
    </row>
    <row r="64" spans="1:4" s="1536" customFormat="1" ht="18" customHeight="1" x14ac:dyDescent="0.25">
      <c r="A64" s="1534"/>
      <c r="B64" s="1681"/>
      <c r="C64" s="1682"/>
      <c r="D64" s="1537"/>
    </row>
    <row r="65" spans="1:4" s="1536" customFormat="1" ht="18" customHeight="1" x14ac:dyDescent="0.25">
      <c r="A65" s="1534"/>
      <c r="B65" s="1681"/>
      <c r="C65" s="1682"/>
      <c r="D65" s="1537"/>
    </row>
    <row r="66" spans="1:4" s="1536" customFormat="1" ht="18" customHeight="1" x14ac:dyDescent="0.25">
      <c r="A66" s="1534"/>
      <c r="B66" s="1681"/>
      <c r="C66" s="1682"/>
      <c r="D66" s="1537"/>
    </row>
    <row r="67" spans="1:4" s="1536" customFormat="1" ht="18" customHeight="1" x14ac:dyDescent="0.25">
      <c r="A67" s="1534"/>
      <c r="B67" s="1681"/>
      <c r="C67" s="1682"/>
      <c r="D67" s="1537"/>
    </row>
    <row r="68" spans="1:4" s="1536" customFormat="1" ht="18" customHeight="1" x14ac:dyDescent="0.25">
      <c r="A68" s="1534"/>
      <c r="B68" s="1681"/>
      <c r="C68" s="1682"/>
      <c r="D68" s="1537"/>
    </row>
    <row r="69" spans="1:4" s="1536" customFormat="1" ht="18" customHeight="1" x14ac:dyDescent="0.25">
      <c r="A69" s="1534"/>
      <c r="B69" s="1681"/>
      <c r="C69" s="1682"/>
      <c r="D69" s="1537"/>
    </row>
    <row r="70" spans="1:4" s="1536" customFormat="1" ht="18" customHeight="1" x14ac:dyDescent="0.25">
      <c r="A70" s="1534"/>
      <c r="B70" s="1681"/>
      <c r="C70" s="1682"/>
      <c r="D70" s="1537"/>
    </row>
    <row r="71" spans="1:4" s="1536" customFormat="1" ht="18" customHeight="1" x14ac:dyDescent="0.25">
      <c r="A71" s="1534"/>
      <c r="B71" s="1681"/>
      <c r="C71" s="1682"/>
      <c r="D71" s="1537"/>
    </row>
    <row r="72" spans="1:4" s="1536" customFormat="1" ht="18" customHeight="1" x14ac:dyDescent="0.25">
      <c r="A72" s="1534"/>
      <c r="B72" s="1681"/>
      <c r="C72" s="1682"/>
      <c r="D72" s="1537"/>
    </row>
    <row r="73" spans="1:4" s="1536" customFormat="1" ht="18" customHeight="1" x14ac:dyDescent="0.25">
      <c r="A73" s="1534"/>
      <c r="B73" s="1681"/>
      <c r="C73" s="1682"/>
      <c r="D73" s="1537"/>
    </row>
    <row r="74" spans="1:4" s="1536" customFormat="1" ht="18" customHeight="1" x14ac:dyDescent="0.25">
      <c r="A74" s="1534"/>
      <c r="B74" s="1681"/>
      <c r="C74" s="1682"/>
      <c r="D74" s="1537"/>
    </row>
    <row r="75" spans="1:4" s="1536" customFormat="1" ht="18.75" customHeight="1" x14ac:dyDescent="0.25">
      <c r="A75" s="1534"/>
      <c r="B75" s="1681"/>
      <c r="C75" s="1682"/>
      <c r="D75" s="1537"/>
    </row>
    <row r="76" spans="1:4" s="1536" customFormat="1" ht="22.5" customHeight="1" x14ac:dyDescent="0.25">
      <c r="A76" s="1534"/>
      <c r="B76" s="1683"/>
      <c r="C76" s="1684"/>
      <c r="D76" s="1537"/>
    </row>
    <row r="77" spans="1:4" s="1536" customFormat="1" ht="18.75" x14ac:dyDescent="0.25">
      <c r="A77" s="1534"/>
      <c r="B77" s="1553"/>
      <c r="C77" s="1553"/>
      <c r="D77" s="1537"/>
    </row>
    <row r="78" spans="1:4" s="1536" customFormat="1" ht="18" x14ac:dyDescent="0.25">
      <c r="A78" s="1534"/>
      <c r="B78" s="1535" t="s">
        <v>5640</v>
      </c>
      <c r="D78" s="1537"/>
    </row>
    <row r="79" spans="1:4" s="1536" customFormat="1" ht="20.100000000000001" customHeight="1" x14ac:dyDescent="0.25">
      <c r="A79" s="1534"/>
      <c r="B79" s="1676" t="s">
        <v>5868</v>
      </c>
      <c r="C79" s="1676"/>
      <c r="D79" s="1537"/>
    </row>
    <row r="80" spans="1:4" s="1536" customFormat="1" ht="20.100000000000001" customHeight="1" x14ac:dyDescent="0.25">
      <c r="A80" s="1534"/>
      <c r="B80" s="1676"/>
      <c r="C80" s="1676"/>
      <c r="D80" s="1537"/>
    </row>
    <row r="81" spans="1:4" s="1536" customFormat="1" ht="20.100000000000001" customHeight="1" x14ac:dyDescent="0.25">
      <c r="A81" s="1534"/>
      <c r="B81" s="1676"/>
      <c r="C81" s="1676"/>
      <c r="D81" s="1537"/>
    </row>
    <row r="82" spans="1:4" s="1536" customFormat="1" ht="54.75" customHeight="1" x14ac:dyDescent="0.25">
      <c r="A82" s="1534"/>
      <c r="B82" s="1677"/>
      <c r="C82" s="1677"/>
      <c r="D82" s="1537"/>
    </row>
    <row r="83" spans="1:4" s="1536" customFormat="1" ht="18" x14ac:dyDescent="0.25">
      <c r="A83" s="1534"/>
      <c r="B83" s="1536" t="s">
        <v>5641</v>
      </c>
      <c r="D83" s="1537"/>
    </row>
    <row r="84" spans="1:4" s="1536" customFormat="1" ht="18" x14ac:dyDescent="0.25">
      <c r="A84" s="1534"/>
      <c r="D84" s="1537"/>
    </row>
    <row r="85" spans="1:4" s="1536" customFormat="1" ht="18" x14ac:dyDescent="0.25">
      <c r="A85" s="1534"/>
      <c r="B85" s="1535" t="s">
        <v>5642</v>
      </c>
      <c r="D85" s="1537"/>
    </row>
    <row r="86" spans="1:4" s="1536" customFormat="1" ht="18" x14ac:dyDescent="0.25">
      <c r="A86" s="1534"/>
      <c r="B86" s="1536" t="s">
        <v>5672</v>
      </c>
      <c r="D86" s="1537"/>
    </row>
    <row r="87" spans="1:4" s="1536" customFormat="1" ht="18" x14ac:dyDescent="0.25">
      <c r="A87" s="1534"/>
      <c r="D87" s="1537"/>
    </row>
    <row r="88" spans="1:4" s="1536" customFormat="1" ht="20.100000000000001" customHeight="1" x14ac:dyDescent="0.25">
      <c r="A88" s="1534"/>
      <c r="B88" s="1678" t="s">
        <v>5861</v>
      </c>
      <c r="C88" s="1678"/>
      <c r="D88" s="1537"/>
    </row>
    <row r="89" spans="1:4" s="1536" customFormat="1" ht="20.100000000000001" customHeight="1" x14ac:dyDescent="0.25">
      <c r="A89" s="1534"/>
      <c r="B89" s="1678"/>
      <c r="C89" s="1678"/>
      <c r="D89" s="1537"/>
    </row>
    <row r="90" spans="1:4" s="1536" customFormat="1" ht="20.100000000000001" customHeight="1" x14ac:dyDescent="0.25">
      <c r="A90" s="1534"/>
      <c r="B90" s="1678"/>
      <c r="C90" s="1678"/>
      <c r="D90" s="1537"/>
    </row>
    <row r="91" spans="1:4" s="1536" customFormat="1" ht="20.100000000000001" customHeight="1" x14ac:dyDescent="0.25">
      <c r="A91" s="1534"/>
      <c r="B91" s="1678"/>
      <c r="C91" s="1678"/>
      <c r="D91" s="1537"/>
    </row>
    <row r="92" spans="1:4" s="1536" customFormat="1" ht="20.100000000000001" customHeight="1" x14ac:dyDescent="0.25">
      <c r="A92" s="1534"/>
      <c r="B92" s="1678"/>
      <c r="C92" s="1678"/>
      <c r="D92" s="1537"/>
    </row>
    <row r="93" spans="1:4" s="1536" customFormat="1" ht="29.25" customHeight="1" x14ac:dyDescent="0.25">
      <c r="A93" s="1534"/>
      <c r="B93" s="1678"/>
      <c r="C93" s="1678"/>
      <c r="D93" s="1537"/>
    </row>
    <row r="94" spans="1:4" s="1536" customFormat="1" ht="18" x14ac:dyDescent="0.25">
      <c r="A94" s="1534"/>
      <c r="B94" s="1554"/>
      <c r="C94" s="1554"/>
      <c r="D94" s="1537"/>
    </row>
    <row r="95" spans="1:4" s="1536" customFormat="1" ht="18" x14ac:dyDescent="0.25">
      <c r="A95" s="1534"/>
      <c r="B95" s="1536" t="s">
        <v>5643</v>
      </c>
      <c r="D95" s="1537"/>
    </row>
    <row r="96" spans="1:4" s="1536" customFormat="1" ht="18" x14ac:dyDescent="0.25">
      <c r="A96" s="1534"/>
      <c r="B96" s="1555"/>
      <c r="D96" s="1537"/>
    </row>
    <row r="97" spans="1:4" s="1536" customFormat="1" ht="20.100000000000001" customHeight="1" x14ac:dyDescent="0.25">
      <c r="A97" s="1534"/>
      <c r="B97" s="1536" t="s">
        <v>5644</v>
      </c>
      <c r="D97" s="1537"/>
    </row>
    <row r="98" spans="1:4" s="1536" customFormat="1" ht="20.100000000000001" customHeight="1" x14ac:dyDescent="0.25">
      <c r="A98" s="1534"/>
      <c r="B98" s="1627" t="s">
        <v>5427</v>
      </c>
      <c r="D98" s="1537"/>
    </row>
    <row r="99" spans="1:4" s="1536" customFormat="1" ht="18.75" thickBot="1" x14ac:dyDescent="0.3">
      <c r="A99" s="1556"/>
      <c r="B99" s="1557"/>
      <c r="C99" s="1557"/>
      <c r="D99" s="1558"/>
    </row>
    <row r="100" spans="1:4" ht="15" x14ac:dyDescent="0.2">
      <c r="B100" s="382"/>
    </row>
    <row r="101" spans="1:4" ht="15" x14ac:dyDescent="0.2">
      <c r="B101" s="382"/>
    </row>
    <row r="102" spans="1:4" ht="15" x14ac:dyDescent="0.2">
      <c r="B102" s="382"/>
    </row>
    <row r="103" spans="1:4" ht="15" x14ac:dyDescent="0.2">
      <c r="B103" s="382"/>
    </row>
    <row r="104" spans="1:4" ht="15" x14ac:dyDescent="0.2">
      <c r="B104" s="382"/>
    </row>
  </sheetData>
  <mergeCells count="17">
    <mergeCell ref="C47:C48"/>
    <mergeCell ref="A4:D4"/>
    <mergeCell ref="A5:D5"/>
    <mergeCell ref="A7:D7"/>
    <mergeCell ref="A9:D9"/>
    <mergeCell ref="C31:C32"/>
    <mergeCell ref="B21:C22"/>
    <mergeCell ref="B26:C28"/>
    <mergeCell ref="B13:C13"/>
    <mergeCell ref="A11:D11"/>
    <mergeCell ref="B15:C16"/>
    <mergeCell ref="C34:C46"/>
    <mergeCell ref="B79:C82"/>
    <mergeCell ref="B56:C59"/>
    <mergeCell ref="B88:C93"/>
    <mergeCell ref="B52:C53"/>
    <mergeCell ref="B63:C76"/>
  </mergeCells>
  <hyperlinks>
    <hyperlink ref="B98" r:id="rId1" xr:uid="{E3C0EBCB-60EE-45CF-85F9-74FCFAF5313C}"/>
  </hyperlinks>
  <printOptions horizontalCentered="1" verticalCentered="1"/>
  <pageMargins left="0.74803149606299213" right="0.74803149606299213" top="0.78740157480314965" bottom="0.78740157480314965" header="0.51181102362204722" footer="0.51181102362204722"/>
  <pageSetup paperSize="9" scale="51" orientation="portrait" r:id="rId2"/>
  <headerFooter alignWithMargins="0">
    <oddHeader>&amp;C&amp;"Calibri"&amp;10&amp;K000000 OFFICIAL&amp;1#_x000D_</oddHeader>
    <oddFooter>&amp;C_x000D_&amp;1#&amp;"Calibri"&amp;10&amp;K000000 OFFICIAL</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IQ298"/>
  <sheetViews>
    <sheetView zoomScaleNormal="100" workbookViewId="0"/>
  </sheetViews>
  <sheetFormatPr defaultColWidth="9.140625" defaultRowHeight="15" x14ac:dyDescent="0.2"/>
  <cols>
    <col min="1" max="1" width="1.7109375" style="493" customWidth="1"/>
    <col min="2" max="2" width="1.7109375" style="382" customWidth="1"/>
    <col min="3" max="3" width="13.28515625" style="382" bestFit="1" customWidth="1"/>
    <col min="4" max="6" width="9.140625" style="382"/>
    <col min="7" max="7" width="10.28515625" style="382" customWidth="1"/>
    <col min="8" max="8" width="9.140625" style="382"/>
    <col min="9" max="9" width="13" style="382" bestFit="1" customWidth="1"/>
    <col min="10" max="10" width="3.7109375" style="382" customWidth="1"/>
    <col min="11" max="11" width="17.85546875" style="382" customWidth="1"/>
    <col min="12" max="12" width="3.7109375" style="382" customWidth="1"/>
    <col min="13" max="13" width="17.85546875" style="382" customWidth="1"/>
    <col min="14" max="14" width="6.7109375" style="382" customWidth="1"/>
    <col min="15" max="15" width="17.85546875" style="382" customWidth="1"/>
    <col min="16" max="16" width="3.7109375" style="382" customWidth="1"/>
    <col min="17" max="17" width="17.85546875" style="382" customWidth="1"/>
    <col min="18" max="18" width="6.140625" style="382" customWidth="1"/>
    <col min="19" max="19" width="17.85546875" style="382" customWidth="1"/>
    <col min="20" max="20" width="1.5703125" style="382" customWidth="1"/>
    <col min="21" max="21" width="1.7109375" style="382" customWidth="1"/>
    <col min="22" max="22" width="24.85546875" style="382" hidden="1" customWidth="1"/>
    <col min="23" max="23" width="12.7109375" style="380" hidden="1" customWidth="1"/>
    <col min="24" max="24" width="26.7109375" style="382" hidden="1" customWidth="1"/>
    <col min="25" max="25" width="4.7109375" style="382" hidden="1" customWidth="1"/>
    <col min="26" max="27" width="10.140625" style="382" hidden="1" customWidth="1"/>
    <col min="28" max="28" width="17.5703125" style="382" hidden="1" customWidth="1"/>
    <col min="29" max="29" width="2.7109375" style="382" hidden="1" customWidth="1"/>
    <col min="30" max="30" width="1.140625" style="382" hidden="1" customWidth="1"/>
    <col min="31" max="31" width="1.85546875" style="382" hidden="1" customWidth="1"/>
    <col min="32" max="32" width="2.7109375" style="382" hidden="1" customWidth="1"/>
    <col min="33" max="33" width="2.140625" style="382" hidden="1" customWidth="1"/>
    <col min="34" max="34" width="2.85546875" style="382" hidden="1" customWidth="1"/>
    <col min="35" max="35" width="17.140625" style="382" hidden="1" customWidth="1"/>
    <col min="36" max="36" width="1.5703125" style="382" hidden="1" customWidth="1"/>
    <col min="37" max="37" width="17.140625" style="382" hidden="1" customWidth="1"/>
    <col min="38" max="38" width="1.5703125" style="382" hidden="1" customWidth="1"/>
    <col min="39" max="39" width="17.140625" style="382" hidden="1" customWidth="1"/>
    <col min="40" max="40" width="1.5703125" style="382" hidden="1" customWidth="1"/>
    <col min="41" max="41" width="17.140625" style="382" hidden="1" customWidth="1"/>
    <col min="42" max="53" width="9.140625" style="382" hidden="1" customWidth="1"/>
    <col min="54" max="77" width="9.140625" style="382" customWidth="1"/>
    <col min="78" max="16384" width="9.140625" style="382"/>
  </cols>
  <sheetData>
    <row r="1" spans="1:53" x14ac:dyDescent="0.2">
      <c r="A1" s="1034"/>
      <c r="B1" s="1035"/>
      <c r="C1" s="1035"/>
      <c r="D1" s="1035"/>
      <c r="E1" s="1035"/>
      <c r="F1" s="425">
        <v>297</v>
      </c>
      <c r="G1" s="1035"/>
      <c r="H1" s="1035"/>
      <c r="I1" s="1035"/>
      <c r="J1" s="1035"/>
      <c r="K1" s="1035"/>
      <c r="L1" s="1035"/>
      <c r="M1" s="1035"/>
      <c r="N1" s="1035"/>
      <c r="O1" s="1035"/>
      <c r="P1" s="1036"/>
      <c r="Q1" s="1035"/>
      <c r="R1" s="1035"/>
      <c r="S1" s="1035"/>
      <c r="T1" s="1035"/>
      <c r="U1" s="1037"/>
      <c r="V1" s="8"/>
      <c r="W1" s="85"/>
      <c r="X1" s="9"/>
      <c r="Y1" s="9"/>
      <c r="Z1" s="9"/>
      <c r="AA1" s="9"/>
      <c r="AB1" s="9"/>
      <c r="AC1" s="9"/>
      <c r="AD1" s="9"/>
      <c r="AE1" s="9"/>
      <c r="AF1" s="9"/>
      <c r="AG1" s="9"/>
      <c r="AH1" s="9"/>
      <c r="AI1" s="9"/>
      <c r="AJ1" s="9"/>
      <c r="AK1" s="9"/>
      <c r="AL1" s="9"/>
      <c r="AM1" s="9"/>
      <c r="AN1" s="9"/>
      <c r="AO1" s="9"/>
      <c r="AP1" s="9"/>
      <c r="AQ1" s="9"/>
      <c r="AR1" s="9"/>
      <c r="AS1" s="9" t="s">
        <v>881</v>
      </c>
      <c r="AT1" s="9"/>
      <c r="AU1" s="9"/>
      <c r="AV1" s="9"/>
      <c r="AW1" s="9"/>
      <c r="AX1" s="9"/>
      <c r="AY1" s="9"/>
      <c r="AZ1" s="9"/>
      <c r="BA1" s="9"/>
    </row>
    <row r="2" spans="1:53" ht="15.75" x14ac:dyDescent="0.25">
      <c r="A2" s="1738" t="s">
        <v>5616</v>
      </c>
      <c r="B2" s="1739"/>
      <c r="C2" s="1739"/>
      <c r="D2" s="1739"/>
      <c r="E2" s="1739"/>
      <c r="F2" s="1739"/>
      <c r="G2" s="1739"/>
      <c r="H2" s="1739"/>
      <c r="I2" s="1739"/>
      <c r="J2" s="1739"/>
      <c r="K2" s="1739"/>
      <c r="L2" s="1739"/>
      <c r="M2" s="1739"/>
      <c r="N2" s="1739"/>
      <c r="O2" s="1739"/>
      <c r="P2" s="1739"/>
      <c r="Q2" s="1739"/>
      <c r="R2" s="1739"/>
      <c r="S2" s="1739"/>
      <c r="T2" s="1739"/>
      <c r="U2" s="1740"/>
      <c r="V2" s="8"/>
      <c r="W2" s="1038"/>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row>
    <row r="3" spans="1:53" ht="15.75" x14ac:dyDescent="0.25">
      <c r="A3" s="1738" t="s">
        <v>3086</v>
      </c>
      <c r="B3" s="1739"/>
      <c r="C3" s="1739"/>
      <c r="D3" s="1739"/>
      <c r="E3" s="1739"/>
      <c r="F3" s="1739"/>
      <c r="G3" s="1739"/>
      <c r="H3" s="1739"/>
      <c r="I3" s="1739"/>
      <c r="J3" s="1739"/>
      <c r="K3" s="1739"/>
      <c r="L3" s="1739"/>
      <c r="M3" s="1739"/>
      <c r="N3" s="1739"/>
      <c r="O3" s="1739"/>
      <c r="P3" s="1739"/>
      <c r="Q3" s="1739"/>
      <c r="R3" s="1739"/>
      <c r="S3" s="1739"/>
      <c r="T3" s="1739"/>
      <c r="U3" s="1740"/>
      <c r="V3" s="8"/>
      <c r="W3" s="85"/>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row>
    <row r="4" spans="1:53" x14ac:dyDescent="0.2">
      <c r="A4" s="1748" t="s">
        <v>5617</v>
      </c>
      <c r="B4" s="1749"/>
      <c r="C4" s="1749"/>
      <c r="D4" s="1749"/>
      <c r="E4" s="1749"/>
      <c r="F4" s="1749"/>
      <c r="G4" s="1749"/>
      <c r="H4" s="1749"/>
      <c r="I4" s="1749"/>
      <c r="J4" s="1749"/>
      <c r="K4" s="1749"/>
      <c r="L4" s="1749"/>
      <c r="M4" s="1749"/>
      <c r="N4" s="1749"/>
      <c r="O4" s="1749"/>
      <c r="P4" s="1749"/>
      <c r="Q4" s="1749"/>
      <c r="R4" s="1749"/>
      <c r="S4" s="1749"/>
      <c r="T4" s="1749"/>
      <c r="U4" s="1750"/>
      <c r="V4" s="8"/>
      <c r="W4" s="85"/>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row>
    <row r="5" spans="1:53" x14ac:dyDescent="0.2">
      <c r="A5" s="1040"/>
      <c r="B5" s="159"/>
      <c r="C5" s="159"/>
      <c r="D5" s="159"/>
      <c r="E5" s="159"/>
      <c r="F5" s="159"/>
      <c r="G5" s="159"/>
      <c r="H5" s="159"/>
      <c r="I5" s="159"/>
      <c r="J5" s="159"/>
      <c r="K5" s="159"/>
      <c r="L5" s="159"/>
      <c r="M5" s="159"/>
      <c r="N5" s="159"/>
      <c r="O5" s="159"/>
      <c r="P5" s="159"/>
      <c r="Q5" s="159"/>
      <c r="R5" s="159"/>
      <c r="S5" s="159"/>
      <c r="T5" s="159"/>
      <c r="U5" s="1039"/>
      <c r="V5" s="8"/>
      <c r="W5" s="85"/>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row>
    <row r="6" spans="1:53" ht="15.75" x14ac:dyDescent="0.25">
      <c r="A6" s="1751" t="s">
        <v>904</v>
      </c>
      <c r="B6" s="1752"/>
      <c r="C6" s="1752"/>
      <c r="D6" s="1752"/>
      <c r="E6" s="1752"/>
      <c r="F6" s="1752"/>
      <c r="G6" s="1752"/>
      <c r="H6" s="1752"/>
      <c r="I6" s="1752"/>
      <c r="J6" s="1752"/>
      <c r="K6" s="1752"/>
      <c r="L6" s="1752"/>
      <c r="M6" s="1752"/>
      <c r="N6" s="1752"/>
      <c r="O6" s="1752"/>
      <c r="P6" s="1752"/>
      <c r="Q6" s="1752"/>
      <c r="R6" s="1752"/>
      <c r="S6" s="1752"/>
      <c r="T6" s="1752"/>
      <c r="U6" s="1753"/>
      <c r="V6" s="8"/>
      <c r="W6" s="85"/>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row>
    <row r="7" spans="1:53" x14ac:dyDescent="0.2">
      <c r="A7" s="1040"/>
      <c r="B7" s="159"/>
      <c r="C7" s="159"/>
      <c r="D7" s="159"/>
      <c r="E7" s="159"/>
      <c r="F7" s="159"/>
      <c r="G7" s="159"/>
      <c r="H7" s="159"/>
      <c r="I7" s="159"/>
      <c r="J7" s="159"/>
      <c r="K7" s="159"/>
      <c r="L7" s="159"/>
      <c r="M7" s="159"/>
      <c r="N7" s="159"/>
      <c r="O7" s="159"/>
      <c r="P7" s="159"/>
      <c r="Q7" s="159"/>
      <c r="R7" s="159"/>
      <c r="S7" s="159"/>
      <c r="T7" s="159"/>
      <c r="U7" s="1039"/>
      <c r="V7" s="8"/>
      <c r="W7" s="85"/>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row>
    <row r="8" spans="1:53" x14ac:dyDescent="0.2">
      <c r="A8" s="1748" t="str">
        <f>+IF('Main Validation'!M53=0,"If you are content with your answers please return this form to MHCLG as soon as possible","Please check the validation tabs and supply answers to the validation queries that require a comment")</f>
        <v>If you are content with your answers please return this form to MHCLG as soon as possible</v>
      </c>
      <c r="B8" s="1749"/>
      <c r="C8" s="1749"/>
      <c r="D8" s="1749"/>
      <c r="E8" s="1749"/>
      <c r="F8" s="1749"/>
      <c r="G8" s="1749"/>
      <c r="H8" s="1749"/>
      <c r="I8" s="1749"/>
      <c r="J8" s="1749"/>
      <c r="K8" s="1749"/>
      <c r="L8" s="1749"/>
      <c r="M8" s="1749"/>
      <c r="N8" s="1749"/>
      <c r="O8" s="1749"/>
      <c r="P8" s="1749"/>
      <c r="Q8" s="1749"/>
      <c r="R8" s="1749"/>
      <c r="S8" s="1749"/>
      <c r="T8" s="1749"/>
      <c r="U8" s="1750"/>
      <c r="V8" s="1041"/>
      <c r="W8" s="85"/>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row>
    <row r="9" spans="1:53" ht="15.75" thickBot="1" x14ac:dyDescent="0.25">
      <c r="A9" s="1743"/>
      <c r="B9" s="1744"/>
      <c r="C9" s="1744"/>
      <c r="D9" s="1744"/>
      <c r="E9" s="1744"/>
      <c r="F9" s="1744"/>
      <c r="G9" s="1744"/>
      <c r="H9" s="1744"/>
      <c r="I9" s="1744"/>
      <c r="J9" s="1744"/>
      <c r="K9" s="1744"/>
      <c r="L9" s="1744"/>
      <c r="M9" s="1744"/>
      <c r="N9" s="1744"/>
      <c r="O9" s="1744"/>
      <c r="P9" s="1744"/>
      <c r="Q9" s="1744"/>
      <c r="R9" s="1744"/>
      <c r="S9" s="1744"/>
      <c r="T9" s="1744"/>
      <c r="U9" s="1745"/>
      <c r="V9" s="8"/>
      <c r="W9" s="85"/>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row>
    <row r="10" spans="1:53" x14ac:dyDescent="0.2">
      <c r="A10" s="1034"/>
      <c r="B10" s="1035"/>
      <c r="C10" s="1035"/>
      <c r="D10" s="1035"/>
      <c r="E10" s="1035"/>
      <c r="F10" s="1035"/>
      <c r="G10" s="1035"/>
      <c r="H10" s="1035"/>
      <c r="I10" s="1035"/>
      <c r="J10" s="1035"/>
      <c r="K10" s="1035"/>
      <c r="L10" s="1035"/>
      <c r="M10" s="1035"/>
      <c r="N10" s="1035"/>
      <c r="O10" s="1035"/>
      <c r="P10" s="1035"/>
      <c r="Q10" s="1035"/>
      <c r="R10" s="1035"/>
      <c r="S10" s="1035"/>
      <c r="T10" s="1035"/>
      <c r="U10" s="1037"/>
      <c r="V10" s="8"/>
      <c r="W10" s="85"/>
      <c r="X10" s="9"/>
      <c r="Y10" s="9"/>
      <c r="Z10" s="9"/>
      <c r="AA10" s="45"/>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row>
    <row r="11" spans="1:53" x14ac:dyDescent="0.2">
      <c r="A11" s="1042"/>
      <c r="B11" s="1043"/>
      <c r="C11" s="1043"/>
      <c r="D11" s="1043"/>
      <c r="E11" s="1742" t="s">
        <v>5618</v>
      </c>
      <c r="F11" s="1742"/>
      <c r="G11" s="1742"/>
      <c r="H11" s="1742"/>
      <c r="I11" s="1742"/>
      <c r="J11" s="1742"/>
      <c r="K11" s="1043"/>
      <c r="L11" s="702"/>
      <c r="M11" s="702"/>
      <c r="N11" s="1043"/>
      <c r="O11" s="1043"/>
      <c r="P11" s="1043"/>
      <c r="Q11" s="1043"/>
      <c r="R11" s="1043"/>
      <c r="S11" s="1043"/>
      <c r="T11" s="1043"/>
      <c r="U11" s="1044"/>
      <c r="V11" s="8"/>
      <c r="W11" s="85"/>
      <c r="X11" s="9"/>
      <c r="Y11" s="9"/>
      <c r="Z11" s="9"/>
      <c r="AA11" s="45"/>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row>
    <row r="12" spans="1:53" x14ac:dyDescent="0.2">
      <c r="A12" s="1042"/>
      <c r="B12" s="1043"/>
      <c r="C12" s="1043"/>
      <c r="D12" s="1043"/>
      <c r="E12" s="1043"/>
      <c r="F12" s="702"/>
      <c r="G12" s="702"/>
      <c r="H12" s="702"/>
      <c r="I12" s="702"/>
      <c r="J12" s="702"/>
      <c r="K12" s="702"/>
      <c r="L12" s="702"/>
      <c r="M12" s="702"/>
      <c r="N12" s="1043"/>
      <c r="O12" s="1043"/>
      <c r="P12" s="1043"/>
      <c r="Q12" s="1043"/>
      <c r="R12" s="1043"/>
      <c r="S12" s="1043"/>
      <c r="T12" s="1043"/>
      <c r="U12" s="1044"/>
      <c r="V12" s="8"/>
      <c r="W12" s="85"/>
      <c r="X12" s="9"/>
      <c r="Y12" s="9"/>
      <c r="Z12" s="9"/>
      <c r="AA12" s="1045"/>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row>
    <row r="13" spans="1:53" x14ac:dyDescent="0.2">
      <c r="A13" s="1042"/>
      <c r="B13" s="1043"/>
      <c r="C13" s="1043"/>
      <c r="D13" s="1043"/>
      <c r="E13" s="1043"/>
      <c r="F13" s="703"/>
      <c r="G13" s="703"/>
      <c r="H13" s="703"/>
      <c r="I13" s="703"/>
      <c r="J13" s="703"/>
      <c r="K13" s="703"/>
      <c r="L13" s="703"/>
      <c r="M13" s="703"/>
      <c r="N13" s="1043"/>
      <c r="O13" s="1043"/>
      <c r="P13" s="1043"/>
      <c r="Q13" s="1043"/>
      <c r="R13" s="1043"/>
      <c r="S13" s="1043"/>
      <c r="T13" s="1043"/>
      <c r="U13" s="1044"/>
      <c r="V13" s="8"/>
      <c r="W13" s="85"/>
      <c r="X13" s="9"/>
      <c r="Y13" s="9"/>
      <c r="Z13" s="9"/>
      <c r="AA13" s="45"/>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row>
    <row r="14" spans="1:53" x14ac:dyDescent="0.2">
      <c r="A14" s="1042"/>
      <c r="B14" s="1043"/>
      <c r="C14" s="1043"/>
      <c r="D14" s="1043"/>
      <c r="E14" s="1043"/>
      <c r="F14" s="703"/>
      <c r="G14" s="703"/>
      <c r="H14" s="703"/>
      <c r="I14" s="703"/>
      <c r="J14" s="703"/>
      <c r="K14" s="703"/>
      <c r="L14" s="703"/>
      <c r="M14" s="703"/>
      <c r="N14" s="1043"/>
      <c r="O14" s="1043"/>
      <c r="P14" s="1043"/>
      <c r="Q14" s="1043"/>
      <c r="R14" s="1043"/>
      <c r="S14" s="1043"/>
      <c r="T14" s="1043"/>
      <c r="U14" s="1044"/>
      <c r="V14" s="8"/>
      <c r="W14" s="85"/>
      <c r="X14" s="9"/>
      <c r="Y14" s="9"/>
      <c r="Z14" s="9"/>
      <c r="AA14" s="1045"/>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row>
    <row r="15" spans="1:53" x14ac:dyDescent="0.2">
      <c r="A15" s="1042"/>
      <c r="B15" s="1043"/>
      <c r="C15" s="1043"/>
      <c r="D15" s="1043"/>
      <c r="E15" s="1043" t="s">
        <v>684</v>
      </c>
      <c r="F15" s="703"/>
      <c r="G15" s="1043"/>
      <c r="H15" s="703"/>
      <c r="I15" s="1043"/>
      <c r="J15" s="703"/>
      <c r="K15" s="1757" t="str">
        <f>INDEX(Data!B:B,MATCH(F1,Data!A:A,0))</f>
        <v>ZZZZ</v>
      </c>
      <c r="L15" s="1758"/>
      <c r="M15" s="1758"/>
      <c r="N15" s="1759"/>
      <c r="O15" s="1043"/>
      <c r="P15" s="1043"/>
      <c r="Q15" s="1043"/>
      <c r="R15" s="1043"/>
      <c r="S15" s="1043"/>
      <c r="T15" s="1043"/>
      <c r="U15" s="1044"/>
      <c r="V15" s="8"/>
      <c r="W15" s="85"/>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row>
    <row r="16" spans="1:53" x14ac:dyDescent="0.2">
      <c r="A16" s="1042"/>
      <c r="B16" s="1043"/>
      <c r="C16" s="1043"/>
      <c r="D16" s="1043"/>
      <c r="E16" s="1043" t="s">
        <v>685</v>
      </c>
      <c r="F16" s="703"/>
      <c r="G16" s="1043"/>
      <c r="H16" s="703"/>
      <c r="I16" s="1043"/>
      <c r="J16" s="703"/>
      <c r="K16" s="1757" t="str">
        <f>INDEX(Data!C:C,MATCH(F1,Data!A:A,0))</f>
        <v>EZZZZ</v>
      </c>
      <c r="L16" s="1758"/>
      <c r="M16" s="1758"/>
      <c r="N16" s="1759"/>
      <c r="O16" s="1043"/>
      <c r="P16" s="1043"/>
      <c r="Q16" s="1043"/>
      <c r="R16" s="1043"/>
      <c r="S16" s="1043"/>
      <c r="T16" s="1043"/>
      <c r="U16" s="1044"/>
      <c r="V16" s="8"/>
      <c r="W16" s="85"/>
      <c r="X16" s="9"/>
      <c r="Y16" s="9"/>
      <c r="Z16" s="9"/>
      <c r="AA16" s="45"/>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row>
    <row r="17" spans="1:53" x14ac:dyDescent="0.2">
      <c r="A17" s="1042"/>
      <c r="B17" s="1043"/>
      <c r="C17" s="1043"/>
      <c r="D17" s="1043"/>
      <c r="E17" s="1043" t="s">
        <v>5619</v>
      </c>
      <c r="F17" s="703"/>
      <c r="G17" s="1043"/>
      <c r="H17" s="703"/>
      <c r="I17" s="1043"/>
      <c r="J17" s="703"/>
      <c r="K17" s="1760"/>
      <c r="L17" s="1761"/>
      <c r="M17" s="1761"/>
      <c r="N17" s="1762"/>
      <c r="O17" s="1043"/>
      <c r="P17" s="1043"/>
      <c r="Q17" s="1043"/>
      <c r="R17" s="1043"/>
      <c r="S17" s="1043"/>
      <c r="T17" s="1043"/>
      <c r="U17" s="1044"/>
      <c r="V17" s="8"/>
      <c r="W17" s="85"/>
      <c r="X17" s="9"/>
      <c r="Y17" s="9"/>
      <c r="Z17" s="9"/>
      <c r="AA17" s="45"/>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row>
    <row r="18" spans="1:53" x14ac:dyDescent="0.2">
      <c r="A18" s="1042"/>
      <c r="B18" s="1043"/>
      <c r="C18" s="1043"/>
      <c r="D18" s="1043"/>
      <c r="E18" s="1043" t="s">
        <v>5620</v>
      </c>
      <c r="F18" s="704"/>
      <c r="G18" s="1043"/>
      <c r="H18" s="703"/>
      <c r="I18" s="1043"/>
      <c r="J18" s="703"/>
      <c r="K18" s="1766"/>
      <c r="L18" s="1767"/>
      <c r="M18" s="1767"/>
      <c r="N18" s="1768"/>
      <c r="O18" s="1043"/>
      <c r="P18" s="1043"/>
      <c r="Q18" s="1043"/>
      <c r="R18" s="1043"/>
      <c r="S18" s="1043"/>
      <c r="T18" s="1043"/>
      <c r="U18" s="1044"/>
      <c r="V18" s="8"/>
      <c r="W18" s="85"/>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row>
    <row r="19" spans="1:53" x14ac:dyDescent="0.2">
      <c r="A19" s="1042"/>
      <c r="B19" s="1043"/>
      <c r="C19" s="1043"/>
      <c r="D19" s="1043"/>
      <c r="E19" s="1043" t="s">
        <v>5621</v>
      </c>
      <c r="F19" s="704"/>
      <c r="G19" s="1043"/>
      <c r="H19" s="703"/>
      <c r="I19" s="1043"/>
      <c r="J19" s="703"/>
      <c r="K19" s="1760"/>
      <c r="L19" s="1761"/>
      <c r="M19" s="1761"/>
      <c r="N19" s="1762"/>
      <c r="O19" s="1043"/>
      <c r="P19" s="1043"/>
      <c r="Q19" s="1043"/>
      <c r="R19" s="1043"/>
      <c r="S19" s="1043"/>
      <c r="T19" s="1043"/>
      <c r="U19" s="1044"/>
      <c r="V19" s="8"/>
      <c r="W19" s="85"/>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row>
    <row r="20" spans="1:53" x14ac:dyDescent="0.2">
      <c r="A20" s="1441"/>
      <c r="B20" s="1043"/>
      <c r="C20" s="1043"/>
      <c r="D20" s="1043"/>
      <c r="E20" s="1043" t="s">
        <v>5622</v>
      </c>
      <c r="F20" s="703"/>
      <c r="G20" s="1043"/>
      <c r="H20" s="703"/>
      <c r="I20" s="1043"/>
      <c r="J20" s="703"/>
      <c r="K20" s="1763"/>
      <c r="L20" s="1764"/>
      <c r="M20" s="1764"/>
      <c r="N20" s="1765"/>
      <c r="O20" s="1043"/>
      <c r="P20" s="1043"/>
      <c r="Q20" s="1043"/>
      <c r="R20" s="1043"/>
      <c r="S20" s="1043"/>
      <c r="T20" s="1043"/>
      <c r="U20" s="1442"/>
      <c r="V20" s="8"/>
      <c r="W20" s="85"/>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row>
    <row r="21" spans="1:53" x14ac:dyDescent="0.2">
      <c r="A21" s="1441"/>
      <c r="B21" s="1043"/>
      <c r="C21" s="1043"/>
      <c r="D21" s="1043"/>
      <c r="E21" s="1043" t="s">
        <v>5623</v>
      </c>
      <c r="F21" s="703"/>
      <c r="G21" s="1043"/>
      <c r="H21" s="703"/>
      <c r="I21" s="1043"/>
      <c r="J21" s="703"/>
      <c r="K21" s="1760"/>
      <c r="L21" s="1761"/>
      <c r="M21" s="1761"/>
      <c r="N21" s="1762"/>
      <c r="O21" s="1043"/>
      <c r="P21" s="1043"/>
      <c r="Q21" s="1043"/>
      <c r="R21" s="1043"/>
      <c r="S21" s="1043"/>
      <c r="T21" s="1043"/>
      <c r="U21" s="1442"/>
      <c r="V21" s="8"/>
      <c r="W21" s="85"/>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row>
    <row r="22" spans="1:53" ht="15.75" thickBot="1" x14ac:dyDescent="0.25">
      <c r="A22" s="1046"/>
      <c r="B22" s="1047"/>
      <c r="C22" s="1047"/>
      <c r="D22" s="1047"/>
      <c r="E22" s="1047"/>
      <c r="F22" s="1047"/>
      <c r="G22" s="1047"/>
      <c r="H22" s="1047"/>
      <c r="I22" s="1047"/>
      <c r="J22" s="1047"/>
      <c r="K22" s="1047"/>
      <c r="L22" s="1047"/>
      <c r="M22" s="1047"/>
      <c r="N22" s="1047"/>
      <c r="O22" s="1047"/>
      <c r="P22" s="1047"/>
      <c r="Q22" s="1047"/>
      <c r="R22" s="105" t="s">
        <v>919</v>
      </c>
      <c r="S22" s="1048">
        <v>1.2</v>
      </c>
      <c r="T22" s="1047"/>
      <c r="U22" s="1049"/>
      <c r="V22" s="8"/>
      <c r="W22" s="85"/>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row>
    <row r="23" spans="1:53" x14ac:dyDescent="0.2">
      <c r="A23" s="1050"/>
      <c r="B23" s="10"/>
      <c r="C23" s="10"/>
      <c r="D23" s="10"/>
      <c r="E23" s="10"/>
      <c r="F23" s="10"/>
      <c r="G23" s="10"/>
      <c r="H23" s="10"/>
      <c r="I23" s="10"/>
      <c r="J23" s="10"/>
      <c r="K23" s="10"/>
      <c r="L23" s="10"/>
      <c r="M23" s="10"/>
      <c r="N23" s="10"/>
      <c r="O23" s="10"/>
      <c r="P23" s="10"/>
      <c r="Q23" s="10"/>
      <c r="R23" s="10"/>
      <c r="S23" s="10"/>
      <c r="T23" s="10"/>
      <c r="U23" s="1051"/>
      <c r="V23" s="8"/>
      <c r="W23" s="85"/>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row>
    <row r="24" spans="1:53" ht="18" x14ac:dyDescent="0.25">
      <c r="A24" s="1050"/>
      <c r="B24" s="10"/>
      <c r="C24" s="862" t="s">
        <v>5625</v>
      </c>
      <c r="D24" s="862"/>
      <c r="E24" s="862"/>
      <c r="F24" s="862"/>
      <c r="G24" s="862"/>
      <c r="H24" s="10"/>
      <c r="I24" s="10"/>
      <c r="J24" s="10"/>
      <c r="K24" s="10"/>
      <c r="L24" s="10"/>
      <c r="M24" s="10"/>
      <c r="N24" s="10"/>
      <c r="O24" s="10"/>
      <c r="P24" s="10"/>
      <c r="Q24" s="10"/>
      <c r="R24" s="10"/>
      <c r="S24" s="10"/>
      <c r="T24" s="10"/>
      <c r="U24" s="1051"/>
      <c r="V24" s="8"/>
      <c r="W24" s="85"/>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row>
    <row r="25" spans="1:53" ht="36" customHeight="1" x14ac:dyDescent="0.2">
      <c r="A25" s="1050"/>
      <c r="B25" s="10"/>
      <c r="C25" s="1701" t="s">
        <v>5624</v>
      </c>
      <c r="D25" s="1701"/>
      <c r="E25" s="1701"/>
      <c r="F25" s="1701"/>
      <c r="G25" s="1701"/>
      <c r="H25" s="1701"/>
      <c r="I25" s="1701"/>
      <c r="J25" s="1701"/>
      <c r="K25" s="1701"/>
      <c r="L25" s="1701"/>
      <c r="M25" s="1701"/>
      <c r="N25" s="1701"/>
      <c r="O25" s="1701"/>
      <c r="P25" s="1701"/>
      <c r="Q25" s="1701"/>
      <c r="R25" s="1701"/>
      <c r="S25" s="1701"/>
      <c r="T25" s="10"/>
      <c r="U25" s="1052"/>
      <c r="V25" s="8"/>
      <c r="W25" s="85"/>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row>
    <row r="26" spans="1:53" ht="16.5" thickBot="1" x14ac:dyDescent="0.3">
      <c r="A26" s="1050"/>
      <c r="B26" s="10"/>
      <c r="C26" s="92" t="s">
        <v>5626</v>
      </c>
      <c r="D26" s="1053"/>
      <c r="E26" s="1053"/>
      <c r="F26" s="1053"/>
      <c r="G26" s="1053"/>
      <c r="H26" s="1053"/>
      <c r="I26" s="1053"/>
      <c r="J26" s="10"/>
      <c r="K26" s="1054" t="s">
        <v>681</v>
      </c>
      <c r="L26" s="10"/>
      <c r="M26" s="10"/>
      <c r="N26" s="12"/>
      <c r="O26" s="12" t="s">
        <v>5649</v>
      </c>
      <c r="P26" s="10"/>
      <c r="Q26" s="10"/>
      <c r="R26" s="459"/>
      <c r="S26" s="10"/>
      <c r="T26" s="10"/>
      <c r="U26" s="1051"/>
      <c r="V26" s="8"/>
      <c r="W26" s="85"/>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row>
    <row r="27" spans="1:53" ht="16.5" thickBot="1" x14ac:dyDescent="0.25">
      <c r="A27" s="1050"/>
      <c r="B27" s="10"/>
      <c r="C27" s="1700" t="s">
        <v>5627</v>
      </c>
      <c r="D27" s="1746"/>
      <c r="E27" s="1746"/>
      <c r="F27" s="1746"/>
      <c r="G27" s="1746"/>
      <c r="H27" s="1746"/>
      <c r="I27" s="1746"/>
      <c r="J27" s="10"/>
      <c r="K27" s="803">
        <f>+'Part 3'!$M$25</f>
        <v>0</v>
      </c>
      <c r="L27" s="1055"/>
      <c r="M27" s="10"/>
      <c r="N27" s="1056"/>
      <c r="O27" s="1056"/>
      <c r="P27" s="1055"/>
      <c r="Q27" s="1055"/>
      <c r="R27" s="727"/>
      <c r="S27" s="1055"/>
      <c r="T27" s="2"/>
      <c r="U27" s="67"/>
      <c r="V27" s="8"/>
      <c r="W27" s="85"/>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row>
    <row r="28" spans="1:53" ht="16.5" thickBot="1" x14ac:dyDescent="0.25">
      <c r="A28" s="1050"/>
      <c r="B28" s="10"/>
      <c r="C28" s="1700"/>
      <c r="D28" s="1746"/>
      <c r="E28" s="1746"/>
      <c r="F28" s="1746"/>
      <c r="G28" s="1746"/>
      <c r="H28" s="1746"/>
      <c r="I28" s="1746"/>
      <c r="J28" s="1055"/>
      <c r="K28" s="1055"/>
      <c r="L28" s="1055"/>
      <c r="M28" s="10"/>
      <c r="N28" s="1055"/>
      <c r="O28" s="1055" t="s">
        <v>2985</v>
      </c>
      <c r="P28" s="1055"/>
      <c r="Q28" s="803">
        <f>'Part 2'!AB25</f>
        <v>0</v>
      </c>
      <c r="R28" s="1057" t="s">
        <v>2991</v>
      </c>
      <c r="S28" s="1055"/>
      <c r="T28" s="10"/>
      <c r="U28" s="1051"/>
      <c r="V28" s="8"/>
      <c r="W28" s="85"/>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row>
    <row r="29" spans="1:53" ht="15.75" thickBot="1" x14ac:dyDescent="0.25">
      <c r="A29" s="1050"/>
      <c r="B29" s="10"/>
      <c r="C29" s="1746"/>
      <c r="D29" s="1746"/>
      <c r="E29" s="1746"/>
      <c r="F29" s="1746"/>
      <c r="G29" s="1746"/>
      <c r="H29" s="1746"/>
      <c r="I29" s="1746"/>
      <c r="J29" s="10"/>
      <c r="K29" s="1055"/>
      <c r="L29" s="1055"/>
      <c r="M29" s="1055"/>
      <c r="N29" s="1055"/>
      <c r="O29" s="727"/>
      <c r="P29" s="1055"/>
      <c r="Q29" s="1055"/>
      <c r="R29" s="1057"/>
      <c r="S29" s="1055"/>
      <c r="T29" s="10"/>
      <c r="U29" s="1051"/>
      <c r="V29" s="8"/>
      <c r="W29" s="85"/>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row>
    <row r="30" spans="1:53" ht="16.5" thickBot="1" x14ac:dyDescent="0.25">
      <c r="A30" s="1050"/>
      <c r="B30" s="10"/>
      <c r="C30" s="1058"/>
      <c r="D30" s="755"/>
      <c r="E30" s="755"/>
      <c r="F30" s="755"/>
      <c r="G30" s="755"/>
      <c r="H30" s="1053"/>
      <c r="I30" s="1053"/>
      <c r="J30" s="13"/>
      <c r="K30" s="1055"/>
      <c r="L30" s="1055"/>
      <c r="M30" s="1055"/>
      <c r="N30" s="727"/>
      <c r="O30" s="727" t="s">
        <v>3030</v>
      </c>
      <c r="P30" s="1055"/>
      <c r="Q30" s="803">
        <f>'Part 2'!AB75+'Part 2'!AB96</f>
        <v>0</v>
      </c>
      <c r="R30" s="1057" t="s">
        <v>5798</v>
      </c>
      <c r="S30" s="1055"/>
      <c r="T30" s="10"/>
      <c r="U30" s="1051"/>
      <c r="V30" s="8"/>
      <c r="W30" s="85"/>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row>
    <row r="31" spans="1:53" ht="16.5" thickBot="1" x14ac:dyDescent="0.3">
      <c r="A31" s="1050"/>
      <c r="B31" s="10"/>
      <c r="C31" s="1747" t="s">
        <v>711</v>
      </c>
      <c r="D31" s="1747"/>
      <c r="E31" s="1747"/>
      <c r="F31" s="1747"/>
      <c r="G31" s="1747"/>
      <c r="H31" s="1747"/>
      <c r="I31" s="1747"/>
      <c r="J31" s="459"/>
      <c r="K31" s="453"/>
      <c r="L31" s="727"/>
      <c r="M31" s="727"/>
      <c r="N31" s="727"/>
      <c r="O31" s="727" t="s">
        <v>2986</v>
      </c>
      <c r="P31" s="1055"/>
      <c r="Q31" s="803">
        <f>'Part 2'!AB158+'Part 2'!AB134</f>
        <v>0</v>
      </c>
      <c r="R31" s="1057" t="s">
        <v>5799</v>
      </c>
      <c r="S31" s="1055"/>
      <c r="T31" s="10"/>
      <c r="U31" s="1051"/>
      <c r="V31" s="8"/>
      <c r="W31" s="85"/>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row>
    <row r="32" spans="1:53" ht="16.5" thickBot="1" x14ac:dyDescent="0.25">
      <c r="A32" s="1050"/>
      <c r="B32" s="10"/>
      <c r="C32" s="1756" t="s">
        <v>682</v>
      </c>
      <c r="D32" s="1756"/>
      <c r="E32" s="1756"/>
      <c r="F32" s="1756"/>
      <c r="G32" s="1756"/>
      <c r="H32" s="1756"/>
      <c r="I32" s="1756"/>
      <c r="J32" s="459"/>
      <c r="K32" s="804">
        <f>IF(+'Part 2'!AB38&gt;0,+'Part 2'!AB38,0)</f>
        <v>0</v>
      </c>
      <c r="L32" s="727"/>
      <c r="M32" s="727"/>
      <c r="N32" s="459"/>
      <c r="O32" s="459"/>
      <c r="P32" s="459"/>
      <c r="Q32" s="459"/>
      <c r="R32" s="459"/>
      <c r="S32" s="1055"/>
      <c r="T32" s="2"/>
      <c r="U32" s="67"/>
      <c r="V32" s="8"/>
      <c r="W32" s="85"/>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row>
    <row r="33" spans="1:53" ht="16.5" thickBot="1" x14ac:dyDescent="0.25">
      <c r="A33" s="1050"/>
      <c r="B33" s="10"/>
      <c r="C33" s="755"/>
      <c r="D33" s="755"/>
      <c r="E33" s="755"/>
      <c r="F33" s="755"/>
      <c r="G33" s="755"/>
      <c r="H33" s="755"/>
      <c r="I33" s="755"/>
      <c r="J33" s="459"/>
      <c r="K33" s="727"/>
      <c r="L33" s="727"/>
      <c r="M33" s="727"/>
      <c r="N33" s="727"/>
      <c r="O33" s="727" t="s">
        <v>2990</v>
      </c>
      <c r="P33" s="1055"/>
      <c r="Q33" s="803">
        <f>'Part 2'!AB38*-1</f>
        <v>0</v>
      </c>
      <c r="R33" s="1057" t="s">
        <v>2992</v>
      </c>
      <c r="S33" s="1055"/>
      <c r="T33" s="10"/>
      <c r="U33" s="1051"/>
      <c r="V33" s="8"/>
      <c r="W33" s="85"/>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row>
    <row r="34" spans="1:53" ht="16.5" thickBot="1" x14ac:dyDescent="0.25">
      <c r="A34" s="1050"/>
      <c r="B34" s="10"/>
      <c r="C34" s="1756" t="s">
        <v>683</v>
      </c>
      <c r="D34" s="1756"/>
      <c r="E34" s="1756"/>
      <c r="F34" s="1756"/>
      <c r="G34" s="1756"/>
      <c r="H34" s="1756"/>
      <c r="I34" s="1756"/>
      <c r="J34" s="459"/>
      <c r="K34" s="1059">
        <f>IF(+'Part 2'!AB38&lt;0,+'Part 2'!AB38*-1,0)</f>
        <v>0</v>
      </c>
      <c r="L34" s="727"/>
      <c r="M34" s="459"/>
      <c r="N34" s="459"/>
      <c r="O34" s="459"/>
      <c r="P34" s="459"/>
      <c r="Q34" s="459"/>
      <c r="R34" s="459"/>
      <c r="S34" s="459"/>
      <c r="T34" s="2"/>
      <c r="U34" s="67"/>
      <c r="V34" s="8"/>
      <c r="W34" s="85"/>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row>
    <row r="35" spans="1:53" ht="16.5" thickBot="1" x14ac:dyDescent="0.25">
      <c r="A35" s="1050"/>
      <c r="B35" s="10"/>
      <c r="C35" s="1053"/>
      <c r="D35" s="1053"/>
      <c r="E35" s="1053"/>
      <c r="F35" s="1053"/>
      <c r="G35" s="1053"/>
      <c r="H35" s="1053"/>
      <c r="I35" s="1053"/>
      <c r="J35" s="10"/>
      <c r="K35" s="1055"/>
      <c r="L35" s="1055"/>
      <c r="M35" s="1754" t="s">
        <v>2987</v>
      </c>
      <c r="N35" s="1754"/>
      <c r="O35" s="1754"/>
      <c r="P35" s="1055"/>
      <c r="Q35" s="803">
        <f>'Part 3'!$M$17</f>
        <v>0</v>
      </c>
      <c r="R35" s="1057" t="s">
        <v>2993</v>
      </c>
      <c r="S35" s="1055"/>
      <c r="T35" s="10"/>
      <c r="U35" s="1051"/>
      <c r="V35" s="8"/>
      <c r="W35" s="85"/>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row>
    <row r="36" spans="1:53" ht="16.5" customHeight="1" thickBot="1" x14ac:dyDescent="0.25">
      <c r="A36" s="1050"/>
      <c r="B36" s="10"/>
      <c r="C36" s="92" t="s">
        <v>3068</v>
      </c>
      <c r="D36" s="92"/>
      <c r="E36" s="92"/>
      <c r="F36" s="92"/>
      <c r="G36" s="1053"/>
      <c r="H36" s="1053"/>
      <c r="I36" s="1053"/>
      <c r="J36" s="10"/>
      <c r="K36" s="1055"/>
      <c r="L36" s="1055"/>
      <c r="M36" s="1754"/>
      <c r="N36" s="1754"/>
      <c r="O36" s="1754"/>
      <c r="P36" s="1055"/>
      <c r="Q36" s="459"/>
      <c r="R36" s="459"/>
      <c r="S36" s="1055"/>
      <c r="T36" s="10"/>
      <c r="U36" s="1051"/>
      <c r="V36" s="8"/>
      <c r="W36" s="1706" t="s">
        <v>910</v>
      </c>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row>
    <row r="37" spans="1:53" ht="16.5" thickBot="1" x14ac:dyDescent="0.25">
      <c r="A37" s="1050"/>
      <c r="B37" s="10"/>
      <c r="C37" s="1712" t="s">
        <v>704</v>
      </c>
      <c r="D37" s="1712"/>
      <c r="E37" s="1712"/>
      <c r="F37" s="1712"/>
      <c r="G37" s="1712"/>
      <c r="H37" s="1712"/>
      <c r="I37" s="1712"/>
      <c r="J37" s="10"/>
      <c r="K37" s="1060" t="e">
        <f>INDEX(Data!D:D,MATCH(Import_LA_Code,Ref_LA_Codes,0))</f>
        <v>#N/A</v>
      </c>
      <c r="L37" s="1055"/>
      <c r="M37" s="1755" t="s">
        <v>2988</v>
      </c>
      <c r="N37" s="1755"/>
      <c r="O37" s="1755"/>
      <c r="P37" s="1055"/>
      <c r="Q37" s="803">
        <f>'Part 3'!$M$20</f>
        <v>0</v>
      </c>
      <c r="R37" s="1057" t="s">
        <v>2994</v>
      </c>
      <c r="S37" s="1055"/>
      <c r="T37" s="2"/>
      <c r="U37" s="67"/>
      <c r="V37" s="8"/>
      <c r="W37" s="1707"/>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row>
    <row r="38" spans="1:53" ht="16.5" customHeight="1" thickBot="1" x14ac:dyDescent="0.25">
      <c r="A38" s="1050"/>
      <c r="B38" s="10"/>
      <c r="C38" s="1053"/>
      <c r="D38" s="1053"/>
      <c r="E38" s="1053"/>
      <c r="F38" s="1053"/>
      <c r="G38" s="1053"/>
      <c r="H38" s="1053"/>
      <c r="I38" s="1053"/>
      <c r="J38" s="10"/>
      <c r="K38" s="93"/>
      <c r="L38" s="1055"/>
      <c r="M38" s="1755"/>
      <c r="N38" s="1755"/>
      <c r="O38" s="1755"/>
      <c r="P38" s="1055"/>
      <c r="Q38" s="459"/>
      <c r="R38" s="459"/>
      <c r="S38" s="1055"/>
      <c r="T38" s="10"/>
      <c r="U38" s="1051"/>
      <c r="V38" s="8"/>
      <c r="W38" s="85"/>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row>
    <row r="39" spans="1:53" ht="16.5" thickBot="1" x14ac:dyDescent="0.25">
      <c r="A39" s="1050"/>
      <c r="B39" s="10"/>
      <c r="C39" s="1712" t="s">
        <v>702</v>
      </c>
      <c r="D39" s="1712"/>
      <c r="E39" s="1712"/>
      <c r="F39" s="1712"/>
      <c r="G39" s="1712"/>
      <c r="H39" s="1712"/>
      <c r="I39" s="1712"/>
      <c r="J39" s="10"/>
      <c r="K39" s="807">
        <v>0</v>
      </c>
      <c r="L39" s="1055"/>
      <c r="M39" s="1061"/>
      <c r="N39" s="1061"/>
      <c r="O39" s="459"/>
      <c r="P39" s="459"/>
      <c r="Q39" s="459"/>
      <c r="R39" s="459"/>
      <c r="S39" s="1055"/>
      <c r="T39" s="2"/>
      <c r="U39" s="67"/>
      <c r="V39" s="8"/>
      <c r="W39" s="1062" t="s">
        <v>2213</v>
      </c>
      <c r="X39" s="9"/>
      <c r="Y39" s="241"/>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row>
    <row r="40" spans="1:53" ht="16.5" thickBot="1" x14ac:dyDescent="0.25">
      <c r="A40" s="1050"/>
      <c r="B40" s="10"/>
      <c r="C40" s="1053"/>
      <c r="D40" s="1053"/>
      <c r="E40" s="1053"/>
      <c r="F40" s="1053"/>
      <c r="G40" s="1053"/>
      <c r="H40" s="1053"/>
      <c r="I40" s="1053"/>
      <c r="J40" s="10"/>
      <c r="K40" s="93"/>
      <c r="L40" s="1055"/>
      <c r="M40" s="1055"/>
      <c r="N40" s="1056"/>
      <c r="O40" s="93" t="s">
        <v>2989</v>
      </c>
      <c r="P40" s="93"/>
      <c r="Q40" s="803">
        <f>Q28+Q30+Q31+Q33+Q35+Q37</f>
        <v>0</v>
      </c>
      <c r="R40" s="1063" t="s">
        <v>2995</v>
      </c>
      <c r="S40" s="93"/>
      <c r="T40" s="10"/>
      <c r="U40" s="1051"/>
      <c r="V40" s="8"/>
      <c r="W40" s="1064" t="s">
        <v>52</v>
      </c>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row>
    <row r="41" spans="1:53" ht="16.5" thickBot="1" x14ac:dyDescent="0.25">
      <c r="A41" s="1050"/>
      <c r="B41" s="10"/>
      <c r="C41" s="1712" t="s">
        <v>703</v>
      </c>
      <c r="D41" s="1712"/>
      <c r="E41" s="1712"/>
      <c r="F41" s="1712"/>
      <c r="G41" s="1712"/>
      <c r="H41" s="1712"/>
      <c r="I41" s="1712"/>
      <c r="J41" s="10"/>
      <c r="K41" s="1065" t="e">
        <f>+K37+K39</f>
        <v>#N/A</v>
      </c>
      <c r="L41" s="1055"/>
      <c r="M41" s="1055"/>
      <c r="N41" s="1056"/>
      <c r="O41" s="1056"/>
      <c r="P41" s="1055"/>
      <c r="Q41" s="1055"/>
      <c r="R41" s="727"/>
      <c r="S41" s="1055"/>
      <c r="T41" s="2"/>
      <c r="U41" s="67"/>
      <c r="V41" s="8"/>
      <c r="W41" s="1066"/>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row>
    <row r="42" spans="1:53" ht="15.75" x14ac:dyDescent="0.2">
      <c r="A42" s="1050"/>
      <c r="B42" s="10"/>
      <c r="C42" s="1053"/>
      <c r="D42" s="1053"/>
      <c r="E42" s="1053"/>
      <c r="F42" s="1053"/>
      <c r="G42" s="1053"/>
      <c r="H42" s="1053"/>
      <c r="I42" s="1053"/>
      <c r="J42" s="10"/>
      <c r="K42" s="93"/>
      <c r="L42" s="1055"/>
      <c r="M42" s="1055"/>
      <c r="N42" s="1056"/>
      <c r="O42" s="1056"/>
      <c r="P42" s="1055"/>
      <c r="Q42" s="1055"/>
      <c r="R42" s="727"/>
      <c r="S42" s="1055"/>
      <c r="T42" s="10"/>
      <c r="U42" s="1051"/>
      <c r="V42" s="8"/>
      <c r="W42" s="1067">
        <f>+A65</f>
        <v>0</v>
      </c>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row>
    <row r="43" spans="1:53" ht="16.5" thickBot="1" x14ac:dyDescent="0.25">
      <c r="A43" s="1050"/>
      <c r="B43" s="10"/>
      <c r="C43" s="92" t="s">
        <v>705</v>
      </c>
      <c r="D43" s="1053"/>
      <c r="E43" s="1053"/>
      <c r="F43" s="1053"/>
      <c r="G43" s="1053"/>
      <c r="H43" s="1053"/>
      <c r="I43" s="1053"/>
      <c r="J43" s="10"/>
      <c r="K43" s="93"/>
      <c r="L43" s="1055"/>
      <c r="M43" s="1055"/>
      <c r="N43" s="1056"/>
      <c r="O43" s="1056"/>
      <c r="P43" s="1055"/>
      <c r="Q43" s="1055"/>
      <c r="R43" s="1055"/>
      <c r="S43" s="1055"/>
      <c r="T43" s="10"/>
      <c r="U43" s="1051"/>
      <c r="V43" s="8"/>
      <c r="W43" s="1067"/>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row>
    <row r="44" spans="1:53" ht="16.5" thickBot="1" x14ac:dyDescent="0.25">
      <c r="A44" s="1050"/>
      <c r="B44" s="10"/>
      <c r="C44" s="1713" t="str">
        <f>+IF($K$16="E5010","7. City of London Offset","7. City of London Offset : Not applicable for your authority")</f>
        <v>7. City of London Offset : Not applicable for your authority</v>
      </c>
      <c r="D44" s="1713"/>
      <c r="E44" s="1713"/>
      <c r="F44" s="1713"/>
      <c r="G44" s="1713"/>
      <c r="H44" s="1713"/>
      <c r="I44" s="1713"/>
      <c r="J44" s="10"/>
      <c r="K44" s="1060">
        <f>+IF(K16="E5010",13496000,0)</f>
        <v>0</v>
      </c>
      <c r="L44" s="1055"/>
      <c r="M44" s="230"/>
      <c r="N44" s="1056"/>
      <c r="O44" s="1056"/>
      <c r="P44" s="1055"/>
      <c r="Q44" s="1055"/>
      <c r="R44" s="1055"/>
      <c r="S44" s="1055"/>
      <c r="T44" s="10"/>
      <c r="U44" s="1051"/>
      <c r="V44" s="8"/>
      <c r="W44" s="1067">
        <f>+A67</f>
        <v>0</v>
      </c>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row>
    <row r="45" spans="1:53" ht="15.75" x14ac:dyDescent="0.2">
      <c r="A45" s="1050"/>
      <c r="B45" s="10"/>
      <c r="C45" s="1053"/>
      <c r="D45" s="1053"/>
      <c r="E45" s="1053"/>
      <c r="F45" s="1053"/>
      <c r="G45" s="1053"/>
      <c r="H45" s="1053"/>
      <c r="I45" s="1053"/>
      <c r="J45" s="10"/>
      <c r="K45" s="93"/>
      <c r="L45" s="1055"/>
      <c r="M45" s="1055"/>
      <c r="N45" s="1056"/>
      <c r="O45" s="1056"/>
      <c r="P45" s="1055"/>
      <c r="Q45" s="1055"/>
      <c r="R45" s="1055"/>
      <c r="S45" s="1055"/>
      <c r="T45" s="10"/>
      <c r="U45" s="1051"/>
      <c r="V45" s="8"/>
      <c r="W45" s="1067"/>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row>
    <row r="46" spans="1:53" ht="16.5" thickBot="1" x14ac:dyDescent="0.25">
      <c r="A46" s="1050"/>
      <c r="B46" s="10"/>
      <c r="C46" s="92" t="s">
        <v>713</v>
      </c>
      <c r="D46" s="1053"/>
      <c r="E46" s="1053"/>
      <c r="F46" s="1053"/>
      <c r="G46" s="1053"/>
      <c r="H46" s="1053"/>
      <c r="I46" s="1053"/>
      <c r="J46" s="10"/>
      <c r="K46" s="1055"/>
      <c r="L46" s="1055"/>
      <c r="M46" s="1055"/>
      <c r="N46" s="1056"/>
      <c r="O46" s="1056"/>
      <c r="P46" s="1055"/>
      <c r="Q46" s="1055"/>
      <c r="R46" s="1055"/>
      <c r="S46" s="1055"/>
      <c r="T46" s="10"/>
      <c r="U46" s="1051"/>
      <c r="V46" s="8"/>
      <c r="W46" s="1067" t="e">
        <f>+A69</f>
        <v>#N/A</v>
      </c>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row>
    <row r="47" spans="1:53" ht="16.5" thickBot="1" x14ac:dyDescent="0.25">
      <c r="A47" s="1050"/>
      <c r="B47" s="10"/>
      <c r="C47" s="1701" t="s">
        <v>951</v>
      </c>
      <c r="D47" s="1701"/>
      <c r="E47" s="1701"/>
      <c r="F47" s="1701"/>
      <c r="G47" s="1701"/>
      <c r="H47" s="1701"/>
      <c r="I47" s="1701"/>
      <c r="J47" s="10"/>
      <c r="K47" s="803">
        <f>+'Part 3'!J43</f>
        <v>0</v>
      </c>
      <c r="L47" s="1055"/>
      <c r="M47" s="1055"/>
      <c r="N47" s="1056"/>
      <c r="O47" s="1056"/>
      <c r="P47" s="1055"/>
      <c r="Q47" s="1055"/>
      <c r="R47" s="1055"/>
      <c r="S47" s="1055"/>
      <c r="T47" s="2"/>
      <c r="U47" s="67"/>
      <c r="V47" s="8"/>
      <c r="W47" s="1067"/>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row>
    <row r="48" spans="1:53" ht="15.75" thickBot="1" x14ac:dyDescent="0.25">
      <c r="A48" s="1050"/>
      <c r="B48" s="10"/>
      <c r="C48" s="1701"/>
      <c r="D48" s="1701"/>
      <c r="E48" s="1701"/>
      <c r="F48" s="1701"/>
      <c r="G48" s="1701"/>
      <c r="H48" s="1701"/>
      <c r="I48" s="1701"/>
      <c r="J48" s="10"/>
      <c r="K48" s="1055"/>
      <c r="L48" s="1055"/>
      <c r="M48" s="1055"/>
      <c r="N48" s="1056"/>
      <c r="O48" s="1741"/>
      <c r="P48" s="1741"/>
      <c r="Q48" s="1741"/>
      <c r="R48" s="1741"/>
      <c r="S48" s="1741"/>
      <c r="T48" s="10"/>
      <c r="U48" s="1051"/>
      <c r="V48" s="8"/>
      <c r="W48" s="1067" t="e">
        <f>+A71</f>
        <v>#N/A</v>
      </c>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row>
    <row r="49" spans="1:53" ht="16.5" thickBot="1" x14ac:dyDescent="0.25">
      <c r="A49" s="1050"/>
      <c r="B49" s="10"/>
      <c r="C49" s="1700" t="s">
        <v>3069</v>
      </c>
      <c r="D49" s="1700"/>
      <c r="E49" s="1700"/>
      <c r="F49" s="1700"/>
      <c r="G49" s="1700"/>
      <c r="H49" s="1700"/>
      <c r="I49" s="1700"/>
      <c r="J49" s="10"/>
      <c r="K49" s="803">
        <f>+'Part 3'!M33</f>
        <v>0</v>
      </c>
      <c r="L49" s="1055"/>
      <c r="M49" s="230"/>
      <c r="N49" s="1056"/>
      <c r="O49" s="1056"/>
      <c r="P49" s="1055"/>
      <c r="Q49" s="1055"/>
      <c r="R49" s="1055"/>
      <c r="S49" s="1055"/>
      <c r="T49" s="2"/>
      <c r="U49" s="67"/>
      <c r="V49" s="8"/>
      <c r="W49" s="1067"/>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row>
    <row r="50" spans="1:53" x14ac:dyDescent="0.2">
      <c r="A50" s="1050"/>
      <c r="B50" s="10"/>
      <c r="C50" s="1700"/>
      <c r="D50" s="1700"/>
      <c r="E50" s="1700"/>
      <c r="F50" s="1700"/>
      <c r="G50" s="1700"/>
      <c r="H50" s="1700"/>
      <c r="I50" s="1700"/>
      <c r="J50" s="10"/>
      <c r="K50" s="1055"/>
      <c r="L50" s="1055"/>
      <c r="M50" s="1055"/>
      <c r="N50" s="1056"/>
      <c r="O50" s="1056"/>
      <c r="P50" s="1055"/>
      <c r="Q50" s="1055"/>
      <c r="R50" s="1055"/>
      <c r="S50" s="1055"/>
      <c r="T50" s="10"/>
      <c r="U50" s="1051"/>
      <c r="V50" s="8"/>
      <c r="W50" s="1067">
        <f>+A73</f>
        <v>0</v>
      </c>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row>
    <row r="51" spans="1:53" ht="15.75" thickBot="1" x14ac:dyDescent="0.25">
      <c r="A51" s="1050"/>
      <c r="B51" s="10"/>
      <c r="C51" s="1068" t="s">
        <v>29</v>
      </c>
      <c r="D51" s="1069"/>
      <c r="E51" s="1069"/>
      <c r="F51" s="1069"/>
      <c r="G51" s="1069"/>
      <c r="H51" s="1069"/>
      <c r="I51" s="1069"/>
      <c r="J51" s="1069"/>
      <c r="K51" s="1069"/>
      <c r="L51" s="1069"/>
      <c r="M51" s="1069"/>
      <c r="N51" s="1056"/>
      <c r="O51" s="1056"/>
      <c r="P51" s="1055"/>
      <c r="Q51" s="1055"/>
      <c r="R51" s="1055"/>
      <c r="S51" s="1055"/>
      <c r="T51" s="10"/>
      <c r="U51" s="1051"/>
      <c r="V51" s="8"/>
      <c r="W51" s="1067"/>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row>
    <row r="52" spans="1:53" ht="16.5" thickBot="1" x14ac:dyDescent="0.25">
      <c r="A52" s="1050"/>
      <c r="B52" s="10"/>
      <c r="C52" s="1714" t="s">
        <v>1295</v>
      </c>
      <c r="D52" s="1714"/>
      <c r="E52" s="1714"/>
      <c r="F52" s="1714"/>
      <c r="G52" s="1714"/>
      <c r="H52" s="1714"/>
      <c r="I52" s="1714"/>
      <c r="J52" s="737"/>
      <c r="K52" s="807">
        <v>0</v>
      </c>
      <c r="L52" s="1070"/>
      <c r="M52" s="1071"/>
      <c r="N52" s="1056"/>
      <c r="O52" s="1056"/>
      <c r="P52" s="1055"/>
      <c r="Q52" s="1055"/>
      <c r="R52" s="1055"/>
      <c r="S52" s="1055"/>
      <c r="T52" s="10"/>
      <c r="U52" s="1051"/>
      <c r="V52" s="8"/>
      <c r="W52" s="1067">
        <f>+A75</f>
        <v>0</v>
      </c>
      <c r="X52" s="9"/>
      <c r="Y52" s="241"/>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row>
    <row r="53" spans="1:53" ht="16.5" thickBot="1" x14ac:dyDescent="0.25">
      <c r="A53" s="1050"/>
      <c r="B53" s="10"/>
      <c r="C53" s="737"/>
      <c r="D53" s="737"/>
      <c r="E53" s="737"/>
      <c r="F53" s="737"/>
      <c r="G53" s="737"/>
      <c r="H53" s="737"/>
      <c r="I53" s="737"/>
      <c r="J53" s="737"/>
      <c r="K53" s="736" t="str">
        <f>IF(AND($W$279="yes",K49-K52&lt;&gt;0),"Sums retained by billing authority not equal to total amount retained. Please check","")</f>
        <v/>
      </c>
      <c r="L53" s="736"/>
      <c r="M53" s="736"/>
      <c r="N53" s="375"/>
      <c r="O53" s="375"/>
      <c r="P53" s="375"/>
      <c r="Q53" s="375"/>
      <c r="R53" s="1055"/>
      <c r="S53" s="1055"/>
      <c r="T53" s="10"/>
      <c r="U53" s="1051"/>
      <c r="V53" s="8"/>
      <c r="W53" s="1067"/>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row>
    <row r="54" spans="1:53" ht="16.5" thickBot="1" x14ac:dyDescent="0.25">
      <c r="A54" s="1050"/>
      <c r="B54" s="10"/>
      <c r="C54" s="1714" t="s">
        <v>1296</v>
      </c>
      <c r="D54" s="1714"/>
      <c r="E54" s="1714"/>
      <c r="F54" s="1714"/>
      <c r="G54" s="1714"/>
      <c r="H54" s="1714"/>
      <c r="I54" s="1714"/>
      <c r="J54" s="737"/>
      <c r="K54" s="805">
        <f>IF(W279="yes",0,K49-K52)</f>
        <v>0</v>
      </c>
      <c r="L54" s="1070"/>
      <c r="M54" s="1071"/>
      <c r="N54" s="1056"/>
      <c r="O54" s="1056"/>
      <c r="P54" s="1055"/>
      <c r="Q54" s="1055"/>
      <c r="R54" s="1055"/>
      <c r="S54" s="1055"/>
      <c r="T54" s="10"/>
      <c r="U54" s="1051"/>
      <c r="V54" s="8"/>
      <c r="W54" s="1067"/>
      <c r="X54" s="9"/>
      <c r="Y54" s="241"/>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row>
    <row r="55" spans="1:53" ht="16.5" thickBot="1" x14ac:dyDescent="0.25">
      <c r="A55" s="1050"/>
      <c r="B55" s="10"/>
      <c r="C55" s="10"/>
      <c r="D55" s="10"/>
      <c r="E55" s="10"/>
      <c r="F55" s="10"/>
      <c r="G55" s="10"/>
      <c r="H55" s="10"/>
      <c r="I55" s="10"/>
      <c r="J55" s="10"/>
      <c r="K55" s="1709" t="str">
        <f>IF(OR(AND(K54&gt;0,K52=0),W55=1),"Please check your figures. Is it all retained by preceptors?","")</f>
        <v/>
      </c>
      <c r="L55" s="1710"/>
      <c r="M55" s="1710"/>
      <c r="N55" s="1710"/>
      <c r="O55" s="1710"/>
      <c r="P55" s="1710"/>
      <c r="Q55" s="1710"/>
      <c r="R55" s="1710"/>
      <c r="S55" s="1710"/>
      <c r="T55" s="10"/>
      <c r="U55" s="1051"/>
      <c r="V55" s="8"/>
      <c r="W55" s="1073">
        <f>IF(W279="yes",IF(K54&lt;&gt;0,1,0),0)</f>
        <v>0</v>
      </c>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row>
    <row r="56" spans="1:53" ht="16.5" thickBot="1" x14ac:dyDescent="0.25">
      <c r="A56" s="1050"/>
      <c r="B56" s="10"/>
      <c r="C56" s="1701" t="s">
        <v>3070</v>
      </c>
      <c r="D56" s="1701"/>
      <c r="E56" s="1701"/>
      <c r="F56" s="1701"/>
      <c r="G56" s="1701"/>
      <c r="H56" s="1701"/>
      <c r="I56" s="1701"/>
      <c r="J56" s="10"/>
      <c r="K56" s="804">
        <f>+'Part 3'!M35</f>
        <v>0</v>
      </c>
      <c r="L56" s="1074"/>
      <c r="M56" s="1074"/>
      <c r="N56" s="1074"/>
      <c r="O56" s="1074"/>
      <c r="P56" s="1074"/>
      <c r="Q56" s="1074"/>
      <c r="R56" s="1074"/>
      <c r="S56" s="1074"/>
      <c r="T56" s="10"/>
      <c r="U56" s="1052"/>
      <c r="V56" s="8"/>
      <c r="W56" s="1075"/>
      <c r="X56" s="9" t="s">
        <v>2214</v>
      </c>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row>
    <row r="57" spans="1:53" ht="15.75" x14ac:dyDescent="0.2">
      <c r="A57" s="1050"/>
      <c r="B57" s="10"/>
      <c r="C57" s="1701"/>
      <c r="D57" s="1701"/>
      <c r="E57" s="1701"/>
      <c r="F57" s="1701"/>
      <c r="G57" s="1701"/>
      <c r="H57" s="1701"/>
      <c r="I57" s="1701"/>
      <c r="J57" s="10"/>
      <c r="K57" s="677"/>
      <c r="L57" s="1074"/>
      <c r="M57" s="1074"/>
      <c r="N57" s="1074"/>
      <c r="O57" s="1074"/>
      <c r="P57" s="1074"/>
      <c r="Q57" s="1074"/>
      <c r="R57" s="1074"/>
      <c r="S57" s="1074"/>
      <c r="T57" s="10"/>
      <c r="U57" s="1052"/>
      <c r="V57" s="8"/>
      <c r="W57" s="1075"/>
      <c r="X57" s="9">
        <f>INDEX(TierSplit!CK:CK,MATCH(Import_LA_Code,Ref_LA_Codes2,0))</f>
        <v>0</v>
      </c>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row>
    <row r="58" spans="1:53" ht="15.75" x14ac:dyDescent="0.2">
      <c r="A58" s="1050"/>
      <c r="B58" s="10"/>
      <c r="C58" s="10"/>
      <c r="D58" s="10"/>
      <c r="E58" s="10"/>
      <c r="F58" s="10"/>
      <c r="G58" s="10"/>
      <c r="H58" s="10"/>
      <c r="I58" s="10"/>
      <c r="J58" s="10"/>
      <c r="K58" s="1072"/>
      <c r="L58" s="1074"/>
      <c r="M58" s="1074"/>
      <c r="N58" s="1074"/>
      <c r="O58" s="1074"/>
      <c r="P58" s="1074"/>
      <c r="Q58" s="1074"/>
      <c r="R58" s="1074"/>
      <c r="S58" s="1074"/>
      <c r="T58" s="10"/>
      <c r="U58" s="1052"/>
      <c r="V58" s="8"/>
      <c r="W58" s="1075"/>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row>
    <row r="59" spans="1:53" ht="16.5" thickBot="1" x14ac:dyDescent="0.3">
      <c r="A59" s="1050"/>
      <c r="B59" s="10"/>
      <c r="C59" s="12" t="s">
        <v>712</v>
      </c>
      <c r="D59" s="12"/>
      <c r="E59" s="12"/>
      <c r="F59" s="12"/>
      <c r="G59" s="12"/>
      <c r="H59" s="10"/>
      <c r="I59" s="10"/>
      <c r="J59" s="10"/>
      <c r="K59" s="1055"/>
      <c r="L59" s="1055"/>
      <c r="M59" s="1055"/>
      <c r="N59" s="1056"/>
      <c r="O59" s="1056"/>
      <c r="P59" s="1055"/>
      <c r="Q59" s="1055"/>
      <c r="R59" s="1055"/>
      <c r="S59" s="1055"/>
      <c r="T59" s="10"/>
      <c r="U59" s="1051"/>
      <c r="V59" s="8"/>
      <c r="W59" s="85"/>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row>
    <row r="60" spans="1:53" ht="16.5" thickBot="1" x14ac:dyDescent="0.25">
      <c r="A60" s="1050"/>
      <c r="B60" s="10"/>
      <c r="C60" s="1715" t="s">
        <v>2240</v>
      </c>
      <c r="D60" s="1715"/>
      <c r="E60" s="1715"/>
      <c r="F60" s="1715"/>
      <c r="G60" s="1715"/>
      <c r="H60" s="1715"/>
      <c r="I60" s="1715"/>
      <c r="J60" s="10"/>
      <c r="K60" s="1076" t="e">
        <f>ROUND(+K27+K32-K34-K41-K44-K47-K49-K56,0)</f>
        <v>#N/A</v>
      </c>
      <c r="L60" s="1055"/>
      <c r="M60" s="1077"/>
      <c r="N60" s="1711"/>
      <c r="O60" s="1711"/>
      <c r="P60" s="1078"/>
      <c r="Q60" s="1079"/>
      <c r="R60" s="1079"/>
      <c r="S60" s="1079"/>
      <c r="T60" s="338"/>
      <c r="U60" s="67"/>
      <c r="V60" s="8"/>
      <c r="W60" s="85"/>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row>
    <row r="61" spans="1:53" ht="15.75" customHeight="1" x14ac:dyDescent="0.2">
      <c r="A61" s="1080"/>
      <c r="B61" s="1081"/>
      <c r="C61" s="1081"/>
      <c r="D61" s="1081"/>
      <c r="E61" s="1081"/>
      <c r="F61" s="1081"/>
      <c r="G61" s="1081"/>
      <c r="H61" s="1081"/>
      <c r="I61" s="1081"/>
      <c r="J61" s="1081"/>
      <c r="K61" s="1081"/>
      <c r="L61" s="1081"/>
      <c r="M61" s="1081"/>
      <c r="N61" s="1082"/>
      <c r="O61" s="1082"/>
      <c r="P61" s="1083"/>
      <c r="Q61" s="1084"/>
      <c r="R61" s="1084"/>
      <c r="S61" s="1084"/>
      <c r="T61" s="1081"/>
      <c r="U61" s="1085"/>
      <c r="V61" s="8"/>
      <c r="W61" s="85"/>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row>
    <row r="62" spans="1:53" x14ac:dyDescent="0.2">
      <c r="A62" s="1086"/>
      <c r="B62" s="1087"/>
      <c r="C62" s="1087"/>
      <c r="D62" s="1087"/>
      <c r="E62" s="1087"/>
      <c r="F62" s="1087"/>
      <c r="G62" s="1087"/>
      <c r="H62" s="1087"/>
      <c r="I62" s="1087"/>
      <c r="J62" s="1087"/>
      <c r="K62" s="1087"/>
      <c r="L62" s="1087"/>
      <c r="M62" s="1087"/>
      <c r="N62" s="1088"/>
      <c r="O62" s="1088"/>
      <c r="P62" s="1089"/>
      <c r="Q62" s="1090"/>
      <c r="R62" s="1090"/>
      <c r="S62" s="1090"/>
      <c r="T62" s="1087"/>
      <c r="U62" s="1091"/>
      <c r="V62" s="8"/>
      <c r="W62" s="85"/>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row>
    <row r="63" spans="1:53" ht="15.75" hidden="1" x14ac:dyDescent="0.25">
      <c r="A63" s="1092" t="e">
        <f>INDEX(Data!D:D,MATCH(Import_LA_Code,Ref_LA_Codes,0))</f>
        <v>#N/A</v>
      </c>
      <c r="B63" s="1093"/>
      <c r="C63" s="1094" t="e">
        <f>+IF(B78=0,"","Please investigate the error messages shown below and make the appropriate changes to the form.  Any comments should be added at the bottom of Part 4")</f>
        <v>#N/A</v>
      </c>
      <c r="D63" s="1094"/>
      <c r="E63" s="1094"/>
      <c r="F63" s="1094"/>
      <c r="G63" s="1094"/>
      <c r="H63" s="1094"/>
      <c r="I63" s="1094"/>
      <c r="J63" s="1094"/>
      <c r="K63" s="1094"/>
      <c r="L63" s="1095"/>
      <c r="M63" s="1095"/>
      <c r="N63" s="1095"/>
      <c r="O63" s="1095"/>
      <c r="P63" s="1095"/>
      <c r="Q63" s="1095"/>
      <c r="R63" s="1095"/>
      <c r="S63" s="1095"/>
      <c r="T63" s="1096"/>
      <c r="U63" s="1097"/>
      <c r="V63" s="8"/>
      <c r="W63" s="85"/>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row>
    <row r="64" spans="1:53" ht="15.75" hidden="1" x14ac:dyDescent="0.25">
      <c r="A64" s="1092"/>
      <c r="B64" s="1098"/>
      <c r="C64" s="1099"/>
      <c r="D64" s="1099"/>
      <c r="E64" s="1099"/>
      <c r="F64" s="1099"/>
      <c r="G64" s="1099"/>
      <c r="H64" s="1099"/>
      <c r="I64" s="1099"/>
      <c r="J64" s="1099"/>
      <c r="K64" s="1099"/>
      <c r="L64" s="1100"/>
      <c r="M64" s="1100"/>
      <c r="N64" s="1100"/>
      <c r="O64" s="1100"/>
      <c r="P64" s="1100"/>
      <c r="Q64" s="1100"/>
      <c r="R64" s="1100"/>
      <c r="S64" s="1100"/>
      <c r="T64" s="1101"/>
      <c r="U64" s="1097"/>
      <c r="V64" s="8"/>
      <c r="W64" s="85"/>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row>
    <row r="65" spans="1:53" ht="15.75" hidden="1" x14ac:dyDescent="0.25">
      <c r="A65" s="1102">
        <f>+IF(C65="",0,1)</f>
        <v>0</v>
      </c>
      <c r="B65" s="1098"/>
      <c r="C65" s="1708" t="str">
        <f>IF(K27=+'Part 3'!$M$25,"","Line 1 does not equal Part 3 Line 4 column 3. Please check why.")</f>
        <v/>
      </c>
      <c r="D65" s="1708"/>
      <c r="E65" s="1708"/>
      <c r="F65" s="1708"/>
      <c r="G65" s="1708"/>
      <c r="H65" s="1708"/>
      <c r="I65" s="1708"/>
      <c r="J65" s="1708"/>
      <c r="K65" s="1708"/>
      <c r="L65" s="1100"/>
      <c r="M65" s="1100"/>
      <c r="N65" s="1104"/>
      <c r="O65" s="1104"/>
      <c r="P65" s="1105"/>
      <c r="Q65" s="1106"/>
      <c r="R65" s="1106"/>
      <c r="S65" s="1106"/>
      <c r="T65" s="1101"/>
      <c r="U65" s="1097"/>
      <c r="V65" s="8"/>
      <c r="W65" s="85"/>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row>
    <row r="66" spans="1:53" ht="15.75" hidden="1" x14ac:dyDescent="0.25">
      <c r="A66" s="1102"/>
      <c r="B66" s="1098"/>
      <c r="C66" s="1103"/>
      <c r="D66" s="1099"/>
      <c r="E66" s="1099"/>
      <c r="F66" s="1099"/>
      <c r="G66" s="1099"/>
      <c r="H66" s="1099"/>
      <c r="I66" s="1099"/>
      <c r="J66" s="1099"/>
      <c r="K66" s="1099"/>
      <c r="L66" s="1100"/>
      <c r="M66" s="1100"/>
      <c r="N66" s="1104"/>
      <c r="O66" s="1104"/>
      <c r="P66" s="1105"/>
      <c r="Q66" s="1106"/>
      <c r="R66" s="1106"/>
      <c r="S66" s="1106"/>
      <c r="T66" s="1101"/>
      <c r="U66" s="1097"/>
      <c r="V66" s="8"/>
      <c r="W66" s="85"/>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row>
    <row r="67" spans="1:53" ht="15.75" hidden="1" x14ac:dyDescent="0.25">
      <c r="A67" s="1102">
        <f>+IF(C67="",0,1)</f>
        <v>0</v>
      </c>
      <c r="B67" s="1098"/>
      <c r="C67" s="1708" t="str">
        <f>IF(K32+ K34=ABS(+'Part 2'!$AB$38),"","Lines 2 &amp; 3 do not equal Part 2 Line 11 column 3. Please check why.")</f>
        <v/>
      </c>
      <c r="D67" s="1708"/>
      <c r="E67" s="1708"/>
      <c r="F67" s="1708"/>
      <c r="G67" s="1708"/>
      <c r="H67" s="1708"/>
      <c r="I67" s="1708"/>
      <c r="J67" s="1708"/>
      <c r="K67" s="1708"/>
      <c r="L67" s="1100"/>
      <c r="M67" s="1100"/>
      <c r="N67" s="1104"/>
      <c r="O67" s="1104"/>
      <c r="P67" s="1105"/>
      <c r="Q67" s="1106"/>
      <c r="R67" s="1106"/>
      <c r="S67" s="1106"/>
      <c r="T67" s="1101"/>
      <c r="U67" s="1097"/>
      <c r="V67" s="8"/>
      <c r="W67" s="85"/>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row>
    <row r="68" spans="1:53" ht="15.75" hidden="1" x14ac:dyDescent="0.25">
      <c r="A68" s="1102"/>
      <c r="B68" s="1098"/>
      <c r="C68" s="1103"/>
      <c r="D68" s="1099"/>
      <c r="E68" s="1099"/>
      <c r="F68" s="1099"/>
      <c r="G68" s="1099"/>
      <c r="H68" s="1099"/>
      <c r="I68" s="1099"/>
      <c r="J68" s="1099"/>
      <c r="K68" s="1099"/>
      <c r="L68" s="1100"/>
      <c r="M68" s="1100"/>
      <c r="N68" s="1104"/>
      <c r="O68" s="1104"/>
      <c r="P68" s="1105"/>
      <c r="Q68" s="1106"/>
      <c r="R68" s="1106"/>
      <c r="S68" s="1106"/>
      <c r="T68" s="1101"/>
      <c r="U68" s="1097"/>
      <c r="V68" s="8"/>
      <c r="W68" s="85"/>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row>
    <row r="69" spans="1:53" ht="15.75" hidden="1" x14ac:dyDescent="0.25">
      <c r="A69" s="1102" t="e">
        <f t="shared" ref="A69:A77" si="0">+IF(C69="",0,1)</f>
        <v>#N/A</v>
      </c>
      <c r="B69" s="1098"/>
      <c r="C69" s="1708" t="e">
        <f>IF(K37=A63,"","Line 4 does not equal the calculated cost of collection provided by MHCLG on the data sheet. Please amend.")</f>
        <v>#N/A</v>
      </c>
      <c r="D69" s="1708"/>
      <c r="E69" s="1708"/>
      <c r="F69" s="1708"/>
      <c r="G69" s="1708"/>
      <c r="H69" s="1708"/>
      <c r="I69" s="1708"/>
      <c r="J69" s="1708"/>
      <c r="K69" s="1708"/>
      <c r="L69" s="1100"/>
      <c r="M69" s="1100"/>
      <c r="N69" s="1104"/>
      <c r="O69" s="1104"/>
      <c r="P69" s="1105"/>
      <c r="Q69" s="1106"/>
      <c r="R69" s="1106"/>
      <c r="S69" s="1106"/>
      <c r="T69" s="1101"/>
      <c r="U69" s="1097"/>
      <c r="V69" s="8"/>
      <c r="W69" s="85"/>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row>
    <row r="70" spans="1:53" ht="15.75" hidden="1" x14ac:dyDescent="0.25">
      <c r="A70" s="1102"/>
      <c r="B70" s="1098"/>
      <c r="C70" s="1103"/>
      <c r="D70" s="1099"/>
      <c r="E70" s="1099"/>
      <c r="F70" s="1099"/>
      <c r="G70" s="1099"/>
      <c r="H70" s="1099"/>
      <c r="I70" s="1099"/>
      <c r="J70" s="1099"/>
      <c r="K70" s="1099"/>
      <c r="L70" s="1100"/>
      <c r="M70" s="1100"/>
      <c r="N70" s="1104"/>
      <c r="O70" s="1104"/>
      <c r="P70" s="1105"/>
      <c r="Q70" s="1106"/>
      <c r="R70" s="1106"/>
      <c r="S70" s="1106"/>
      <c r="T70" s="1101"/>
      <c r="U70" s="1097"/>
      <c r="V70" s="8"/>
      <c r="W70" s="85"/>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row>
    <row r="71" spans="1:53" ht="15.75" hidden="1" x14ac:dyDescent="0.25">
      <c r="A71" s="1102" t="e">
        <f t="shared" si="0"/>
        <v>#N/A</v>
      </c>
      <c r="B71" s="1098"/>
      <c r="C71" s="1708" t="e">
        <f>IF(K41=K37 + K39,"","Line 6 does not equal line 4 + line 5. Please check why.")</f>
        <v>#N/A</v>
      </c>
      <c r="D71" s="1708"/>
      <c r="E71" s="1708"/>
      <c r="F71" s="1708"/>
      <c r="G71" s="1708"/>
      <c r="H71" s="1708"/>
      <c r="I71" s="1708"/>
      <c r="J71" s="1708"/>
      <c r="K71" s="1708"/>
      <c r="L71" s="1100"/>
      <c r="M71" s="1100"/>
      <c r="N71" s="1104"/>
      <c r="O71" s="1104"/>
      <c r="P71" s="1105"/>
      <c r="Q71" s="1106"/>
      <c r="R71" s="1106"/>
      <c r="S71" s="1106"/>
      <c r="T71" s="1101"/>
      <c r="U71" s="1097"/>
      <c r="V71" s="8"/>
      <c r="W71" s="85"/>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row>
    <row r="72" spans="1:53" ht="15.75" hidden="1" x14ac:dyDescent="0.25">
      <c r="A72" s="1102"/>
      <c r="B72" s="1098"/>
      <c r="C72" s="1103"/>
      <c r="D72" s="1099"/>
      <c r="E72" s="1099"/>
      <c r="F72" s="1099"/>
      <c r="G72" s="1099"/>
      <c r="H72" s="1099"/>
      <c r="I72" s="1099"/>
      <c r="J72" s="1099"/>
      <c r="K72" s="1099"/>
      <c r="L72" s="1100"/>
      <c r="M72" s="1100"/>
      <c r="N72" s="1104"/>
      <c r="O72" s="1104"/>
      <c r="P72" s="1105"/>
      <c r="Q72" s="1106"/>
      <c r="R72" s="1106"/>
      <c r="S72" s="1106"/>
      <c r="T72" s="1101"/>
      <c r="U72" s="1097"/>
      <c r="V72" s="8"/>
      <c r="W72" s="85"/>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row>
    <row r="73" spans="1:53" ht="15.75" hidden="1" x14ac:dyDescent="0.25">
      <c r="A73" s="1102">
        <f t="shared" si="0"/>
        <v>0</v>
      </c>
      <c r="B73" s="1098"/>
      <c r="C73" s="1708" t="str">
        <f>IF(K47=+'Part 3'!M43,"","Line 8 does not equal Part 3 Line 9 column 3. Please check why.")</f>
        <v/>
      </c>
      <c r="D73" s="1708"/>
      <c r="E73" s="1708"/>
      <c r="F73" s="1708"/>
      <c r="G73" s="1708"/>
      <c r="H73" s="1708"/>
      <c r="I73" s="1708"/>
      <c r="J73" s="1708"/>
      <c r="K73" s="1708"/>
      <c r="L73" s="1100"/>
      <c r="M73" s="1100"/>
      <c r="N73" s="1104"/>
      <c r="O73" s="1104"/>
      <c r="P73" s="1105"/>
      <c r="Q73" s="1106"/>
      <c r="R73" s="1106"/>
      <c r="S73" s="1106"/>
      <c r="T73" s="1101"/>
      <c r="U73" s="1097"/>
      <c r="V73" s="8"/>
      <c r="W73" s="85"/>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row>
    <row r="74" spans="1:53" ht="15.75" hidden="1" x14ac:dyDescent="0.25">
      <c r="A74" s="1102"/>
      <c r="B74" s="1098"/>
      <c r="C74" s="1103"/>
      <c r="D74" s="1099"/>
      <c r="E74" s="1099"/>
      <c r="F74" s="1099"/>
      <c r="G74" s="1099"/>
      <c r="H74" s="1099"/>
      <c r="I74" s="1099"/>
      <c r="J74" s="1099"/>
      <c r="K74" s="1099"/>
      <c r="L74" s="1100"/>
      <c r="M74" s="1100"/>
      <c r="N74" s="1104"/>
      <c r="O74" s="1104"/>
      <c r="P74" s="1105"/>
      <c r="Q74" s="1106"/>
      <c r="R74" s="1106"/>
      <c r="S74" s="1106"/>
      <c r="T74" s="1101"/>
      <c r="U74" s="1097"/>
      <c r="V74" s="8"/>
      <c r="W74" s="85"/>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row>
    <row r="75" spans="1:53" ht="15.75" hidden="1" x14ac:dyDescent="0.25">
      <c r="A75" s="1102">
        <f t="shared" si="0"/>
        <v>0</v>
      </c>
      <c r="B75" s="1098"/>
      <c r="C75" s="1708" t="str">
        <f>IF(K49=+'Part 3'!M33,"","Line 9 does not equal Part 3 Line 5 column 3. Please check why.")</f>
        <v/>
      </c>
      <c r="D75" s="1708"/>
      <c r="E75" s="1708"/>
      <c r="F75" s="1708"/>
      <c r="G75" s="1708"/>
      <c r="H75" s="1708"/>
      <c r="I75" s="1708"/>
      <c r="J75" s="1708"/>
      <c r="K75" s="1708"/>
      <c r="L75" s="1100"/>
      <c r="M75" s="1100"/>
      <c r="N75" s="1104"/>
      <c r="O75" s="1104"/>
      <c r="P75" s="1105"/>
      <c r="Q75" s="1106"/>
      <c r="R75" s="1106"/>
      <c r="S75" s="1106"/>
      <c r="T75" s="1101"/>
      <c r="U75" s="1097"/>
      <c r="V75" s="8"/>
      <c r="W75" s="85"/>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row>
    <row r="76" spans="1:53" ht="15.75" hidden="1" x14ac:dyDescent="0.25">
      <c r="A76" s="1102"/>
      <c r="B76" s="1098"/>
      <c r="C76" s="1103"/>
      <c r="D76" s="1099"/>
      <c r="E76" s="1099"/>
      <c r="F76" s="1099"/>
      <c r="G76" s="1099"/>
      <c r="H76" s="1099"/>
      <c r="I76" s="1099"/>
      <c r="J76" s="1099"/>
      <c r="K76" s="1099"/>
      <c r="L76" s="1100"/>
      <c r="M76" s="1100"/>
      <c r="N76" s="1104"/>
      <c r="O76" s="1104"/>
      <c r="P76" s="1105"/>
      <c r="Q76" s="1106"/>
      <c r="R76" s="1106"/>
      <c r="S76" s="1106"/>
      <c r="T76" s="1101"/>
      <c r="U76" s="1097"/>
      <c r="V76" s="8"/>
      <c r="W76" s="9"/>
      <c r="X76" s="9"/>
      <c r="Y76" s="1107"/>
      <c r="Z76" s="1107"/>
      <c r="AA76" s="1107"/>
      <c r="AB76" s="1107"/>
      <c r="AC76" s="1107"/>
      <c r="AD76" s="1107"/>
      <c r="AE76" s="1107"/>
      <c r="AF76" s="9"/>
      <c r="AG76" s="9"/>
      <c r="AH76" s="9"/>
      <c r="AI76" s="9"/>
      <c r="AJ76" s="9"/>
      <c r="AK76" s="9"/>
      <c r="AL76" s="9"/>
      <c r="AM76" s="9"/>
      <c r="AN76" s="9"/>
      <c r="AO76" s="9"/>
      <c r="AP76" s="9"/>
      <c r="AQ76" s="9"/>
      <c r="AR76" s="9"/>
      <c r="AS76" s="9"/>
      <c r="AT76" s="9"/>
      <c r="AU76" s="9"/>
      <c r="AV76" s="9"/>
      <c r="AW76" s="9"/>
      <c r="AX76" s="9"/>
      <c r="AY76" s="9"/>
      <c r="AZ76" s="9"/>
      <c r="BA76" s="9"/>
    </row>
    <row r="77" spans="1:53" ht="15.75" hidden="1" x14ac:dyDescent="0.25">
      <c r="A77" s="1102" t="e">
        <f t="shared" si="0"/>
        <v>#N/A</v>
      </c>
      <c r="B77" s="1098"/>
      <c r="C77" s="1103" t="e">
        <f>IF(K27+K32-K34-K41-K44-K47-K49-K56-K60=0,"","Line 11 does not equal line 1 plus line 2, minus lines 3 and 6 to 10. Please check why.")</f>
        <v>#N/A</v>
      </c>
      <c r="D77" s="1103"/>
      <c r="E77" s="1103"/>
      <c r="F77" s="1103"/>
      <c r="G77" s="1103"/>
      <c r="H77" s="1103"/>
      <c r="I77" s="1103"/>
      <c r="J77" s="1103"/>
      <c r="K77" s="1103"/>
      <c r="L77" s="1100"/>
      <c r="M77" s="1100"/>
      <c r="N77" s="1104"/>
      <c r="O77" s="1104"/>
      <c r="P77" s="1105"/>
      <c r="Q77" s="1106"/>
      <c r="R77" s="1106"/>
      <c r="S77" s="1106"/>
      <c r="T77" s="1101"/>
      <c r="U77" s="1097"/>
      <c r="V77" s="8"/>
      <c r="W77" s="9"/>
      <c r="X77" s="9"/>
      <c r="Y77" s="1107"/>
      <c r="Z77" s="1107"/>
      <c r="AA77" s="1107"/>
      <c r="AB77" s="1107"/>
      <c r="AC77" s="1107"/>
      <c r="AD77" s="1107"/>
      <c r="AE77" s="1107"/>
      <c r="AF77" s="9"/>
      <c r="AG77" s="9"/>
      <c r="AH77" s="9"/>
      <c r="AI77" s="9"/>
      <c r="AJ77" s="9"/>
      <c r="AK77" s="9"/>
      <c r="AL77" s="9"/>
      <c r="AM77" s="9"/>
      <c r="AN77" s="9"/>
      <c r="AO77" s="9"/>
      <c r="AP77" s="9"/>
      <c r="AQ77" s="9"/>
      <c r="AR77" s="9"/>
      <c r="AS77" s="9"/>
      <c r="AT77" s="9"/>
      <c r="AU77" s="9"/>
      <c r="AV77" s="9"/>
      <c r="AW77" s="9"/>
      <c r="AX77" s="9"/>
      <c r="AY77" s="9"/>
      <c r="AZ77" s="9"/>
      <c r="BA77" s="9"/>
    </row>
    <row r="78" spans="1:53" ht="15.75" hidden="1" x14ac:dyDescent="0.25">
      <c r="A78" s="1108"/>
      <c r="B78" s="1719" t="e">
        <f>SUM(A65:A77)</f>
        <v>#N/A</v>
      </c>
      <c r="C78" s="1720"/>
      <c r="D78" s="1720"/>
      <c r="E78" s="1720"/>
      <c r="F78" s="1720"/>
      <c r="G78" s="1720"/>
      <c r="H78" s="1720"/>
      <c r="I78" s="1109"/>
      <c r="J78" s="1109"/>
      <c r="K78" s="1109"/>
      <c r="L78" s="1110"/>
      <c r="M78" s="1110"/>
      <c r="N78" s="1110"/>
      <c r="O78" s="1110"/>
      <c r="P78" s="1110"/>
      <c r="Q78" s="1110"/>
      <c r="R78" s="1110"/>
      <c r="S78" s="1110"/>
      <c r="T78" s="1111"/>
      <c r="U78" s="1097"/>
      <c r="V78" s="8"/>
      <c r="W78" s="9"/>
      <c r="X78" s="9"/>
      <c r="Y78" s="1107"/>
      <c r="Z78" s="1107"/>
      <c r="AA78" s="1107"/>
      <c r="AB78" s="1107"/>
      <c r="AC78" s="1107"/>
      <c r="AD78" s="1107"/>
      <c r="AE78" s="1107"/>
      <c r="AF78" s="9"/>
      <c r="AG78" s="9"/>
      <c r="AH78" s="9"/>
      <c r="AI78" s="9"/>
      <c r="AJ78" s="9"/>
      <c r="AK78" s="9"/>
      <c r="AL78" s="9"/>
      <c r="AM78" s="9"/>
      <c r="AN78" s="9"/>
      <c r="AO78" s="9"/>
      <c r="AP78" s="9"/>
      <c r="AQ78" s="9"/>
      <c r="AR78" s="9"/>
      <c r="AS78" s="9"/>
      <c r="AT78" s="9"/>
      <c r="AU78" s="9"/>
      <c r="AV78" s="9"/>
      <c r="AW78" s="9"/>
      <c r="AX78" s="9"/>
      <c r="AY78" s="9"/>
      <c r="AZ78" s="9"/>
      <c r="BA78" s="9"/>
    </row>
    <row r="79" spans="1:53" ht="15.75" thickBot="1" x14ac:dyDescent="0.25">
      <c r="A79" s="1112"/>
      <c r="B79" s="1113"/>
      <c r="C79" s="1113"/>
      <c r="D79" s="1113"/>
      <c r="E79" s="1113"/>
      <c r="F79" s="1113"/>
      <c r="G79" s="1113"/>
      <c r="H79" s="1113"/>
      <c r="I79" s="1113"/>
      <c r="J79" s="1113"/>
      <c r="K79" s="1113"/>
      <c r="L79" s="1113"/>
      <c r="M79" s="1113"/>
      <c r="N79" s="1114"/>
      <c r="O79" s="1114"/>
      <c r="P79" s="1115"/>
      <c r="Q79" s="1114"/>
      <c r="R79" s="1114"/>
      <c r="S79" s="1114"/>
      <c r="T79" s="1113"/>
      <c r="U79" s="1116"/>
      <c r="V79" s="8"/>
      <c r="W79" s="9"/>
      <c r="X79" s="9"/>
      <c r="Y79" s="1107"/>
      <c r="Z79" s="1107"/>
      <c r="AA79" s="1107"/>
      <c r="AB79" s="1107"/>
      <c r="AC79" s="1107"/>
      <c r="AD79" s="1107"/>
      <c r="AE79" s="1107"/>
      <c r="AF79" s="9"/>
      <c r="AG79" s="9"/>
      <c r="AH79" s="9"/>
      <c r="AI79" s="9"/>
      <c r="AJ79" s="9"/>
      <c r="AK79" s="9"/>
      <c r="AL79" s="9"/>
      <c r="AM79" s="9"/>
      <c r="AN79" s="9"/>
      <c r="AO79" s="9"/>
      <c r="AP79" s="9"/>
      <c r="AQ79" s="9"/>
      <c r="AR79" s="9"/>
      <c r="AS79" s="9"/>
      <c r="AT79" s="9"/>
      <c r="AU79" s="9"/>
      <c r="AV79" s="9"/>
      <c r="AW79" s="9"/>
      <c r="AX79" s="9"/>
      <c r="AY79" s="9"/>
      <c r="AZ79" s="9"/>
      <c r="BA79" s="9"/>
    </row>
    <row r="80" spans="1:53" x14ac:dyDescent="0.2">
      <c r="A80" s="1050"/>
      <c r="B80" s="10"/>
      <c r="C80" s="10"/>
      <c r="D80" s="10"/>
      <c r="E80" s="10"/>
      <c r="F80" s="10"/>
      <c r="G80" s="10"/>
      <c r="H80" s="10"/>
      <c r="I80" s="10"/>
      <c r="J80" s="10"/>
      <c r="K80" s="10"/>
      <c r="L80" s="10"/>
      <c r="M80" s="10"/>
      <c r="N80" s="1055"/>
      <c r="O80" s="1055"/>
      <c r="P80" s="1078"/>
      <c r="Q80" s="1055"/>
      <c r="R80" s="1055"/>
      <c r="S80" s="1055"/>
      <c r="T80" s="10"/>
      <c r="U80" s="1051"/>
      <c r="V80" s="8"/>
      <c r="W80" s="9"/>
      <c r="X80" s="9"/>
      <c r="Y80" s="1107"/>
      <c r="Z80" s="1107"/>
      <c r="AA80" s="1107"/>
      <c r="AB80" s="1107"/>
      <c r="AC80" s="1107"/>
      <c r="AD80" s="1107"/>
      <c r="AE80" s="1107"/>
      <c r="AF80" s="9"/>
      <c r="AG80" s="9"/>
      <c r="AH80" s="9"/>
      <c r="AI80" s="9"/>
      <c r="AJ80" s="9"/>
      <c r="AK80" s="9"/>
      <c r="AL80" s="9"/>
      <c r="AM80" s="9"/>
      <c r="AN80" s="9"/>
      <c r="AO80" s="9"/>
      <c r="AP80" s="9"/>
      <c r="AQ80" s="9"/>
      <c r="AR80" s="9"/>
      <c r="AS80" s="9"/>
      <c r="AT80" s="9"/>
      <c r="AU80" s="9"/>
      <c r="AV80" s="9"/>
      <c r="AW80" s="9"/>
      <c r="AX80" s="9"/>
      <c r="AY80" s="9"/>
      <c r="AZ80" s="9"/>
      <c r="BA80" s="9"/>
    </row>
    <row r="81" spans="1:53" ht="15.75" x14ac:dyDescent="0.25">
      <c r="A81" s="1050"/>
      <c r="B81" s="10"/>
      <c r="C81" s="12" t="str">
        <f>+CONCATENATE("Local Authority : ",+'Part 1'!$K$15)</f>
        <v>Local Authority : ZZZZ</v>
      </c>
      <c r="D81" s="12"/>
      <c r="E81" s="12"/>
      <c r="F81" s="12"/>
      <c r="G81" s="12"/>
      <c r="H81" s="10"/>
      <c r="I81" s="10"/>
      <c r="J81" s="10"/>
      <c r="K81" s="10"/>
      <c r="L81" s="10"/>
      <c r="M81" s="10"/>
      <c r="N81" s="1055"/>
      <c r="O81" s="1055"/>
      <c r="P81" s="1078"/>
      <c r="Q81" s="1055"/>
      <c r="R81" s="1055"/>
      <c r="S81" s="1117"/>
      <c r="T81" s="10"/>
      <c r="U81" s="1051"/>
      <c r="V81" s="8"/>
      <c r="W81" s="9"/>
      <c r="X81" s="9"/>
      <c r="Y81" s="1107"/>
      <c r="Z81" s="1107"/>
      <c r="AA81" s="1107"/>
      <c r="AB81" s="1107"/>
      <c r="AC81" s="1107"/>
      <c r="AD81" s="1107"/>
      <c r="AE81" s="1107"/>
      <c r="AF81" s="9"/>
      <c r="AG81" s="9"/>
      <c r="AH81" s="9"/>
      <c r="AI81" s="9"/>
      <c r="AJ81" s="9"/>
      <c r="AK81" s="9"/>
      <c r="AL81" s="9"/>
      <c r="AM81" s="9"/>
      <c r="AN81" s="9"/>
      <c r="AO81" s="9"/>
      <c r="AP81" s="9"/>
      <c r="AQ81" s="9"/>
      <c r="AR81" s="9"/>
      <c r="AS81" s="9"/>
      <c r="AT81" s="9"/>
      <c r="AU81" s="9"/>
      <c r="AV81" s="9"/>
      <c r="AW81" s="9"/>
      <c r="AX81" s="9"/>
      <c r="AY81" s="9"/>
      <c r="AZ81" s="9"/>
      <c r="BA81" s="9"/>
    </row>
    <row r="82" spans="1:53" ht="15.75" x14ac:dyDescent="0.25">
      <c r="A82" s="1050"/>
      <c r="B82" s="10"/>
      <c r="C82" s="11"/>
      <c r="D82" s="10"/>
      <c r="E82" s="10"/>
      <c r="F82" s="10"/>
      <c r="G82" s="10"/>
      <c r="H82" s="10"/>
      <c r="I82" s="10"/>
      <c r="J82" s="10"/>
      <c r="K82" s="1055"/>
      <c r="L82" s="1055"/>
      <c r="M82" s="1055"/>
      <c r="N82" s="1055"/>
      <c r="O82" s="1055"/>
      <c r="P82" s="1078"/>
      <c r="Q82" s="1055"/>
      <c r="R82" s="1055"/>
      <c r="S82" s="1055"/>
      <c r="T82" s="10"/>
      <c r="U82" s="1051"/>
      <c r="V82" s="8"/>
      <c r="W82" s="9"/>
      <c r="X82" s="9"/>
      <c r="Y82" s="1107"/>
      <c r="Z82" s="1107"/>
      <c r="AA82" s="1107"/>
      <c r="AB82" s="1107"/>
      <c r="AC82" s="1107"/>
      <c r="AD82" s="1107"/>
      <c r="AE82" s="1107"/>
      <c r="AF82" s="9"/>
      <c r="AG82" s="9"/>
      <c r="AH82" s="9"/>
      <c r="AI82" s="9"/>
      <c r="AJ82" s="9"/>
      <c r="AK82" s="9"/>
      <c r="AL82" s="9"/>
      <c r="AM82" s="9"/>
      <c r="AN82" s="9"/>
      <c r="AO82" s="9"/>
      <c r="AP82" s="9"/>
      <c r="AQ82" s="9"/>
      <c r="AR82" s="9"/>
      <c r="AS82" s="9"/>
      <c r="AT82" s="9"/>
      <c r="AU82" s="9"/>
      <c r="AV82" s="9"/>
      <c r="AW82" s="9"/>
      <c r="AX82" s="9"/>
      <c r="AY82" s="9"/>
      <c r="AZ82" s="9"/>
      <c r="BA82" s="9"/>
    </row>
    <row r="83" spans="1:53" ht="15.75" x14ac:dyDescent="0.25">
      <c r="A83" s="1050"/>
      <c r="B83" s="10"/>
      <c r="C83" s="12" t="s">
        <v>244</v>
      </c>
      <c r="D83" s="12"/>
      <c r="E83" s="12"/>
      <c r="F83" s="12"/>
      <c r="G83" s="10"/>
      <c r="H83" s="10"/>
      <c r="I83" s="10"/>
      <c r="J83" s="10"/>
      <c r="K83" s="1055"/>
      <c r="L83" s="1055"/>
      <c r="M83" s="1055"/>
      <c r="N83" s="1055"/>
      <c r="O83" s="1055"/>
      <c r="P83" s="1055"/>
      <c r="Q83" s="1055"/>
      <c r="R83" s="1055"/>
      <c r="S83" s="1055"/>
      <c r="T83" s="10"/>
      <c r="U83" s="1051"/>
      <c r="V83" s="8"/>
      <c r="W83" s="9"/>
      <c r="X83" s="9"/>
      <c r="Y83" s="1107"/>
      <c r="Z83" s="1107"/>
      <c r="AA83" s="1107"/>
      <c r="AB83" s="1107"/>
      <c r="AC83" s="1107"/>
      <c r="AD83" s="1107"/>
      <c r="AE83" s="1107"/>
      <c r="AF83" s="9"/>
      <c r="AG83" s="9"/>
      <c r="AH83" s="9"/>
      <c r="AI83" s="9"/>
      <c r="AJ83" s="9"/>
      <c r="AK83" s="9"/>
      <c r="AL83" s="9"/>
      <c r="AM83" s="9"/>
      <c r="AN83" s="9"/>
      <c r="AO83" s="9"/>
      <c r="AP83" s="9"/>
      <c r="AQ83" s="9"/>
      <c r="AR83" s="9"/>
      <c r="AS83" s="9"/>
      <c r="AT83" s="9"/>
      <c r="AU83" s="9"/>
      <c r="AV83" s="9"/>
      <c r="AW83" s="9"/>
      <c r="AX83" s="9"/>
      <c r="AY83" s="9"/>
      <c r="AZ83" s="9"/>
      <c r="BA83" s="9"/>
    </row>
    <row r="84" spans="1:53" ht="15.75" x14ac:dyDescent="0.25">
      <c r="A84" s="1050"/>
      <c r="B84" s="10"/>
      <c r="C84" s="185" t="s">
        <v>878</v>
      </c>
      <c r="D84" s="10"/>
      <c r="E84" s="10"/>
      <c r="F84" s="10"/>
      <c r="G84" s="10"/>
      <c r="H84" s="10"/>
      <c r="I84" s="10"/>
      <c r="J84" s="10"/>
      <c r="K84" s="1055"/>
      <c r="L84" s="1055"/>
      <c r="M84" s="1055"/>
      <c r="N84" s="1055"/>
      <c r="O84" s="1055"/>
      <c r="P84" s="1055"/>
      <c r="Q84" s="1055"/>
      <c r="R84" s="1055"/>
      <c r="S84" s="1055"/>
      <c r="T84" s="10"/>
      <c r="U84" s="1051"/>
      <c r="V84" s="8"/>
      <c r="W84" s="9"/>
      <c r="X84" s="9"/>
      <c r="Y84" s="1107"/>
      <c r="Z84" s="1107"/>
      <c r="AA84" s="1107"/>
      <c r="AB84" s="1107"/>
      <c r="AC84" s="1107"/>
      <c r="AD84" s="1107"/>
      <c r="AE84" s="1107"/>
      <c r="AF84" s="9"/>
      <c r="AG84" s="9"/>
      <c r="AH84" s="9"/>
      <c r="AI84" s="9"/>
      <c r="AJ84" s="9"/>
      <c r="AK84" s="9"/>
      <c r="AL84" s="9"/>
      <c r="AM84" s="9"/>
      <c r="AN84" s="9"/>
      <c r="AO84" s="9"/>
      <c r="AP84" s="9"/>
      <c r="AQ84" s="9"/>
      <c r="AR84" s="9"/>
      <c r="AS84" s="9"/>
      <c r="AT84" s="9"/>
      <c r="AU84" s="9"/>
      <c r="AV84" s="9"/>
      <c r="AW84" s="9"/>
      <c r="AX84" s="9"/>
      <c r="AY84" s="9"/>
      <c r="AZ84" s="9"/>
      <c r="BA84" s="9"/>
    </row>
    <row r="85" spans="1:53" x14ac:dyDescent="0.2">
      <c r="A85" s="1050"/>
      <c r="B85" s="10"/>
      <c r="C85" s="10" t="s">
        <v>3087</v>
      </c>
      <c r="D85" s="10"/>
      <c r="E85" s="10"/>
      <c r="F85" s="10"/>
      <c r="G85" s="10"/>
      <c r="H85" s="10"/>
      <c r="I85" s="10"/>
      <c r="J85" s="10"/>
      <c r="K85" s="1055"/>
      <c r="L85" s="1055"/>
      <c r="M85" s="1055"/>
      <c r="N85" s="1055"/>
      <c r="O85" s="1055"/>
      <c r="P85" s="1055"/>
      <c r="Q85" s="1055"/>
      <c r="R85" s="1055"/>
      <c r="S85" s="1055"/>
      <c r="T85" s="10"/>
      <c r="U85" s="1051"/>
      <c r="V85" s="8"/>
      <c r="W85" s="9"/>
      <c r="X85" s="9"/>
      <c r="Y85" s="1107"/>
      <c r="Z85" s="1107"/>
      <c r="AA85" s="1107"/>
      <c r="AB85" s="1107"/>
      <c r="AC85" s="1107"/>
      <c r="AD85" s="1107"/>
      <c r="AE85" s="1107"/>
      <c r="AF85" s="9"/>
      <c r="AG85" s="9"/>
      <c r="AH85" s="9"/>
      <c r="AI85" s="9"/>
      <c r="AJ85" s="9"/>
      <c r="AK85" s="9"/>
      <c r="AL85" s="9"/>
      <c r="AM85" s="9"/>
      <c r="AN85" s="9"/>
      <c r="AO85" s="9"/>
      <c r="AP85" s="9"/>
      <c r="AQ85" s="9"/>
      <c r="AR85" s="9"/>
      <c r="AS85" s="9"/>
      <c r="AT85" s="9"/>
      <c r="AU85" s="9"/>
      <c r="AV85" s="9"/>
      <c r="AW85" s="9"/>
      <c r="AX85" s="9"/>
      <c r="AY85" s="9"/>
      <c r="AZ85" s="9"/>
      <c r="BA85" s="9"/>
    </row>
    <row r="86" spans="1:53" x14ac:dyDescent="0.2">
      <c r="A86" s="1050"/>
      <c r="B86" s="10"/>
      <c r="C86" s="10"/>
      <c r="D86" s="10" t="s">
        <v>694</v>
      </c>
      <c r="E86" s="10"/>
      <c r="F86" s="10"/>
      <c r="G86" s="10"/>
      <c r="H86" s="10"/>
      <c r="I86" s="10"/>
      <c r="J86" s="10"/>
      <c r="K86" s="1055"/>
      <c r="L86" s="1055"/>
      <c r="M86" s="1055"/>
      <c r="N86" s="1055"/>
      <c r="O86" s="1055"/>
      <c r="P86" s="1055"/>
      <c r="Q86" s="1055"/>
      <c r="R86" s="1055"/>
      <c r="S86" s="1055"/>
      <c r="T86" s="10"/>
      <c r="U86" s="1051"/>
      <c r="V86" s="8"/>
      <c r="W86" s="9"/>
      <c r="X86" s="9"/>
      <c r="Y86" s="1107"/>
      <c r="Z86" s="1107"/>
      <c r="AA86" s="1107"/>
      <c r="AB86" s="1107"/>
      <c r="AC86" s="1107"/>
      <c r="AD86" s="1107"/>
      <c r="AE86" s="1107"/>
      <c r="AF86" s="9"/>
      <c r="AG86" s="9"/>
      <c r="AH86" s="9"/>
      <c r="AI86" s="9"/>
      <c r="AJ86" s="9"/>
      <c r="AK86" s="9"/>
      <c r="AL86" s="9"/>
      <c r="AM86" s="9"/>
      <c r="AN86" s="9"/>
      <c r="AO86" s="9"/>
      <c r="AP86" s="9"/>
      <c r="AQ86" s="9"/>
      <c r="AR86" s="9"/>
      <c r="AS86" s="9"/>
      <c r="AT86" s="9"/>
      <c r="AU86" s="9"/>
      <c r="AV86" s="9"/>
      <c r="AW86" s="9"/>
      <c r="AX86" s="9"/>
      <c r="AY86" s="9"/>
      <c r="AZ86" s="9"/>
      <c r="BA86" s="9"/>
    </row>
    <row r="87" spans="1:53" x14ac:dyDescent="0.2">
      <c r="A87" s="1050"/>
      <c r="B87" s="10"/>
      <c r="C87" s="10"/>
      <c r="D87" s="10" t="s">
        <v>695</v>
      </c>
      <c r="E87" s="10"/>
      <c r="F87" s="10"/>
      <c r="G87" s="10"/>
      <c r="H87" s="10"/>
      <c r="I87" s="10"/>
      <c r="J87" s="10"/>
      <c r="K87" s="1055"/>
      <c r="L87" s="1055"/>
      <c r="M87" s="1055"/>
      <c r="N87" s="1055"/>
      <c r="O87" s="1055"/>
      <c r="P87" s="1055"/>
      <c r="Q87" s="1055"/>
      <c r="R87" s="1055"/>
      <c r="S87" s="1055"/>
      <c r="T87" s="10"/>
      <c r="U87" s="1051"/>
      <c r="V87" s="8"/>
      <c r="W87" s="9"/>
      <c r="X87" s="9"/>
      <c r="Y87" s="1107"/>
      <c r="Z87" s="1107"/>
      <c r="AA87" s="1107"/>
      <c r="AB87" s="1107"/>
      <c r="AC87" s="1107"/>
      <c r="AD87" s="1107"/>
      <c r="AE87" s="1107"/>
      <c r="AF87" s="9"/>
      <c r="AG87" s="9"/>
      <c r="AH87" s="9"/>
      <c r="AI87" s="9"/>
      <c r="AJ87" s="9"/>
      <c r="AK87" s="9"/>
      <c r="AL87" s="9"/>
      <c r="AM87" s="9"/>
      <c r="AN87" s="9"/>
      <c r="AO87" s="9"/>
      <c r="AP87" s="9"/>
      <c r="AQ87" s="9"/>
      <c r="AR87" s="9"/>
      <c r="AS87" s="9"/>
      <c r="AT87" s="9"/>
      <c r="AU87" s="9"/>
      <c r="AV87" s="9"/>
      <c r="AW87" s="9"/>
      <c r="AX87" s="9"/>
      <c r="AY87" s="9"/>
      <c r="AZ87" s="9"/>
      <c r="BA87" s="9"/>
    </row>
    <row r="88" spans="1:53" x14ac:dyDescent="0.2">
      <c r="A88" s="1050"/>
      <c r="B88" s="10"/>
      <c r="C88" s="10"/>
      <c r="D88" s="10" t="s">
        <v>696</v>
      </c>
      <c r="E88" s="10"/>
      <c r="F88" s="10"/>
      <c r="G88" s="10"/>
      <c r="H88" s="10"/>
      <c r="I88" s="10"/>
      <c r="J88" s="10"/>
      <c r="K88" s="1055"/>
      <c r="L88" s="1055"/>
      <c r="M88" s="1055"/>
      <c r="N88" s="1055"/>
      <c r="O88" s="1055"/>
      <c r="P88" s="1055"/>
      <c r="Q88" s="1055"/>
      <c r="R88" s="1055"/>
      <c r="S88" s="1055"/>
      <c r="T88" s="10"/>
      <c r="U88" s="1051"/>
      <c r="V88" s="8"/>
      <c r="W88" s="9"/>
      <c r="X88" s="9"/>
      <c r="Y88" s="1107"/>
      <c r="Z88" s="1107"/>
      <c r="AA88" s="1107"/>
      <c r="AB88" s="1107"/>
      <c r="AC88" s="1107"/>
      <c r="AD88" s="1107"/>
      <c r="AE88" s="1107"/>
      <c r="AF88" s="9"/>
      <c r="AG88" s="9"/>
      <c r="AH88" s="9"/>
      <c r="AI88" s="9"/>
      <c r="AJ88" s="9"/>
      <c r="AK88" s="9"/>
      <c r="AL88" s="9"/>
      <c r="AM88" s="9"/>
      <c r="AN88" s="9"/>
      <c r="AO88" s="9"/>
      <c r="AP88" s="9"/>
      <c r="AQ88" s="9"/>
      <c r="AR88" s="9"/>
      <c r="AS88" s="9"/>
      <c r="AT88" s="9"/>
      <c r="AU88" s="9"/>
      <c r="AV88" s="9"/>
      <c r="AW88" s="9"/>
      <c r="AX88" s="9"/>
      <c r="AY88" s="9"/>
      <c r="AZ88" s="9"/>
      <c r="BA88" s="9"/>
    </row>
    <row r="89" spans="1:53" x14ac:dyDescent="0.2">
      <c r="A89" s="1050"/>
      <c r="B89" s="10"/>
      <c r="C89" s="10" t="s">
        <v>697</v>
      </c>
      <c r="D89" s="10"/>
      <c r="E89" s="10"/>
      <c r="F89" s="10"/>
      <c r="G89" s="10"/>
      <c r="H89" s="10"/>
      <c r="I89" s="10"/>
      <c r="J89" s="10"/>
      <c r="K89" s="1055"/>
      <c r="L89" s="1055"/>
      <c r="M89" s="1055"/>
      <c r="N89" s="1055"/>
      <c r="O89" s="1055"/>
      <c r="P89" s="1055"/>
      <c r="Q89" s="1055"/>
      <c r="R89" s="1055"/>
      <c r="S89" s="1055"/>
      <c r="T89" s="10"/>
      <c r="U89" s="1051"/>
      <c r="V89" s="8"/>
      <c r="W89" s="9"/>
      <c r="X89" s="9"/>
      <c r="Y89" s="1107"/>
      <c r="Z89" s="1107"/>
      <c r="AA89" s="1107"/>
      <c r="AB89" s="1107"/>
      <c r="AC89" s="1107"/>
      <c r="AD89" s="1107"/>
      <c r="AE89" s="1107"/>
      <c r="AF89" s="9"/>
      <c r="AG89" s="9"/>
      <c r="AH89" s="9"/>
      <c r="AI89" s="9"/>
      <c r="AJ89" s="9"/>
      <c r="AK89" s="9"/>
      <c r="AL89" s="9"/>
      <c r="AM89" s="9"/>
      <c r="AN89" s="9"/>
      <c r="AO89" s="9"/>
      <c r="AP89" s="9"/>
      <c r="AQ89" s="9"/>
      <c r="AR89" s="9"/>
      <c r="AS89" s="9"/>
      <c r="AT89" s="9"/>
      <c r="AU89" s="9"/>
      <c r="AV89" s="9"/>
      <c r="AW89" s="9"/>
      <c r="AX89" s="9"/>
      <c r="AY89" s="9"/>
      <c r="AZ89" s="9"/>
      <c r="BA89" s="9"/>
    </row>
    <row r="90" spans="1:53" x14ac:dyDescent="0.2">
      <c r="A90" s="1050"/>
      <c r="B90" s="10"/>
      <c r="C90" s="10"/>
      <c r="D90" s="10"/>
      <c r="E90" s="10"/>
      <c r="F90" s="10"/>
      <c r="G90" s="10"/>
      <c r="H90" s="10"/>
      <c r="I90" s="10"/>
      <c r="J90" s="10"/>
      <c r="K90" s="1055"/>
      <c r="L90" s="1055"/>
      <c r="M90" s="1055"/>
      <c r="N90" s="1055"/>
      <c r="O90" s="1055"/>
      <c r="P90" s="1055"/>
      <c r="Q90" s="1055"/>
      <c r="R90" s="1055"/>
      <c r="S90" s="1055"/>
      <c r="T90" s="10"/>
      <c r="U90" s="1051"/>
      <c r="V90" s="8"/>
      <c r="W90" s="9"/>
      <c r="X90" s="9"/>
      <c r="Y90" s="1107"/>
      <c r="Z90" s="1107"/>
      <c r="AA90" s="1107"/>
      <c r="AB90" s="1107"/>
      <c r="AC90" s="1107"/>
      <c r="AD90" s="1107"/>
      <c r="AE90" s="1107"/>
      <c r="AF90" s="9"/>
      <c r="AG90" s="9"/>
      <c r="AH90" s="9"/>
      <c r="AI90" s="9"/>
      <c r="AJ90" s="9"/>
      <c r="AK90" s="9"/>
      <c r="AL90" s="9"/>
      <c r="AM90" s="9"/>
      <c r="AN90" s="9"/>
      <c r="AO90" s="9"/>
      <c r="AP90" s="9"/>
      <c r="AQ90" s="9"/>
      <c r="AR90" s="9"/>
      <c r="AS90" s="9"/>
      <c r="AT90" s="9"/>
      <c r="AU90" s="9"/>
      <c r="AV90" s="9"/>
      <c r="AW90" s="9"/>
      <c r="AX90" s="9"/>
      <c r="AY90" s="9"/>
      <c r="AZ90" s="9"/>
      <c r="BA90" s="9"/>
    </row>
    <row r="91" spans="1:53" x14ac:dyDescent="0.2">
      <c r="A91" s="1050"/>
      <c r="B91" s="10"/>
      <c r="C91" s="10"/>
      <c r="D91" s="10"/>
      <c r="E91" s="10"/>
      <c r="F91" s="10"/>
      <c r="G91" s="10"/>
      <c r="H91" s="10"/>
      <c r="I91" s="10"/>
      <c r="J91" s="10"/>
      <c r="K91" s="1118" t="s">
        <v>686</v>
      </c>
      <c r="L91" s="1118"/>
      <c r="M91" s="1118" t="s">
        <v>687</v>
      </c>
      <c r="N91" s="1118"/>
      <c r="O91" s="1118" t="s">
        <v>688</v>
      </c>
      <c r="P91" s="1118"/>
      <c r="Q91" s="1118" t="s">
        <v>689</v>
      </c>
      <c r="R91" s="1118"/>
      <c r="S91" s="1118" t="s">
        <v>706</v>
      </c>
      <c r="T91" s="10"/>
      <c r="U91" s="1051"/>
      <c r="V91" s="8"/>
      <c r="W91" s="9"/>
      <c r="X91" s="9"/>
      <c r="Y91" s="1107"/>
      <c r="Z91" s="1107"/>
      <c r="AA91" s="1107"/>
      <c r="AB91" s="1107"/>
      <c r="AC91" s="1107"/>
      <c r="AD91" s="1107"/>
      <c r="AE91" s="1107"/>
      <c r="AF91" s="9"/>
      <c r="AG91" s="9"/>
      <c r="AH91" s="9"/>
      <c r="AI91" s="9"/>
      <c r="AJ91" s="9"/>
      <c r="AK91" s="9"/>
      <c r="AL91" s="9"/>
      <c r="AM91" s="9"/>
      <c r="AN91" s="9"/>
      <c r="AO91" s="9"/>
      <c r="AP91" s="9"/>
      <c r="AQ91" s="9"/>
      <c r="AR91" s="9"/>
      <c r="AS91" s="9"/>
      <c r="AT91" s="9"/>
      <c r="AU91" s="9"/>
      <c r="AV91" s="9"/>
      <c r="AW91" s="9"/>
      <c r="AX91" s="9"/>
      <c r="AY91" s="9"/>
      <c r="AZ91" s="9"/>
      <c r="BA91" s="9"/>
    </row>
    <row r="92" spans="1:53" ht="15.75" customHeight="1" x14ac:dyDescent="0.2">
      <c r="A92" s="1050"/>
      <c r="B92" s="10"/>
      <c r="C92" s="10"/>
      <c r="D92" s="10"/>
      <c r="E92" s="10"/>
      <c r="F92" s="10"/>
      <c r="G92" s="10"/>
      <c r="H92" s="10"/>
      <c r="I92" s="10"/>
      <c r="J92" s="10"/>
      <c r="K92" s="1721" t="s">
        <v>27</v>
      </c>
      <c r="L92" s="1033"/>
      <c r="M92" s="1721" t="str">
        <f>+K15</f>
        <v>ZZZZ</v>
      </c>
      <c r="N92" s="1118"/>
      <c r="O92" s="1721" t="str">
        <f>+IF($K$16="E0703","Tees Valley Combined Authority",IF(E279="UA","",IF(E279="MD","",IF(E279="Greater London Authority",E279,IF('Part 1'!$E$279="GLA - functions exc police",'Part 1'!$E$279,IF(E279="West of England CA",E279,(CONCATENATE(E279," County Council"))))))))</f>
        <v>0 County Council</v>
      </c>
      <c r="P92" s="1118"/>
      <c r="Q92" s="1721">
        <f>+IF(K279="County","",IF(K279="NA","",K279))</f>
        <v>0</v>
      </c>
      <c r="R92" s="1033"/>
      <c r="S92" s="1721" t="s">
        <v>698</v>
      </c>
      <c r="T92" s="10"/>
      <c r="U92" s="1051"/>
      <c r="V92" s="8"/>
      <c r="W92" s="9"/>
      <c r="X92" s="9"/>
      <c r="Y92" s="1107"/>
      <c r="Z92" s="1107"/>
      <c r="AA92" s="1107"/>
      <c r="AB92" s="1107"/>
      <c r="AC92" s="1107"/>
      <c r="AD92" s="1107"/>
      <c r="AE92" s="1107"/>
      <c r="AF92" s="9"/>
      <c r="AG92" s="9"/>
      <c r="AH92" s="9"/>
      <c r="AI92" s="9"/>
      <c r="AJ92" s="9"/>
      <c r="AK92" s="9"/>
      <c r="AL92" s="9"/>
      <c r="AM92" s="9"/>
      <c r="AN92" s="9"/>
      <c r="AO92" s="9"/>
      <c r="AP92" s="9"/>
      <c r="AQ92" s="9"/>
      <c r="AR92" s="9"/>
      <c r="AS92" s="9"/>
      <c r="AT92" s="9"/>
      <c r="AU92" s="9"/>
      <c r="AV92" s="9"/>
      <c r="AW92" s="9"/>
      <c r="AX92" s="9"/>
      <c r="AY92" s="9"/>
      <c r="AZ92" s="9"/>
      <c r="BA92" s="9"/>
    </row>
    <row r="93" spans="1:53" ht="15.75" customHeight="1" x14ac:dyDescent="0.2">
      <c r="A93" s="1050"/>
      <c r="B93" s="10"/>
      <c r="C93" s="10"/>
      <c r="D93" s="10"/>
      <c r="E93" s="10"/>
      <c r="F93" s="10"/>
      <c r="G93" s="10"/>
      <c r="H93" s="10"/>
      <c r="I93" s="10"/>
      <c r="J93" s="10"/>
      <c r="K93" s="1721"/>
      <c r="L93" s="1033"/>
      <c r="M93" s="1721"/>
      <c r="N93" s="1118"/>
      <c r="O93" s="1721"/>
      <c r="P93" s="1118"/>
      <c r="Q93" s="1721"/>
      <c r="R93" s="1033"/>
      <c r="S93" s="1721"/>
      <c r="T93" s="10"/>
      <c r="U93" s="1051"/>
      <c r="V93" s="8"/>
      <c r="W93" s="1706" t="s">
        <v>910</v>
      </c>
      <c r="X93" s="9"/>
      <c r="Y93" s="1107"/>
      <c r="Z93" s="1107" t="s">
        <v>699</v>
      </c>
      <c r="AA93" s="1107"/>
      <c r="AB93" s="1107"/>
      <c r="AC93" s="1107"/>
      <c r="AD93" s="1107"/>
      <c r="AE93" s="1107"/>
      <c r="AF93" s="9"/>
      <c r="AG93" s="9"/>
      <c r="AH93" s="9"/>
      <c r="AI93" s="9"/>
      <c r="AJ93" s="9"/>
      <c r="AK93" s="9"/>
      <c r="AL93" s="9"/>
      <c r="AM93" s="9"/>
      <c r="AN93" s="9"/>
      <c r="AO93" s="9"/>
      <c r="AP93" s="9"/>
      <c r="AQ93" s="9"/>
      <c r="AR93" s="9"/>
      <c r="AS93" s="9"/>
      <c r="AT93" s="9"/>
      <c r="AU93" s="9"/>
      <c r="AV93" s="9"/>
      <c r="AW93" s="9"/>
      <c r="AX93" s="9"/>
      <c r="AY93" s="9"/>
      <c r="AZ93" s="9"/>
      <c r="BA93" s="9"/>
    </row>
    <row r="94" spans="1:53" ht="15.75" customHeight="1" x14ac:dyDescent="0.2">
      <c r="A94" s="1050"/>
      <c r="B94" s="10"/>
      <c r="C94" s="10"/>
      <c r="D94" s="10"/>
      <c r="E94" s="10"/>
      <c r="F94" s="10"/>
      <c r="G94" s="10"/>
      <c r="H94" s="10"/>
      <c r="I94" s="10"/>
      <c r="J94" s="10"/>
      <c r="K94" s="1721"/>
      <c r="L94" s="1033"/>
      <c r="M94" s="1721"/>
      <c r="N94" s="1118"/>
      <c r="O94" s="1721"/>
      <c r="P94" s="1118"/>
      <c r="Q94" s="1721"/>
      <c r="R94" s="1118"/>
      <c r="S94" s="1721"/>
      <c r="T94" s="10"/>
      <c r="U94" s="1051"/>
      <c r="V94" s="8"/>
      <c r="W94" s="1707"/>
      <c r="X94" s="9"/>
      <c r="Y94" s="1107"/>
      <c r="Z94" s="1107"/>
      <c r="AA94" s="1107"/>
      <c r="AB94" s="1107"/>
      <c r="AC94" s="1107"/>
      <c r="AD94" s="1107"/>
      <c r="AE94" s="1107"/>
      <c r="AF94" s="9"/>
      <c r="AG94" s="9"/>
      <c r="AH94" s="9"/>
      <c r="AI94" s="9"/>
      <c r="AJ94" s="9"/>
      <c r="AK94" s="9"/>
      <c r="AL94" s="9"/>
      <c r="AM94" s="9"/>
      <c r="AN94" s="9"/>
      <c r="AO94" s="9"/>
      <c r="AP94" s="9"/>
      <c r="AQ94" s="9"/>
      <c r="AR94" s="9"/>
      <c r="AS94" s="9"/>
      <c r="AT94" s="9"/>
      <c r="AU94" s="9"/>
      <c r="AV94" s="9"/>
      <c r="AW94" s="9"/>
      <c r="AX94" s="9"/>
      <c r="AY94" s="9"/>
      <c r="AZ94" s="9"/>
      <c r="BA94" s="9"/>
    </row>
    <row r="95" spans="1:53" ht="15" customHeight="1" thickBot="1" x14ac:dyDescent="0.3">
      <c r="A95" s="1050"/>
      <c r="B95" s="10"/>
      <c r="C95" s="18" t="s">
        <v>31</v>
      </c>
      <c r="D95" s="10"/>
      <c r="E95" s="10"/>
      <c r="F95" s="10"/>
      <c r="G95" s="10"/>
      <c r="H95" s="10"/>
      <c r="I95" s="10"/>
      <c r="J95" s="1119"/>
      <c r="K95" s="1120" t="s">
        <v>681</v>
      </c>
      <c r="L95" s="1121"/>
      <c r="M95" s="1120" t="s">
        <v>681</v>
      </c>
      <c r="N95" s="1122"/>
      <c r="O95" s="1120" t="s">
        <v>681</v>
      </c>
      <c r="P95" s="1122"/>
      <c r="Q95" s="1120" t="s">
        <v>681</v>
      </c>
      <c r="R95" s="1121"/>
      <c r="S95" s="1120" t="s">
        <v>681</v>
      </c>
      <c r="T95" s="1119"/>
      <c r="U95" s="1051"/>
      <c r="V95" s="8"/>
      <c r="W95" s="9"/>
      <c r="X95" s="9"/>
      <c r="Y95" s="1107"/>
      <c r="Z95" s="1107"/>
      <c r="AA95" s="1107"/>
      <c r="AB95" s="1107"/>
      <c r="AC95" s="1107"/>
      <c r="AD95" s="1107"/>
      <c r="AE95" s="1107"/>
      <c r="AF95" s="9"/>
      <c r="AG95" s="9"/>
      <c r="AH95" s="9"/>
      <c r="AI95" s="9"/>
      <c r="AJ95" s="9"/>
      <c r="AK95" s="9"/>
      <c r="AL95" s="9"/>
      <c r="AM95" s="9"/>
      <c r="AN95" s="9"/>
      <c r="AO95" s="9"/>
      <c r="AP95" s="9"/>
      <c r="AQ95" s="9"/>
      <c r="AR95" s="9"/>
      <c r="AS95" s="9"/>
      <c r="AT95" s="9"/>
      <c r="AU95" s="9"/>
      <c r="AV95" s="9"/>
      <c r="AW95" s="9"/>
      <c r="AX95" s="9"/>
      <c r="AY95" s="9"/>
      <c r="AZ95" s="9"/>
      <c r="BA95" s="9"/>
    </row>
    <row r="96" spans="1:53" ht="15" customHeight="1" thickBot="1" x14ac:dyDescent="0.25">
      <c r="A96" s="1050"/>
      <c r="B96" s="10"/>
      <c r="C96" s="10"/>
      <c r="D96" s="1717" t="s">
        <v>3088</v>
      </c>
      <c r="E96" s="1718"/>
      <c r="F96" s="1718"/>
      <c r="G96" s="1718"/>
      <c r="H96" s="1718"/>
      <c r="I96" s="1718"/>
      <c r="J96" s="1119"/>
      <c r="K96" s="806">
        <f>S96-Q96-O96-M96</f>
        <v>1</v>
      </c>
      <c r="L96" s="1123"/>
      <c r="M96" s="806">
        <f>INDEX(TierSplit!$C$6:$C$302,MATCH(Import_LA_Code,TierSplit!$A$6:$A$302,0))</f>
        <v>0</v>
      </c>
      <c r="N96" s="1123"/>
      <c r="O96" s="806">
        <f>INDEX(TierSplit!$F$6:$F$302,MATCH(Import_LA_Code,TierSplit!$A$6:$A$302,0))</f>
        <v>0</v>
      </c>
      <c r="P96" s="1123"/>
      <c r="Q96" s="806">
        <f>INDEX(TierSplit!$I$6:$I$302,MATCH(Import_LA_Code,TierSplit!$A$6:$A$302,0))</f>
        <v>0</v>
      </c>
      <c r="R96" s="1122"/>
      <c r="S96" s="806">
        <f>1</f>
        <v>1</v>
      </c>
      <c r="T96" s="1119"/>
      <c r="U96" s="1051"/>
      <c r="V96" s="8"/>
      <c r="W96" s="9"/>
      <c r="X96" s="9"/>
      <c r="Y96" s="1107"/>
      <c r="Z96" s="1107"/>
      <c r="AA96" s="1107"/>
      <c r="AB96" s="1107"/>
      <c r="AC96" s="1107"/>
      <c r="AD96" s="1107"/>
      <c r="AE96" s="1107"/>
      <c r="AF96" s="9"/>
      <c r="AG96" s="9"/>
      <c r="AH96" s="9"/>
      <c r="AI96" s="9"/>
      <c r="AJ96" s="9"/>
      <c r="AK96" s="9"/>
      <c r="AL96" s="9"/>
      <c r="AM96" s="9"/>
      <c r="AN96" s="9"/>
      <c r="AO96" s="9"/>
      <c r="AP96" s="9"/>
      <c r="AQ96" s="9"/>
      <c r="AR96" s="9"/>
      <c r="AS96" s="9"/>
      <c r="AT96" s="9"/>
      <c r="AU96" s="9"/>
      <c r="AV96" s="9"/>
      <c r="AW96" s="9"/>
      <c r="AX96" s="9"/>
      <c r="AY96" s="9"/>
      <c r="AZ96" s="9"/>
      <c r="BA96" s="9"/>
    </row>
    <row r="97" spans="1:53" ht="15" customHeight="1" x14ac:dyDescent="0.2">
      <c r="A97" s="1050"/>
      <c r="B97" s="10"/>
      <c r="C97" s="10"/>
      <c r="D97" s="1718"/>
      <c r="E97" s="1718"/>
      <c r="F97" s="1718"/>
      <c r="G97" s="1718"/>
      <c r="H97" s="1718"/>
      <c r="I97" s="1718"/>
      <c r="J97" s="1119"/>
      <c r="K97" s="1124"/>
      <c r="L97" s="1121"/>
      <c r="M97" s="1124"/>
      <c r="N97" s="1122"/>
      <c r="O97" s="1124"/>
      <c r="P97" s="1122"/>
      <c r="Q97" s="1124"/>
      <c r="R97" s="1121"/>
      <c r="S97" s="1124"/>
      <c r="T97" s="1119"/>
      <c r="U97" s="1051"/>
      <c r="V97" s="8"/>
      <c r="W97" s="1125" t="s">
        <v>2213</v>
      </c>
      <c r="X97" s="9"/>
      <c r="Y97" s="1107"/>
      <c r="Z97" s="1107"/>
      <c r="AA97" s="1107"/>
      <c r="AB97" s="1107"/>
      <c r="AC97" s="1107"/>
      <c r="AD97" s="1107"/>
      <c r="AE97" s="1107"/>
      <c r="AF97" s="9"/>
      <c r="AG97" s="9"/>
      <c r="AH97" s="9"/>
      <c r="AI97" s="9"/>
      <c r="AJ97" s="9"/>
      <c r="AK97" s="9"/>
      <c r="AL97" s="9"/>
      <c r="AM97" s="9"/>
      <c r="AN97" s="9"/>
      <c r="AO97" s="9"/>
      <c r="AP97" s="9"/>
      <c r="AQ97" s="9"/>
      <c r="AR97" s="9"/>
      <c r="AS97" s="9"/>
      <c r="AT97" s="9"/>
      <c r="AU97" s="9"/>
      <c r="AV97" s="9"/>
      <c r="AW97" s="9"/>
      <c r="AX97" s="9"/>
      <c r="AY97" s="9"/>
      <c r="AZ97" s="9"/>
      <c r="BA97" s="9"/>
    </row>
    <row r="98" spans="1:53" ht="15" customHeight="1" x14ac:dyDescent="0.2">
      <c r="A98" s="1050"/>
      <c r="B98" s="10"/>
      <c r="C98" s="10"/>
      <c r="D98" s="10"/>
      <c r="E98" s="10"/>
      <c r="F98" s="10"/>
      <c r="G98" s="10"/>
      <c r="H98" s="10"/>
      <c r="I98" s="10"/>
      <c r="J98" s="1119"/>
      <c r="K98" s="1124"/>
      <c r="L98" s="1121"/>
      <c r="M98" s="1124"/>
      <c r="N98" s="1122"/>
      <c r="O98" s="1124"/>
      <c r="P98" s="1122"/>
      <c r="Q98" s="1124"/>
      <c r="R98" s="1121"/>
      <c r="S98" s="1124"/>
      <c r="T98" s="1119"/>
      <c r="U98" s="1051"/>
      <c r="V98" s="8"/>
      <c r="W98" s="1073" t="s">
        <v>52</v>
      </c>
      <c r="X98" s="9"/>
      <c r="Y98" s="1107"/>
      <c r="Z98" s="1107"/>
      <c r="AA98" s="1107"/>
      <c r="AB98" s="1107"/>
      <c r="AC98" s="1107"/>
      <c r="AD98" s="1107"/>
      <c r="AE98" s="1107"/>
      <c r="AF98" s="9"/>
      <c r="AG98" s="9"/>
      <c r="AH98" s="9"/>
      <c r="AI98" s="9"/>
      <c r="AJ98" s="9"/>
      <c r="AK98" s="9"/>
      <c r="AL98" s="9"/>
      <c r="AM98" s="9"/>
      <c r="AN98" s="9"/>
      <c r="AO98" s="9"/>
      <c r="AP98" s="9"/>
      <c r="AQ98" s="9"/>
      <c r="AR98" s="9"/>
      <c r="AS98" s="9"/>
      <c r="AT98" s="9"/>
      <c r="AU98" s="9"/>
      <c r="AV98" s="9"/>
      <c r="AW98" s="9"/>
      <c r="AX98" s="9"/>
      <c r="AY98" s="9"/>
      <c r="AZ98" s="9"/>
      <c r="BA98" s="9"/>
    </row>
    <row r="99" spans="1:53" ht="16.5" thickBot="1" x14ac:dyDescent="0.3">
      <c r="A99" s="1050"/>
      <c r="B99" s="10"/>
      <c r="C99" s="12" t="s">
        <v>3089</v>
      </c>
      <c r="D99" s="10"/>
      <c r="E99" s="10"/>
      <c r="F99" s="10"/>
      <c r="G99" s="10"/>
      <c r="H99" s="10"/>
      <c r="I99" s="10"/>
      <c r="J99" s="1119"/>
      <c r="K99" s="1122"/>
      <c r="L99" s="1122"/>
      <c r="M99" s="1122"/>
      <c r="N99" s="1122"/>
      <c r="O99" s="1122"/>
      <c r="P99" s="1122"/>
      <c r="Q99" s="1122"/>
      <c r="R99" s="1122"/>
      <c r="S99" s="1122"/>
      <c r="T99" s="1119"/>
      <c r="U99" s="1051"/>
      <c r="V99" s="8"/>
      <c r="W99" s="1067"/>
      <c r="X99" s="9"/>
      <c r="Y99" s="1107"/>
      <c r="Z99" s="1107"/>
      <c r="AA99" s="1107"/>
      <c r="AB99" s="1107"/>
      <c r="AC99" s="1107"/>
      <c r="AD99" s="1107"/>
      <c r="AE99" s="1107"/>
      <c r="AF99" s="9"/>
      <c r="AG99" s="9"/>
      <c r="AH99" s="9"/>
      <c r="AI99" s="9"/>
      <c r="AJ99" s="9"/>
      <c r="AK99" s="9"/>
      <c r="AL99" s="9"/>
      <c r="AM99" s="9"/>
      <c r="AN99" s="9"/>
      <c r="AO99" s="9"/>
      <c r="AP99" s="9"/>
      <c r="AQ99" s="9"/>
      <c r="AR99" s="9"/>
      <c r="AS99" s="9"/>
      <c r="AT99" s="9"/>
      <c r="AU99" s="9"/>
      <c r="AV99" s="9"/>
      <c r="AW99" s="9"/>
      <c r="AX99" s="9"/>
      <c r="AY99" s="9"/>
      <c r="AZ99" s="9"/>
      <c r="BA99" s="9"/>
    </row>
    <row r="100" spans="1:53" ht="16.5" thickBot="1" x14ac:dyDescent="0.25">
      <c r="A100" s="1050"/>
      <c r="B100" s="10"/>
      <c r="C100" s="10"/>
      <c r="D100" s="1700" t="s">
        <v>1297</v>
      </c>
      <c r="E100" s="1700"/>
      <c r="F100" s="1700"/>
      <c r="G100" s="1700"/>
      <c r="H100" s="1700"/>
      <c r="I100" s="1700"/>
      <c r="J100" s="1119"/>
      <c r="K100" s="1126" t="e">
        <f>IF(K96=0,0,+K60-M100-O100-Q100)</f>
        <v>#N/A</v>
      </c>
      <c r="L100" s="1127"/>
      <c r="M100" s="1126" t="e">
        <f>ROUND(+K60*$M$96,0)</f>
        <v>#N/A</v>
      </c>
      <c r="N100" s="1127"/>
      <c r="O100" s="1126" t="e">
        <f>ROUND(+K60*$O$96,0)</f>
        <v>#N/A</v>
      </c>
      <c r="P100" s="1127"/>
      <c r="Q100" s="1126" t="e">
        <f>ROUND(+K60*$Q$96,0)</f>
        <v>#N/A</v>
      </c>
      <c r="R100" s="1127"/>
      <c r="S100" s="1126" t="e">
        <f>+K60</f>
        <v>#N/A</v>
      </c>
      <c r="T100" s="1119"/>
      <c r="U100" s="67"/>
      <c r="V100" s="8"/>
      <c r="W100" s="1067" t="e">
        <f>+S100-K60</f>
        <v>#N/A</v>
      </c>
      <c r="X100" s="9"/>
      <c r="Y100" s="1107"/>
      <c r="Z100" s="1107"/>
      <c r="AA100" s="1107"/>
      <c r="AB100" s="1107"/>
      <c r="AC100" s="1107"/>
      <c r="AD100" s="1107"/>
      <c r="AE100" s="1107"/>
      <c r="AF100" s="9"/>
      <c r="AG100" s="9"/>
      <c r="AH100" s="9"/>
      <c r="AI100" s="9"/>
      <c r="AJ100" s="9"/>
      <c r="AK100" s="9"/>
      <c r="AL100" s="9"/>
      <c r="AM100" s="9"/>
      <c r="AN100" s="9"/>
      <c r="AO100" s="9"/>
      <c r="AP100" s="9"/>
      <c r="AQ100" s="9"/>
      <c r="AR100" s="9"/>
      <c r="AS100" s="9"/>
      <c r="AT100" s="9"/>
      <c r="AU100" s="9"/>
      <c r="AV100" s="9"/>
      <c r="AW100" s="9"/>
      <c r="AX100" s="9"/>
      <c r="AY100" s="9"/>
      <c r="AZ100" s="9"/>
      <c r="BA100" s="9"/>
    </row>
    <row r="101" spans="1:53" x14ac:dyDescent="0.2">
      <c r="A101" s="1050"/>
      <c r="B101" s="10"/>
      <c r="C101" s="10"/>
      <c r="D101" s="1700"/>
      <c r="E101" s="1700"/>
      <c r="F101" s="1700"/>
      <c r="G101" s="1700"/>
      <c r="H101" s="1700"/>
      <c r="I101" s="1700"/>
      <c r="J101" s="1119"/>
      <c r="K101" s="1127"/>
      <c r="L101" s="1127"/>
      <c r="M101" s="1127"/>
      <c r="N101" s="1127"/>
      <c r="O101" s="1127"/>
      <c r="P101" s="1127"/>
      <c r="Q101" s="1127"/>
      <c r="R101" s="1127"/>
      <c r="S101" s="1127"/>
      <c r="T101" s="1119"/>
      <c r="U101" s="1051"/>
      <c r="V101" s="8"/>
      <c r="W101" s="1067"/>
      <c r="X101" s="9"/>
      <c r="Y101" s="1107"/>
      <c r="Z101" s="1107"/>
      <c r="AA101" s="1107"/>
      <c r="AB101" s="1107"/>
      <c r="AC101" s="1107"/>
      <c r="AD101" s="1107"/>
      <c r="AE101" s="1107"/>
      <c r="AF101" s="9"/>
      <c r="AG101" s="9"/>
      <c r="AH101" s="9"/>
      <c r="AI101" s="9"/>
      <c r="AJ101" s="9"/>
      <c r="AK101" s="9"/>
      <c r="AL101" s="9"/>
      <c r="AM101" s="9"/>
      <c r="AN101" s="9"/>
      <c r="AO101" s="9"/>
      <c r="AP101" s="9"/>
      <c r="AQ101" s="9"/>
      <c r="AR101" s="9"/>
      <c r="AS101" s="9"/>
      <c r="AT101" s="9"/>
      <c r="AU101" s="9"/>
      <c r="AV101" s="9"/>
      <c r="AW101" s="9"/>
      <c r="AX101" s="9"/>
      <c r="AY101" s="9"/>
      <c r="AZ101" s="9"/>
      <c r="BA101" s="9"/>
    </row>
    <row r="102" spans="1:53" ht="15.75" thickBot="1" x14ac:dyDescent="0.25">
      <c r="A102" s="1050"/>
      <c r="B102" s="10"/>
      <c r="C102" s="10"/>
      <c r="D102" s="10"/>
      <c r="E102" s="10"/>
      <c r="F102" s="10"/>
      <c r="G102" s="10"/>
      <c r="H102" s="10"/>
      <c r="I102" s="10"/>
      <c r="J102" s="1119"/>
      <c r="K102" s="1127"/>
      <c r="L102" s="1127"/>
      <c r="M102" s="1127"/>
      <c r="N102" s="1127"/>
      <c r="O102" s="1127"/>
      <c r="P102" s="1127"/>
      <c r="Q102" s="1127"/>
      <c r="R102" s="1127"/>
      <c r="S102" s="1127"/>
      <c r="T102" s="1119"/>
      <c r="U102" s="1051"/>
      <c r="V102" s="8"/>
      <c r="W102" s="1067" t="e">
        <f>IF(AND(K96=0,K60-M100-O100-Q100&lt;&gt;0),0,+IF(ABS(K100+M100+O100+Q100-S100)&lt;0.5,0,1))</f>
        <v>#N/A</v>
      </c>
      <c r="X102" s="9"/>
      <c r="Y102" s="1107"/>
      <c r="Z102" s="1107"/>
      <c r="AA102" s="1107"/>
      <c r="AB102" s="1107"/>
      <c r="AC102" s="1107"/>
      <c r="AD102" s="1107"/>
      <c r="AE102" s="1107"/>
      <c r="AF102" s="9"/>
      <c r="AG102" s="9"/>
      <c r="AH102" s="9"/>
      <c r="AI102" s="9"/>
      <c r="AJ102" s="9"/>
      <c r="AK102" s="9"/>
      <c r="AL102" s="9"/>
      <c r="AM102" s="9"/>
      <c r="AN102" s="9"/>
      <c r="AO102" s="9"/>
      <c r="AP102" s="9"/>
      <c r="AQ102" s="9"/>
      <c r="AR102" s="9"/>
      <c r="AS102" s="9"/>
      <c r="AT102" s="9"/>
      <c r="AU102" s="9"/>
      <c r="AV102" s="9"/>
      <c r="AW102" s="9"/>
      <c r="AX102" s="9"/>
      <c r="AY102" s="9"/>
      <c r="AZ102" s="9"/>
      <c r="BA102" s="9"/>
    </row>
    <row r="103" spans="1:53" ht="16.5" thickBot="1" x14ac:dyDescent="0.25">
      <c r="A103" s="1050"/>
      <c r="B103" s="10"/>
      <c r="C103" s="10"/>
      <c r="D103" s="1703" t="s">
        <v>1298</v>
      </c>
      <c r="E103" s="1703"/>
      <c r="F103" s="1703"/>
      <c r="G103" s="1703"/>
      <c r="H103" s="1703"/>
      <c r="I103" s="1703"/>
      <c r="J103" s="1119"/>
      <c r="K103" s="1126">
        <f>+'Part 3'!M60</f>
        <v>0</v>
      </c>
      <c r="L103" s="1127"/>
      <c r="M103" s="1127"/>
      <c r="N103" s="1127"/>
      <c r="O103" s="1127"/>
      <c r="P103" s="1127"/>
      <c r="Q103" s="1127"/>
      <c r="R103" s="1127"/>
      <c r="S103" s="1126">
        <f>+K103</f>
        <v>0</v>
      </c>
      <c r="T103" s="1119"/>
      <c r="U103" s="1051"/>
      <c r="V103" s="8"/>
      <c r="W103" s="1067"/>
      <c r="X103" s="9"/>
      <c r="Y103" s="91"/>
      <c r="Z103" s="1107"/>
      <c r="AA103" s="1107"/>
      <c r="AB103" s="1107"/>
      <c r="AC103" s="1107"/>
      <c r="AD103" s="1107"/>
      <c r="AE103" s="1107"/>
      <c r="AF103" s="9"/>
      <c r="AG103" s="9"/>
      <c r="AH103" s="9"/>
      <c r="AI103" s="9"/>
      <c r="AJ103" s="9"/>
      <c r="AK103" s="9"/>
      <c r="AL103" s="9"/>
      <c r="AM103" s="9"/>
      <c r="AN103" s="9"/>
      <c r="AO103" s="9"/>
      <c r="AP103" s="9"/>
      <c r="AQ103" s="9"/>
      <c r="AR103" s="9"/>
      <c r="AS103" s="9"/>
      <c r="AT103" s="9"/>
      <c r="AU103" s="9"/>
      <c r="AV103" s="9"/>
      <c r="AW103" s="9"/>
      <c r="AX103" s="9"/>
      <c r="AY103" s="9"/>
      <c r="AZ103" s="9"/>
      <c r="BA103" s="9"/>
    </row>
    <row r="104" spans="1:53" ht="16.5" thickBot="1" x14ac:dyDescent="0.25">
      <c r="A104" s="1050"/>
      <c r="B104" s="10"/>
      <c r="C104" s="10"/>
      <c r="D104" s="19"/>
      <c r="E104" s="10"/>
      <c r="F104" s="10"/>
      <c r="G104" s="10"/>
      <c r="H104" s="10"/>
      <c r="I104" s="10"/>
      <c r="J104" s="1119"/>
      <c r="K104" s="1128"/>
      <c r="L104" s="1127"/>
      <c r="M104" s="1128"/>
      <c r="N104" s="1127"/>
      <c r="O104" s="1128"/>
      <c r="P104" s="1127"/>
      <c r="Q104" s="1128"/>
      <c r="R104" s="1127"/>
      <c r="S104" s="1128"/>
      <c r="T104" s="1119"/>
      <c r="U104" s="1051"/>
      <c r="V104" s="8"/>
      <c r="W104" s="1067"/>
      <c r="X104" s="9"/>
      <c r="Y104" s="91"/>
      <c r="Z104" s="1107"/>
      <c r="AA104" s="1107"/>
      <c r="AB104" s="1107"/>
      <c r="AC104" s="1107"/>
      <c r="AD104" s="1107"/>
      <c r="AE104" s="1107"/>
      <c r="AF104" s="9"/>
      <c r="AG104" s="9"/>
      <c r="AH104" s="9"/>
      <c r="AI104" s="9"/>
      <c r="AJ104" s="9"/>
      <c r="AK104" s="9"/>
      <c r="AL104" s="9"/>
      <c r="AM104" s="9"/>
      <c r="AN104" s="9"/>
      <c r="AO104" s="9"/>
      <c r="AP104" s="9"/>
      <c r="AQ104" s="9"/>
      <c r="AR104" s="9"/>
      <c r="AS104" s="9"/>
      <c r="AT104" s="9"/>
      <c r="AU104" s="9"/>
      <c r="AV104" s="9"/>
      <c r="AW104" s="9"/>
      <c r="AX104" s="9"/>
      <c r="AY104" s="9"/>
      <c r="AZ104" s="9"/>
      <c r="BA104" s="9"/>
    </row>
    <row r="105" spans="1:53" ht="16.5" thickBot="1" x14ac:dyDescent="0.3">
      <c r="A105" s="1050"/>
      <c r="B105" s="10"/>
      <c r="C105" s="10"/>
      <c r="D105" s="13">
        <v>15</v>
      </c>
      <c r="E105" s="10"/>
      <c r="F105" s="10"/>
      <c r="G105" s="10"/>
      <c r="H105" s="10"/>
      <c r="I105" s="1129" t="s">
        <v>716</v>
      </c>
      <c r="J105" s="1130"/>
      <c r="K105" s="1126" t="e">
        <f>ROUND(+K100-K103,0)</f>
        <v>#N/A</v>
      </c>
      <c r="L105" s="1127"/>
      <c r="M105" s="1126" t="e">
        <f>ROUND(+M100,0)</f>
        <v>#N/A</v>
      </c>
      <c r="N105" s="1131"/>
      <c r="O105" s="1126" t="e">
        <f>ROUND(+O100,0)</f>
        <v>#N/A</v>
      </c>
      <c r="P105" s="1131"/>
      <c r="Q105" s="1126" t="e">
        <f>ROUND(+Q100,0)</f>
        <v>#N/A</v>
      </c>
      <c r="R105" s="1127"/>
      <c r="S105" s="1126" t="e">
        <f>ROUND(+S100-S103,0)</f>
        <v>#N/A</v>
      </c>
      <c r="T105" s="1119"/>
      <c r="U105" s="1051"/>
      <c r="V105" s="8"/>
      <c r="W105" s="1067"/>
      <c r="X105" s="9"/>
      <c r="Y105" s="91"/>
      <c r="Z105" s="91"/>
      <c r="AA105" s="91"/>
      <c r="AB105" s="91"/>
      <c r="AC105" s="91"/>
      <c r="AD105" s="91"/>
      <c r="AE105" s="91"/>
      <c r="AF105" s="9"/>
      <c r="AG105" s="9"/>
      <c r="AH105" s="9"/>
      <c r="AI105" s="9"/>
      <c r="AJ105" s="9"/>
      <c r="AK105" s="9"/>
      <c r="AL105" s="9"/>
      <c r="AM105" s="9"/>
      <c r="AN105" s="9"/>
      <c r="AO105" s="9"/>
      <c r="AP105" s="9"/>
      <c r="AQ105" s="9"/>
      <c r="AR105" s="9"/>
      <c r="AS105" s="9"/>
      <c r="AT105" s="9"/>
      <c r="AU105" s="9"/>
      <c r="AV105" s="9"/>
      <c r="AW105" s="9"/>
      <c r="AX105" s="9"/>
      <c r="AY105" s="9"/>
      <c r="AZ105" s="9"/>
      <c r="BA105" s="9"/>
    </row>
    <row r="106" spans="1:53" x14ac:dyDescent="0.2">
      <c r="A106" s="1050"/>
      <c r="B106" s="10"/>
      <c r="C106" s="10"/>
      <c r="D106" s="10"/>
      <c r="E106" s="10"/>
      <c r="F106" s="10"/>
      <c r="G106" s="10"/>
      <c r="H106" s="10"/>
      <c r="I106" s="10"/>
      <c r="J106" s="1119"/>
      <c r="K106" s="1127"/>
      <c r="L106" s="1127"/>
      <c r="M106" s="1127"/>
      <c r="N106" s="1127"/>
      <c r="O106" s="1127"/>
      <c r="P106" s="1127"/>
      <c r="Q106" s="1127"/>
      <c r="R106" s="1127"/>
      <c r="S106" s="1127"/>
      <c r="T106" s="1119"/>
      <c r="U106" s="1051"/>
      <c r="V106" s="8"/>
      <c r="W106" s="1067" t="e">
        <f>+IF(K100-K103-K105=0,0,1)</f>
        <v>#N/A</v>
      </c>
      <c r="X106" s="9"/>
      <c r="Y106" s="91"/>
      <c r="Z106" s="91"/>
      <c r="AA106" s="91"/>
      <c r="AB106" s="91"/>
      <c r="AC106" s="91"/>
      <c r="AD106" s="91"/>
      <c r="AE106" s="91"/>
      <c r="AF106" s="9"/>
      <c r="AG106" s="9"/>
      <c r="AH106" s="9"/>
      <c r="AI106" s="9"/>
      <c r="AJ106" s="9"/>
      <c r="AK106" s="9"/>
      <c r="AL106" s="9"/>
      <c r="AM106" s="9"/>
      <c r="AN106" s="9"/>
      <c r="AO106" s="9"/>
      <c r="AP106" s="9"/>
      <c r="AQ106" s="9"/>
      <c r="AR106" s="9"/>
      <c r="AS106" s="9"/>
      <c r="AT106" s="9"/>
      <c r="AU106" s="9"/>
      <c r="AV106" s="9"/>
      <c r="AW106" s="9"/>
      <c r="AX106" s="9"/>
      <c r="AY106" s="9"/>
      <c r="AZ106" s="9"/>
      <c r="BA106" s="9"/>
    </row>
    <row r="107" spans="1:53" ht="16.5" thickBot="1" x14ac:dyDescent="0.3">
      <c r="A107" s="1050"/>
      <c r="B107" s="10"/>
      <c r="C107" s="12" t="s">
        <v>3090</v>
      </c>
      <c r="D107" s="10"/>
      <c r="E107" s="10"/>
      <c r="F107" s="10"/>
      <c r="G107" s="10"/>
      <c r="H107" s="10"/>
      <c r="I107" s="10"/>
      <c r="J107" s="1119"/>
      <c r="K107" s="1127"/>
      <c r="L107" s="1127"/>
      <c r="M107" s="1127"/>
      <c r="N107" s="1127"/>
      <c r="O107" s="1127"/>
      <c r="P107" s="1127"/>
      <c r="Q107" s="1127"/>
      <c r="R107" s="1127"/>
      <c r="S107" s="1127"/>
      <c r="T107" s="1119"/>
      <c r="U107" s="1051"/>
      <c r="V107" s="8"/>
      <c r="W107" s="1067"/>
      <c r="X107" s="9"/>
      <c r="Y107" s="91"/>
      <c r="Z107" s="91"/>
      <c r="AA107" s="91"/>
      <c r="AB107" s="91"/>
      <c r="AC107" s="91"/>
      <c r="AD107" s="91"/>
      <c r="AE107" s="91"/>
      <c r="AF107" s="9"/>
      <c r="AG107" s="9"/>
      <c r="AH107" s="9"/>
      <c r="AI107" s="9"/>
      <c r="AJ107" s="9"/>
      <c r="AK107" s="9"/>
      <c r="AL107" s="9"/>
      <c r="AM107" s="9"/>
      <c r="AN107" s="9"/>
      <c r="AO107" s="9"/>
      <c r="AP107" s="9"/>
      <c r="AQ107" s="9"/>
      <c r="AR107" s="9"/>
      <c r="AS107" s="9"/>
      <c r="AT107" s="9"/>
      <c r="AU107" s="9"/>
      <c r="AV107" s="9"/>
      <c r="AW107" s="9"/>
      <c r="AX107" s="9"/>
      <c r="AY107" s="9"/>
      <c r="AZ107" s="9"/>
      <c r="BA107" s="9"/>
    </row>
    <row r="108" spans="1:53" ht="16.5" thickBot="1" x14ac:dyDescent="0.25">
      <c r="A108" s="1050"/>
      <c r="B108" s="10"/>
      <c r="C108" s="10"/>
      <c r="D108" s="1703" t="s">
        <v>1299</v>
      </c>
      <c r="E108" s="1703"/>
      <c r="F108" s="1703"/>
      <c r="G108" s="1703"/>
      <c r="H108" s="1703"/>
      <c r="I108" s="1703"/>
      <c r="J108" s="1119"/>
      <c r="K108" s="1127"/>
      <c r="L108" s="1127"/>
      <c r="M108" s="1132" t="e">
        <f>+S108</f>
        <v>#N/A</v>
      </c>
      <c r="N108" s="1133"/>
      <c r="O108" s="1133"/>
      <c r="P108" s="1133"/>
      <c r="Q108" s="1133"/>
      <c r="R108" s="1133"/>
      <c r="S108" s="1132" t="e">
        <f>+K41</f>
        <v>#N/A</v>
      </c>
      <c r="T108" s="1119"/>
      <c r="U108" s="67"/>
      <c r="V108" s="8"/>
      <c r="W108" s="1067" t="e">
        <f>+IF(M108-S108=0,0,1)</f>
        <v>#N/A</v>
      </c>
      <c r="X108" s="9"/>
      <c r="Y108" s="91"/>
      <c r="Z108" s="91"/>
      <c r="AA108" s="91"/>
      <c r="AB108" s="91"/>
      <c r="AC108" s="91"/>
      <c r="AD108" s="91"/>
      <c r="AE108" s="91"/>
      <c r="AF108" s="9"/>
      <c r="AG108" s="9"/>
      <c r="AH108" s="9"/>
      <c r="AI108" s="9"/>
      <c r="AJ108" s="9"/>
      <c r="AK108" s="9"/>
      <c r="AL108" s="9"/>
      <c r="AM108" s="9"/>
      <c r="AN108" s="9"/>
      <c r="AO108" s="9"/>
      <c r="AP108" s="9"/>
      <c r="AQ108" s="9"/>
      <c r="AR108" s="9"/>
      <c r="AS108" s="9"/>
      <c r="AT108" s="9"/>
      <c r="AU108" s="9"/>
      <c r="AV108" s="9"/>
      <c r="AW108" s="9"/>
      <c r="AX108" s="9"/>
      <c r="AY108" s="9"/>
      <c r="AZ108" s="9"/>
      <c r="BA108" s="9"/>
    </row>
    <row r="109" spans="1:53" ht="15.75" thickBot="1" x14ac:dyDescent="0.25">
      <c r="A109" s="1050"/>
      <c r="B109" s="10"/>
      <c r="C109" s="10"/>
      <c r="D109" s="10"/>
      <c r="E109" s="10"/>
      <c r="F109" s="10"/>
      <c r="G109" s="10"/>
      <c r="H109" s="10"/>
      <c r="I109" s="10"/>
      <c r="J109" s="1119"/>
      <c r="K109" s="1127"/>
      <c r="L109" s="1127"/>
      <c r="M109" s="1134" t="str">
        <f>IF($K$16="E0703","50% of the disregarded amount for South Tees Development Corporation is given to Tees Valley CA","")</f>
        <v/>
      </c>
      <c r="N109" s="1133"/>
      <c r="O109" s="1133"/>
      <c r="P109" s="1133"/>
      <c r="Q109" s="1133"/>
      <c r="R109" s="1133"/>
      <c r="S109" s="1133"/>
      <c r="T109" s="1119"/>
      <c r="U109" s="1051"/>
      <c r="V109" s="8"/>
      <c r="W109" s="1067"/>
      <c r="X109" s="9"/>
      <c r="Y109" s="91"/>
      <c r="Z109" s="91"/>
      <c r="AA109" s="91"/>
      <c r="AB109" s="91"/>
      <c r="AC109" s="91"/>
      <c r="AD109" s="91"/>
      <c r="AE109" s="91"/>
      <c r="AF109" s="9"/>
      <c r="AG109" s="9"/>
      <c r="AH109" s="9"/>
      <c r="AI109" s="9"/>
      <c r="AJ109" s="9"/>
      <c r="AK109" s="9"/>
      <c r="AL109" s="9"/>
      <c r="AM109" s="9"/>
      <c r="AN109" s="9"/>
      <c r="AO109" s="9"/>
      <c r="AP109" s="9"/>
      <c r="AQ109" s="9"/>
      <c r="AR109" s="9"/>
      <c r="AS109" s="9"/>
      <c r="AT109" s="9"/>
      <c r="AU109" s="9"/>
      <c r="AV109" s="9"/>
      <c r="AW109" s="9"/>
      <c r="AX109" s="9"/>
      <c r="AY109" s="9"/>
      <c r="AZ109" s="9"/>
      <c r="BA109" s="9"/>
    </row>
    <row r="110" spans="1:53" ht="16.5" thickBot="1" x14ac:dyDescent="0.25">
      <c r="A110" s="1050"/>
      <c r="B110" s="10"/>
      <c r="C110" s="10"/>
      <c r="D110" s="1703" t="s">
        <v>1300</v>
      </c>
      <c r="E110" s="1703"/>
      <c r="F110" s="1703"/>
      <c r="G110" s="1703"/>
      <c r="H110" s="1703"/>
      <c r="I110" s="1703"/>
      <c r="J110" s="1119"/>
      <c r="K110" s="1127"/>
      <c r="L110" s="1127"/>
      <c r="M110" s="1132">
        <f>+IF($K$16="E0703",S110-'Part 3 DA summary'!$U$14*0.5,S110)</f>
        <v>0</v>
      </c>
      <c r="N110" s="1133"/>
      <c r="O110" s="1135">
        <f>+IF($K$16="E0703",'Part 3 DA summary'!$U$14*0.5,0)</f>
        <v>0</v>
      </c>
      <c r="P110" s="1133"/>
      <c r="Q110" s="1133"/>
      <c r="R110" s="1133"/>
      <c r="S110" s="1132">
        <f>+K47</f>
        <v>0</v>
      </c>
      <c r="T110" s="1119"/>
      <c r="U110" s="67"/>
      <c r="V110" s="8"/>
      <c r="W110" s="1067">
        <f>+IF(M110-S110=0,0,1)</f>
        <v>0</v>
      </c>
      <c r="X110" s="9"/>
      <c r="Y110" s="91"/>
      <c r="Z110" s="91"/>
      <c r="AA110" s="91"/>
      <c r="AB110" s="91"/>
      <c r="AC110" s="91"/>
      <c r="AD110" s="91"/>
      <c r="AE110" s="91"/>
      <c r="AF110" s="9"/>
      <c r="AG110" s="9"/>
      <c r="AH110" s="9"/>
      <c r="AI110" s="9"/>
      <c r="AJ110" s="9"/>
      <c r="AK110" s="9"/>
      <c r="AL110" s="9"/>
      <c r="AM110" s="9"/>
      <c r="AN110" s="9"/>
      <c r="AO110" s="9"/>
      <c r="AP110" s="9"/>
      <c r="AQ110" s="9"/>
      <c r="AR110" s="9"/>
      <c r="AS110" s="9"/>
      <c r="AT110" s="9"/>
      <c r="AU110" s="9"/>
      <c r="AV110" s="9"/>
      <c r="AW110" s="9"/>
      <c r="AX110" s="9"/>
      <c r="AY110" s="9"/>
      <c r="AZ110" s="9"/>
      <c r="BA110" s="9"/>
    </row>
    <row r="111" spans="1:53" ht="15.75" thickBot="1" x14ac:dyDescent="0.25">
      <c r="A111" s="1050"/>
      <c r="B111" s="10"/>
      <c r="C111" s="10"/>
      <c r="D111" s="10"/>
      <c r="E111" s="10"/>
      <c r="F111" s="10"/>
      <c r="G111" s="10"/>
      <c r="H111" s="10"/>
      <c r="I111" s="10"/>
      <c r="J111" s="1119"/>
      <c r="K111" s="1127"/>
      <c r="L111" s="1127"/>
      <c r="M111" s="1133"/>
      <c r="N111" s="1133"/>
      <c r="O111" s="1133"/>
      <c r="P111" s="1133"/>
      <c r="Q111" s="1133"/>
      <c r="R111" s="1133"/>
      <c r="S111" s="1133"/>
      <c r="T111" s="1119"/>
      <c r="U111" s="1051"/>
      <c r="V111" s="8"/>
      <c r="W111" s="1067"/>
      <c r="X111" s="9"/>
      <c r="Y111" s="91"/>
      <c r="Z111" s="91"/>
      <c r="AA111" s="91"/>
      <c r="AB111" s="91"/>
      <c r="AC111" s="91"/>
      <c r="AD111" s="91"/>
      <c r="AE111" s="91"/>
      <c r="AF111" s="9"/>
      <c r="AG111" s="9"/>
      <c r="AH111" s="9"/>
      <c r="AI111" s="9"/>
      <c r="AJ111" s="9"/>
      <c r="AK111" s="9"/>
      <c r="AL111" s="9"/>
      <c r="AM111" s="9"/>
      <c r="AN111" s="9"/>
      <c r="AO111" s="9"/>
      <c r="AP111" s="9"/>
      <c r="AQ111" s="9"/>
      <c r="AR111" s="9"/>
      <c r="AS111" s="9"/>
      <c r="AT111" s="9"/>
      <c r="AU111" s="9"/>
      <c r="AV111" s="9"/>
      <c r="AW111" s="9"/>
      <c r="AX111" s="9"/>
      <c r="AY111" s="9"/>
      <c r="AZ111" s="9"/>
      <c r="BA111" s="9"/>
    </row>
    <row r="112" spans="1:53" ht="16.5" thickBot="1" x14ac:dyDescent="0.25">
      <c r="A112" s="1050"/>
      <c r="B112" s="10"/>
      <c r="C112" s="10"/>
      <c r="D112" s="1700" t="s">
        <v>1301</v>
      </c>
      <c r="E112" s="1700"/>
      <c r="F112" s="1700"/>
      <c r="G112" s="1700"/>
      <c r="H112" s="1700"/>
      <c r="I112" s="1700"/>
      <c r="J112" s="1119"/>
      <c r="K112" s="1127"/>
      <c r="L112" s="1127"/>
      <c r="M112" s="1132">
        <f>+K52</f>
        <v>0</v>
      </c>
      <c r="N112" s="1133"/>
      <c r="O112" s="1132">
        <f>+K54</f>
        <v>0</v>
      </c>
      <c r="P112" s="1133"/>
      <c r="Q112" s="1133"/>
      <c r="R112" s="1133"/>
      <c r="S112" s="1132">
        <f>+K49</f>
        <v>0</v>
      </c>
      <c r="T112" s="1119"/>
      <c r="U112" s="67"/>
      <c r="V112" s="8"/>
      <c r="W112" s="1067">
        <f>+IF(M112+O112-S112=0,0,1)</f>
        <v>0</v>
      </c>
      <c r="X112" s="9"/>
      <c r="Y112" s="91"/>
      <c r="Z112" s="91"/>
      <c r="AA112" s="91"/>
      <c r="AB112" s="91"/>
      <c r="AC112" s="91"/>
      <c r="AD112" s="91"/>
      <c r="AE112" s="91"/>
      <c r="AF112" s="9"/>
      <c r="AG112" s="9"/>
      <c r="AH112" s="9"/>
      <c r="AI112" s="9"/>
      <c r="AJ112" s="9"/>
      <c r="AK112" s="9"/>
      <c r="AL112" s="9"/>
      <c r="AM112" s="9"/>
      <c r="AN112" s="9"/>
      <c r="AO112" s="9"/>
      <c r="AP112" s="9"/>
      <c r="AQ112" s="9"/>
      <c r="AR112" s="9"/>
      <c r="AS112" s="9"/>
      <c r="AT112" s="9"/>
      <c r="AU112" s="9"/>
      <c r="AV112" s="9"/>
      <c r="AW112" s="9"/>
      <c r="AX112" s="9"/>
      <c r="AY112" s="9"/>
      <c r="AZ112" s="9"/>
      <c r="BA112" s="9"/>
    </row>
    <row r="113" spans="1:53" ht="15.75" thickBot="1" x14ac:dyDescent="0.25">
      <c r="A113" s="1050"/>
      <c r="B113" s="10"/>
      <c r="C113" s="10"/>
      <c r="D113" s="1700"/>
      <c r="E113" s="1700"/>
      <c r="F113" s="1700"/>
      <c r="G113" s="1700"/>
      <c r="H113" s="1700"/>
      <c r="I113" s="1700"/>
      <c r="J113" s="1119"/>
      <c r="K113" s="1127"/>
      <c r="L113" s="1127"/>
      <c r="M113" s="1133"/>
      <c r="N113" s="1133"/>
      <c r="O113" s="1133"/>
      <c r="P113" s="1133"/>
      <c r="Q113" s="1133"/>
      <c r="R113" s="1133"/>
      <c r="S113" s="1133"/>
      <c r="T113" s="1119"/>
      <c r="U113" s="1051"/>
      <c r="V113" s="8"/>
      <c r="W113" s="1067"/>
      <c r="X113" s="9"/>
      <c r="Y113" s="91"/>
      <c r="Z113" s="91"/>
      <c r="AA113" s="91"/>
      <c r="AB113" s="91"/>
      <c r="AC113" s="91"/>
      <c r="AD113" s="91"/>
      <c r="AE113" s="91"/>
      <c r="AF113" s="9"/>
      <c r="AG113" s="9"/>
      <c r="AH113" s="9"/>
      <c r="AI113" s="9"/>
      <c r="AJ113" s="9"/>
      <c r="AK113" s="9"/>
      <c r="AL113" s="9"/>
      <c r="AM113" s="9"/>
      <c r="AN113" s="9"/>
      <c r="AO113" s="9"/>
      <c r="AP113" s="9"/>
      <c r="AQ113" s="9"/>
      <c r="AR113" s="9"/>
      <c r="AS113" s="9"/>
      <c r="AT113" s="9"/>
      <c r="AU113" s="9"/>
      <c r="AV113" s="9"/>
      <c r="AW113" s="9"/>
      <c r="AX113" s="9"/>
      <c r="AY113" s="9"/>
      <c r="AZ113" s="9"/>
      <c r="BA113" s="9"/>
    </row>
    <row r="114" spans="1:53" ht="16.5" thickBot="1" x14ac:dyDescent="0.25">
      <c r="A114" s="1050"/>
      <c r="B114" s="10"/>
      <c r="C114" s="10"/>
      <c r="D114" s="1701" t="s">
        <v>1302</v>
      </c>
      <c r="E114" s="1701"/>
      <c r="F114" s="1701"/>
      <c r="G114" s="1701"/>
      <c r="H114" s="1701"/>
      <c r="I114" s="1701"/>
      <c r="J114" s="1119"/>
      <c r="K114" s="1127"/>
      <c r="L114" s="1127"/>
      <c r="M114" s="1132">
        <f>S114-O114-Q114</f>
        <v>0</v>
      </c>
      <c r="N114" s="1133"/>
      <c r="O114" s="1132">
        <f>(INDEX(TierSplit!CN:CN,MATCH(Import_LA_Code,Ref_LA_Codes2,0))*S114)</f>
        <v>0</v>
      </c>
      <c r="P114" s="1133"/>
      <c r="Q114" s="1132">
        <f>(INDEX(TierSplit!CQ:CQ,MATCH(Import_LA_Code,Ref_LA_Codes2,0))*S114)</f>
        <v>0</v>
      </c>
      <c r="R114" s="1133"/>
      <c r="S114" s="1132">
        <f>+K56</f>
        <v>0</v>
      </c>
      <c r="T114" s="1119"/>
      <c r="U114" s="1052"/>
      <c r="V114" s="8"/>
      <c r="W114" s="1067">
        <f>+IF(M114+O114-Q114-S114=0,0,1)</f>
        <v>0</v>
      </c>
      <c r="X114" s="9"/>
      <c r="Y114" s="1136"/>
      <c r="Z114" s="91"/>
      <c r="AA114" s="91"/>
      <c r="AB114" s="91"/>
      <c r="AC114" s="91"/>
      <c r="AD114" s="91"/>
      <c r="AE114" s="91"/>
      <c r="AF114" s="9"/>
      <c r="AG114" s="9"/>
      <c r="AH114" s="9"/>
      <c r="AI114" s="9"/>
      <c r="AJ114" s="9"/>
      <c r="AK114" s="9"/>
      <c r="AL114" s="9"/>
      <c r="AM114" s="9"/>
      <c r="AN114" s="9"/>
      <c r="AO114" s="9"/>
      <c r="AP114" s="9"/>
      <c r="AQ114" s="9"/>
      <c r="AR114" s="9"/>
      <c r="AS114" s="9"/>
      <c r="AT114" s="9"/>
      <c r="AU114" s="9"/>
      <c r="AV114" s="9"/>
      <c r="AW114" s="9"/>
      <c r="AX114" s="9"/>
      <c r="AY114" s="9"/>
      <c r="AZ114" s="9"/>
      <c r="BA114" s="9"/>
    </row>
    <row r="115" spans="1:53" ht="15.75" thickBot="1" x14ac:dyDescent="0.25">
      <c r="A115" s="1050"/>
      <c r="B115" s="10"/>
      <c r="C115" s="10"/>
      <c r="D115" s="1701"/>
      <c r="E115" s="1701"/>
      <c r="F115" s="1701"/>
      <c r="G115" s="1701"/>
      <c r="H115" s="1701"/>
      <c r="I115" s="1701"/>
      <c r="J115" s="1119"/>
      <c r="K115" s="1127"/>
      <c r="L115" s="1127"/>
      <c r="M115" s="1133"/>
      <c r="N115" s="1133"/>
      <c r="O115" s="1133"/>
      <c r="P115" s="1133"/>
      <c r="Q115" s="1133"/>
      <c r="R115" s="1133"/>
      <c r="S115" s="1133"/>
      <c r="T115" s="1119"/>
      <c r="U115" s="1052"/>
      <c r="V115" s="8"/>
      <c r="W115" s="1067"/>
      <c r="X115" s="9"/>
      <c r="Y115" s="91"/>
      <c r="Z115" s="91"/>
      <c r="AA115" s="91"/>
      <c r="AB115" s="91"/>
      <c r="AC115" s="91"/>
      <c r="AD115" s="91"/>
      <c r="AE115" s="91"/>
      <c r="AF115" s="9"/>
      <c r="AG115" s="9"/>
      <c r="AH115" s="9"/>
      <c r="AI115" s="9"/>
      <c r="AJ115" s="9"/>
      <c r="AK115" s="9"/>
      <c r="AL115" s="9"/>
      <c r="AM115" s="9"/>
      <c r="AN115" s="9"/>
      <c r="AO115" s="9"/>
      <c r="AP115" s="9"/>
      <c r="AQ115" s="9"/>
      <c r="AR115" s="9"/>
      <c r="AS115" s="9"/>
      <c r="AT115" s="9"/>
      <c r="AU115" s="9"/>
      <c r="AV115" s="9"/>
      <c r="AW115" s="9"/>
      <c r="AX115" s="9"/>
      <c r="AY115" s="9"/>
      <c r="AZ115" s="9"/>
      <c r="BA115" s="9"/>
    </row>
    <row r="116" spans="1:53" ht="16.5" thickBot="1" x14ac:dyDescent="0.25">
      <c r="A116" s="1050"/>
      <c r="B116" s="10"/>
      <c r="C116" s="10"/>
      <c r="D116" s="1703" t="s">
        <v>1303</v>
      </c>
      <c r="E116" s="1703"/>
      <c r="F116" s="1703"/>
      <c r="G116" s="1703"/>
      <c r="H116" s="1703"/>
      <c r="I116" s="1703"/>
      <c r="J116" s="1119"/>
      <c r="K116" s="1127"/>
      <c r="L116" s="1127"/>
      <c r="M116" s="1132">
        <f>+S116-O116-Q116</f>
        <v>0</v>
      </c>
      <c r="N116" s="1133"/>
      <c r="O116" s="1132">
        <f>IF(Local_Share_Total=1,0,ROUND(+('Part 2'!G119+'Part 2'!S119)*O96,0)*-1)</f>
        <v>0</v>
      </c>
      <c r="P116" s="1133"/>
      <c r="Q116" s="1132">
        <f>IF(Local_Share_Total=1,0,ROUND(+('Part 2'!G119+'Part 2'!S119)*Q96,0)*-1)</f>
        <v>0</v>
      </c>
      <c r="R116" s="1133"/>
      <c r="S116" s="1132">
        <f>+'Part 3'!M53</f>
        <v>0</v>
      </c>
      <c r="T116" s="1119"/>
      <c r="U116" s="67"/>
      <c r="V116" s="8"/>
      <c r="W116" s="1067">
        <f>+IF(M116+O116+Q116-S116=0,0,1)</f>
        <v>0</v>
      </c>
      <c r="X116" s="9"/>
      <c r="Y116" s="91"/>
      <c r="Z116" s="91"/>
      <c r="AA116" s="91"/>
      <c r="AB116" s="91"/>
      <c r="AC116" s="91"/>
      <c r="AD116" s="91"/>
      <c r="AE116" s="91"/>
      <c r="AF116" s="9"/>
      <c r="AG116" s="9"/>
      <c r="AH116" s="9"/>
      <c r="AI116" s="9"/>
      <c r="AJ116" s="9"/>
      <c r="AK116" s="9"/>
      <c r="AL116" s="9"/>
      <c r="AM116" s="9"/>
      <c r="AN116" s="9"/>
      <c r="AO116" s="9"/>
      <c r="AP116" s="9"/>
      <c r="AQ116" s="9"/>
      <c r="AR116" s="9"/>
      <c r="AS116" s="9"/>
      <c r="AT116" s="9"/>
      <c r="AU116" s="9"/>
      <c r="AV116" s="9"/>
      <c r="AW116" s="9"/>
      <c r="AX116" s="9"/>
      <c r="AY116" s="9"/>
      <c r="AZ116" s="9"/>
      <c r="BA116" s="9"/>
    </row>
    <row r="117" spans="1:53" ht="16.5" thickBot="1" x14ac:dyDescent="0.25">
      <c r="A117" s="1050"/>
      <c r="B117" s="10"/>
      <c r="C117" s="10"/>
      <c r="D117" s="10"/>
      <c r="E117" s="10"/>
      <c r="F117" s="10"/>
      <c r="G117" s="10"/>
      <c r="H117" s="10"/>
      <c r="I117" s="10"/>
      <c r="J117" s="1119"/>
      <c r="K117" s="1122"/>
      <c r="L117" s="1122"/>
      <c r="M117" s="1137"/>
      <c r="N117" s="1138"/>
      <c r="O117" s="1137"/>
      <c r="P117" s="1138"/>
      <c r="Q117" s="1137"/>
      <c r="R117" s="1138"/>
      <c r="S117" s="1138"/>
      <c r="T117" s="1119"/>
      <c r="U117" s="1051"/>
      <c r="V117" s="8"/>
      <c r="W117" s="1067"/>
      <c r="X117" s="9"/>
      <c r="Y117" s="91"/>
      <c r="Z117" s="91"/>
      <c r="AA117" s="91"/>
      <c r="AB117" s="91"/>
      <c r="AC117" s="91"/>
      <c r="AD117" s="91"/>
      <c r="AE117" s="91"/>
      <c r="AF117" s="9"/>
      <c r="AG117" s="9"/>
      <c r="AH117" s="9"/>
      <c r="AI117" s="9"/>
      <c r="AJ117" s="9"/>
      <c r="AK117" s="9"/>
      <c r="AL117" s="9"/>
      <c r="AM117" s="9"/>
      <c r="AN117" s="9"/>
      <c r="AO117" s="9"/>
      <c r="AP117" s="9"/>
      <c r="AQ117" s="9"/>
      <c r="AR117" s="9"/>
      <c r="AS117" s="9"/>
      <c r="AT117" s="9"/>
      <c r="AU117" s="9"/>
      <c r="AV117" s="9"/>
      <c r="AW117" s="9"/>
      <c r="AX117" s="9"/>
      <c r="AY117" s="9"/>
      <c r="AZ117" s="9"/>
      <c r="BA117" s="9"/>
    </row>
    <row r="118" spans="1:53" ht="16.5" thickBot="1" x14ac:dyDescent="0.25">
      <c r="A118" s="1050"/>
      <c r="B118" s="10"/>
      <c r="C118" s="10"/>
      <c r="D118" s="1703" t="s">
        <v>1304</v>
      </c>
      <c r="E118" s="1703"/>
      <c r="F118" s="1703"/>
      <c r="G118" s="1703"/>
      <c r="H118" s="1703"/>
      <c r="I118" s="1703"/>
      <c r="J118" s="1119"/>
      <c r="K118" s="1122"/>
      <c r="L118" s="1122"/>
      <c r="M118" s="1132">
        <f>+K44</f>
        <v>0</v>
      </c>
      <c r="N118" s="1133"/>
      <c r="O118" s="1133"/>
      <c r="P118" s="1133"/>
      <c r="Q118" s="1133"/>
      <c r="R118" s="1133"/>
      <c r="S118" s="1132">
        <f>+M118</f>
        <v>0</v>
      </c>
      <c r="T118" s="1119"/>
      <c r="U118" s="67"/>
      <c r="V118" s="8"/>
      <c r="W118" s="1067">
        <f>+IF(M118-S118=0,0,1)</f>
        <v>0</v>
      </c>
      <c r="X118" s="9"/>
      <c r="Y118" s="91"/>
      <c r="Z118" s="91"/>
      <c r="AA118" s="91"/>
      <c r="AB118" s="91"/>
      <c r="AC118" s="91"/>
      <c r="AD118" s="91"/>
      <c r="AE118" s="91"/>
      <c r="AF118" s="9"/>
      <c r="AG118" s="9"/>
      <c r="AH118" s="9"/>
      <c r="AI118" s="9"/>
      <c r="AJ118" s="9"/>
      <c r="AK118" s="9"/>
      <c r="AL118" s="9"/>
      <c r="AM118" s="9"/>
      <c r="AN118" s="9"/>
      <c r="AO118" s="9"/>
      <c r="AP118" s="9"/>
      <c r="AQ118" s="9"/>
      <c r="AR118" s="9"/>
      <c r="AS118" s="9"/>
      <c r="AT118" s="9"/>
      <c r="AU118" s="9"/>
      <c r="AV118" s="9"/>
      <c r="AW118" s="9"/>
      <c r="AX118" s="9"/>
      <c r="AY118" s="9"/>
      <c r="AZ118" s="9"/>
      <c r="BA118" s="9"/>
    </row>
    <row r="119" spans="1:53" ht="15.75" thickBot="1" x14ac:dyDescent="0.25">
      <c r="A119" s="1050"/>
      <c r="B119" s="10"/>
      <c r="C119" s="10"/>
      <c r="D119" s="19"/>
      <c r="E119" s="10"/>
      <c r="F119" s="10"/>
      <c r="G119" s="10"/>
      <c r="H119" s="10"/>
      <c r="I119" s="10"/>
      <c r="J119" s="1119"/>
      <c r="K119" s="1122"/>
      <c r="L119" s="1122"/>
      <c r="M119" s="1138"/>
      <c r="N119" s="1138"/>
      <c r="O119" s="1138"/>
      <c r="P119" s="1138"/>
      <c r="Q119" s="1138"/>
      <c r="R119" s="1138"/>
      <c r="S119" s="1138"/>
      <c r="T119" s="1119"/>
      <c r="U119" s="1051"/>
      <c r="V119" s="8"/>
      <c r="W119" s="1067"/>
      <c r="X119" s="9"/>
      <c r="Y119" s="91"/>
      <c r="Z119" s="91"/>
      <c r="AA119" s="91"/>
      <c r="AB119" s="91"/>
      <c r="AC119" s="91"/>
      <c r="AD119" s="91"/>
      <c r="AE119" s="91"/>
      <c r="AF119" s="9"/>
      <c r="AG119" s="9"/>
      <c r="AH119" s="9"/>
      <c r="AI119" s="9"/>
      <c r="AJ119" s="9"/>
      <c r="AK119" s="9"/>
      <c r="AL119" s="9"/>
      <c r="AM119" s="9"/>
      <c r="AN119" s="9"/>
      <c r="AO119" s="9"/>
      <c r="AP119" s="9"/>
      <c r="AQ119" s="9"/>
      <c r="AR119" s="9"/>
      <c r="AS119" s="9"/>
      <c r="AT119" s="9"/>
      <c r="AU119" s="9"/>
      <c r="AV119" s="9"/>
      <c r="AW119" s="9"/>
      <c r="AX119" s="9"/>
      <c r="AY119" s="9"/>
      <c r="AZ119" s="9"/>
      <c r="BA119" s="9"/>
    </row>
    <row r="120" spans="1:53" ht="16.5" thickBot="1" x14ac:dyDescent="0.25">
      <c r="A120" s="1050"/>
      <c r="B120" s="10"/>
      <c r="C120" s="10"/>
      <c r="D120" s="1715" t="s">
        <v>2216</v>
      </c>
      <c r="E120" s="1715"/>
      <c r="F120" s="1715"/>
      <c r="G120" s="1715"/>
      <c r="H120" s="1715"/>
      <c r="I120" s="1715"/>
      <c r="J120" s="1119"/>
      <c r="K120" s="1122"/>
      <c r="L120" s="1122"/>
      <c r="M120" s="1139">
        <f>+S120</f>
        <v>0</v>
      </c>
      <c r="N120" s="1133"/>
      <c r="O120" s="1140"/>
      <c r="P120" s="1133"/>
      <c r="Q120" s="1140"/>
      <c r="R120" s="1133"/>
      <c r="S120" s="1139">
        <f>'Part 3'!M56</f>
        <v>0</v>
      </c>
      <c r="T120" s="1119"/>
      <c r="U120" s="1051"/>
      <c r="V120" s="8"/>
      <c r="W120" s="1067">
        <f>+IF(M120-S120=0,0,1)</f>
        <v>0</v>
      </c>
      <c r="X120" s="9"/>
      <c r="Y120" s="91"/>
      <c r="Z120" s="91"/>
      <c r="AA120" s="91"/>
      <c r="AB120" s="91"/>
      <c r="AC120" s="91"/>
      <c r="AD120" s="91"/>
      <c r="AE120" s="91"/>
      <c r="AF120" s="9"/>
      <c r="AG120" s="9"/>
      <c r="AH120" s="9"/>
      <c r="AI120" s="9"/>
      <c r="AJ120" s="9"/>
      <c r="AK120" s="9"/>
      <c r="AL120" s="9"/>
      <c r="AM120" s="9"/>
      <c r="AN120" s="9"/>
      <c r="AO120" s="9"/>
      <c r="AP120" s="9"/>
      <c r="AQ120" s="9"/>
      <c r="AR120" s="9"/>
      <c r="AS120" s="9"/>
      <c r="AT120" s="9"/>
      <c r="AU120" s="9"/>
      <c r="AV120" s="9"/>
      <c r="AW120" s="9"/>
      <c r="AX120" s="9"/>
      <c r="AY120" s="9"/>
      <c r="AZ120" s="9"/>
      <c r="BA120" s="9"/>
    </row>
    <row r="121" spans="1:53" ht="15.75" x14ac:dyDescent="0.2">
      <c r="A121" s="1050"/>
      <c r="B121" s="10"/>
      <c r="C121" s="10"/>
      <c r="D121" s="10"/>
      <c r="E121" s="10"/>
      <c r="F121" s="10"/>
      <c r="G121" s="10"/>
      <c r="H121" s="10"/>
      <c r="I121" s="10"/>
      <c r="J121" s="1119"/>
      <c r="K121" s="1122"/>
      <c r="L121" s="1122"/>
      <c r="M121" s="1123"/>
      <c r="N121" s="1122"/>
      <c r="O121" s="1123"/>
      <c r="P121" s="1122"/>
      <c r="Q121" s="1123"/>
      <c r="R121" s="1122"/>
      <c r="S121" s="1123"/>
      <c r="T121" s="1119"/>
      <c r="U121" s="1051"/>
      <c r="V121" s="8"/>
      <c r="W121" s="1067"/>
      <c r="X121" s="9"/>
      <c r="Y121" s="91"/>
      <c r="Z121" s="91"/>
      <c r="AA121" s="91"/>
      <c r="AB121" s="91"/>
      <c r="AC121" s="91"/>
      <c r="AD121" s="91"/>
      <c r="AE121" s="91"/>
      <c r="AF121" s="9"/>
      <c r="AG121" s="9"/>
      <c r="AH121" s="9"/>
      <c r="AI121" s="9"/>
      <c r="AJ121" s="9"/>
      <c r="AK121" s="9"/>
      <c r="AL121" s="9"/>
      <c r="AM121" s="9"/>
      <c r="AN121" s="9"/>
      <c r="AO121" s="9"/>
      <c r="AP121" s="9"/>
      <c r="AQ121" s="9"/>
      <c r="AR121" s="9"/>
      <c r="AS121" s="9"/>
      <c r="AT121" s="9"/>
      <c r="AU121" s="9"/>
      <c r="AV121" s="9"/>
      <c r="AW121" s="9"/>
      <c r="AX121" s="9"/>
      <c r="AY121" s="9"/>
      <c r="AZ121" s="9"/>
      <c r="BA121" s="9"/>
    </row>
    <row r="122" spans="1:53" ht="15.75" x14ac:dyDescent="0.25">
      <c r="A122" s="1050"/>
      <c r="B122" s="10"/>
      <c r="C122" s="12" t="s">
        <v>28</v>
      </c>
      <c r="D122" s="10"/>
      <c r="E122" s="10"/>
      <c r="F122" s="10"/>
      <c r="G122" s="10"/>
      <c r="H122" s="10"/>
      <c r="I122" s="10"/>
      <c r="J122" s="1119"/>
      <c r="K122" s="1124" t="s">
        <v>681</v>
      </c>
      <c r="L122" s="1121"/>
      <c r="M122" s="1124" t="s">
        <v>681</v>
      </c>
      <c r="N122" s="1122"/>
      <c r="O122" s="1124" t="s">
        <v>681</v>
      </c>
      <c r="P122" s="1122"/>
      <c r="Q122" s="1124" t="s">
        <v>681</v>
      </c>
      <c r="R122" s="1121"/>
      <c r="S122" s="1124" t="s">
        <v>681</v>
      </c>
      <c r="T122" s="1119"/>
      <c r="U122" s="1051"/>
      <c r="V122" s="8"/>
      <c r="W122" s="1067"/>
      <c r="X122" s="9"/>
      <c r="Y122" s="91"/>
      <c r="Z122" s="91"/>
      <c r="AA122" s="91"/>
      <c r="AB122" s="91"/>
      <c r="AC122" s="91"/>
      <c r="AD122" s="91"/>
      <c r="AE122" s="91"/>
      <c r="AF122" s="9"/>
      <c r="AG122" s="9"/>
      <c r="AH122" s="9"/>
      <c r="AI122" s="9"/>
      <c r="AJ122" s="9"/>
      <c r="AK122" s="9"/>
      <c r="AL122" s="9"/>
      <c r="AM122" s="9"/>
      <c r="AN122" s="9"/>
      <c r="AO122" s="9"/>
      <c r="AP122" s="9"/>
      <c r="AQ122" s="9"/>
      <c r="AR122" s="9"/>
      <c r="AS122" s="9"/>
      <c r="AT122" s="9"/>
      <c r="AU122" s="9"/>
      <c r="AV122" s="9"/>
      <c r="AW122" s="9"/>
      <c r="AX122" s="9"/>
      <c r="AY122" s="9"/>
      <c r="AZ122" s="9"/>
      <c r="BA122" s="9"/>
    </row>
    <row r="123" spans="1:53" ht="16.5" thickBot="1" x14ac:dyDescent="0.3">
      <c r="A123" s="1141"/>
      <c r="B123" s="1142"/>
      <c r="C123" s="1143"/>
      <c r="D123" s="1142"/>
      <c r="E123" s="1142"/>
      <c r="F123" s="1142"/>
      <c r="G123" s="1142"/>
      <c r="H123" s="1142"/>
      <c r="I123" s="1142"/>
      <c r="J123" s="1144"/>
      <c r="K123" s="1145"/>
      <c r="L123" s="1146"/>
      <c r="M123" s="1145"/>
      <c r="N123" s="1147"/>
      <c r="O123" s="1145"/>
      <c r="P123" s="1147"/>
      <c r="Q123" s="1145"/>
      <c r="R123" s="1146"/>
      <c r="S123" s="1145"/>
      <c r="T123" s="1119"/>
      <c r="U123" s="1052"/>
      <c r="V123" s="8"/>
      <c r="W123" s="1067"/>
      <c r="X123" s="9"/>
      <c r="Y123" s="91"/>
      <c r="Z123" s="91"/>
      <c r="AA123" s="91"/>
      <c r="AB123" s="91"/>
      <c r="AC123" s="91"/>
      <c r="AD123" s="91"/>
      <c r="AE123" s="91"/>
      <c r="AF123" s="9"/>
      <c r="AG123" s="9"/>
      <c r="AH123" s="9"/>
      <c r="AI123" s="9"/>
      <c r="AJ123" s="9"/>
      <c r="AK123" s="9"/>
      <c r="AL123" s="9"/>
      <c r="AM123" s="9"/>
      <c r="AN123" s="9"/>
      <c r="AO123" s="9"/>
      <c r="AP123" s="9"/>
      <c r="AQ123" s="9"/>
      <c r="AR123" s="9"/>
      <c r="AS123" s="9"/>
      <c r="AT123" s="9"/>
      <c r="AU123" s="9"/>
      <c r="AV123" s="9"/>
      <c r="AW123" s="9"/>
      <c r="AX123" s="9"/>
      <c r="AY123" s="9"/>
      <c r="AZ123" s="9"/>
      <c r="BA123" s="9"/>
    </row>
    <row r="124" spans="1:53" s="1244" customFormat="1" ht="16.5" thickBot="1" x14ac:dyDescent="0.25">
      <c r="A124" s="1141"/>
      <c r="B124" s="1148"/>
      <c r="C124" s="1148"/>
      <c r="D124" s="1724" t="s">
        <v>3091</v>
      </c>
      <c r="E124" s="1724"/>
      <c r="F124" s="1724"/>
      <c r="G124" s="1724"/>
      <c r="H124" s="1142"/>
      <c r="I124" s="1142"/>
      <c r="J124" s="1149"/>
      <c r="K124" s="1126" t="e">
        <f>S124-Q124-O124-M124</f>
        <v>#N/A</v>
      </c>
      <c r="L124" s="1131"/>
      <c r="M124" s="1126" t="e">
        <f>S124*INDEX(TierSplit!K:K,MATCH(Import_LA_Code,Ref_LA_Codes2,0))</f>
        <v>#N/A</v>
      </c>
      <c r="N124" s="1131"/>
      <c r="O124" s="1126" t="e">
        <f>S124*INDEX(TierSplit!N:N,MATCH(Import_LA_Code,Ref_LA_Codes2,0))</f>
        <v>#N/A</v>
      </c>
      <c r="P124" s="1131"/>
      <c r="Q124" s="1126" t="e">
        <f>S124*INDEX(TierSplit!Q:Q,MATCH(Import_LA_Code,Ref_LA_Codes2,0))</f>
        <v>#N/A</v>
      </c>
      <c r="R124" s="1131"/>
      <c r="S124" s="1126" t="e">
        <f>'Part 4'!J58</f>
        <v>#N/A</v>
      </c>
      <c r="T124" s="1150"/>
      <c r="U124" s="1151"/>
      <c r="V124" s="1041"/>
      <c r="W124" s="1067"/>
      <c r="X124" s="9"/>
      <c r="Y124" s="1152"/>
      <c r="Z124" s="1152"/>
      <c r="AA124" s="1152"/>
      <c r="AB124" s="1152"/>
      <c r="AC124" s="1152"/>
      <c r="AD124" s="1152"/>
      <c r="AE124" s="1152"/>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row>
    <row r="125" spans="1:53" x14ac:dyDescent="0.2">
      <c r="A125" s="1050"/>
      <c r="B125" s="10"/>
      <c r="C125" s="10"/>
      <c r="D125" s="1724"/>
      <c r="E125" s="1724"/>
      <c r="F125" s="1724"/>
      <c r="G125" s="1724"/>
      <c r="H125" s="10"/>
      <c r="I125" s="10"/>
      <c r="J125" s="1119"/>
      <c r="K125" s="1127"/>
      <c r="L125" s="1127"/>
      <c r="M125" s="1127"/>
      <c r="N125" s="1127"/>
      <c r="O125" s="1127"/>
      <c r="P125" s="1127"/>
      <c r="Q125" s="1127"/>
      <c r="R125" s="1127"/>
      <c r="S125" s="1127"/>
      <c r="T125" s="1119"/>
      <c r="U125" s="1051"/>
      <c r="V125" s="8"/>
      <c r="W125" s="1067"/>
      <c r="X125" s="9"/>
      <c r="Y125" s="91"/>
      <c r="Z125" s="91"/>
      <c r="AA125" s="91"/>
      <c r="AB125" s="91"/>
      <c r="AC125" s="91"/>
      <c r="AD125" s="91"/>
      <c r="AE125" s="91"/>
      <c r="AF125" s="9"/>
      <c r="AG125" s="9"/>
      <c r="AH125" s="9"/>
      <c r="AI125" s="9"/>
      <c r="AJ125" s="9"/>
      <c r="AK125" s="9"/>
      <c r="AL125" s="9"/>
      <c r="AM125" s="9"/>
      <c r="AN125" s="9"/>
      <c r="AO125" s="9"/>
      <c r="AP125" s="9"/>
      <c r="AQ125" s="9"/>
      <c r="AR125" s="9"/>
      <c r="AS125" s="9"/>
      <c r="AT125" s="9"/>
      <c r="AU125" s="9"/>
      <c r="AV125" s="9"/>
      <c r="AW125" s="9"/>
      <c r="AX125" s="9"/>
      <c r="AY125" s="9"/>
      <c r="AZ125" s="9"/>
      <c r="BA125" s="9"/>
    </row>
    <row r="126" spans="1:53" ht="15.75" thickBot="1" x14ac:dyDescent="0.25">
      <c r="A126" s="1050"/>
      <c r="B126" s="10"/>
      <c r="C126" s="10"/>
      <c r="D126" s="10"/>
      <c r="E126" s="10"/>
      <c r="F126" s="10"/>
      <c r="G126" s="10"/>
      <c r="H126" s="10"/>
      <c r="I126" s="10"/>
      <c r="J126" s="1119"/>
      <c r="K126" s="1127"/>
      <c r="L126" s="1127"/>
      <c r="M126" s="1127"/>
      <c r="N126" s="1127"/>
      <c r="O126" s="1127"/>
      <c r="P126" s="1127"/>
      <c r="Q126" s="1127"/>
      <c r="R126" s="1127"/>
      <c r="S126" s="1127"/>
      <c r="T126" s="1119"/>
      <c r="U126" s="1052"/>
      <c r="V126" s="8"/>
      <c r="W126" s="1073" t="e">
        <f>IF(AND(K96=0,K60-M100-O100-Q100&lt;&gt;0),0,+IF(ROUND(K124+M124+O124+Q124,0)-ROUND(S124,0)=0,0,1))</f>
        <v>#N/A</v>
      </c>
      <c r="X126" s="91"/>
      <c r="Y126" s="91"/>
      <c r="Z126" s="91"/>
      <c r="AA126" s="91"/>
      <c r="AB126" s="91"/>
      <c r="AC126" s="91"/>
      <c r="AD126" s="91"/>
      <c r="AE126" s="91"/>
      <c r="AF126" s="9"/>
      <c r="AG126" s="9"/>
      <c r="AH126" s="9"/>
      <c r="AI126" s="9"/>
      <c r="AJ126" s="9"/>
      <c r="AK126" s="9"/>
      <c r="AL126" s="9"/>
      <c r="AM126" s="9"/>
      <c r="AN126" s="9"/>
      <c r="AO126" s="9"/>
      <c r="AP126" s="9"/>
      <c r="AQ126" s="9"/>
      <c r="AR126" s="9"/>
      <c r="AS126" s="9"/>
      <c r="AT126" s="9"/>
      <c r="AU126" s="9"/>
      <c r="AV126" s="9"/>
      <c r="AW126" s="9"/>
      <c r="AX126" s="9"/>
      <c r="AY126" s="9"/>
      <c r="AZ126" s="9"/>
      <c r="BA126" s="9"/>
    </row>
    <row r="127" spans="1:53" x14ac:dyDescent="0.2">
      <c r="A127" s="1050"/>
      <c r="B127" s="1153"/>
      <c r="C127" s="1154"/>
      <c r="D127" s="1154"/>
      <c r="E127" s="1154"/>
      <c r="F127" s="1154"/>
      <c r="G127" s="1154"/>
      <c r="H127" s="1154"/>
      <c r="I127" s="1154"/>
      <c r="J127" s="1155"/>
      <c r="K127" s="1156"/>
      <c r="L127" s="1156"/>
      <c r="M127" s="1156"/>
      <c r="N127" s="1156"/>
      <c r="O127" s="1156"/>
      <c r="P127" s="1156"/>
      <c r="Q127" s="1156"/>
      <c r="R127" s="1156"/>
      <c r="S127" s="1156"/>
      <c r="T127" s="1157"/>
      <c r="U127" s="1051"/>
      <c r="V127" s="8"/>
      <c r="W127" s="1158"/>
      <c r="X127" s="9"/>
      <c r="Y127" s="91"/>
      <c r="Z127" s="91"/>
      <c r="AA127" s="91"/>
      <c r="AB127" s="91"/>
      <c r="AC127" s="91"/>
      <c r="AD127" s="91"/>
      <c r="AE127" s="91"/>
      <c r="AF127" s="9"/>
      <c r="AG127" s="9"/>
      <c r="AH127" s="9"/>
      <c r="AI127" s="9"/>
      <c r="AJ127" s="9"/>
      <c r="AK127" s="9"/>
      <c r="AL127" s="9"/>
      <c r="AM127" s="9"/>
      <c r="AN127" s="9"/>
      <c r="AO127" s="9"/>
      <c r="AP127" s="9"/>
      <c r="AQ127" s="9"/>
      <c r="AR127" s="9"/>
      <c r="AS127" s="9"/>
      <c r="AT127" s="9"/>
      <c r="AU127" s="9"/>
      <c r="AV127" s="9"/>
      <c r="AW127" s="9"/>
      <c r="AX127" s="9"/>
      <c r="AY127" s="9"/>
      <c r="AZ127" s="9"/>
      <c r="BA127" s="9"/>
    </row>
    <row r="128" spans="1:53" ht="16.5" thickBot="1" x14ac:dyDescent="0.3">
      <c r="A128" s="1050"/>
      <c r="B128" s="1159"/>
      <c r="C128" s="14" t="s">
        <v>700</v>
      </c>
      <c r="D128" s="8"/>
      <c r="E128" s="8"/>
      <c r="F128" s="8"/>
      <c r="G128" s="8"/>
      <c r="H128" s="8"/>
      <c r="I128" s="8"/>
      <c r="J128" s="1119"/>
      <c r="K128" s="1160" t="s">
        <v>681</v>
      </c>
      <c r="L128" s="1127"/>
      <c r="M128" s="1160" t="s">
        <v>681</v>
      </c>
      <c r="N128" s="1127"/>
      <c r="O128" s="1160" t="s">
        <v>681</v>
      </c>
      <c r="P128" s="1127"/>
      <c r="Q128" s="1160" t="s">
        <v>681</v>
      </c>
      <c r="R128" s="1127"/>
      <c r="S128" s="1160" t="s">
        <v>681</v>
      </c>
      <c r="T128" s="1161"/>
      <c r="U128" s="1051"/>
      <c r="V128" s="8"/>
      <c r="W128" s="1158"/>
      <c r="X128" s="9"/>
      <c r="Y128" s="91"/>
      <c r="Z128" s="91"/>
      <c r="AA128" s="91"/>
      <c r="AB128" s="91"/>
      <c r="AC128" s="91"/>
      <c r="AD128" s="91"/>
      <c r="AE128" s="91"/>
      <c r="AF128" s="9"/>
      <c r="AG128" s="9"/>
      <c r="AH128" s="9"/>
      <c r="AI128" s="9"/>
      <c r="AJ128" s="9"/>
      <c r="AK128" s="9"/>
      <c r="AL128" s="9"/>
      <c r="AM128" s="9"/>
      <c r="AN128" s="9"/>
      <c r="AO128" s="9"/>
      <c r="AP128" s="9"/>
      <c r="AQ128" s="9"/>
      <c r="AR128" s="9"/>
      <c r="AS128" s="9"/>
      <c r="AT128" s="9"/>
      <c r="AU128" s="9"/>
      <c r="AV128" s="9"/>
      <c r="AW128" s="9"/>
      <c r="AX128" s="9"/>
      <c r="AY128" s="9"/>
      <c r="AZ128" s="9"/>
      <c r="BA128" s="9"/>
    </row>
    <row r="129" spans="1:53" ht="16.5" thickBot="1" x14ac:dyDescent="0.25">
      <c r="A129" s="1050"/>
      <c r="B129" s="1159"/>
      <c r="C129" s="1704" t="s">
        <v>2217</v>
      </c>
      <c r="D129" s="1704"/>
      <c r="E129" s="1704"/>
      <c r="F129" s="1704"/>
      <c r="G129" s="1704"/>
      <c r="H129" s="1704"/>
      <c r="I129" s="1704"/>
      <c r="J129" s="1119"/>
      <c r="K129" s="1126" t="e">
        <f>ROUND(+K105+K124,0)</f>
        <v>#N/A</v>
      </c>
      <c r="L129" s="1127"/>
      <c r="M129" s="1126" t="e">
        <f>ROUND(+M105+M108+M110+M112+M114+M116+M118+M120+M124,0)</f>
        <v>#N/A</v>
      </c>
      <c r="N129" s="1127"/>
      <c r="O129" s="1126" t="e">
        <f>ROUND(+O105+O110+O112+O114+O116+O124,0)</f>
        <v>#N/A</v>
      </c>
      <c r="P129" s="1127"/>
      <c r="Q129" s="1126" t="e">
        <f>ROUND(+Q105+Q114+Q116+Q124,0)</f>
        <v>#N/A</v>
      </c>
      <c r="R129" s="1127"/>
      <c r="S129" s="1126" t="e">
        <f>ROUND(+S105+S108+S110+S112+S114+S116+S118+S120+S124,0)</f>
        <v>#N/A</v>
      </c>
      <c r="T129" s="1161"/>
      <c r="U129" s="67"/>
      <c r="V129" s="8"/>
      <c r="W129" s="1158"/>
      <c r="X129" s="91"/>
      <c r="Y129" s="91"/>
      <c r="Z129" s="91"/>
      <c r="AA129" s="91"/>
      <c r="AB129" s="91"/>
      <c r="AC129" s="91"/>
      <c r="AD129" s="91"/>
      <c r="AE129" s="91"/>
      <c r="AF129" s="9"/>
      <c r="AG129" s="9"/>
      <c r="AH129" s="9"/>
      <c r="AI129" s="9"/>
      <c r="AJ129" s="9"/>
      <c r="AK129" s="9"/>
      <c r="AL129" s="9"/>
      <c r="AM129" s="9"/>
      <c r="AN129" s="9"/>
      <c r="AO129" s="9"/>
      <c r="AP129" s="9"/>
      <c r="AQ129" s="9"/>
      <c r="AR129" s="9"/>
      <c r="AS129" s="9"/>
      <c r="AT129" s="9"/>
      <c r="AU129" s="9"/>
      <c r="AV129" s="9"/>
      <c r="AW129" s="9"/>
      <c r="AX129" s="9"/>
      <c r="AY129" s="9"/>
      <c r="AZ129" s="9"/>
      <c r="BA129" s="9"/>
    </row>
    <row r="130" spans="1:53" s="1659" customFormat="1" ht="15.75" thickBot="1" x14ac:dyDescent="0.25">
      <c r="A130" s="1050"/>
      <c r="B130" s="1162"/>
      <c r="C130" s="1163"/>
      <c r="D130" s="1163"/>
      <c r="E130" s="1163"/>
      <c r="F130" s="1163"/>
      <c r="G130" s="1163"/>
      <c r="H130" s="1163"/>
      <c r="I130" s="1163"/>
      <c r="J130" s="1164"/>
      <c r="K130" s="1164"/>
      <c r="L130" s="1164"/>
      <c r="M130" s="1164"/>
      <c r="N130" s="1164"/>
      <c r="O130" s="1164"/>
      <c r="P130" s="1164"/>
      <c r="Q130" s="1164"/>
      <c r="R130" s="1164"/>
      <c r="S130" s="1164"/>
      <c r="T130" s="1165"/>
      <c r="U130" s="1166"/>
      <c r="V130" s="1167"/>
      <c r="W130" s="1168"/>
      <c r="X130" s="1168"/>
      <c r="Y130" s="1169"/>
      <c r="Z130" s="1169"/>
      <c r="AA130" s="1169"/>
      <c r="AB130" s="1169"/>
      <c r="AC130" s="1169"/>
      <c r="AD130" s="1169"/>
      <c r="AE130" s="1169"/>
      <c r="AF130" s="1168"/>
      <c r="AG130" s="1168"/>
      <c r="AH130" s="1168"/>
      <c r="AI130" s="1168"/>
      <c r="AJ130" s="1168"/>
      <c r="AK130" s="1168"/>
      <c r="AL130" s="1168"/>
      <c r="AM130" s="1168"/>
      <c r="AN130" s="1168"/>
      <c r="AO130" s="1168"/>
      <c r="AP130" s="1168"/>
      <c r="AQ130" s="1168"/>
      <c r="AR130" s="1168"/>
      <c r="AS130" s="1168"/>
      <c r="AT130" s="1168"/>
      <c r="AU130" s="1168"/>
      <c r="AV130" s="1168"/>
      <c r="AW130" s="1168"/>
      <c r="AX130" s="1168"/>
      <c r="AY130" s="1168"/>
      <c r="AZ130" s="1168"/>
      <c r="BA130" s="1168"/>
    </row>
    <row r="131" spans="1:53" s="1659" customFormat="1" x14ac:dyDescent="0.2">
      <c r="A131" s="1050"/>
      <c r="B131" s="1170"/>
      <c r="C131" s="1170"/>
      <c r="D131" s="1170"/>
      <c r="E131" s="1170"/>
      <c r="F131" s="1170"/>
      <c r="G131" s="1170"/>
      <c r="H131" s="1170"/>
      <c r="I131" s="1170"/>
      <c r="J131" s="1170"/>
      <c r="K131" s="1170"/>
      <c r="L131" s="1170"/>
      <c r="M131" s="1170"/>
      <c r="N131" s="1170"/>
      <c r="O131" s="1170"/>
      <c r="P131" s="1170"/>
      <c r="Q131" s="1170"/>
      <c r="R131" s="1170"/>
      <c r="S131" s="1170"/>
      <c r="T131" s="1170"/>
      <c r="U131" s="1166"/>
      <c r="V131" s="1167"/>
      <c r="W131" s="1168"/>
      <c r="X131" s="1168"/>
      <c r="Y131" s="1169"/>
      <c r="Z131" s="1169"/>
      <c r="AA131" s="1169"/>
      <c r="AB131" s="1169"/>
      <c r="AC131" s="1169"/>
      <c r="AD131" s="1169"/>
      <c r="AE131" s="1169"/>
      <c r="AF131" s="1168"/>
      <c r="AG131" s="1168"/>
      <c r="AH131" s="1168"/>
      <c r="AI131" s="1168"/>
      <c r="AJ131" s="1168"/>
      <c r="AK131" s="1168"/>
      <c r="AL131" s="1168"/>
      <c r="AM131" s="1168"/>
      <c r="AN131" s="1168"/>
      <c r="AO131" s="1168"/>
      <c r="AP131" s="1168"/>
      <c r="AQ131" s="1168"/>
      <c r="AR131" s="1168"/>
      <c r="AS131" s="1168"/>
      <c r="AT131" s="1168"/>
      <c r="AU131" s="1168"/>
      <c r="AV131" s="1168"/>
      <c r="AW131" s="1168"/>
      <c r="AX131" s="1168"/>
      <c r="AY131" s="1168"/>
      <c r="AZ131" s="1168"/>
      <c r="BA131" s="1168"/>
    </row>
    <row r="132" spans="1:53" s="1659" customFormat="1" x14ac:dyDescent="0.2">
      <c r="A132" s="1086"/>
      <c r="B132" s="1171"/>
      <c r="C132" s="1171"/>
      <c r="D132" s="1171"/>
      <c r="E132" s="1171"/>
      <c r="F132" s="1171"/>
      <c r="G132" s="1171"/>
      <c r="H132" s="1171"/>
      <c r="I132" s="1171"/>
      <c r="J132" s="1171"/>
      <c r="K132" s="1171"/>
      <c r="L132" s="1171"/>
      <c r="M132" s="1171"/>
      <c r="N132" s="1171"/>
      <c r="O132" s="1171"/>
      <c r="P132" s="1171"/>
      <c r="Q132" s="1171"/>
      <c r="R132" s="1171"/>
      <c r="S132" s="1171"/>
      <c r="T132" s="1171"/>
      <c r="U132" s="1172"/>
      <c r="V132" s="1167"/>
      <c r="W132" s="1168"/>
      <c r="X132" s="1168"/>
      <c r="Y132" s="1169"/>
      <c r="Z132" s="1169"/>
      <c r="AA132" s="1169"/>
      <c r="AB132" s="1169"/>
      <c r="AC132" s="1169"/>
      <c r="AD132" s="1169"/>
      <c r="AE132" s="1169"/>
      <c r="AF132" s="1168"/>
      <c r="AG132" s="1168"/>
      <c r="AH132" s="1168"/>
      <c r="AI132" s="1168"/>
      <c r="AJ132" s="1168"/>
      <c r="AK132" s="1168"/>
      <c r="AL132" s="1168"/>
      <c r="AM132" s="1168"/>
      <c r="AN132" s="1168"/>
      <c r="AO132" s="1168"/>
      <c r="AP132" s="1168"/>
      <c r="AQ132" s="1168"/>
      <c r="AR132" s="1168"/>
      <c r="AS132" s="1168"/>
      <c r="AT132" s="1168"/>
      <c r="AU132" s="1168"/>
      <c r="AV132" s="1168"/>
      <c r="AW132" s="1168"/>
      <c r="AX132" s="1168"/>
      <c r="AY132" s="1168"/>
      <c r="AZ132" s="1168"/>
      <c r="BA132" s="1168"/>
    </row>
    <row r="133" spans="1:53" s="1659" customFormat="1" ht="15.75" hidden="1" x14ac:dyDescent="0.25">
      <c r="A133" s="1173"/>
      <c r="B133" s="1174"/>
      <c r="C133" s="1175" t="e">
        <f>+IF(B157=0,"","Please investigate the error messages shown below and make the appropriate changes to the form.  Any comments should be added at the bottom of Part 4")</f>
        <v>#N/A</v>
      </c>
      <c r="D133" s="1176"/>
      <c r="E133" s="1176"/>
      <c r="F133" s="1176"/>
      <c r="G133" s="1176"/>
      <c r="H133" s="1176"/>
      <c r="I133" s="1176"/>
      <c r="J133" s="1176"/>
      <c r="K133" s="1176"/>
      <c r="L133" s="1177"/>
      <c r="M133" s="1177"/>
      <c r="N133" s="1177"/>
      <c r="O133" s="1177"/>
      <c r="P133" s="1177"/>
      <c r="Q133" s="1177"/>
      <c r="R133" s="1177"/>
      <c r="S133" s="1177"/>
      <c r="T133" s="1178"/>
      <c r="U133" s="1179"/>
      <c r="V133" s="1167"/>
      <c r="W133" s="1180"/>
      <c r="X133" s="1168"/>
      <c r="Y133" s="1169"/>
      <c r="Z133" s="1169"/>
      <c r="AA133" s="1169"/>
      <c r="AB133" s="1169"/>
      <c r="AC133" s="1169"/>
      <c r="AD133" s="1169"/>
      <c r="AE133" s="1169"/>
      <c r="AF133" s="1168"/>
      <c r="AG133" s="1168"/>
      <c r="AH133" s="1168"/>
      <c r="AI133" s="1168"/>
      <c r="AJ133" s="1168"/>
      <c r="AK133" s="1168"/>
      <c r="AL133" s="1168"/>
      <c r="AM133" s="1168"/>
      <c r="AN133" s="1168"/>
      <c r="AO133" s="1168"/>
      <c r="AP133" s="1168"/>
      <c r="AQ133" s="1168"/>
      <c r="AR133" s="1168"/>
      <c r="AS133" s="1168"/>
      <c r="AT133" s="1168"/>
      <c r="AU133" s="1168"/>
      <c r="AV133" s="1168"/>
      <c r="AW133" s="1168"/>
      <c r="AX133" s="1168"/>
      <c r="AY133" s="1168"/>
      <c r="AZ133" s="1168"/>
      <c r="BA133" s="1168"/>
    </row>
    <row r="134" spans="1:53" s="1659" customFormat="1" ht="15.75" hidden="1" x14ac:dyDescent="0.25">
      <c r="A134" s="1173"/>
      <c r="B134" s="1181"/>
      <c r="C134" s="1182"/>
      <c r="D134" s="1182"/>
      <c r="E134" s="1182"/>
      <c r="F134" s="1182"/>
      <c r="G134" s="1182"/>
      <c r="H134" s="1182"/>
      <c r="I134" s="1182"/>
      <c r="J134" s="1182"/>
      <c r="K134" s="1182"/>
      <c r="L134" s="1183"/>
      <c r="M134" s="1183"/>
      <c r="N134" s="1183"/>
      <c r="O134" s="1183"/>
      <c r="P134" s="1183"/>
      <c r="Q134" s="1183"/>
      <c r="R134" s="1183"/>
      <c r="S134" s="1183"/>
      <c r="T134" s="1184"/>
      <c r="U134" s="1179"/>
      <c r="V134" s="1167"/>
      <c r="W134" s="1180"/>
      <c r="X134" s="1168"/>
      <c r="Y134" s="1169"/>
      <c r="Z134" s="1169"/>
      <c r="AA134" s="1169"/>
      <c r="AB134" s="1169"/>
      <c r="AC134" s="1169"/>
      <c r="AD134" s="1169"/>
      <c r="AE134" s="1169"/>
      <c r="AF134" s="1168"/>
      <c r="AG134" s="1168"/>
      <c r="AH134" s="1168"/>
      <c r="AI134" s="1168"/>
      <c r="AJ134" s="1168"/>
      <c r="AK134" s="1168"/>
      <c r="AL134" s="1168"/>
      <c r="AM134" s="1168"/>
      <c r="AN134" s="1168"/>
      <c r="AO134" s="1168"/>
      <c r="AP134" s="1168"/>
      <c r="AQ134" s="1168"/>
      <c r="AR134" s="1168"/>
      <c r="AS134" s="1168"/>
      <c r="AT134" s="1168"/>
      <c r="AU134" s="1168"/>
      <c r="AV134" s="1168"/>
      <c r="AW134" s="1168"/>
      <c r="AX134" s="1168"/>
      <c r="AY134" s="1168"/>
      <c r="AZ134" s="1168"/>
      <c r="BA134" s="1168"/>
    </row>
    <row r="135" spans="1:53" s="1659" customFormat="1" ht="15.75" hidden="1" x14ac:dyDescent="0.25">
      <c r="A135" s="1185" t="e">
        <f t="shared" ref="A135:A151" si="1">+IF(C135="",0,1)</f>
        <v>#N/A</v>
      </c>
      <c r="B135" s="1181"/>
      <c r="C135" s="1705" t="e">
        <f>IF(W100=0,"","Line 13 column 5 doesn't equal line 11. Please check why.")</f>
        <v>#N/A</v>
      </c>
      <c r="D135" s="1705"/>
      <c r="E135" s="1705"/>
      <c r="F135" s="1705"/>
      <c r="G135" s="1705"/>
      <c r="H135" s="1705"/>
      <c r="I135" s="1705"/>
      <c r="J135" s="1705"/>
      <c r="K135" s="1705"/>
      <c r="L135" s="1183"/>
      <c r="M135" s="1183"/>
      <c r="N135" s="1183"/>
      <c r="O135" s="1183"/>
      <c r="P135" s="1183"/>
      <c r="Q135" s="1183"/>
      <c r="R135" s="1183"/>
      <c r="S135" s="1183"/>
      <c r="T135" s="1184"/>
      <c r="U135" s="1179"/>
      <c r="V135" s="1167"/>
      <c r="W135" s="1180"/>
      <c r="X135" s="1168"/>
      <c r="Y135" s="1169"/>
      <c r="Z135" s="1169"/>
      <c r="AA135" s="1169"/>
      <c r="AB135" s="1169"/>
      <c r="AC135" s="1169"/>
      <c r="AD135" s="1169"/>
      <c r="AE135" s="1169"/>
      <c r="AF135" s="1168"/>
      <c r="AG135" s="1168"/>
      <c r="AH135" s="1168"/>
      <c r="AI135" s="1168"/>
      <c r="AJ135" s="1168"/>
      <c r="AK135" s="1168"/>
      <c r="AL135" s="1168"/>
      <c r="AM135" s="1168"/>
      <c r="AN135" s="1168"/>
      <c r="AO135" s="1168"/>
      <c r="AP135" s="1168"/>
      <c r="AQ135" s="1168"/>
      <c r="AR135" s="1168"/>
      <c r="AS135" s="1168"/>
      <c r="AT135" s="1168"/>
      <c r="AU135" s="1168"/>
      <c r="AV135" s="1168"/>
      <c r="AW135" s="1168"/>
      <c r="AX135" s="1168"/>
      <c r="AY135" s="1168"/>
      <c r="AZ135" s="1168"/>
      <c r="BA135" s="1168"/>
    </row>
    <row r="136" spans="1:53" s="1659" customFormat="1" ht="15.75" hidden="1" x14ac:dyDescent="0.25">
      <c r="A136" s="1185"/>
      <c r="B136" s="1181"/>
      <c r="C136" s="1705"/>
      <c r="D136" s="1705"/>
      <c r="E136" s="1705"/>
      <c r="F136" s="1705"/>
      <c r="G136" s="1705"/>
      <c r="H136" s="1705"/>
      <c r="I136" s="1705"/>
      <c r="J136" s="1705"/>
      <c r="K136" s="1705"/>
      <c r="L136" s="1183"/>
      <c r="M136" s="1183"/>
      <c r="N136" s="1183"/>
      <c r="O136" s="1183"/>
      <c r="P136" s="1183"/>
      <c r="Q136" s="1183"/>
      <c r="R136" s="1183"/>
      <c r="S136" s="1183"/>
      <c r="T136" s="1184"/>
      <c r="U136" s="1179"/>
      <c r="V136" s="1167"/>
      <c r="W136" s="1180"/>
      <c r="X136" s="1168"/>
      <c r="Y136" s="1169"/>
      <c r="Z136" s="1169"/>
      <c r="AA136" s="1169"/>
      <c r="AB136" s="1169"/>
      <c r="AC136" s="1169"/>
      <c r="AD136" s="1169"/>
      <c r="AE136" s="1169"/>
      <c r="AF136" s="1168"/>
      <c r="AG136" s="1168"/>
      <c r="AH136" s="1168"/>
      <c r="AI136" s="1168"/>
      <c r="AJ136" s="1168"/>
      <c r="AK136" s="1168"/>
      <c r="AL136" s="1168"/>
      <c r="AM136" s="1168"/>
      <c r="AN136" s="1168"/>
      <c r="AO136" s="1168"/>
      <c r="AP136" s="1168"/>
      <c r="AQ136" s="1168"/>
      <c r="AR136" s="1168"/>
      <c r="AS136" s="1168"/>
      <c r="AT136" s="1168"/>
      <c r="AU136" s="1168"/>
      <c r="AV136" s="1168"/>
      <c r="AW136" s="1168"/>
      <c r="AX136" s="1168"/>
      <c r="AY136" s="1168"/>
      <c r="AZ136" s="1168"/>
      <c r="BA136" s="1168"/>
    </row>
    <row r="137" spans="1:53" s="1659" customFormat="1" ht="15.75" hidden="1" x14ac:dyDescent="0.25">
      <c r="A137" s="1185" t="e">
        <f t="shared" si="1"/>
        <v>#N/A</v>
      </c>
      <c r="B137" s="1181"/>
      <c r="C137" s="1186" t="e">
        <f>IF(W102=0,"","Line 14 column 5 doesn't equal the sum of columns 1 to 4. Please check why.")</f>
        <v>#N/A</v>
      </c>
      <c r="D137" s="1186"/>
      <c r="E137" s="1186"/>
      <c r="F137" s="1186"/>
      <c r="G137" s="1186"/>
      <c r="H137" s="1186"/>
      <c r="I137" s="1186"/>
      <c r="J137" s="1186"/>
      <c r="K137" s="1186"/>
      <c r="L137" s="1183"/>
      <c r="M137" s="1183"/>
      <c r="N137" s="1183"/>
      <c r="O137" s="1183"/>
      <c r="P137" s="1183"/>
      <c r="Q137" s="1183"/>
      <c r="R137" s="1183"/>
      <c r="S137" s="1183"/>
      <c r="T137" s="1184"/>
      <c r="U137" s="1179"/>
      <c r="V137" s="1167"/>
      <c r="W137" s="1180"/>
      <c r="X137" s="1168"/>
      <c r="Y137" s="1169"/>
      <c r="Z137" s="1169"/>
      <c r="AA137" s="1169"/>
      <c r="AB137" s="1169"/>
      <c r="AC137" s="1169"/>
      <c r="AD137" s="1169"/>
      <c r="AE137" s="1169"/>
      <c r="AF137" s="1168"/>
      <c r="AG137" s="1168"/>
      <c r="AH137" s="1168"/>
      <c r="AI137" s="1168"/>
      <c r="AJ137" s="1168"/>
      <c r="AK137" s="1168"/>
      <c r="AL137" s="1168"/>
      <c r="AM137" s="1168"/>
      <c r="AN137" s="1168"/>
      <c r="AO137" s="1168"/>
      <c r="AP137" s="1168"/>
      <c r="AQ137" s="1168"/>
      <c r="AR137" s="1168"/>
      <c r="AS137" s="1168"/>
      <c r="AT137" s="1168"/>
      <c r="AU137" s="1168"/>
      <c r="AV137" s="1168"/>
      <c r="AW137" s="1168"/>
      <c r="AX137" s="1168"/>
      <c r="AY137" s="1168"/>
      <c r="AZ137" s="1168"/>
      <c r="BA137" s="1168"/>
    </row>
    <row r="138" spans="1:53" s="1659" customFormat="1" ht="15.75" hidden="1" x14ac:dyDescent="0.25">
      <c r="A138" s="1185"/>
      <c r="B138" s="1181"/>
      <c r="C138" s="1705"/>
      <c r="D138" s="1705"/>
      <c r="E138" s="1705"/>
      <c r="F138" s="1705"/>
      <c r="G138" s="1705"/>
      <c r="H138" s="1705"/>
      <c r="I138" s="1705"/>
      <c r="J138" s="1705"/>
      <c r="K138" s="1705"/>
      <c r="L138" s="1183"/>
      <c r="M138" s="1183"/>
      <c r="N138" s="1183"/>
      <c r="O138" s="1183"/>
      <c r="P138" s="1183"/>
      <c r="Q138" s="1183"/>
      <c r="R138" s="1183"/>
      <c r="S138" s="1183"/>
      <c r="T138" s="1184"/>
      <c r="U138" s="1179"/>
      <c r="V138" s="1167"/>
      <c r="W138" s="1187"/>
      <c r="X138" s="1168"/>
      <c r="Y138" s="1169"/>
      <c r="Z138" s="1168"/>
      <c r="AA138" s="1168"/>
      <c r="AB138" s="1168"/>
      <c r="AC138" s="1168"/>
      <c r="AD138" s="1168"/>
      <c r="AE138" s="1168"/>
      <c r="AF138" s="1168"/>
      <c r="AG138" s="1168"/>
      <c r="AH138" s="1168"/>
      <c r="AI138" s="1168"/>
      <c r="AJ138" s="1168"/>
      <c r="AK138" s="1168"/>
      <c r="AL138" s="1168"/>
      <c r="AM138" s="1168"/>
      <c r="AN138" s="1168"/>
      <c r="AO138" s="1168"/>
      <c r="AP138" s="1168"/>
      <c r="AQ138" s="1168"/>
      <c r="AR138" s="1168"/>
      <c r="AS138" s="1168"/>
      <c r="AT138" s="1168"/>
      <c r="AU138" s="1168"/>
      <c r="AV138" s="1168"/>
      <c r="AW138" s="1168"/>
      <c r="AX138" s="1168"/>
      <c r="AY138" s="1168"/>
      <c r="AZ138" s="1168"/>
      <c r="BA138" s="1168"/>
    </row>
    <row r="139" spans="1:53" s="1659" customFormat="1" ht="15.75" hidden="1" x14ac:dyDescent="0.25">
      <c r="A139" s="1185" t="e">
        <f t="shared" si="1"/>
        <v>#N/A</v>
      </c>
      <c r="B139" s="1181"/>
      <c r="C139" s="1705" t="e">
        <f>IF(W106=0,"","Line 15 column 1 doesn't equal line 13 col 1 less line 14 col 1. Please check why.")</f>
        <v>#N/A</v>
      </c>
      <c r="D139" s="1705"/>
      <c r="E139" s="1705"/>
      <c r="F139" s="1705"/>
      <c r="G139" s="1705"/>
      <c r="H139" s="1705"/>
      <c r="I139" s="1705"/>
      <c r="J139" s="1705"/>
      <c r="K139" s="1705"/>
      <c r="L139" s="1183"/>
      <c r="M139" s="1183"/>
      <c r="N139" s="1183"/>
      <c r="O139" s="1183"/>
      <c r="P139" s="1183"/>
      <c r="Q139" s="1183"/>
      <c r="R139" s="1183"/>
      <c r="S139" s="1183"/>
      <c r="T139" s="1184"/>
      <c r="U139" s="1179"/>
      <c r="V139" s="1167"/>
      <c r="W139" s="1180"/>
      <c r="X139" s="1168"/>
      <c r="Y139" s="1168"/>
      <c r="Z139" s="1168"/>
      <c r="AA139" s="1168"/>
      <c r="AB139" s="1168"/>
      <c r="AC139" s="1168"/>
      <c r="AD139" s="1168"/>
      <c r="AE139" s="1168"/>
      <c r="AF139" s="1168"/>
      <c r="AG139" s="1168"/>
      <c r="AH139" s="1168"/>
      <c r="AI139" s="1168"/>
      <c r="AJ139" s="1168"/>
      <c r="AK139" s="1168"/>
      <c r="AL139" s="1168"/>
      <c r="AM139" s="1168"/>
      <c r="AN139" s="1168"/>
      <c r="AO139" s="1168"/>
      <c r="AP139" s="1168"/>
      <c r="AQ139" s="1168"/>
      <c r="AR139" s="1168"/>
      <c r="AS139" s="1168"/>
      <c r="AT139" s="1168"/>
      <c r="AU139" s="1168"/>
      <c r="AV139" s="1168"/>
      <c r="AW139" s="1168"/>
      <c r="AX139" s="1168"/>
      <c r="AY139" s="1168"/>
      <c r="AZ139" s="1168"/>
      <c r="BA139" s="1168"/>
    </row>
    <row r="140" spans="1:53" s="1659" customFormat="1" ht="15.75" hidden="1" x14ac:dyDescent="0.25">
      <c r="A140" s="1185"/>
      <c r="B140" s="1181"/>
      <c r="C140" s="1186"/>
      <c r="D140" s="1186"/>
      <c r="E140" s="1186"/>
      <c r="F140" s="1186"/>
      <c r="G140" s="1186"/>
      <c r="H140" s="1186"/>
      <c r="I140" s="1186"/>
      <c r="J140" s="1186"/>
      <c r="K140" s="1186"/>
      <c r="L140" s="1183"/>
      <c r="M140" s="1183"/>
      <c r="N140" s="1183"/>
      <c r="O140" s="1183"/>
      <c r="P140" s="1183"/>
      <c r="Q140" s="1183"/>
      <c r="R140" s="1183"/>
      <c r="S140" s="1183"/>
      <c r="T140" s="1184"/>
      <c r="U140" s="1179"/>
      <c r="V140" s="1167"/>
      <c r="W140" s="1180"/>
      <c r="X140" s="1168"/>
      <c r="Y140" s="1168"/>
      <c r="Z140" s="1168"/>
      <c r="AA140" s="1168"/>
      <c r="AB140" s="1168"/>
      <c r="AC140" s="1168"/>
      <c r="AD140" s="1168"/>
      <c r="AE140" s="1168"/>
      <c r="AF140" s="1168"/>
      <c r="AG140" s="1168"/>
      <c r="AH140" s="1168"/>
      <c r="AI140" s="1168"/>
      <c r="AJ140" s="1168"/>
      <c r="AK140" s="1168"/>
      <c r="AL140" s="1168"/>
      <c r="AM140" s="1168"/>
      <c r="AN140" s="1168"/>
      <c r="AO140" s="1168"/>
      <c r="AP140" s="1168"/>
      <c r="AQ140" s="1168"/>
      <c r="AR140" s="1168"/>
      <c r="AS140" s="1168"/>
      <c r="AT140" s="1168"/>
      <c r="AU140" s="1168"/>
      <c r="AV140" s="1168"/>
      <c r="AW140" s="1168"/>
      <c r="AX140" s="1168"/>
      <c r="AY140" s="1168"/>
      <c r="AZ140" s="1168"/>
      <c r="BA140" s="1168"/>
    </row>
    <row r="141" spans="1:53" s="1659" customFormat="1" ht="15.75" hidden="1" x14ac:dyDescent="0.25">
      <c r="A141" s="1185" t="e">
        <f t="shared" si="1"/>
        <v>#N/A</v>
      </c>
      <c r="B141" s="1181"/>
      <c r="C141" s="1705" t="e">
        <f>IF(W108=0,"","Line 16 column 5 doesn't equal column 2. Please check why.")</f>
        <v>#N/A</v>
      </c>
      <c r="D141" s="1705"/>
      <c r="E141" s="1705"/>
      <c r="F141" s="1705"/>
      <c r="G141" s="1705"/>
      <c r="H141" s="1705"/>
      <c r="I141" s="1705"/>
      <c r="J141" s="1705"/>
      <c r="K141" s="1705"/>
      <c r="L141" s="1183"/>
      <c r="M141" s="1183"/>
      <c r="N141" s="1183"/>
      <c r="O141" s="1183"/>
      <c r="P141" s="1183"/>
      <c r="Q141" s="1183"/>
      <c r="R141" s="1183"/>
      <c r="S141" s="1183"/>
      <c r="T141" s="1184"/>
      <c r="U141" s="1179"/>
      <c r="V141" s="1167"/>
      <c r="W141" s="1180"/>
      <c r="X141" s="1168"/>
      <c r="Y141" s="1168"/>
      <c r="Z141" s="1168"/>
      <c r="AA141" s="1168"/>
      <c r="AB141" s="1168"/>
      <c r="AC141" s="1168"/>
      <c r="AD141" s="1168"/>
      <c r="AE141" s="1168"/>
      <c r="AF141" s="1168"/>
      <c r="AG141" s="1168"/>
      <c r="AH141" s="1168"/>
      <c r="AI141" s="1168"/>
      <c r="AJ141" s="1168"/>
      <c r="AK141" s="1168"/>
      <c r="AL141" s="1168"/>
      <c r="AM141" s="1168"/>
      <c r="AN141" s="1168"/>
      <c r="AO141" s="1168"/>
      <c r="AP141" s="1168"/>
      <c r="AQ141" s="1168"/>
      <c r="AR141" s="1168"/>
      <c r="AS141" s="1168"/>
      <c r="AT141" s="1168"/>
      <c r="AU141" s="1168"/>
      <c r="AV141" s="1168"/>
      <c r="AW141" s="1168"/>
      <c r="AX141" s="1168"/>
      <c r="AY141" s="1168"/>
      <c r="AZ141" s="1168"/>
      <c r="BA141" s="1168"/>
    </row>
    <row r="142" spans="1:53" s="1659" customFormat="1" ht="15.75" hidden="1" x14ac:dyDescent="0.25">
      <c r="A142" s="1185"/>
      <c r="B142" s="1181"/>
      <c r="C142" s="1705"/>
      <c r="D142" s="1705"/>
      <c r="E142" s="1705"/>
      <c r="F142" s="1705"/>
      <c r="G142" s="1705"/>
      <c r="H142" s="1705"/>
      <c r="I142" s="1705"/>
      <c r="J142" s="1705"/>
      <c r="K142" s="1705"/>
      <c r="L142" s="1183"/>
      <c r="M142" s="1183"/>
      <c r="N142" s="1183"/>
      <c r="O142" s="1183"/>
      <c r="P142" s="1183"/>
      <c r="Q142" s="1183"/>
      <c r="R142" s="1183"/>
      <c r="S142" s="1183"/>
      <c r="T142" s="1184"/>
      <c r="U142" s="1179"/>
      <c r="V142" s="1167"/>
      <c r="W142" s="1180"/>
      <c r="X142" s="1168"/>
      <c r="Y142" s="1168"/>
      <c r="Z142" s="1168"/>
      <c r="AA142" s="1168"/>
      <c r="AB142" s="1168"/>
      <c r="AC142" s="1168"/>
      <c r="AD142" s="1168"/>
      <c r="AE142" s="1168"/>
      <c r="AF142" s="1168"/>
      <c r="AG142" s="1168"/>
      <c r="AH142" s="1168"/>
      <c r="AI142" s="1168"/>
      <c r="AJ142" s="1168"/>
      <c r="AK142" s="1168"/>
      <c r="AL142" s="1168"/>
      <c r="AM142" s="1168"/>
      <c r="AN142" s="1168"/>
      <c r="AO142" s="1168"/>
      <c r="AP142" s="1168"/>
      <c r="AQ142" s="1168"/>
      <c r="AR142" s="1168"/>
      <c r="AS142" s="1168"/>
      <c r="AT142" s="1168"/>
      <c r="AU142" s="1168"/>
      <c r="AV142" s="1168"/>
      <c r="AW142" s="1168"/>
      <c r="AX142" s="1168"/>
      <c r="AY142" s="1168"/>
      <c r="AZ142" s="1168"/>
      <c r="BA142" s="1168"/>
    </row>
    <row r="143" spans="1:53" s="1659" customFormat="1" ht="15.75" hidden="1" x14ac:dyDescent="0.25">
      <c r="A143" s="1185">
        <f t="shared" si="1"/>
        <v>0</v>
      </c>
      <c r="B143" s="1181"/>
      <c r="C143" s="1705" t="str">
        <f>IF(W110=0,"","Line 17 column 5 doesn't equal column 2. Please check why.")</f>
        <v/>
      </c>
      <c r="D143" s="1705"/>
      <c r="E143" s="1705"/>
      <c r="F143" s="1705"/>
      <c r="G143" s="1705"/>
      <c r="H143" s="1705"/>
      <c r="I143" s="1705"/>
      <c r="J143" s="1705"/>
      <c r="K143" s="1705"/>
      <c r="L143" s="1183"/>
      <c r="M143" s="1183"/>
      <c r="N143" s="1183"/>
      <c r="O143" s="1183"/>
      <c r="P143" s="1183"/>
      <c r="Q143" s="1183"/>
      <c r="R143" s="1183"/>
      <c r="S143" s="1183"/>
      <c r="T143" s="1184"/>
      <c r="U143" s="1179"/>
      <c r="V143" s="1167"/>
      <c r="W143" s="1180"/>
      <c r="X143" s="1168"/>
      <c r="Y143" s="1168"/>
      <c r="Z143" s="1168"/>
      <c r="AA143" s="1168"/>
      <c r="AB143" s="1168"/>
      <c r="AC143" s="1168"/>
      <c r="AD143" s="1168"/>
      <c r="AE143" s="1168"/>
      <c r="AF143" s="1168"/>
      <c r="AG143" s="1168"/>
      <c r="AH143" s="1168"/>
      <c r="AI143" s="1168"/>
      <c r="AJ143" s="1168"/>
      <c r="AK143" s="1168"/>
      <c r="AL143" s="1168"/>
      <c r="AM143" s="1168"/>
      <c r="AN143" s="1168"/>
      <c r="AO143" s="1168"/>
      <c r="AP143" s="1168"/>
      <c r="AQ143" s="1168"/>
      <c r="AR143" s="1168"/>
      <c r="AS143" s="1168"/>
      <c r="AT143" s="1168"/>
      <c r="AU143" s="1168"/>
      <c r="AV143" s="1168"/>
      <c r="AW143" s="1168"/>
      <c r="AX143" s="1168"/>
      <c r="AY143" s="1168"/>
      <c r="AZ143" s="1168"/>
      <c r="BA143" s="1168"/>
    </row>
    <row r="144" spans="1:53" s="1659" customFormat="1" ht="15.75" hidden="1" x14ac:dyDescent="0.25">
      <c r="A144" s="1185"/>
      <c r="B144" s="1181"/>
      <c r="C144" s="1705"/>
      <c r="D144" s="1705"/>
      <c r="E144" s="1705"/>
      <c r="F144" s="1705"/>
      <c r="G144" s="1705"/>
      <c r="H144" s="1705"/>
      <c r="I144" s="1705"/>
      <c r="J144" s="1705"/>
      <c r="K144" s="1705"/>
      <c r="L144" s="1183"/>
      <c r="M144" s="1183"/>
      <c r="N144" s="1183"/>
      <c r="O144" s="1183"/>
      <c r="P144" s="1183"/>
      <c r="Q144" s="1183"/>
      <c r="R144" s="1183"/>
      <c r="S144" s="1183"/>
      <c r="T144" s="1184"/>
      <c r="U144" s="1179"/>
      <c r="V144" s="1167"/>
      <c r="W144" s="1168"/>
      <c r="X144" s="1168"/>
      <c r="Y144" s="1168"/>
      <c r="Z144" s="1168"/>
      <c r="AA144" s="1168"/>
      <c r="AB144" s="1168"/>
      <c r="AC144" s="1168"/>
      <c r="AD144" s="1168"/>
      <c r="AE144" s="1168"/>
      <c r="AF144" s="1168"/>
      <c r="AG144" s="1168"/>
      <c r="AH144" s="1168"/>
      <c r="AI144" s="1168"/>
      <c r="AJ144" s="1168"/>
      <c r="AK144" s="1168"/>
      <c r="AL144" s="1168"/>
      <c r="AM144" s="1168"/>
      <c r="AN144" s="1168"/>
      <c r="AO144" s="1168"/>
      <c r="AP144" s="1168"/>
      <c r="AQ144" s="1168"/>
      <c r="AR144" s="1168"/>
      <c r="AS144" s="1168"/>
      <c r="AT144" s="1168"/>
      <c r="AU144" s="1168"/>
      <c r="AV144" s="1168"/>
      <c r="AW144" s="1168"/>
      <c r="AX144" s="1168"/>
      <c r="AY144" s="1168"/>
      <c r="AZ144" s="1168"/>
      <c r="BA144" s="1168"/>
    </row>
    <row r="145" spans="1:53" s="1659" customFormat="1" ht="15.75" hidden="1" x14ac:dyDescent="0.25">
      <c r="A145" s="1185">
        <f t="shared" si="1"/>
        <v>0</v>
      </c>
      <c r="B145" s="1181"/>
      <c r="C145" s="1705" t="str">
        <f>IF(W112=0,"","Line 18 column 5 doesn't equal column 2 plus column 3. Please check why.")</f>
        <v/>
      </c>
      <c r="D145" s="1705"/>
      <c r="E145" s="1705"/>
      <c r="F145" s="1705"/>
      <c r="G145" s="1705"/>
      <c r="H145" s="1705"/>
      <c r="I145" s="1705"/>
      <c r="J145" s="1705"/>
      <c r="K145" s="1705"/>
      <c r="L145" s="1183"/>
      <c r="M145" s="1183"/>
      <c r="N145" s="1183"/>
      <c r="O145" s="1183"/>
      <c r="P145" s="1183"/>
      <c r="Q145" s="1183"/>
      <c r="R145" s="1183"/>
      <c r="S145" s="1183"/>
      <c r="T145" s="1184"/>
      <c r="U145" s="1179"/>
      <c r="V145" s="1167"/>
      <c r="W145" s="1168"/>
      <c r="X145" s="1168"/>
      <c r="Y145" s="1168"/>
      <c r="Z145" s="1168"/>
      <c r="AA145" s="1168"/>
      <c r="AB145" s="1168"/>
      <c r="AC145" s="1168"/>
      <c r="AD145" s="1168"/>
      <c r="AE145" s="1168"/>
      <c r="AF145" s="1168"/>
      <c r="AG145" s="1168"/>
      <c r="AH145" s="1168"/>
      <c r="AI145" s="1168"/>
      <c r="AJ145" s="1168"/>
      <c r="AK145" s="1168"/>
      <c r="AL145" s="1168"/>
      <c r="AM145" s="1168"/>
      <c r="AN145" s="1168"/>
      <c r="AO145" s="1168"/>
      <c r="AP145" s="1168"/>
      <c r="AQ145" s="1168"/>
      <c r="AR145" s="1168"/>
      <c r="AS145" s="1168"/>
      <c r="AT145" s="1168"/>
      <c r="AU145" s="1168"/>
      <c r="AV145" s="1168"/>
      <c r="AW145" s="1168"/>
      <c r="AX145" s="1168"/>
      <c r="AY145" s="1168"/>
      <c r="AZ145" s="1168"/>
      <c r="BA145" s="1168"/>
    </row>
    <row r="146" spans="1:53" s="1659" customFormat="1" ht="15.75" hidden="1" x14ac:dyDescent="0.25">
      <c r="A146" s="1185"/>
      <c r="B146" s="1181"/>
      <c r="C146" s="1186"/>
      <c r="D146" s="1186"/>
      <c r="E146" s="1186"/>
      <c r="F146" s="1186"/>
      <c r="G146" s="1186"/>
      <c r="H146" s="1186"/>
      <c r="I146" s="1186"/>
      <c r="J146" s="1186"/>
      <c r="K146" s="1186"/>
      <c r="L146" s="1183"/>
      <c r="M146" s="1183"/>
      <c r="N146" s="1183"/>
      <c r="O146" s="1183"/>
      <c r="P146" s="1183"/>
      <c r="Q146" s="1183"/>
      <c r="R146" s="1183"/>
      <c r="S146" s="1183"/>
      <c r="T146" s="1184"/>
      <c r="U146" s="1188"/>
      <c r="V146" s="1167"/>
      <c r="W146" s="1168"/>
      <c r="X146" s="1168"/>
      <c r="Y146" s="1168"/>
      <c r="Z146" s="1168"/>
      <c r="AA146" s="1168"/>
      <c r="AB146" s="1168"/>
      <c r="AC146" s="1168"/>
      <c r="AD146" s="1168"/>
      <c r="AE146" s="1168"/>
      <c r="AF146" s="1168"/>
      <c r="AG146" s="1168"/>
      <c r="AH146" s="1168"/>
      <c r="AI146" s="1168"/>
      <c r="AJ146" s="1168"/>
      <c r="AK146" s="1168"/>
      <c r="AL146" s="1168"/>
      <c r="AM146" s="1168"/>
      <c r="AN146" s="1168"/>
      <c r="AO146" s="1168"/>
      <c r="AP146" s="1168"/>
      <c r="AQ146" s="1168"/>
      <c r="AR146" s="1168"/>
      <c r="AS146" s="1168"/>
      <c r="AT146" s="1168"/>
      <c r="AU146" s="1168"/>
      <c r="AV146" s="1168"/>
      <c r="AW146" s="1168"/>
      <c r="AX146" s="1168"/>
      <c r="AY146" s="1168"/>
      <c r="AZ146" s="1168"/>
      <c r="BA146" s="1168"/>
    </row>
    <row r="147" spans="1:53" s="1659" customFormat="1" ht="15.75" hidden="1" x14ac:dyDescent="0.25">
      <c r="A147" s="1185">
        <f t="shared" si="1"/>
        <v>0</v>
      </c>
      <c r="B147" s="1181"/>
      <c r="C147" s="1705" t="str">
        <f>IF(W114=0,"","Line 19 column 5 doesn't equal the sum of columns 2 to 4. Please check why.")</f>
        <v/>
      </c>
      <c r="D147" s="1705"/>
      <c r="E147" s="1705"/>
      <c r="F147" s="1705"/>
      <c r="G147" s="1705"/>
      <c r="H147" s="1705"/>
      <c r="I147" s="1705"/>
      <c r="J147" s="1705"/>
      <c r="K147" s="1705"/>
      <c r="L147" s="1183"/>
      <c r="M147" s="1183"/>
      <c r="N147" s="1183"/>
      <c r="O147" s="1183"/>
      <c r="P147" s="1183"/>
      <c r="Q147" s="1183"/>
      <c r="R147" s="1183"/>
      <c r="S147" s="1183"/>
      <c r="T147" s="1184"/>
      <c r="U147" s="1188"/>
      <c r="V147" s="1167"/>
      <c r="W147" s="1168"/>
      <c r="X147" s="1168"/>
      <c r="Y147" s="1168"/>
      <c r="Z147" s="1168"/>
      <c r="AA147" s="1168"/>
      <c r="AB147" s="1168"/>
      <c r="AC147" s="1168"/>
      <c r="AD147" s="1168"/>
      <c r="AE147" s="1168"/>
      <c r="AF147" s="1168"/>
      <c r="AG147" s="1168"/>
      <c r="AH147" s="1168"/>
      <c r="AI147" s="1168"/>
      <c r="AJ147" s="1168"/>
      <c r="AK147" s="1168"/>
      <c r="AL147" s="1168"/>
      <c r="AM147" s="1168"/>
      <c r="AN147" s="1168"/>
      <c r="AO147" s="1168"/>
      <c r="AP147" s="1168"/>
      <c r="AQ147" s="1168"/>
      <c r="AR147" s="1168"/>
      <c r="AS147" s="1168"/>
      <c r="AT147" s="1168"/>
      <c r="AU147" s="1168"/>
      <c r="AV147" s="1168"/>
      <c r="AW147" s="1168"/>
      <c r="AX147" s="1168"/>
      <c r="AY147" s="1168"/>
      <c r="AZ147" s="1168"/>
      <c r="BA147" s="1168"/>
    </row>
    <row r="148" spans="1:53" s="1659" customFormat="1" ht="15.75" hidden="1" x14ac:dyDescent="0.25">
      <c r="A148" s="1185"/>
      <c r="B148" s="1181"/>
      <c r="C148" s="1705"/>
      <c r="D148" s="1705"/>
      <c r="E148" s="1705"/>
      <c r="F148" s="1705"/>
      <c r="G148" s="1705"/>
      <c r="H148" s="1705"/>
      <c r="I148" s="1705"/>
      <c r="J148" s="1705"/>
      <c r="K148" s="1705"/>
      <c r="L148" s="1183"/>
      <c r="M148" s="1183"/>
      <c r="N148" s="1183"/>
      <c r="O148" s="1183"/>
      <c r="P148" s="1183"/>
      <c r="Q148" s="1183"/>
      <c r="R148" s="1183"/>
      <c r="S148" s="1183"/>
      <c r="T148" s="1184"/>
      <c r="U148" s="1179"/>
      <c r="V148" s="1167"/>
      <c r="W148" s="1168"/>
      <c r="X148" s="1168"/>
      <c r="Y148" s="1168"/>
      <c r="Z148" s="1168"/>
      <c r="AA148" s="1168"/>
      <c r="AB148" s="1168"/>
      <c r="AC148" s="1168"/>
      <c r="AD148" s="1168"/>
      <c r="AE148" s="1168"/>
      <c r="AF148" s="1168"/>
      <c r="AG148" s="1168"/>
      <c r="AH148" s="1168"/>
      <c r="AI148" s="1168"/>
      <c r="AJ148" s="1168"/>
      <c r="AK148" s="1168"/>
      <c r="AL148" s="1168"/>
      <c r="AM148" s="1168"/>
      <c r="AN148" s="1168"/>
      <c r="AO148" s="1168"/>
      <c r="AP148" s="1168"/>
      <c r="AQ148" s="1168"/>
      <c r="AR148" s="1168"/>
      <c r="AS148" s="1168"/>
      <c r="AT148" s="1168"/>
      <c r="AU148" s="1168"/>
      <c r="AV148" s="1168"/>
      <c r="AW148" s="1168"/>
      <c r="AX148" s="1168"/>
      <c r="AY148" s="1168"/>
      <c r="AZ148" s="1168"/>
      <c r="BA148" s="1168"/>
    </row>
    <row r="149" spans="1:53" s="1659" customFormat="1" ht="15.75" hidden="1" x14ac:dyDescent="0.25">
      <c r="A149" s="1185">
        <f t="shared" si="1"/>
        <v>0</v>
      </c>
      <c r="B149" s="1181"/>
      <c r="C149" s="1705" t="str">
        <f>IF(W116=0,"","Line 20 column 5 doesn't equal the sum of columns 2 to 4. Please check why.")</f>
        <v/>
      </c>
      <c r="D149" s="1705"/>
      <c r="E149" s="1705"/>
      <c r="F149" s="1705"/>
      <c r="G149" s="1705"/>
      <c r="H149" s="1705"/>
      <c r="I149" s="1705"/>
      <c r="J149" s="1705"/>
      <c r="K149" s="1705"/>
      <c r="L149" s="1183"/>
      <c r="M149" s="1183"/>
      <c r="N149" s="1183"/>
      <c r="O149" s="1183"/>
      <c r="P149" s="1183"/>
      <c r="Q149" s="1183"/>
      <c r="R149" s="1183"/>
      <c r="S149" s="1183"/>
      <c r="T149" s="1184"/>
      <c r="U149" s="1179"/>
      <c r="V149" s="1167"/>
      <c r="W149" s="1168"/>
      <c r="X149" s="1168"/>
      <c r="Y149" s="1168"/>
      <c r="Z149" s="1168"/>
      <c r="AA149" s="1168"/>
      <c r="AB149" s="1168"/>
      <c r="AC149" s="1168"/>
      <c r="AD149" s="1168"/>
      <c r="AE149" s="1168"/>
      <c r="AF149" s="1168"/>
      <c r="AG149" s="1168"/>
      <c r="AH149" s="1168"/>
      <c r="AI149" s="1168"/>
      <c r="AJ149" s="1168"/>
      <c r="AK149" s="1168"/>
      <c r="AL149" s="1168"/>
      <c r="AM149" s="1168"/>
      <c r="AN149" s="1168"/>
      <c r="AO149" s="1168"/>
      <c r="AP149" s="1168"/>
      <c r="AQ149" s="1168"/>
      <c r="AR149" s="1168"/>
      <c r="AS149" s="1168"/>
      <c r="AT149" s="1168"/>
      <c r="AU149" s="1168"/>
      <c r="AV149" s="1168"/>
      <c r="AW149" s="1168"/>
      <c r="AX149" s="1168"/>
      <c r="AY149" s="1168"/>
      <c r="AZ149" s="1168"/>
      <c r="BA149" s="1168"/>
    </row>
    <row r="150" spans="1:53" s="1659" customFormat="1" ht="15.75" hidden="1" x14ac:dyDescent="0.25">
      <c r="A150" s="1185"/>
      <c r="B150" s="1181"/>
      <c r="C150" s="1705"/>
      <c r="D150" s="1705"/>
      <c r="E150" s="1705"/>
      <c r="F150" s="1705"/>
      <c r="G150" s="1705"/>
      <c r="H150" s="1705"/>
      <c r="I150" s="1705"/>
      <c r="J150" s="1705"/>
      <c r="K150" s="1705"/>
      <c r="L150" s="1183"/>
      <c r="M150" s="1183"/>
      <c r="N150" s="1183"/>
      <c r="O150" s="1183"/>
      <c r="P150" s="1183"/>
      <c r="Q150" s="1183"/>
      <c r="R150" s="1183"/>
      <c r="S150" s="1183"/>
      <c r="T150" s="1184"/>
      <c r="U150" s="1179"/>
      <c r="V150" s="1167"/>
      <c r="W150" s="1168"/>
      <c r="X150" s="1168"/>
      <c r="Y150" s="1168"/>
      <c r="Z150" s="1168"/>
      <c r="AA150" s="1168"/>
      <c r="AB150" s="1168"/>
      <c r="AC150" s="1168"/>
      <c r="AD150" s="1168"/>
      <c r="AE150" s="1168"/>
      <c r="AF150" s="1168"/>
      <c r="AG150" s="1168"/>
      <c r="AH150" s="1168"/>
      <c r="AI150" s="1168"/>
      <c r="AJ150" s="1168"/>
      <c r="AK150" s="1168"/>
      <c r="AL150" s="1168"/>
      <c r="AM150" s="1168"/>
      <c r="AN150" s="1168"/>
      <c r="AO150" s="1168"/>
      <c r="AP150" s="1168"/>
      <c r="AQ150" s="1168"/>
      <c r="AR150" s="1168"/>
      <c r="AS150" s="1168"/>
      <c r="AT150" s="1168"/>
      <c r="AU150" s="1168"/>
      <c r="AV150" s="1168"/>
      <c r="AW150" s="1168"/>
      <c r="AX150" s="1168"/>
      <c r="AY150" s="1168"/>
      <c r="AZ150" s="1168"/>
      <c r="BA150" s="1168"/>
    </row>
    <row r="151" spans="1:53" s="1659" customFormat="1" ht="15.75" hidden="1" x14ac:dyDescent="0.25">
      <c r="A151" s="1185">
        <f t="shared" si="1"/>
        <v>0</v>
      </c>
      <c r="B151" s="1181"/>
      <c r="C151" s="1705" t="str">
        <f>IF(W118=0,"","Line 21 column 5 doesn't equal column 2. Please check why.")</f>
        <v/>
      </c>
      <c r="D151" s="1705"/>
      <c r="E151" s="1705"/>
      <c r="F151" s="1705"/>
      <c r="G151" s="1705"/>
      <c r="H151" s="1705"/>
      <c r="I151" s="1705"/>
      <c r="J151" s="1705"/>
      <c r="K151" s="1705"/>
      <c r="L151" s="1183"/>
      <c r="M151" s="1183"/>
      <c r="N151" s="1183"/>
      <c r="O151" s="1183"/>
      <c r="P151" s="1183"/>
      <c r="Q151" s="1183"/>
      <c r="R151" s="1183"/>
      <c r="S151" s="1183"/>
      <c r="T151" s="1184"/>
      <c r="U151" s="1179"/>
      <c r="V151" s="1167"/>
      <c r="W151" s="1168"/>
      <c r="X151" s="1168"/>
      <c r="Y151" s="1168"/>
      <c r="Z151" s="1168"/>
      <c r="AA151" s="1168"/>
      <c r="AB151" s="1168"/>
      <c r="AC151" s="1168"/>
      <c r="AD151" s="1168"/>
      <c r="AE151" s="1168"/>
      <c r="AF151" s="1168"/>
      <c r="AG151" s="1168"/>
      <c r="AH151" s="1168"/>
      <c r="AI151" s="1168"/>
      <c r="AJ151" s="1168"/>
      <c r="AK151" s="1168"/>
      <c r="AL151" s="1168"/>
      <c r="AM151" s="1168"/>
      <c r="AN151" s="1168"/>
      <c r="AO151" s="1168"/>
      <c r="AP151" s="1168"/>
      <c r="AQ151" s="1168"/>
      <c r="AR151" s="1168"/>
      <c r="AS151" s="1168"/>
      <c r="AT151" s="1168"/>
      <c r="AU151" s="1168"/>
      <c r="AV151" s="1168"/>
      <c r="AW151" s="1168"/>
      <c r="AX151" s="1168"/>
      <c r="AY151" s="1168"/>
      <c r="AZ151" s="1168"/>
      <c r="BA151" s="1168"/>
    </row>
    <row r="152" spans="1:53" s="1659" customFormat="1" ht="15.75" hidden="1" x14ac:dyDescent="0.25">
      <c r="A152" s="1185"/>
      <c r="B152" s="1181"/>
      <c r="C152" s="1186"/>
      <c r="D152" s="1186"/>
      <c r="E152" s="1186"/>
      <c r="F152" s="1186"/>
      <c r="G152" s="1186"/>
      <c r="H152" s="1186"/>
      <c r="I152" s="1186"/>
      <c r="J152" s="1186"/>
      <c r="K152" s="1186"/>
      <c r="L152" s="1183"/>
      <c r="M152" s="1183"/>
      <c r="N152" s="1183"/>
      <c r="O152" s="1183"/>
      <c r="P152" s="1183"/>
      <c r="Q152" s="1183"/>
      <c r="R152" s="1183"/>
      <c r="S152" s="1183"/>
      <c r="T152" s="1184"/>
      <c r="U152" s="1179"/>
      <c r="V152" s="1167"/>
      <c r="W152" s="1168"/>
      <c r="X152" s="1168"/>
      <c r="Y152" s="1169"/>
      <c r="Z152" s="1168"/>
      <c r="AA152" s="1168"/>
      <c r="AB152" s="1168"/>
      <c r="AC152" s="1168"/>
      <c r="AD152" s="1168"/>
      <c r="AE152" s="1168"/>
      <c r="AF152" s="1168"/>
      <c r="AG152" s="1168"/>
      <c r="AH152" s="1168"/>
      <c r="AI152" s="1168"/>
      <c r="AJ152" s="1168"/>
      <c r="AK152" s="1168"/>
      <c r="AL152" s="1168"/>
      <c r="AM152" s="1168"/>
      <c r="AN152" s="1168"/>
      <c r="AO152" s="1168"/>
      <c r="AP152" s="1168"/>
      <c r="AQ152" s="1168"/>
      <c r="AR152" s="1168"/>
      <c r="AS152" s="1168"/>
      <c r="AT152" s="1168"/>
      <c r="AU152" s="1168"/>
      <c r="AV152" s="1168"/>
      <c r="AW152" s="1168"/>
      <c r="AX152" s="1168"/>
      <c r="AY152" s="1168"/>
      <c r="AZ152" s="1168"/>
      <c r="BA152" s="1168"/>
    </row>
    <row r="153" spans="1:53" s="1659" customFormat="1" ht="15.75" hidden="1" x14ac:dyDescent="0.25">
      <c r="A153" s="1185">
        <f t="shared" ref="A153:A155" si="2">+IF(C153="",0,1)</f>
        <v>0</v>
      </c>
      <c r="B153" s="1181"/>
      <c r="C153" s="1705" t="str">
        <f>IF(W120=0,"","Line 22 column 5 doesn't equal column 2. Please check why.")</f>
        <v/>
      </c>
      <c r="D153" s="1705"/>
      <c r="E153" s="1705"/>
      <c r="F153" s="1705"/>
      <c r="G153" s="1705"/>
      <c r="H153" s="1705"/>
      <c r="I153" s="1705"/>
      <c r="J153" s="1705"/>
      <c r="K153" s="1705"/>
      <c r="L153" s="1183"/>
      <c r="M153" s="1183"/>
      <c r="N153" s="1183"/>
      <c r="O153" s="1183"/>
      <c r="P153" s="1183"/>
      <c r="Q153" s="1183"/>
      <c r="R153" s="1183"/>
      <c r="S153" s="1183"/>
      <c r="T153" s="1184"/>
      <c r="U153" s="1179"/>
      <c r="V153" s="1167"/>
      <c r="W153" s="1168"/>
      <c r="X153" s="1168"/>
      <c r="Y153" s="1168"/>
      <c r="Z153" s="1168"/>
      <c r="AA153" s="1168"/>
      <c r="AB153" s="1168"/>
      <c r="AC153" s="1168"/>
      <c r="AD153" s="1168"/>
      <c r="AE153" s="1168"/>
      <c r="AF153" s="1168"/>
      <c r="AG153" s="1168"/>
      <c r="AH153" s="1168"/>
      <c r="AI153" s="1168"/>
      <c r="AJ153" s="1168"/>
      <c r="AK153" s="1168"/>
      <c r="AL153" s="1168"/>
      <c r="AM153" s="1168"/>
      <c r="AN153" s="1168"/>
      <c r="AO153" s="1168"/>
      <c r="AP153" s="1168"/>
      <c r="AQ153" s="1168"/>
      <c r="AR153" s="1168"/>
      <c r="AS153" s="1168"/>
      <c r="AT153" s="1168"/>
      <c r="AU153" s="1168"/>
      <c r="AV153" s="1168"/>
      <c r="AW153" s="1168"/>
      <c r="AX153" s="1168"/>
      <c r="AY153" s="1168"/>
      <c r="AZ153" s="1168"/>
      <c r="BA153" s="1168"/>
    </row>
    <row r="154" spans="1:53" s="1659" customFormat="1" ht="15.75" hidden="1" x14ac:dyDescent="0.25">
      <c r="A154" s="1623"/>
      <c r="B154" s="1181"/>
      <c r="C154" s="1186"/>
      <c r="D154" s="1186"/>
      <c r="E154" s="1186"/>
      <c r="F154" s="1186"/>
      <c r="G154" s="1186"/>
      <c r="H154" s="1186"/>
      <c r="I154" s="1186"/>
      <c r="J154" s="1186"/>
      <c r="K154" s="1186"/>
      <c r="L154" s="1183"/>
      <c r="M154" s="1183"/>
      <c r="N154" s="1183"/>
      <c r="O154" s="1183"/>
      <c r="P154" s="1183"/>
      <c r="Q154" s="1183"/>
      <c r="R154" s="1183"/>
      <c r="S154" s="1183"/>
      <c r="T154" s="1184"/>
      <c r="U154" s="1188"/>
      <c r="V154" s="1167"/>
      <c r="W154" s="1168"/>
      <c r="X154" s="1168"/>
      <c r="Y154" s="1168"/>
      <c r="Z154" s="1168"/>
      <c r="AA154" s="1168"/>
      <c r="AB154" s="1168"/>
      <c r="AC154" s="1168"/>
      <c r="AD154" s="1168"/>
      <c r="AE154" s="1168"/>
      <c r="AF154" s="1168"/>
      <c r="AG154" s="1168"/>
      <c r="AH154" s="1168"/>
      <c r="AI154" s="1168"/>
      <c r="AJ154" s="1168"/>
      <c r="AK154" s="1168"/>
      <c r="AL154" s="1168"/>
      <c r="AM154" s="1168"/>
      <c r="AN154" s="1168"/>
      <c r="AO154" s="1168"/>
      <c r="AP154" s="1168"/>
      <c r="AQ154" s="1168"/>
      <c r="AR154" s="1168"/>
      <c r="AS154" s="1168"/>
      <c r="AT154" s="1168"/>
      <c r="AU154" s="1168"/>
      <c r="AV154" s="1168"/>
      <c r="AW154" s="1168"/>
      <c r="AX154" s="1168"/>
      <c r="AY154" s="1168"/>
      <c r="AZ154" s="1168"/>
      <c r="BA154" s="1168"/>
    </row>
    <row r="155" spans="1:53" s="1659" customFormat="1" ht="15.75" hidden="1" x14ac:dyDescent="0.25">
      <c r="A155" s="1185" t="e">
        <f t="shared" si="2"/>
        <v>#N/A</v>
      </c>
      <c r="B155" s="1181"/>
      <c r="C155" s="1705" t="e">
        <f>IF(W126=0,"","Line 23 column 5 doesn't equal the sum of columns 1 to 4. Please check why.")</f>
        <v>#N/A</v>
      </c>
      <c r="D155" s="1705"/>
      <c r="E155" s="1705"/>
      <c r="F155" s="1705"/>
      <c r="G155" s="1705"/>
      <c r="H155" s="1705"/>
      <c r="I155" s="1705"/>
      <c r="J155" s="1705"/>
      <c r="K155" s="1705"/>
      <c r="L155" s="1183"/>
      <c r="M155" s="1183"/>
      <c r="N155" s="1183"/>
      <c r="O155" s="1183"/>
      <c r="P155" s="1183"/>
      <c r="Q155" s="1183"/>
      <c r="R155" s="1183"/>
      <c r="S155" s="1183"/>
      <c r="T155" s="1184"/>
      <c r="U155" s="1188"/>
      <c r="V155" s="1167"/>
      <c r="W155" s="1168"/>
      <c r="X155" s="1168"/>
      <c r="Y155" s="1168"/>
      <c r="Z155" s="1168"/>
      <c r="AA155" s="1168"/>
      <c r="AB155" s="1168"/>
      <c r="AC155" s="1168"/>
      <c r="AD155" s="1168"/>
      <c r="AE155" s="1168"/>
      <c r="AF155" s="1168"/>
      <c r="AG155" s="1168"/>
      <c r="AH155" s="1168"/>
      <c r="AI155" s="1168"/>
      <c r="AJ155" s="1168"/>
      <c r="AK155" s="1168"/>
      <c r="AL155" s="1168"/>
      <c r="AM155" s="1168"/>
      <c r="AN155" s="1168"/>
      <c r="AO155" s="1168"/>
      <c r="AP155" s="1168"/>
      <c r="AQ155" s="1168"/>
      <c r="AR155" s="1168"/>
      <c r="AS155" s="1168"/>
      <c r="AT155" s="1168"/>
      <c r="AU155" s="1168"/>
      <c r="AV155" s="1168"/>
      <c r="AW155" s="1168"/>
      <c r="AX155" s="1168"/>
      <c r="AY155" s="1168"/>
      <c r="AZ155" s="1168"/>
      <c r="BA155" s="1168"/>
    </row>
    <row r="156" spans="1:53" s="1659" customFormat="1" ht="15.75" hidden="1" x14ac:dyDescent="0.25">
      <c r="A156" s="1185"/>
      <c r="B156" s="1181"/>
      <c r="C156" s="1186"/>
      <c r="D156" s="1186"/>
      <c r="E156" s="1186"/>
      <c r="F156" s="1186"/>
      <c r="G156" s="1186"/>
      <c r="H156" s="1186"/>
      <c r="I156" s="1186"/>
      <c r="J156" s="1186"/>
      <c r="K156" s="1186"/>
      <c r="L156" s="1183"/>
      <c r="M156" s="1183"/>
      <c r="N156" s="1183"/>
      <c r="O156" s="1183"/>
      <c r="P156" s="1183"/>
      <c r="Q156" s="1183"/>
      <c r="R156" s="1183"/>
      <c r="S156" s="1183"/>
      <c r="T156" s="1184"/>
      <c r="U156" s="1179"/>
      <c r="V156" s="1167"/>
      <c r="W156" s="1168"/>
      <c r="X156" s="1168"/>
      <c r="Y156" s="1169"/>
      <c r="Z156" s="1168"/>
      <c r="AA156" s="1168"/>
      <c r="AB156" s="1168"/>
      <c r="AC156" s="1168"/>
      <c r="AD156" s="1168"/>
      <c r="AE156" s="1168"/>
      <c r="AF156" s="1168"/>
      <c r="AG156" s="1168"/>
      <c r="AH156" s="1168"/>
      <c r="AI156" s="1168"/>
      <c r="AJ156" s="1168"/>
      <c r="AK156" s="1168"/>
      <c r="AL156" s="1168"/>
      <c r="AM156" s="1168"/>
      <c r="AN156" s="1168"/>
      <c r="AO156" s="1168"/>
      <c r="AP156" s="1168"/>
      <c r="AQ156" s="1168"/>
      <c r="AR156" s="1168"/>
      <c r="AS156" s="1168"/>
      <c r="AT156" s="1168"/>
      <c r="AU156" s="1168"/>
      <c r="AV156" s="1168"/>
      <c r="AW156" s="1168"/>
      <c r="AX156" s="1168"/>
      <c r="AY156" s="1168"/>
      <c r="AZ156" s="1168"/>
      <c r="BA156" s="1168"/>
    </row>
    <row r="157" spans="1:53" s="1659" customFormat="1" ht="15.75" hidden="1" x14ac:dyDescent="0.25">
      <c r="A157" s="1108"/>
      <c r="B157" s="1729" t="e">
        <f>SUM(A135:A156)</f>
        <v>#N/A</v>
      </c>
      <c r="C157" s="1730"/>
      <c r="D157" s="1730"/>
      <c r="E157" s="1730"/>
      <c r="F157" s="1730"/>
      <c r="G157" s="1730"/>
      <c r="H157" s="1730"/>
      <c r="I157" s="1189"/>
      <c r="J157" s="1189"/>
      <c r="K157" s="1189"/>
      <c r="L157" s="1190"/>
      <c r="M157" s="1190"/>
      <c r="N157" s="1190"/>
      <c r="O157" s="1190"/>
      <c r="P157" s="1190"/>
      <c r="Q157" s="1190"/>
      <c r="R157" s="1190"/>
      <c r="S157" s="1190"/>
      <c r="T157" s="1191"/>
      <c r="U157" s="1179"/>
      <c r="V157" s="1167"/>
      <c r="W157" s="1168"/>
      <c r="X157" s="1169"/>
      <c r="Y157" s="1168"/>
      <c r="Z157" s="1168"/>
      <c r="AA157" s="1168"/>
      <c r="AB157" s="1168"/>
      <c r="AC157" s="1168"/>
      <c r="AD157" s="1168"/>
      <c r="AE157" s="1168"/>
      <c r="AF157" s="1168"/>
      <c r="AG157" s="1168"/>
      <c r="AH157" s="1168"/>
      <c r="AI157" s="1168"/>
      <c r="AJ157" s="1168"/>
      <c r="AK157" s="1168"/>
      <c r="AL157" s="1168"/>
      <c r="AM157" s="1168"/>
      <c r="AN157" s="1168"/>
      <c r="AO157" s="1168"/>
      <c r="AP157" s="1168"/>
      <c r="AQ157" s="1168"/>
      <c r="AR157" s="1168"/>
      <c r="AS157" s="1168"/>
      <c r="AT157" s="1168"/>
      <c r="AU157" s="1168"/>
      <c r="AV157" s="1168"/>
      <c r="AW157" s="1168"/>
      <c r="AX157" s="1168"/>
      <c r="AY157" s="1168"/>
      <c r="AZ157" s="1168"/>
      <c r="BA157" s="1168"/>
    </row>
    <row r="158" spans="1:53" ht="15.75" thickBot="1" x14ac:dyDescent="0.25">
      <c r="A158" s="1112"/>
      <c r="B158" s="1113"/>
      <c r="C158" s="1728"/>
      <c r="D158" s="1728"/>
      <c r="E158" s="1728"/>
      <c r="F158" s="1728"/>
      <c r="G158" s="1728"/>
      <c r="H158" s="1728"/>
      <c r="I158" s="1728"/>
      <c r="J158" s="1113"/>
      <c r="K158" s="1113"/>
      <c r="L158" s="1113"/>
      <c r="M158" s="1113"/>
      <c r="N158" s="1113"/>
      <c r="O158" s="1113"/>
      <c r="P158" s="1113"/>
      <c r="Q158" s="1113"/>
      <c r="R158" s="1113"/>
      <c r="S158" s="1113"/>
      <c r="T158" s="1113"/>
      <c r="U158" s="1116"/>
      <c r="V158" s="8"/>
      <c r="W158" s="9"/>
      <c r="X158" s="91"/>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row>
    <row r="159" spans="1:53" x14ac:dyDescent="0.2">
      <c r="A159" s="1192"/>
      <c r="B159" s="1192"/>
      <c r="C159" s="1192"/>
      <c r="D159" s="1192"/>
      <c r="E159" s="1192"/>
      <c r="F159" s="1192"/>
      <c r="G159" s="1192"/>
      <c r="H159" s="1192"/>
      <c r="I159" s="1192"/>
      <c r="J159" s="1192"/>
      <c r="K159" s="1192"/>
      <c r="L159" s="1192"/>
      <c r="M159" s="1192"/>
      <c r="N159" s="1192"/>
      <c r="O159" s="1192"/>
      <c r="P159" s="1192"/>
      <c r="Q159" s="1192"/>
      <c r="R159" s="1192"/>
      <c r="S159" s="1192"/>
      <c r="T159" s="1192"/>
      <c r="U159" s="1193"/>
      <c r="V159" s="8"/>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row>
    <row r="160" spans="1:53" ht="15.75" x14ac:dyDescent="0.25">
      <c r="A160" s="1194"/>
      <c r="B160" s="2"/>
      <c r="C160" s="11" t="str">
        <f>+CONCATENATE("Local Authority : ",+'Part 1'!$K$15)</f>
        <v>Local Authority : ZZZZ</v>
      </c>
      <c r="D160" s="2"/>
      <c r="E160" s="2"/>
      <c r="F160" s="2"/>
      <c r="G160" s="2"/>
      <c r="H160" s="2"/>
      <c r="I160" s="2"/>
      <c r="J160" s="2"/>
      <c r="K160" s="2"/>
      <c r="L160" s="2"/>
      <c r="M160" s="2"/>
      <c r="N160" s="2"/>
      <c r="O160" s="2"/>
      <c r="P160" s="2"/>
      <c r="Q160" s="2"/>
      <c r="R160" s="2"/>
      <c r="S160" s="1117"/>
      <c r="T160" s="2"/>
      <c r="U160" s="1051"/>
      <c r="V160" s="8"/>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row>
    <row r="161" spans="1:251" ht="15.75" x14ac:dyDescent="0.25">
      <c r="A161" s="1194"/>
      <c r="B161" s="2"/>
      <c r="C161" s="11"/>
      <c r="D161" s="2"/>
      <c r="E161" s="2"/>
      <c r="F161" s="2"/>
      <c r="G161" s="2"/>
      <c r="H161" s="2"/>
      <c r="I161" s="2"/>
      <c r="J161" s="2"/>
      <c r="K161" s="2"/>
      <c r="L161" s="2"/>
      <c r="M161" s="2"/>
      <c r="N161" s="2"/>
      <c r="O161" s="2"/>
      <c r="P161" s="2"/>
      <c r="Q161" s="2"/>
      <c r="R161" s="2"/>
      <c r="S161" s="2"/>
      <c r="T161" s="2"/>
      <c r="U161" s="1051"/>
      <c r="V161" s="8"/>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row>
    <row r="162" spans="1:251" ht="15.75" x14ac:dyDescent="0.25">
      <c r="A162" s="1194"/>
      <c r="B162" s="2"/>
      <c r="C162" s="12" t="s">
        <v>3071</v>
      </c>
      <c r="D162" s="2"/>
      <c r="E162" s="2"/>
      <c r="F162" s="2"/>
      <c r="G162" s="2"/>
      <c r="H162" s="2"/>
      <c r="I162" s="2"/>
      <c r="J162" s="2"/>
      <c r="K162" s="2"/>
      <c r="L162" s="2"/>
      <c r="M162" s="2"/>
      <c r="N162" s="2"/>
      <c r="O162" s="2"/>
      <c r="P162" s="2"/>
      <c r="Q162" s="2"/>
      <c r="R162" s="2"/>
      <c r="S162" s="2"/>
      <c r="T162" s="2"/>
      <c r="U162" s="1051"/>
      <c r="W162" s="9"/>
      <c r="X162" s="9"/>
      <c r="Y162" s="9"/>
      <c r="Z162" s="9"/>
      <c r="AA162" s="9"/>
      <c r="AB162" s="9"/>
      <c r="AC162" s="9"/>
      <c r="AD162" s="9"/>
      <c r="AE162" s="9"/>
      <c r="AF162" s="9"/>
      <c r="AG162" s="9"/>
      <c r="AH162" s="9"/>
      <c r="AI162" s="9"/>
      <c r="AJ162" s="9"/>
      <c r="AK162" s="9"/>
      <c r="AL162" s="9"/>
      <c r="AM162" s="9"/>
    </row>
    <row r="163" spans="1:251" ht="15.75" x14ac:dyDescent="0.25">
      <c r="A163" s="1195"/>
      <c r="B163" s="185"/>
      <c r="C163" s="185" t="s">
        <v>878</v>
      </c>
      <c r="D163" s="185"/>
      <c r="E163" s="185"/>
      <c r="F163" s="185"/>
      <c r="G163" s="185"/>
      <c r="H163" s="185"/>
      <c r="I163" s="185"/>
      <c r="J163" s="185"/>
      <c r="K163" s="185"/>
      <c r="L163" s="185"/>
      <c r="M163" s="185"/>
      <c r="N163" s="185"/>
      <c r="O163" s="185"/>
      <c r="P163" s="185"/>
      <c r="Q163" s="185"/>
      <c r="R163" s="185"/>
      <c r="S163" s="185"/>
      <c r="T163" s="185"/>
      <c r="U163" s="1196"/>
      <c r="V163" s="381"/>
      <c r="W163" s="85"/>
      <c r="X163" s="1197"/>
      <c r="Y163" s="1197"/>
      <c r="Z163" s="1197"/>
      <c r="AA163" s="1197"/>
      <c r="AB163" s="1197"/>
      <c r="AC163" s="1197"/>
      <c r="AD163" s="1197"/>
      <c r="AE163" s="1197"/>
      <c r="AF163" s="1197"/>
      <c r="AG163" s="1197"/>
      <c r="AH163" s="1197"/>
      <c r="AI163" s="1197"/>
      <c r="AJ163" s="1197"/>
      <c r="AK163" s="1197"/>
      <c r="AL163" s="1197"/>
      <c r="AM163" s="1197"/>
      <c r="AN163" s="381"/>
      <c r="AO163" s="381"/>
      <c r="AP163" s="381"/>
      <c r="AQ163" s="381"/>
      <c r="AR163" s="381"/>
      <c r="AS163" s="381"/>
      <c r="AT163" s="381"/>
      <c r="AU163" s="381"/>
      <c r="AV163" s="381"/>
      <c r="AW163" s="381"/>
      <c r="AX163" s="381"/>
      <c r="AY163" s="381"/>
      <c r="AZ163" s="381"/>
      <c r="BA163" s="381"/>
      <c r="BB163" s="381"/>
      <c r="BC163" s="381"/>
      <c r="BD163" s="381"/>
      <c r="BE163" s="381"/>
      <c r="BF163" s="381"/>
      <c r="BG163" s="381"/>
      <c r="BH163" s="381"/>
      <c r="BI163" s="381"/>
      <c r="BJ163" s="381"/>
      <c r="BK163" s="381"/>
      <c r="BL163" s="381"/>
      <c r="BM163" s="381"/>
      <c r="BN163" s="381"/>
      <c r="BO163" s="381"/>
      <c r="BP163" s="381"/>
      <c r="BQ163" s="381"/>
      <c r="BR163" s="381"/>
      <c r="BS163" s="381"/>
      <c r="BT163" s="381"/>
      <c r="BU163" s="381"/>
      <c r="BV163" s="381"/>
      <c r="BW163" s="381"/>
      <c r="BX163" s="381"/>
      <c r="BY163" s="381"/>
      <c r="BZ163" s="381"/>
      <c r="CA163" s="381"/>
      <c r="CB163" s="381"/>
      <c r="CC163" s="381"/>
      <c r="CD163" s="381"/>
      <c r="CE163" s="381"/>
      <c r="CF163" s="381"/>
      <c r="CG163" s="381"/>
      <c r="CH163" s="381"/>
      <c r="CI163" s="381"/>
      <c r="CJ163" s="381"/>
      <c r="CK163" s="381"/>
      <c r="CL163" s="381"/>
      <c r="CM163" s="381"/>
      <c r="CN163" s="381"/>
      <c r="CO163" s="381"/>
      <c r="CP163" s="381"/>
      <c r="CQ163" s="381"/>
      <c r="CR163" s="381"/>
      <c r="CS163" s="381"/>
      <c r="CT163" s="381"/>
      <c r="CU163" s="381"/>
      <c r="CV163" s="381"/>
      <c r="CW163" s="381"/>
      <c r="CX163" s="381"/>
      <c r="CY163" s="381"/>
      <c r="CZ163" s="381"/>
      <c r="DA163" s="381"/>
      <c r="DB163" s="381"/>
      <c r="DC163" s="381"/>
      <c r="DD163" s="381"/>
      <c r="DE163" s="381"/>
      <c r="DF163" s="381"/>
      <c r="DG163" s="381"/>
      <c r="DH163" s="381"/>
      <c r="DI163" s="381"/>
      <c r="DJ163" s="381"/>
      <c r="DK163" s="381"/>
      <c r="DL163" s="381"/>
      <c r="DM163" s="381"/>
      <c r="DN163" s="381"/>
      <c r="DO163" s="381"/>
      <c r="DP163" s="381"/>
      <c r="DQ163" s="381"/>
      <c r="DR163" s="381"/>
      <c r="DS163" s="381"/>
      <c r="DT163" s="381"/>
      <c r="DU163" s="381"/>
      <c r="DV163" s="381"/>
      <c r="DW163" s="381"/>
      <c r="DX163" s="381"/>
      <c r="DY163" s="381"/>
      <c r="DZ163" s="381"/>
      <c r="EA163" s="381"/>
      <c r="EB163" s="381"/>
      <c r="EC163" s="381"/>
      <c r="ED163" s="381"/>
      <c r="EE163" s="381"/>
      <c r="EF163" s="381"/>
      <c r="EG163" s="381"/>
      <c r="EH163" s="381"/>
      <c r="EI163" s="381"/>
      <c r="EJ163" s="381"/>
      <c r="EK163" s="381"/>
      <c r="EL163" s="381"/>
      <c r="EM163" s="381"/>
      <c r="EN163" s="381"/>
      <c r="EO163" s="381"/>
      <c r="EP163" s="381"/>
      <c r="EQ163" s="381"/>
      <c r="ER163" s="381"/>
      <c r="ES163" s="381"/>
      <c r="ET163" s="381"/>
      <c r="EU163" s="381"/>
      <c r="EV163" s="381"/>
      <c r="EW163" s="381"/>
      <c r="EX163" s="381"/>
      <c r="EY163" s="381"/>
      <c r="EZ163" s="381"/>
      <c r="FA163" s="381"/>
      <c r="FB163" s="381"/>
      <c r="FC163" s="381"/>
      <c r="FD163" s="381"/>
      <c r="FE163" s="381"/>
      <c r="FF163" s="381"/>
      <c r="FG163" s="381"/>
      <c r="FH163" s="381"/>
      <c r="FI163" s="381"/>
      <c r="FJ163" s="381"/>
      <c r="FK163" s="381"/>
      <c r="FL163" s="381"/>
      <c r="FM163" s="381"/>
      <c r="FN163" s="381"/>
      <c r="FO163" s="381"/>
      <c r="FP163" s="381"/>
      <c r="FQ163" s="381"/>
      <c r="FR163" s="381"/>
      <c r="FS163" s="381"/>
      <c r="FT163" s="381"/>
      <c r="FU163" s="381"/>
      <c r="FV163" s="381"/>
      <c r="FW163" s="381"/>
      <c r="FX163" s="381"/>
      <c r="FY163" s="381"/>
      <c r="FZ163" s="381"/>
      <c r="GA163" s="381"/>
      <c r="GB163" s="381"/>
      <c r="GC163" s="381"/>
      <c r="GD163" s="381"/>
      <c r="GE163" s="381"/>
      <c r="GF163" s="381"/>
      <c r="GG163" s="381"/>
      <c r="GH163" s="381"/>
      <c r="GI163" s="381"/>
      <c r="GJ163" s="381"/>
      <c r="GK163" s="381"/>
      <c r="GL163" s="381"/>
      <c r="GM163" s="381"/>
      <c r="GN163" s="381"/>
      <c r="GO163" s="381"/>
      <c r="GP163" s="381"/>
      <c r="GQ163" s="381"/>
      <c r="GR163" s="381"/>
      <c r="GS163" s="381"/>
      <c r="GT163" s="381"/>
      <c r="GU163" s="381"/>
      <c r="GV163" s="381"/>
      <c r="GW163" s="381"/>
      <c r="GX163" s="381"/>
      <c r="GY163" s="381"/>
      <c r="GZ163" s="381"/>
      <c r="HA163" s="381"/>
      <c r="HB163" s="381"/>
      <c r="HC163" s="381"/>
      <c r="HD163" s="381"/>
      <c r="HE163" s="381"/>
      <c r="HF163" s="381"/>
      <c r="HG163" s="381"/>
      <c r="HH163" s="381"/>
      <c r="HI163" s="381"/>
      <c r="HJ163" s="381"/>
      <c r="HK163" s="381"/>
      <c r="HL163" s="381"/>
      <c r="HM163" s="381"/>
      <c r="HN163" s="381"/>
      <c r="HO163" s="381"/>
      <c r="HP163" s="381"/>
      <c r="HQ163" s="381"/>
      <c r="HR163" s="381"/>
      <c r="HS163" s="381"/>
      <c r="HT163" s="381"/>
      <c r="HU163" s="381"/>
      <c r="HV163" s="381"/>
      <c r="HW163" s="381"/>
      <c r="HX163" s="381"/>
      <c r="HY163" s="381"/>
      <c r="HZ163" s="381"/>
      <c r="IA163" s="381"/>
      <c r="IB163" s="381"/>
      <c r="IC163" s="381"/>
      <c r="ID163" s="381"/>
      <c r="IE163" s="381"/>
      <c r="IF163" s="381"/>
      <c r="IG163" s="381"/>
      <c r="IH163" s="381"/>
      <c r="II163" s="381"/>
      <c r="IJ163" s="381"/>
      <c r="IK163" s="381"/>
      <c r="IL163" s="381"/>
      <c r="IM163" s="381"/>
      <c r="IN163" s="381"/>
      <c r="IO163" s="381"/>
      <c r="IP163" s="381"/>
      <c r="IQ163" s="381"/>
    </row>
    <row r="164" spans="1:251" ht="15" customHeight="1" x14ac:dyDescent="0.25">
      <c r="A164" s="1194"/>
      <c r="B164" s="2"/>
      <c r="C164" s="1723" t="s">
        <v>5801</v>
      </c>
      <c r="D164" s="1723"/>
      <c r="E164" s="1723"/>
      <c r="F164" s="1723"/>
      <c r="G164" s="1723"/>
      <c r="H164" s="1723"/>
      <c r="I164" s="1723"/>
      <c r="J164" s="1723"/>
      <c r="K164" s="1723"/>
      <c r="L164" s="1723"/>
      <c r="M164" s="1723"/>
      <c r="N164" s="1723"/>
      <c r="O164" s="1723"/>
      <c r="P164" s="1723"/>
      <c r="Q164" s="1723"/>
      <c r="R164" s="1723"/>
      <c r="S164" s="1723"/>
      <c r="T164" s="2"/>
      <c r="U164" s="1051"/>
      <c r="W164" s="1725" t="s">
        <v>910</v>
      </c>
      <c r="X164" s="9"/>
      <c r="Y164" s="1197"/>
      <c r="Z164" s="1197"/>
      <c r="AA164" s="1197"/>
      <c r="AB164" s="1197"/>
      <c r="AC164" s="1197"/>
      <c r="AD164" s="1197"/>
      <c r="AE164" s="1197"/>
      <c r="AF164" s="1197"/>
      <c r="AG164" s="1197"/>
      <c r="AH164" s="1197"/>
      <c r="AI164" s="1197"/>
      <c r="AJ164" s="1197"/>
      <c r="AK164" s="1197"/>
      <c r="AL164" s="1197"/>
      <c r="AM164" s="1197"/>
      <c r="AN164" s="381"/>
      <c r="AO164" s="381"/>
    </row>
    <row r="165" spans="1:251" ht="15.75" x14ac:dyDescent="0.25">
      <c r="A165" s="1194"/>
      <c r="B165" s="2"/>
      <c r="C165" s="1723"/>
      <c r="D165" s="1723"/>
      <c r="E165" s="1723"/>
      <c r="F165" s="1723"/>
      <c r="G165" s="1723"/>
      <c r="H165" s="1723"/>
      <c r="I165" s="1723"/>
      <c r="J165" s="1723"/>
      <c r="K165" s="1723"/>
      <c r="L165" s="1723"/>
      <c r="M165" s="1723"/>
      <c r="N165" s="1723"/>
      <c r="O165" s="1723"/>
      <c r="P165" s="1723"/>
      <c r="Q165" s="1723"/>
      <c r="R165" s="1723"/>
      <c r="S165" s="1723"/>
      <c r="T165" s="2"/>
      <c r="U165" s="1051"/>
      <c r="V165" s="8"/>
      <c r="W165" s="1726"/>
      <c r="X165" s="9"/>
      <c r="Y165" s="1197"/>
      <c r="Z165" s="1197"/>
      <c r="AA165" s="1197"/>
      <c r="AB165" s="1197"/>
      <c r="AC165" s="1197"/>
      <c r="AD165" s="1197"/>
      <c r="AE165" s="1197"/>
      <c r="AF165" s="1197"/>
      <c r="AG165" s="1197"/>
      <c r="AH165" s="1197"/>
      <c r="AI165" s="1197"/>
      <c r="AJ165" s="1197"/>
      <c r="AK165" s="1197"/>
      <c r="AL165" s="1197"/>
      <c r="AM165" s="1197"/>
      <c r="AN165" s="381"/>
      <c r="AO165" s="381"/>
      <c r="AP165" s="9"/>
      <c r="AQ165" s="9"/>
      <c r="AR165" s="9"/>
      <c r="AS165" s="9"/>
      <c r="AT165" s="9"/>
      <c r="AU165" s="9"/>
      <c r="AV165" s="9"/>
      <c r="AW165" s="9"/>
      <c r="AX165" s="9"/>
      <c r="AY165" s="9"/>
      <c r="AZ165" s="9"/>
      <c r="BA165" s="9"/>
    </row>
    <row r="166" spans="1:251" ht="15.75" x14ac:dyDescent="0.25">
      <c r="A166" s="1194"/>
      <c r="B166" s="2"/>
      <c r="C166" s="2"/>
      <c r="D166" s="2"/>
      <c r="E166" s="2"/>
      <c r="F166" s="2"/>
      <c r="G166" s="2"/>
      <c r="H166" s="2"/>
      <c r="I166" s="2"/>
      <c r="J166" s="2"/>
      <c r="K166" s="2"/>
      <c r="L166" s="2"/>
      <c r="M166" s="1118" t="s">
        <v>687</v>
      </c>
      <c r="N166" s="1118"/>
      <c r="O166" s="1118" t="s">
        <v>688</v>
      </c>
      <c r="P166" s="1118"/>
      <c r="Q166" s="1118" t="s">
        <v>689</v>
      </c>
      <c r="R166" s="1118"/>
      <c r="S166" s="1118" t="s">
        <v>706</v>
      </c>
      <c r="T166" s="2"/>
      <c r="U166" s="1051"/>
      <c r="V166" s="8"/>
      <c r="W166" s="9"/>
      <c r="X166" s="9"/>
      <c r="Y166" s="1197"/>
      <c r="Z166" s="1197"/>
      <c r="AA166" s="1197"/>
      <c r="AB166" s="1197"/>
      <c r="AC166" s="1197"/>
      <c r="AD166" s="1197"/>
      <c r="AE166" s="1197"/>
      <c r="AF166" s="1197"/>
      <c r="AG166" s="1197"/>
      <c r="AH166" s="1197"/>
      <c r="AI166" s="1197"/>
      <c r="AJ166" s="1197"/>
      <c r="AK166" s="1197"/>
      <c r="AL166" s="1197"/>
      <c r="AM166" s="1197"/>
      <c r="AN166" s="381"/>
      <c r="AO166" s="381"/>
      <c r="AP166" s="9"/>
      <c r="AQ166" s="9"/>
      <c r="AR166" s="9"/>
      <c r="AS166" s="9"/>
      <c r="AT166" s="9"/>
      <c r="AU166" s="9"/>
      <c r="AV166" s="9"/>
      <c r="AW166" s="9"/>
      <c r="AX166" s="9"/>
      <c r="AY166" s="9"/>
      <c r="AZ166" s="9"/>
      <c r="BA166" s="9"/>
    </row>
    <row r="167" spans="1:251" ht="15.75" customHeight="1" x14ac:dyDescent="0.25">
      <c r="A167" s="1194"/>
      <c r="B167" s="2"/>
      <c r="C167" s="10" t="str">
        <f>CONCATENATE("Small Business Rates Multiplier Adjustment Factor: ",ROUND(1+adj_factor,3))</f>
        <v>Small Business Rates Multiplier Adjustment Factor: 1.269</v>
      </c>
      <c r="D167" s="2"/>
      <c r="E167" s="2"/>
      <c r="F167" s="2"/>
      <c r="G167" s="2"/>
      <c r="H167" s="2"/>
      <c r="I167" s="2"/>
      <c r="J167" s="2"/>
      <c r="K167" s="2"/>
      <c r="L167" s="2"/>
      <c r="M167" s="1721" t="str">
        <f>+M92</f>
        <v>ZZZZ</v>
      </c>
      <c r="N167" s="1118"/>
      <c r="O167" s="1721" t="str">
        <f>+O92</f>
        <v>0 County Council</v>
      </c>
      <c r="P167" s="1118"/>
      <c r="Q167" s="1721">
        <f>+Q92</f>
        <v>0</v>
      </c>
      <c r="R167" s="1033"/>
      <c r="S167" s="1721" t="s">
        <v>698</v>
      </c>
      <c r="T167" s="2"/>
      <c r="U167" s="1051"/>
      <c r="V167" s="8"/>
      <c r="W167" s="9"/>
      <c r="X167" s="9"/>
      <c r="Y167" s="1197"/>
      <c r="Z167" s="1197"/>
      <c r="AA167" s="1197"/>
      <c r="AB167" s="1197"/>
      <c r="AC167" s="1197"/>
      <c r="AD167" s="1197"/>
      <c r="AE167" s="1197"/>
      <c r="AF167" s="1197"/>
      <c r="AG167" s="1197"/>
      <c r="AH167" s="1197"/>
      <c r="AI167" s="1197"/>
      <c r="AJ167" s="1197"/>
      <c r="AK167" s="1197"/>
      <c r="AL167" s="1197"/>
      <c r="AM167" s="1197"/>
      <c r="AN167" s="381"/>
      <c r="AO167" s="381"/>
      <c r="AP167" s="9"/>
      <c r="AQ167" s="9"/>
      <c r="AR167" s="9"/>
      <c r="AS167" s="9"/>
      <c r="AT167" s="9"/>
      <c r="AU167" s="9"/>
      <c r="AV167" s="9"/>
      <c r="AW167" s="9"/>
      <c r="AX167" s="9"/>
      <c r="AY167" s="9"/>
      <c r="AZ167" s="9"/>
      <c r="BA167" s="9"/>
    </row>
    <row r="168" spans="1:251" ht="15.75" customHeight="1" x14ac:dyDescent="0.25">
      <c r="A168" s="1194"/>
      <c r="B168" s="2"/>
      <c r="C168" s="10" t="str">
        <f>CONCATENATE("Supplementary Multiplier Adjustment Factor: ",ROUND(1+adj_factor_supp,3))</f>
        <v>Supplementary Multiplier Adjustment Factor: 1.168</v>
      </c>
      <c r="D168" s="2"/>
      <c r="E168" s="2"/>
      <c r="F168" s="2"/>
      <c r="G168" s="2"/>
      <c r="H168" s="2"/>
      <c r="I168" s="2"/>
      <c r="J168" s="2"/>
      <c r="K168" s="2"/>
      <c r="L168" s="2"/>
      <c r="M168" s="1721"/>
      <c r="N168" s="1118"/>
      <c r="O168" s="1721"/>
      <c r="P168" s="1118"/>
      <c r="Q168" s="1721"/>
      <c r="R168" s="1118"/>
      <c r="S168" s="1721"/>
      <c r="T168" s="2"/>
      <c r="U168" s="1051"/>
      <c r="V168" s="14"/>
      <c r="W168" s="1125" t="s">
        <v>2213</v>
      </c>
      <c r="X168" s="9"/>
      <c r="Y168" s="1197"/>
      <c r="Z168" s="1197"/>
      <c r="AA168" s="1197"/>
      <c r="AB168" s="1197"/>
      <c r="AC168" s="1197"/>
      <c r="AD168" s="1197"/>
      <c r="AE168" s="1197"/>
      <c r="AF168" s="1197"/>
      <c r="AG168" s="1197"/>
      <c r="AH168" s="1197"/>
      <c r="AI168" s="1197"/>
      <c r="AJ168" s="1197"/>
      <c r="AK168" s="1197"/>
      <c r="AL168" s="1197"/>
      <c r="AM168" s="1197"/>
      <c r="AN168" s="381"/>
      <c r="AO168" s="381"/>
      <c r="AP168" s="9"/>
      <c r="AQ168" s="9"/>
      <c r="AR168" s="9"/>
      <c r="AS168" s="9"/>
      <c r="AT168" s="9"/>
      <c r="AU168" s="9"/>
      <c r="AV168" s="9"/>
      <c r="AW168" s="9"/>
      <c r="AX168" s="9"/>
      <c r="AY168" s="9"/>
      <c r="AZ168" s="9"/>
      <c r="BA168" s="9"/>
    </row>
    <row r="169" spans="1:251" ht="15.75" customHeight="1" x14ac:dyDescent="0.25">
      <c r="A169" s="1194"/>
      <c r="B169" s="2"/>
      <c r="C169" s="2"/>
      <c r="D169" s="2"/>
      <c r="E169" s="2"/>
      <c r="F169" s="2"/>
      <c r="G169" s="2"/>
      <c r="H169" s="2"/>
      <c r="I169" s="2"/>
      <c r="J169" s="2"/>
      <c r="K169" s="2"/>
      <c r="L169" s="2"/>
      <c r="M169" s="1721"/>
      <c r="N169" s="1118"/>
      <c r="O169" s="1721"/>
      <c r="P169" s="1118"/>
      <c r="Q169" s="1721"/>
      <c r="R169" s="1118"/>
      <c r="S169" s="1721"/>
      <c r="T169" s="2"/>
      <c r="U169" s="1051"/>
      <c r="V169" s="1198"/>
      <c r="W169" s="1073" t="s">
        <v>52</v>
      </c>
      <c r="X169" s="9"/>
      <c r="Y169" s="1197"/>
      <c r="Z169" s="1197"/>
      <c r="AA169" s="1197"/>
      <c r="AB169" s="1197"/>
      <c r="AC169" s="1197"/>
      <c r="AD169" s="1197"/>
      <c r="AE169" s="1197"/>
      <c r="AF169" s="1197"/>
      <c r="AG169" s="1197"/>
      <c r="AH169" s="1197"/>
      <c r="AI169" s="1197"/>
      <c r="AJ169" s="1197"/>
      <c r="AK169" s="1197"/>
      <c r="AL169" s="1197"/>
      <c r="AM169" s="1197"/>
      <c r="AN169" s="381"/>
      <c r="AO169" s="381"/>
      <c r="AP169" s="9"/>
      <c r="AQ169" s="9"/>
      <c r="AR169" s="9"/>
      <c r="AS169" s="9"/>
      <c r="AT169" s="9"/>
      <c r="AU169" s="9"/>
      <c r="AV169" s="9"/>
      <c r="AW169" s="9"/>
      <c r="AX169" s="9"/>
      <c r="AY169" s="9"/>
      <c r="AZ169" s="9"/>
      <c r="BA169" s="9"/>
    </row>
    <row r="170" spans="1:251" ht="19.5" customHeight="1" thickBot="1" x14ac:dyDescent="0.3">
      <c r="A170" s="1194"/>
      <c r="B170" s="2"/>
      <c r="C170" s="12" t="s">
        <v>1157</v>
      </c>
      <c r="D170" s="12"/>
      <c r="E170" s="2"/>
      <c r="F170" s="2"/>
      <c r="G170" s="2"/>
      <c r="H170" s="2"/>
      <c r="I170" s="2"/>
      <c r="J170" s="2"/>
      <c r="K170" s="2"/>
      <c r="L170" s="177"/>
      <c r="M170" s="1120" t="s">
        <v>681</v>
      </c>
      <c r="N170" s="1122"/>
      <c r="O170" s="1120" t="s">
        <v>681</v>
      </c>
      <c r="P170" s="1122"/>
      <c r="Q170" s="1120" t="s">
        <v>681</v>
      </c>
      <c r="R170" s="1121"/>
      <c r="S170" s="1120" t="s">
        <v>681</v>
      </c>
      <c r="T170" s="177"/>
      <c r="U170" s="1051"/>
      <c r="V170" s="14"/>
      <c r="W170" s="1067"/>
      <c r="X170" s="9"/>
      <c r="Y170" s="1197"/>
      <c r="Z170" s="1197"/>
      <c r="AA170" s="1197"/>
      <c r="AB170" s="1197"/>
      <c r="AC170" s="1197"/>
      <c r="AD170" s="1197"/>
      <c r="AE170" s="1197"/>
      <c r="AF170" s="1197"/>
      <c r="AG170" s="1197"/>
      <c r="AH170" s="1197"/>
      <c r="AI170" s="1197"/>
      <c r="AJ170" s="1197"/>
      <c r="AK170" s="1197"/>
      <c r="AL170" s="1197"/>
      <c r="AM170" s="1197"/>
      <c r="AN170" s="381"/>
      <c r="AO170" s="381"/>
      <c r="AP170" s="9"/>
      <c r="AQ170" s="9"/>
      <c r="AR170" s="9"/>
      <c r="AS170" s="9"/>
      <c r="AT170" s="9"/>
      <c r="AU170" s="9"/>
      <c r="AV170" s="9"/>
      <c r="AW170" s="9"/>
      <c r="AX170" s="9"/>
      <c r="AY170" s="9"/>
      <c r="AZ170" s="9"/>
      <c r="BA170" s="9"/>
    </row>
    <row r="171" spans="1:251" ht="16.5" customHeight="1" thickBot="1" x14ac:dyDescent="0.3">
      <c r="A171" s="1194"/>
      <c r="B171" s="2"/>
      <c r="C171" s="10"/>
      <c r="D171" s="1733" t="s">
        <v>5676</v>
      </c>
      <c r="E171" s="1733"/>
      <c r="F171" s="1733"/>
      <c r="G171" s="1733"/>
      <c r="H171" s="1733"/>
      <c r="I171" s="1733"/>
      <c r="J171" s="1733"/>
      <c r="K171" s="1733"/>
      <c r="L171" s="1199"/>
      <c r="M171" s="1126" t="e">
        <f>ROUND(((((('Part 2'!M166 + (('Part 3'!M17 +'Part 3'!M20) * small_share_total))+'Part 2'!M38-('Part 3'!M43*small_share_da)-('Part 3'!G33*small_share_baa)-('Part 3'!J33*small_share_da)-('Part 3'!M35*small_share_total)-('Part 1'!K41*small_share_total))*$M$96)+(M110*small_share_da)+(M112*small_share_total)+(M114*small_share_total)+IF(Local_Share_Total=1,0,('Part 2'!$J$117+('Part 2'!$G$119*$M$96))*-1))*adj_factor)+
((((('Part 2'!Y166 + (('Part 3'!M17 +'Part 3'!M20) * standard_share_total))+'Part 2'!Y38-('Part 3'!M43*standard_share_da)-('Part 3'!G33*standard_share_baa)-('Part 3'!J33*standard_share_da)-('Part 3'!M35*standard_share_total)-('Part 1'!K41*standard_share_total))*$M$96)+(M110*standard_share_da)+(M112*standard_share_total)+(M114*standard_share_total)+M120+IF(Local_Share_Total=1,0,('Part 2'!$V$117+('Part 2'!$S$119*$M$96))*-1))*adj_factor_supp),0)</f>
        <v>#N/A</v>
      </c>
      <c r="N171" s="1122"/>
      <c r="O171" s="1126" t="e">
        <f>ROUND(((((('Part 2'!M166 + (('Part 3'!M17 +'Part 3'!M20) * small_share_total))+'Part 2'!M38-('Part 3'!M43*small_share_da)-('Part 3'!G33*small_share_baa)-('Part 3'!J33*small_share_da)-('Part 3'!M35*small_share_total)-('Part 1'!K41*small_share_total))*$O$96)+(O110*small_share_da)+(O112*small_share_total)+(O114*small_share_total)+IF(Local_Share_Total=1,0,('Part 2'!$G$119*$O$96)*-1))*adj_factor)+
((((('Part 2'!Y166 + (('Part 3'!M17 +'Part 3'!M20) * standard_share_total))+'Part 2'!Y38-('Part 3'!M43*standard_share_da)-('Part 3'!G33*standard_share_baa)-('Part 3'!J33*standard_share_da)-('Part 3'!M35*standard_share_total)-('Part 1'!K41*standard_share_total))*$O$96)+(O110*standard_share_da)+(O112*standard_share_total)+(O114*standard_share_total)+IF(Local_Share_Total=1,0,('Part 2'!$S$119*$O$96)*-1))*adj_factor_supp),0)</f>
        <v>#N/A</v>
      </c>
      <c r="P171" s="1122"/>
      <c r="Q171" s="1126" t="e">
        <f>ROUND(((((('Part 2'!M166 + (('Part 3'!M17 +'Part 3'!M20) * small_share_total))+'Part 2'!M38-('Part 3'!M43*small_share_da)-('Part 3'!G33*small_share_baa)-('Part 3'!J33*small_share_da)-('Part 3'!M35*small_share_total)-('Part 1'!K41*small_share_total))*$Q$96)+(Q114*small_share_total)+IF(Local_Share_Total=1,0,('Part 2'!$G$119*$Q$96)*-1))*adj_factor)+
((((('Part 2'!Y166 + (('Part 3'!M17 +'Part 3'!M20) * standard_share_total))+'Part 2'!Y38-('Part 3'!M43*standard_share_da)-('Part 3'!G33*standard_share_baa)-('Part 3'!J33*standard_share_da)-('Part 3'!M35*standard_share_total)-('Part 1'!K41*standard_share_total))*$Q$96)+(Q114*standard_share_total)+IF(Local_Share_Total=1,0,('Part 2'!$S$119*$Q$96)*-1))*adj_factor_supp),0)</f>
        <v>#N/A</v>
      </c>
      <c r="R171" s="1122"/>
      <c r="S171" s="1126" t="e">
        <f>+$M$171+$O$171+$Q$171</f>
        <v>#N/A</v>
      </c>
      <c r="T171" s="177"/>
      <c r="U171" s="67"/>
      <c r="V171" s="1198"/>
      <c r="W171" s="1067" t="e">
        <f>+IF(M171+O171+Q171-S171=0,0,1)</f>
        <v>#N/A</v>
      </c>
      <c r="X171" s="9"/>
      <c r="Y171" s="1197"/>
      <c r="Z171" s="1197"/>
      <c r="AA171" s="1197"/>
      <c r="AB171" s="1197"/>
      <c r="AC171" s="1197"/>
      <c r="AD171" s="1197"/>
      <c r="AE171" s="1197"/>
      <c r="AF171" s="1197"/>
      <c r="AG171" s="1197"/>
      <c r="AH171" s="1197"/>
      <c r="AI171" s="1197"/>
      <c r="AJ171" s="1197"/>
      <c r="AK171" s="1197"/>
      <c r="AL171" s="1197"/>
      <c r="AM171" s="1197"/>
      <c r="AN171" s="381"/>
      <c r="AO171" s="381"/>
      <c r="AP171" s="9"/>
      <c r="AQ171" s="9"/>
      <c r="AR171" s="9"/>
      <c r="AS171" s="9"/>
      <c r="AT171" s="9"/>
      <c r="AU171" s="9"/>
      <c r="AV171" s="9"/>
      <c r="AW171" s="9"/>
      <c r="AX171" s="9"/>
      <c r="AY171" s="9"/>
      <c r="AZ171" s="9"/>
      <c r="BA171" s="9"/>
    </row>
    <row r="172" spans="1:251" ht="15.75" customHeight="1" x14ac:dyDescent="0.25">
      <c r="A172" s="1194"/>
      <c r="B172" s="2"/>
      <c r="C172" s="10"/>
      <c r="D172" s="1733"/>
      <c r="E172" s="1733"/>
      <c r="F172" s="1733"/>
      <c r="G172" s="1733"/>
      <c r="H172" s="1733"/>
      <c r="I172" s="1733"/>
      <c r="J172" s="1733"/>
      <c r="K172" s="1733"/>
      <c r="L172" s="1199"/>
      <c r="M172" s="1123"/>
      <c r="N172" s="1122"/>
      <c r="O172" s="1123"/>
      <c r="P172" s="1122"/>
      <c r="Q172" s="1123"/>
      <c r="R172" s="1122"/>
      <c r="S172" s="1123"/>
      <c r="T172" s="177"/>
      <c r="U172" s="578"/>
      <c r="V172" s="1732"/>
      <c r="W172" s="1067"/>
      <c r="X172" s="9"/>
      <c r="Y172" s="1197"/>
      <c r="Z172" s="1197"/>
      <c r="AA172" s="1197"/>
      <c r="AB172" s="1197"/>
      <c r="AC172" s="1197"/>
      <c r="AD172" s="1197"/>
      <c r="AE172" s="1197"/>
      <c r="AF172" s="1197"/>
      <c r="AG172" s="1197"/>
      <c r="AH172" s="1197"/>
      <c r="AI172" s="1197"/>
      <c r="AJ172" s="1197"/>
      <c r="AK172" s="1197"/>
      <c r="AL172" s="1197"/>
      <c r="AM172" s="1197"/>
      <c r="AN172" s="381"/>
      <c r="AO172" s="381"/>
      <c r="AP172" s="9"/>
      <c r="AQ172" s="9"/>
      <c r="AR172" s="9"/>
      <c r="AS172" s="9"/>
      <c r="AT172" s="9"/>
      <c r="AU172" s="9"/>
      <c r="AV172" s="9"/>
      <c r="AW172" s="9"/>
      <c r="AX172" s="9"/>
      <c r="AY172" s="9"/>
      <c r="AZ172" s="9"/>
      <c r="BA172" s="9"/>
    </row>
    <row r="173" spans="1:251" ht="1.5" customHeight="1" x14ac:dyDescent="0.25">
      <c r="A173" s="1200"/>
      <c r="B173" s="2"/>
      <c r="C173" s="10"/>
      <c r="D173" s="1733"/>
      <c r="E173" s="1733"/>
      <c r="F173" s="1733"/>
      <c r="G173" s="1733"/>
      <c r="H173" s="1733"/>
      <c r="I173" s="1733"/>
      <c r="J173" s="1733"/>
      <c r="K173" s="1733"/>
      <c r="L173" s="1199"/>
      <c r="M173" s="1123"/>
      <c r="N173" s="1122"/>
      <c r="O173" s="1123"/>
      <c r="P173" s="1122"/>
      <c r="Q173" s="1123"/>
      <c r="R173" s="1122"/>
      <c r="S173" s="1123"/>
      <c r="T173" s="177"/>
      <c r="U173" s="578"/>
      <c r="V173" s="1732"/>
      <c r="W173" s="1067"/>
      <c r="X173" s="9"/>
      <c r="Y173" s="1197"/>
      <c r="Z173" s="1197"/>
      <c r="AA173" s="1197"/>
      <c r="AB173" s="1197"/>
      <c r="AC173" s="1197"/>
      <c r="AD173" s="1197"/>
      <c r="AE173" s="1197"/>
      <c r="AF173" s="1197"/>
      <c r="AG173" s="1197"/>
      <c r="AH173" s="1197"/>
      <c r="AI173" s="1197"/>
      <c r="AJ173" s="1197"/>
      <c r="AK173" s="1197"/>
      <c r="AL173" s="1197"/>
      <c r="AM173" s="1197"/>
      <c r="AN173" s="381"/>
      <c r="AO173" s="381"/>
      <c r="AP173" s="9"/>
      <c r="AQ173" s="9"/>
      <c r="AR173" s="9"/>
      <c r="AS173" s="9"/>
      <c r="AT173" s="9"/>
      <c r="AU173" s="9"/>
      <c r="AV173" s="9"/>
      <c r="AW173" s="9"/>
      <c r="AX173" s="9"/>
      <c r="AY173" s="9"/>
      <c r="AZ173" s="9"/>
      <c r="BA173" s="9"/>
    </row>
    <row r="174" spans="1:251" ht="16.5" thickBot="1" x14ac:dyDescent="0.3">
      <c r="A174" s="1194"/>
      <c r="B174" s="2"/>
      <c r="C174" s="10"/>
      <c r="D174" s="10"/>
      <c r="E174" s="242"/>
      <c r="F174" s="242"/>
      <c r="G174" s="242"/>
      <c r="H174" s="242"/>
      <c r="I174" s="242"/>
      <c r="J174" s="242"/>
      <c r="K174" s="10"/>
      <c r="L174" s="177"/>
      <c r="M174" s="1201"/>
      <c r="N174" s="1201"/>
      <c r="O174" s="1201"/>
      <c r="P174" s="1201"/>
      <c r="Q174" s="1201"/>
      <c r="R174" s="1201"/>
      <c r="S174" s="1201"/>
      <c r="T174" s="177"/>
      <c r="U174" s="1051"/>
      <c r="V174" s="1732"/>
      <c r="W174" s="1067"/>
      <c r="X174" s="9"/>
      <c r="Y174" s="1197"/>
      <c r="Z174" s="1197"/>
      <c r="AA174" s="1197"/>
      <c r="AB174" s="1197"/>
      <c r="AC174" s="1197"/>
      <c r="AD174" s="1197"/>
      <c r="AE174" s="1197"/>
      <c r="AF174" s="1197"/>
      <c r="AG174" s="1197"/>
      <c r="AH174" s="1197"/>
      <c r="AI174" s="1197"/>
      <c r="AJ174" s="1197"/>
      <c r="AK174" s="1197"/>
      <c r="AL174" s="1197"/>
      <c r="AM174" s="1197"/>
      <c r="AN174" s="381"/>
      <c r="AO174" s="381"/>
      <c r="AP174" s="9"/>
      <c r="AQ174" s="9"/>
      <c r="AR174" s="9"/>
      <c r="AS174" s="9"/>
      <c r="AT174" s="9"/>
      <c r="AU174" s="9"/>
      <c r="AV174" s="9"/>
      <c r="AW174" s="9"/>
      <c r="AX174" s="9"/>
      <c r="AY174" s="9"/>
      <c r="AZ174" s="9"/>
      <c r="BA174" s="9"/>
    </row>
    <row r="175" spans="1:251" ht="16.5" customHeight="1" thickBot="1" x14ac:dyDescent="0.3">
      <c r="A175" s="1200"/>
      <c r="B175" s="2"/>
      <c r="C175" s="10"/>
      <c r="D175" s="1734" t="s">
        <v>5677</v>
      </c>
      <c r="E175" s="1734"/>
      <c r="F175" s="1734"/>
      <c r="G175" s="1734"/>
      <c r="H175" s="1734"/>
      <c r="I175" s="1734"/>
      <c r="J175" s="1734"/>
      <c r="K175" s="1734"/>
      <c r="L175" s="177"/>
      <c r="M175" s="1126">
        <f>ROUND(+S175-Q175-O175,0)</f>
        <v>0</v>
      </c>
      <c r="N175" s="1122"/>
      <c r="O175" s="1126">
        <f>ROUND(((+(((('Part 2'!$G$44-'Part 2'!$G$46)*INDEX(TierSplit!$CJ:$CJ,MATCH(Import_LA_Code,Ref_LA_Codes2,0)))+'Part 2'!$G$46+('Part 2'!$G$56*0.5)+'Part 2'!$G$141+'Part 2'!$G$59+'Part 2'!$G$144+'Part 2'!$G$62+'Part 2'!$G$65+'Part 2'!$G$147)*adj_factor)
+((('Part 2'!$S$56*0.5)+'Part 2'!$S$141+'Part 2'!$S$59+'Part 2'!$S$144+'Part 2'!$S$62+'Part 2'!$S$65+'Part 2'!$S$147)*adj_factor_supp))*-1*$O$96),0)</f>
        <v>0</v>
      </c>
      <c r="P175" s="1122"/>
      <c r="Q175" s="1126">
        <f>ROUND(((+(((('Part 2'!$G$44-'Part 2'!$G$46)*INDEX(TierSplit!$CJ:$CJ,MATCH(Import_LA_Code,Ref_LA_Codes2,0)))+'Part 2'!$G$46+('Part 2'!$G$56*0.5)+'Part 2'!$G$141+'Part 2'!$G$59+'Part 2'!$G$144+'Part 2'!$G$65+'Part 2'!$G$147+'Part 2'!$G$62)*adj_factor)
+((('Part 2'!$S$56*0.5)+'Part 2'!$S$141+'Part 2'!$S$59+'Part 2'!$S$144+'Part 2'!$S$65+'Part 2'!$S$147+'Part 2'!$S$62)*adj_factor_supp))*-1*$Q$96),0)</f>
        <v>0</v>
      </c>
      <c r="R175" s="1122"/>
      <c r="S175" s="1126">
        <f>(ROUND(((((('Part 2'!$G$44-'Part 2'!$G$46)*INDEX(TierSplit!$CJ:$CJ,MATCH(Import_LA_Code,Ref_LA_Codes2,0)))+'Part 2'!$G$46+('Part 2'!$G$56*0.5)+'Part 2'!$G$141+'Part 2'!$G$59+'Part 2'!$G$144+'Part 2'!$G$65+'Part 2'!$G$147+'Part 2'!$G$62)*adj_factor)+
((('Part 2'!$S$56*0.5)+'Part 2'!$S$141+'Part 2'!$S$59+'Part 2'!$S$144+'Part 2'!$S$65+'Part 2'!$S$147+'Part 2'!$S$62)*(adj_factor_supp)))*Local_Share_Total,0)
+
ROUND(((((('Part 2'!$J$44-'Part 2'!$J$46)*INDEX(TierSplit!$CJ:$CJ,MATCH(Import_LA_Code,Ref_LA_Codes2,0)))+'Part 2'!$J$46+('Part 2'!$J$56*0.5)+'Part 2'!$J$141+'Part 2'!$J$59+'Part 2'!$J$144+'Part 2'!$J$65+'Part 2'!$J$147+'Part 2'!$J$62)*adj_factor)+
((('Part 2'!$V$56*0.5)+'Part 2'!$V$141+'Part 2'!$V$59+'Part 2'!$V$144+'Part 2'!$V$65+'Part 2'!$V$147+'Part 2'!$V$62)*(adj_factor_supp)))*IF('Part 3 DA summary'!$U$6&gt;0,1,Local_Share_Total),0))*-1</f>
        <v>0</v>
      </c>
      <c r="T175" s="177"/>
      <c r="U175" s="1052"/>
      <c r="V175" s="905"/>
      <c r="W175" s="1067">
        <f>+IF(M175+O175+Q175-S175=0,0,1)</f>
        <v>0</v>
      </c>
      <c r="X175" s="9"/>
      <c r="Y175" s="1197"/>
      <c r="Z175" s="1197"/>
      <c r="AA175" s="1197"/>
      <c r="AB175" s="1197"/>
      <c r="AC175" s="1197"/>
      <c r="AD175" s="1197"/>
      <c r="AE175" s="1197"/>
      <c r="AF175" s="1197"/>
      <c r="AG175" s="1197"/>
      <c r="AH175" s="1197"/>
      <c r="AI175" s="1197"/>
      <c r="AJ175" s="1197"/>
      <c r="AK175" s="1197"/>
      <c r="AL175" s="1197"/>
      <c r="AM175" s="1197"/>
      <c r="AN175" s="381"/>
      <c r="AO175" s="381"/>
      <c r="AP175" s="9"/>
      <c r="AQ175" s="9"/>
      <c r="AR175" s="9"/>
      <c r="AS175" s="9"/>
      <c r="AT175" s="9"/>
      <c r="AU175" s="9"/>
      <c r="AV175" s="9"/>
      <c r="AW175" s="9"/>
      <c r="AX175" s="9"/>
      <c r="AY175" s="9"/>
      <c r="AZ175" s="9"/>
      <c r="BA175" s="9"/>
    </row>
    <row r="176" spans="1:251" ht="15.75" x14ac:dyDescent="0.25">
      <c r="A176" s="1200"/>
      <c r="B176" s="2"/>
      <c r="C176" s="10"/>
      <c r="D176" s="1734"/>
      <c r="E176" s="1734"/>
      <c r="F176" s="1734"/>
      <c r="G176" s="1734"/>
      <c r="H176" s="1734"/>
      <c r="I176" s="1734"/>
      <c r="J176" s="1734"/>
      <c r="K176" s="1734"/>
      <c r="L176" s="177"/>
      <c r="M176" s="1201"/>
      <c r="N176" s="1201"/>
      <c r="O176" s="1201"/>
      <c r="P176" s="1201"/>
      <c r="Q176" s="1201"/>
      <c r="R176" s="1201"/>
      <c r="S176" s="1201"/>
      <c r="T176" s="177"/>
      <c r="U176" s="1052"/>
      <c r="V176" s="91"/>
      <c r="W176" s="1067"/>
      <c r="X176" s="9"/>
      <c r="Y176" s="1197"/>
      <c r="Z176" s="1197"/>
      <c r="AA176" s="1197"/>
      <c r="AB176" s="1197"/>
      <c r="AC176" s="1197"/>
      <c r="AD176" s="1197"/>
      <c r="AE176" s="1197"/>
      <c r="AF176" s="1197"/>
      <c r="AG176" s="1197"/>
      <c r="AH176" s="1197"/>
      <c r="AI176" s="1197"/>
      <c r="AJ176" s="1197"/>
      <c r="AK176" s="1197"/>
      <c r="AL176" s="1197"/>
      <c r="AM176" s="1197"/>
      <c r="AN176" s="381"/>
      <c r="AO176" s="381"/>
      <c r="AP176" s="9"/>
      <c r="AQ176" s="9"/>
      <c r="AR176" s="9"/>
      <c r="AS176" s="9"/>
      <c r="AT176" s="9"/>
      <c r="AU176" s="9"/>
      <c r="AV176" s="9"/>
      <c r="AW176" s="9"/>
      <c r="AX176" s="9"/>
      <c r="AY176" s="9"/>
      <c r="AZ176" s="9"/>
      <c r="BA176" s="9"/>
    </row>
    <row r="177" spans="1:53" ht="14.25" customHeight="1" x14ac:dyDescent="0.25">
      <c r="A177" s="1200"/>
      <c r="B177" s="2"/>
      <c r="C177" s="10"/>
      <c r="D177" s="1734"/>
      <c r="E177" s="1734"/>
      <c r="F177" s="1734"/>
      <c r="G177" s="1734"/>
      <c r="H177" s="1734"/>
      <c r="I177" s="1734"/>
      <c r="J177" s="1734"/>
      <c r="K177" s="1734"/>
      <c r="L177" s="177"/>
      <c r="M177" s="1201"/>
      <c r="N177" s="1201"/>
      <c r="O177" s="1201"/>
      <c r="P177" s="1201"/>
      <c r="Q177" s="1201"/>
      <c r="R177" s="1201"/>
      <c r="S177" s="1201"/>
      <c r="T177" s="177"/>
      <c r="U177" s="1052"/>
      <c r="V177" s="905"/>
      <c r="W177" s="1067"/>
      <c r="X177" s="9"/>
      <c r="Y177" s="1197"/>
      <c r="Z177" s="1197"/>
      <c r="AA177" s="1197"/>
      <c r="AB177" s="1197"/>
      <c r="AC177" s="1197"/>
      <c r="AD177" s="1197"/>
      <c r="AE177" s="1197"/>
      <c r="AF177" s="1197"/>
      <c r="AG177" s="1197"/>
      <c r="AH177" s="1197"/>
      <c r="AI177" s="1197"/>
      <c r="AJ177" s="1197"/>
      <c r="AK177" s="1197"/>
      <c r="AL177" s="1197"/>
      <c r="AM177" s="1197"/>
      <c r="AN177" s="381"/>
      <c r="AO177" s="381"/>
      <c r="AP177" s="9"/>
      <c r="AQ177" s="9"/>
      <c r="AR177" s="9"/>
      <c r="AS177" s="9"/>
      <c r="AT177" s="9"/>
      <c r="AU177" s="9"/>
      <c r="AV177" s="9"/>
      <c r="AW177" s="9"/>
      <c r="AX177" s="9"/>
      <c r="AY177" s="9"/>
      <c r="AZ177" s="9"/>
      <c r="BA177" s="9"/>
    </row>
    <row r="178" spans="1:53" ht="16.5" thickBot="1" x14ac:dyDescent="0.3">
      <c r="A178" s="1200"/>
      <c r="B178" s="2"/>
      <c r="C178" s="10"/>
      <c r="D178" s="10"/>
      <c r="E178" s="242"/>
      <c r="F178" s="242"/>
      <c r="G178" s="242"/>
      <c r="H178" s="242"/>
      <c r="I178" s="242"/>
      <c r="J178" s="242"/>
      <c r="K178" s="10"/>
      <c r="L178" s="177"/>
      <c r="M178" s="1201"/>
      <c r="N178" s="1201"/>
      <c r="O178" s="1201"/>
      <c r="P178" s="1201"/>
      <c r="Q178" s="1201"/>
      <c r="R178" s="1201"/>
      <c r="S178" s="1201"/>
      <c r="T178" s="177"/>
      <c r="U178" s="1052"/>
      <c r="V178" s="91"/>
      <c r="W178" s="1067"/>
      <c r="X178" s="9"/>
      <c r="Y178" s="1197"/>
      <c r="Z178" s="1197"/>
      <c r="AA178" s="1197"/>
      <c r="AB178" s="1197"/>
      <c r="AC178" s="1197"/>
      <c r="AD178" s="1197"/>
      <c r="AE178" s="1197"/>
      <c r="AF178" s="1197"/>
      <c r="AG178" s="1197"/>
      <c r="AH178" s="1197"/>
      <c r="AI178" s="1197"/>
      <c r="AJ178" s="1197"/>
      <c r="AK178" s="1197"/>
      <c r="AL178" s="1197"/>
      <c r="AM178" s="1197"/>
      <c r="AN178" s="381"/>
      <c r="AO178" s="381"/>
      <c r="AP178" s="9"/>
      <c r="AQ178" s="9"/>
      <c r="AR178" s="9"/>
      <c r="AS178" s="9"/>
      <c r="AT178" s="9"/>
      <c r="AU178" s="9"/>
      <c r="AV178" s="9"/>
      <c r="AW178" s="9"/>
      <c r="AX178" s="9"/>
      <c r="AY178" s="9"/>
      <c r="AZ178" s="9"/>
      <c r="BA178" s="9"/>
    </row>
    <row r="179" spans="1:53" ht="16.5" customHeight="1" thickBot="1" x14ac:dyDescent="0.3">
      <c r="A179" s="1200"/>
      <c r="B179" s="2"/>
      <c r="C179" s="10"/>
      <c r="D179" s="1722" t="s">
        <v>5678</v>
      </c>
      <c r="E179" s="1722"/>
      <c r="F179" s="1722"/>
      <c r="G179" s="1722"/>
      <c r="H179" s="1722"/>
      <c r="I179" s="1722"/>
      <c r="J179" s="1722"/>
      <c r="K179" s="1722"/>
      <c r="L179" s="177"/>
      <c r="M179" s="1126" t="e">
        <f>$M$171+$M$175</f>
        <v>#N/A</v>
      </c>
      <c r="N179" s="1122"/>
      <c r="O179" s="1126" t="e">
        <f>$O$171+$O$175</f>
        <v>#N/A</v>
      </c>
      <c r="P179" s="1122"/>
      <c r="Q179" s="1126" t="e">
        <f>$Q$171+$Q$175</f>
        <v>#N/A</v>
      </c>
      <c r="R179" s="1122"/>
      <c r="S179" s="1126" t="e">
        <f>$S$171+$S$175</f>
        <v>#N/A</v>
      </c>
      <c r="T179" s="177"/>
      <c r="U179" s="1052"/>
      <c r="V179" s="1202"/>
      <c r="W179" s="1067" t="e">
        <f>+IF(M179+O179+Q179-S179=0,0,1)</f>
        <v>#N/A</v>
      </c>
      <c r="X179" s="9"/>
      <c r="Y179" s="1197"/>
      <c r="Z179" s="1197"/>
      <c r="AA179" s="1197"/>
      <c r="AB179" s="1197"/>
      <c r="AC179" s="1197"/>
      <c r="AD179" s="1197"/>
      <c r="AE179" s="1197"/>
      <c r="AF179" s="1197"/>
      <c r="AG179" s="1197"/>
      <c r="AH179" s="1197"/>
      <c r="AI179" s="1197"/>
      <c r="AJ179" s="1197"/>
      <c r="AK179" s="1197"/>
      <c r="AL179" s="1197"/>
      <c r="AM179" s="1197"/>
      <c r="AN179" s="381"/>
      <c r="AO179" s="381"/>
      <c r="AP179" s="9"/>
      <c r="AQ179" s="9"/>
      <c r="AR179" s="9"/>
      <c r="AS179" s="9"/>
      <c r="AT179" s="9"/>
      <c r="AU179" s="9"/>
      <c r="AV179" s="9"/>
      <c r="AW179" s="9"/>
      <c r="AX179" s="9"/>
      <c r="AY179" s="9"/>
      <c r="AZ179" s="9"/>
      <c r="BA179" s="9"/>
    </row>
    <row r="180" spans="1:53" ht="16.5" customHeight="1" x14ac:dyDescent="0.25">
      <c r="A180" s="1200"/>
      <c r="B180" s="2"/>
      <c r="C180" s="10"/>
      <c r="D180" s="1722"/>
      <c r="E180" s="1722"/>
      <c r="F180" s="1722"/>
      <c r="G180" s="1722"/>
      <c r="H180" s="1722"/>
      <c r="I180" s="1722"/>
      <c r="J180" s="1722"/>
      <c r="K180" s="1722"/>
      <c r="L180" s="177"/>
      <c r="M180" s="1201"/>
      <c r="N180" s="1201"/>
      <c r="O180" s="1201"/>
      <c r="P180" s="1201"/>
      <c r="Q180" s="1201"/>
      <c r="R180" s="1201"/>
      <c r="S180" s="1201"/>
      <c r="T180" s="177"/>
      <c r="U180" s="1052"/>
      <c r="V180" s="1203"/>
      <c r="W180" s="1067"/>
      <c r="X180" s="9"/>
      <c r="Y180" s="1197"/>
      <c r="Z180" s="1197"/>
      <c r="AA180" s="1197"/>
      <c r="AB180" s="1197"/>
      <c r="AC180" s="1197"/>
      <c r="AD180" s="1197"/>
      <c r="AE180" s="1197"/>
      <c r="AF180" s="1197"/>
      <c r="AG180" s="1197"/>
      <c r="AH180" s="1197"/>
      <c r="AI180" s="1197"/>
      <c r="AJ180" s="1197"/>
      <c r="AK180" s="1197"/>
      <c r="AL180" s="1197"/>
      <c r="AM180" s="1197"/>
      <c r="AN180" s="381"/>
      <c r="AO180" s="381"/>
      <c r="AP180" s="9"/>
      <c r="AQ180" s="9"/>
      <c r="AR180" s="9"/>
      <c r="AS180" s="9"/>
      <c r="AT180" s="9"/>
      <c r="AU180" s="9"/>
      <c r="AV180" s="9"/>
      <c r="AW180" s="9"/>
      <c r="AX180" s="9"/>
      <c r="AY180" s="9"/>
      <c r="AZ180" s="9"/>
      <c r="BA180" s="9"/>
    </row>
    <row r="181" spans="1:53" ht="15.75" x14ac:dyDescent="0.25">
      <c r="A181" s="1200"/>
      <c r="B181" s="2"/>
      <c r="C181" s="10"/>
      <c r="D181" s="10"/>
      <c r="E181" s="242"/>
      <c r="F181" s="242"/>
      <c r="G181" s="242"/>
      <c r="H181" s="242"/>
      <c r="I181" s="242"/>
      <c r="J181" s="242"/>
      <c r="K181" s="10"/>
      <c r="L181" s="177"/>
      <c r="M181" s="1201"/>
      <c r="N181" s="1201"/>
      <c r="O181" s="1201"/>
      <c r="P181" s="1201"/>
      <c r="Q181" s="1201"/>
      <c r="R181" s="1201"/>
      <c r="S181" s="1201"/>
      <c r="T181" s="177"/>
      <c r="U181" s="1052"/>
      <c r="V181" s="1203"/>
      <c r="W181" s="1067"/>
      <c r="X181" s="9"/>
      <c r="Y181" s="1197"/>
      <c r="Z181" s="1197"/>
      <c r="AA181" s="1197"/>
      <c r="AB181" s="1197"/>
      <c r="AC181" s="1197"/>
      <c r="AD181" s="1197"/>
      <c r="AE181" s="1197"/>
      <c r="AF181" s="1197"/>
      <c r="AG181" s="1197"/>
      <c r="AH181" s="1197"/>
      <c r="AI181" s="1197"/>
      <c r="AJ181" s="1197"/>
      <c r="AK181" s="1197"/>
      <c r="AL181" s="1197"/>
      <c r="AM181" s="1197"/>
      <c r="AN181" s="381"/>
      <c r="AO181" s="381"/>
      <c r="AP181" s="9"/>
      <c r="AQ181" s="9"/>
      <c r="AR181" s="9"/>
      <c r="AS181" s="9"/>
      <c r="AT181" s="9"/>
      <c r="AU181" s="9"/>
      <c r="AV181" s="9"/>
      <c r="AW181" s="9"/>
      <c r="AX181" s="9"/>
      <c r="AY181" s="9"/>
      <c r="AZ181" s="9"/>
      <c r="BA181" s="9"/>
    </row>
    <row r="182" spans="1:53" ht="16.5" thickBot="1" x14ac:dyDescent="0.3">
      <c r="A182" s="1194"/>
      <c r="B182" s="2"/>
      <c r="C182" s="12" t="s">
        <v>690</v>
      </c>
      <c r="D182" s="10"/>
      <c r="E182" s="242"/>
      <c r="F182" s="242"/>
      <c r="G182" s="242"/>
      <c r="H182" s="242"/>
      <c r="I182" s="242"/>
      <c r="J182" s="242"/>
      <c r="K182" s="10"/>
      <c r="L182" s="177"/>
      <c r="M182" s="1201"/>
      <c r="N182" s="1201"/>
      <c r="O182" s="1201"/>
      <c r="P182" s="1201"/>
      <c r="Q182" s="1201"/>
      <c r="R182" s="1201"/>
      <c r="S182" s="1201"/>
      <c r="T182" s="177"/>
      <c r="U182" s="1051"/>
      <c r="V182" s="1203"/>
      <c r="W182" s="1067"/>
      <c r="X182" s="9"/>
      <c r="Y182" s="1197"/>
      <c r="Z182" s="1197"/>
      <c r="AA182" s="1197"/>
      <c r="AB182" s="1197"/>
      <c r="AC182" s="1197"/>
      <c r="AD182" s="1197"/>
      <c r="AE182" s="1197"/>
      <c r="AF182" s="1197"/>
      <c r="AG182" s="1197"/>
      <c r="AH182" s="1197"/>
      <c r="AI182" s="1197"/>
      <c r="AJ182" s="1197"/>
      <c r="AK182" s="1197"/>
      <c r="AL182" s="1197"/>
      <c r="AM182" s="1197"/>
      <c r="AN182" s="381"/>
      <c r="AO182" s="381"/>
      <c r="AP182" s="9"/>
      <c r="AQ182" s="9"/>
      <c r="AR182" s="9"/>
      <c r="AS182" s="9"/>
      <c r="AT182" s="9"/>
      <c r="AU182" s="9"/>
      <c r="AV182" s="9"/>
      <c r="AW182" s="9"/>
      <c r="AX182" s="9"/>
      <c r="AY182" s="9"/>
      <c r="AZ182" s="9"/>
      <c r="BA182" s="9"/>
    </row>
    <row r="183" spans="1:53" ht="16.5" thickBot="1" x14ac:dyDescent="0.3">
      <c r="A183" s="1194"/>
      <c r="B183" s="2"/>
      <c r="C183" s="10"/>
      <c r="D183" s="1703" t="s">
        <v>3092</v>
      </c>
      <c r="E183" s="1703"/>
      <c r="F183" s="1703"/>
      <c r="G183" s="1703"/>
      <c r="H183" s="1703"/>
      <c r="I183" s="1703"/>
      <c r="J183" s="1703"/>
      <c r="K183" s="1703"/>
      <c r="L183" s="1199"/>
      <c r="M183" s="1126">
        <f>ROUND(+$S$183-$O$183-$Q$183,0)</f>
        <v>0</v>
      </c>
      <c r="N183" s="1204"/>
      <c r="O183" s="1126">
        <f>+ROUND((('Part 2'!$G$44-'Part 2'!$G$46)*INDEX(TierSplit!$CJ:$CJ,MATCH(Import_LA_Code,Ref_LA_Codes2,0)))*-1*$O$96,0)</f>
        <v>0</v>
      </c>
      <c r="P183" s="1204"/>
      <c r="Q183" s="1126">
        <f>+ROUND((('Part 2'!$G$44-'Part 2'!$G$46)*INDEX(TierSplit!$CJ:$CJ,MATCH(Import_LA_Code,Ref_LA_Codes2,0)))*-1*$Q$96,0)</f>
        <v>0</v>
      </c>
      <c r="R183" s="1122"/>
      <c r="S183" s="1126">
        <f>+ROUND((('Part 2'!$G$44-'Part 2'!$G$46)*INDEX(TierSplit!$CJ:$CJ,MATCH(Import_LA_Code,Ref_LA_Codes2,0))*Local_Share_Total)+(('Part 2'!$J$44-'Part 2'!$J$46)*INDEX(TierSplit!$CJ:$CJ,MATCH(Import_LA_Code,Ref_LA_Codes2,0))*IF('Part 3 DA summary'!$U$6&gt;0,1,Local_Share_Total)),0)*-1</f>
        <v>0</v>
      </c>
      <c r="T183" s="177"/>
      <c r="U183" s="67"/>
      <c r="V183" s="1203"/>
      <c r="W183" s="1067">
        <f>+IF(M183+O183+Q183-S183=0,0,1)</f>
        <v>0</v>
      </c>
      <c r="X183" s="9"/>
      <c r="Y183" s="1197"/>
      <c r="Z183" s="1197"/>
      <c r="AA183" s="1197"/>
      <c r="AB183" s="1197"/>
      <c r="AC183" s="1197"/>
      <c r="AD183" s="1197"/>
      <c r="AE183" s="1197"/>
      <c r="AF183" s="1197"/>
      <c r="AG183" s="1197"/>
      <c r="AH183" s="1197"/>
      <c r="AI183" s="1197"/>
      <c r="AJ183" s="1197"/>
      <c r="AK183" s="1197"/>
      <c r="AL183" s="1197"/>
      <c r="AM183" s="1197"/>
      <c r="AN183" s="381"/>
      <c r="AO183" s="381"/>
      <c r="AP183" s="9"/>
      <c r="AQ183" s="9"/>
      <c r="AR183" s="9"/>
      <c r="AS183" s="9"/>
      <c r="AT183" s="9"/>
      <c r="AU183" s="9"/>
      <c r="AV183" s="9"/>
      <c r="AW183" s="9"/>
      <c r="AX183" s="9"/>
      <c r="AY183" s="9"/>
      <c r="AZ183" s="9"/>
      <c r="BA183" s="9"/>
    </row>
    <row r="184" spans="1:53" ht="16.5" thickBot="1" x14ac:dyDescent="0.3">
      <c r="A184" s="1194"/>
      <c r="B184" s="2"/>
      <c r="C184" s="12"/>
      <c r="D184" s="10"/>
      <c r="E184" s="242"/>
      <c r="F184" s="242"/>
      <c r="G184" s="242"/>
      <c r="H184" s="242"/>
      <c r="I184" s="242"/>
      <c r="J184" s="242"/>
      <c r="K184" s="10"/>
      <c r="L184" s="177"/>
      <c r="M184" s="1205"/>
      <c r="N184" s="1205"/>
      <c r="O184" s="1205"/>
      <c r="P184" s="1205"/>
      <c r="Q184" s="1205"/>
      <c r="R184" s="1205"/>
      <c r="S184" s="1206"/>
      <c r="T184" s="177"/>
      <c r="U184" s="1051"/>
      <c r="V184" s="1203"/>
      <c r="W184" s="1067"/>
      <c r="X184" s="9"/>
      <c r="Y184" s="1197"/>
      <c r="Z184" s="1197"/>
      <c r="AA184" s="1197"/>
      <c r="AB184" s="1197"/>
      <c r="AC184" s="1197"/>
      <c r="AD184" s="1197"/>
      <c r="AE184" s="1197"/>
      <c r="AF184" s="1197"/>
      <c r="AG184" s="1197"/>
      <c r="AH184" s="1197"/>
      <c r="AI184" s="1197"/>
      <c r="AJ184" s="1197"/>
      <c r="AK184" s="1197"/>
      <c r="AL184" s="1197"/>
      <c r="AM184" s="1197"/>
      <c r="AN184" s="381"/>
      <c r="AO184" s="381"/>
      <c r="AP184" s="9"/>
      <c r="AQ184" s="9"/>
      <c r="AR184" s="9"/>
      <c r="AS184" s="9"/>
      <c r="AT184" s="9"/>
      <c r="AU184" s="9"/>
      <c r="AV184" s="9"/>
      <c r="AW184" s="9"/>
      <c r="AX184" s="9"/>
      <c r="AY184" s="9"/>
      <c r="AZ184" s="9"/>
      <c r="BA184" s="9"/>
    </row>
    <row r="185" spans="1:53" ht="16.5" thickBot="1" x14ac:dyDescent="0.3">
      <c r="A185" s="1194"/>
      <c r="B185" s="2"/>
      <c r="C185" s="12"/>
      <c r="D185" s="1703" t="s">
        <v>2996</v>
      </c>
      <c r="E185" s="1703"/>
      <c r="F185" s="1703"/>
      <c r="G185" s="1703"/>
      <c r="H185" s="1703"/>
      <c r="I185" s="1703"/>
      <c r="J185" s="1703"/>
      <c r="K185" s="1703"/>
      <c r="L185" s="177"/>
      <c r="M185" s="1126" t="e">
        <f>ROUND(((INDEX(Data!$BL:$BL,MATCH(Import_LA_Code,Ref_LA_Codes,0))*SBRR_supp_historic*$M96)+INDEX(Data!$BM:$BM,MATCH(Import_LA_Code,Ref_LA_Codes,0))*SBRR_supp_historic),0)</f>
        <v>#N/A</v>
      </c>
      <c r="N185" s="1207"/>
      <c r="O185" s="1208" t="e">
        <f>ROUND(INDEX(Data!$BL:$BL,MATCH(Import_LA_Code,Ref_LA_Codes,0))*SBRR_supp_historic*$O96,0)</f>
        <v>#N/A</v>
      </c>
      <c r="P185" s="1207"/>
      <c r="Q185" s="1208" t="e">
        <f>ROUND(INDEX(Data!$BL:$BL,MATCH(Import_LA_Code,Ref_LA_Codes,0))*SBRR_supp_historic*$Q96,0)</f>
        <v>#N/A</v>
      </c>
      <c r="R185" s="1207"/>
      <c r="S185" s="1208" t="e">
        <f>$M$185+$O$185+$Q$185</f>
        <v>#N/A</v>
      </c>
      <c r="T185" s="177"/>
      <c r="U185" s="1052"/>
      <c r="V185" s="1203"/>
      <c r="W185" s="1067" t="e">
        <f>+IF(M185+O185+Q185-S185=0,0,1)</f>
        <v>#N/A</v>
      </c>
      <c r="X185" s="9"/>
      <c r="Y185" s="1197"/>
      <c r="Z185" s="1197"/>
      <c r="AA185" s="1197"/>
      <c r="AB185" s="1197"/>
      <c r="AC185" s="1197"/>
      <c r="AD185" s="1197"/>
      <c r="AE185" s="1197"/>
      <c r="AF185" s="1197"/>
      <c r="AG185" s="1197"/>
      <c r="AH185" s="1197"/>
      <c r="AI185" s="1197"/>
      <c r="AJ185" s="1197"/>
      <c r="AK185" s="1197"/>
      <c r="AL185" s="1197"/>
      <c r="AM185" s="1197"/>
      <c r="AN185" s="381"/>
      <c r="AO185" s="381"/>
      <c r="AP185" s="9"/>
      <c r="AQ185" s="9"/>
      <c r="AR185" s="9"/>
      <c r="AS185" s="9"/>
      <c r="AT185" s="9"/>
      <c r="AU185" s="9"/>
      <c r="AV185" s="9"/>
      <c r="AW185" s="9"/>
      <c r="AX185" s="9"/>
      <c r="AY185" s="9"/>
      <c r="AZ185" s="9"/>
      <c r="BA185" s="9"/>
    </row>
    <row r="186" spans="1:53" ht="16.5" thickBot="1" x14ac:dyDescent="0.3">
      <c r="A186" s="1194"/>
      <c r="B186" s="2"/>
      <c r="C186" s="12"/>
      <c r="D186" s="10"/>
      <c r="E186" s="242"/>
      <c r="F186" s="242"/>
      <c r="G186" s="242"/>
      <c r="H186" s="242"/>
      <c r="I186" s="242"/>
      <c r="J186" s="242"/>
      <c r="K186" s="10"/>
      <c r="L186" s="177"/>
      <c r="M186" s="1207"/>
      <c r="N186" s="1207"/>
      <c r="O186" s="1207"/>
      <c r="P186" s="1207"/>
      <c r="Q186" s="1207"/>
      <c r="R186" s="1207"/>
      <c r="S186" s="1209"/>
      <c r="T186" s="177"/>
      <c r="U186" s="1052"/>
      <c r="V186" s="1203"/>
      <c r="W186" s="1067"/>
      <c r="X186" s="9"/>
      <c r="Y186" s="1197"/>
      <c r="Z186" s="1197"/>
      <c r="AA186" s="1197"/>
      <c r="AB186" s="1197"/>
      <c r="AC186" s="1197"/>
      <c r="AD186" s="1197"/>
      <c r="AE186" s="1197"/>
      <c r="AF186" s="1197"/>
      <c r="AG186" s="1197"/>
      <c r="AH186" s="1197"/>
      <c r="AI186" s="1197"/>
      <c r="AJ186" s="1197"/>
      <c r="AK186" s="1197"/>
      <c r="AL186" s="1197"/>
      <c r="AM186" s="1197"/>
      <c r="AN186" s="381"/>
      <c r="AO186" s="381"/>
      <c r="AP186" s="9"/>
      <c r="AQ186" s="9"/>
      <c r="AR186" s="9"/>
      <c r="AS186" s="9"/>
      <c r="AT186" s="9"/>
      <c r="AU186" s="9"/>
      <c r="AV186" s="9"/>
      <c r="AW186" s="9"/>
      <c r="AX186" s="9"/>
      <c r="AY186" s="9"/>
      <c r="AZ186" s="9"/>
      <c r="BA186" s="9"/>
    </row>
    <row r="187" spans="1:53" ht="16.5" thickBot="1" x14ac:dyDescent="0.3">
      <c r="A187" s="1194"/>
      <c r="B187" s="2"/>
      <c r="C187" s="10"/>
      <c r="D187" s="1703" t="s">
        <v>2997</v>
      </c>
      <c r="E187" s="1703"/>
      <c r="F187" s="1703"/>
      <c r="G187" s="1703"/>
      <c r="H187" s="1703"/>
      <c r="I187" s="1703"/>
      <c r="J187" s="1703"/>
      <c r="K187" s="1703"/>
      <c r="L187" s="177"/>
      <c r="M187" s="1126">
        <f>ROUND(+$S$187-$O$187-$Q$187,0)</f>
        <v>0</v>
      </c>
      <c r="N187" s="1122"/>
      <c r="O187" s="1126">
        <f>ROUND(+('Part 2'!$G$46)*-1*$O$96,0)</f>
        <v>0</v>
      </c>
      <c r="P187" s="1122"/>
      <c r="Q187" s="1126">
        <f>ROUND(+('Part 2'!$G$46)*-1*$Q$96,0)</f>
        <v>0</v>
      </c>
      <c r="R187" s="1122"/>
      <c r="S187" s="1126">
        <f>ROUND(((ROUND(+('Part 2'!G$46)*Local_Share_Total,0)*-1)+(ROUND(+('Part 2'!J$46*IF('Part 3 DA summary'!U$6&gt;0,1,Local_Share_Total)),0)*-1)), 0)</f>
        <v>0</v>
      </c>
      <c r="T187" s="177"/>
      <c r="U187" s="67"/>
      <c r="V187" s="8"/>
      <c r="W187" s="1067">
        <f>+IF(M187+O187+Q187-S187=0,0,1)</f>
        <v>0</v>
      </c>
      <c r="X187" s="9"/>
      <c r="Y187" s="1197"/>
      <c r="Z187" s="1197"/>
      <c r="AA187" s="1197"/>
      <c r="AB187" s="1197"/>
      <c r="AC187" s="1197"/>
      <c r="AD187" s="1197"/>
      <c r="AE187" s="1197"/>
      <c r="AF187" s="1197"/>
      <c r="AG187" s="1197"/>
      <c r="AH187" s="1197"/>
      <c r="AI187" s="1197"/>
      <c r="AJ187" s="1197"/>
      <c r="AK187" s="1197"/>
      <c r="AL187" s="1197"/>
      <c r="AM187" s="1197"/>
      <c r="AN187" s="381"/>
      <c r="AO187" s="381"/>
      <c r="AP187" s="9"/>
      <c r="AQ187" s="9"/>
      <c r="AR187" s="9"/>
      <c r="AS187" s="9"/>
      <c r="AT187" s="9"/>
      <c r="AU187" s="9"/>
      <c r="AV187" s="9"/>
      <c r="AW187" s="9"/>
      <c r="AX187" s="9"/>
      <c r="AY187" s="9"/>
      <c r="AZ187" s="9"/>
      <c r="BA187" s="9"/>
    </row>
    <row r="188" spans="1:53" ht="15.75" x14ac:dyDescent="0.25">
      <c r="A188" s="1194"/>
      <c r="B188" s="2"/>
      <c r="C188" s="10"/>
      <c r="D188" s="10"/>
      <c r="E188" s="242"/>
      <c r="F188" s="242"/>
      <c r="G188" s="242"/>
      <c r="H188" s="242"/>
      <c r="I188" s="242"/>
      <c r="J188" s="242"/>
      <c r="K188" s="242"/>
      <c r="L188" s="177"/>
      <c r="M188" s="1201"/>
      <c r="N188" s="1201"/>
      <c r="O188" s="1201"/>
      <c r="P188" s="1201"/>
      <c r="Q188" s="1201"/>
      <c r="R188" s="1201"/>
      <c r="S188" s="1201"/>
      <c r="T188" s="177"/>
      <c r="U188" s="1051"/>
      <c r="V188" s="1203"/>
      <c r="W188" s="1067"/>
      <c r="X188" s="9"/>
      <c r="Y188" s="1197"/>
      <c r="Z188" s="1197"/>
      <c r="AA188" s="1197"/>
      <c r="AB188" s="1197"/>
      <c r="AC188" s="1197"/>
      <c r="AD188" s="1197"/>
      <c r="AE188" s="1197"/>
      <c r="AF188" s="1197"/>
      <c r="AG188" s="1197"/>
      <c r="AH188" s="1197"/>
      <c r="AI188" s="1197"/>
      <c r="AJ188" s="1197"/>
      <c r="AK188" s="1197"/>
      <c r="AL188" s="1197"/>
      <c r="AM188" s="1197"/>
      <c r="AN188" s="381"/>
      <c r="AO188" s="381"/>
      <c r="AP188" s="9"/>
      <c r="AQ188" s="9"/>
      <c r="AR188" s="9"/>
      <c r="AS188" s="9"/>
      <c r="AT188" s="9"/>
      <c r="AU188" s="9"/>
      <c r="AV188" s="9"/>
      <c r="AW188" s="9"/>
      <c r="AX188" s="9"/>
      <c r="AY188" s="9"/>
      <c r="AZ188" s="9"/>
      <c r="BA188" s="9"/>
    </row>
    <row r="189" spans="1:53" ht="16.5" thickBot="1" x14ac:dyDescent="0.3">
      <c r="A189" s="1194"/>
      <c r="B189" s="2"/>
      <c r="C189" s="453" t="s">
        <v>952</v>
      </c>
      <c r="D189" s="459"/>
      <c r="E189" s="675"/>
      <c r="F189" s="675"/>
      <c r="G189" s="675"/>
      <c r="H189" s="675"/>
      <c r="I189" s="675"/>
      <c r="J189" s="675"/>
      <c r="K189" s="675"/>
      <c r="L189" s="764"/>
      <c r="M189" s="1210"/>
      <c r="N189" s="1210"/>
      <c r="O189" s="1210"/>
      <c r="P189" s="1210"/>
      <c r="Q189" s="1210"/>
      <c r="R189" s="1210"/>
      <c r="S189" s="1210"/>
      <c r="T189" s="177"/>
      <c r="U189" s="1051"/>
      <c r="V189" s="8"/>
      <c r="W189" s="1067"/>
      <c r="X189" s="9"/>
      <c r="Y189" s="1197"/>
      <c r="Z189" s="1197"/>
      <c r="AA189" s="1197"/>
      <c r="AB189" s="1197"/>
      <c r="AC189" s="1197"/>
      <c r="AD189" s="1197"/>
      <c r="AE189" s="1197"/>
      <c r="AF189" s="1197"/>
      <c r="AG189" s="1197"/>
      <c r="AH189" s="1197"/>
      <c r="AI189" s="1197"/>
      <c r="AJ189" s="1197"/>
      <c r="AK189" s="1197"/>
      <c r="AL189" s="1197"/>
      <c r="AM189" s="1197"/>
      <c r="AN189" s="381"/>
      <c r="AO189" s="381"/>
      <c r="AP189" s="9"/>
      <c r="AQ189" s="9"/>
      <c r="AR189" s="9"/>
      <c r="AS189" s="9"/>
      <c r="AT189" s="9"/>
      <c r="AU189" s="9"/>
      <c r="AV189" s="9"/>
      <c r="AW189" s="9"/>
      <c r="AX189" s="9"/>
      <c r="AY189" s="9"/>
      <c r="AZ189" s="9"/>
      <c r="BA189" s="9"/>
    </row>
    <row r="190" spans="1:53" ht="16.5" thickBot="1" x14ac:dyDescent="0.3">
      <c r="A190" s="1194"/>
      <c r="B190" s="2"/>
      <c r="C190" s="459"/>
      <c r="D190" s="1702" t="s">
        <v>2998</v>
      </c>
      <c r="E190" s="1702"/>
      <c r="F190" s="1702"/>
      <c r="G190" s="1702"/>
      <c r="H190" s="1702"/>
      <c r="I190" s="1702"/>
      <c r="J190" s="1702"/>
      <c r="K190" s="1702"/>
      <c r="L190" s="764"/>
      <c r="M190" s="1132">
        <f>ROUND(+$S$190-$O$190-$Q$190,0)</f>
        <v>0</v>
      </c>
      <c r="N190" s="1138"/>
      <c r="O190" s="1132">
        <f>ROUND(+(('Part 2'!$G$56*0.5)+('Part 2'!$S$56*0.5))*-1*$O$96,0)</f>
        <v>0</v>
      </c>
      <c r="P190" s="1138"/>
      <c r="Q190" s="1132">
        <f>ROUND(+(('Part 2'!$G$56*0.5)+('Part 2'!$S$56*0.5))*-1*$Q$96,0)</f>
        <v>0</v>
      </c>
      <c r="R190" s="1138"/>
      <c r="S190" s="1132">
        <f>ROUND(((ROUND(+(('Part 2'!G$56*0.5)+('Part 2'!S$56*0.5))*Local_Share_Total,0)*-1)+(ROUND(+((('Part 2'!J$56*0.5)+('Part 2'!V$56*0.5))*IF('Part 3 DA summary'!U$6&gt;0,1,Local_Share_Total)),0)*-1)), 0)</f>
        <v>0</v>
      </c>
      <c r="T190" s="177"/>
      <c r="U190" s="67"/>
      <c r="V190" s="8"/>
      <c r="W190" s="1067">
        <f>+IF(M190+O190+Q190-S190=0,0,1)</f>
        <v>0</v>
      </c>
      <c r="X190" s="9"/>
      <c r="Y190" s="1197"/>
      <c r="Z190" s="1197"/>
      <c r="AA190" s="1197"/>
      <c r="AB190" s="1197"/>
      <c r="AC190" s="1197"/>
      <c r="AD190" s="1197"/>
      <c r="AE190" s="1197"/>
      <c r="AF190" s="1197"/>
      <c r="AG190" s="1197"/>
      <c r="AH190" s="1197"/>
      <c r="AI190" s="1197"/>
      <c r="AJ190" s="1197"/>
      <c r="AK190" s="1197"/>
      <c r="AL190" s="1197"/>
      <c r="AM190" s="1197"/>
      <c r="AN190" s="381"/>
      <c r="AO190" s="381"/>
      <c r="AP190" s="9"/>
      <c r="AQ190" s="9"/>
      <c r="AR190" s="9"/>
      <c r="AS190" s="9"/>
      <c r="AT190" s="9"/>
      <c r="AU190" s="9"/>
      <c r="AV190" s="9"/>
      <c r="AW190" s="9"/>
      <c r="AX190" s="9"/>
      <c r="AY190" s="9"/>
      <c r="AZ190" s="9"/>
      <c r="BA190" s="9"/>
    </row>
    <row r="191" spans="1:53" ht="15.75" x14ac:dyDescent="0.25">
      <c r="A191" s="1194"/>
      <c r="B191" s="2"/>
      <c r="C191" s="10"/>
      <c r="D191" s="10"/>
      <c r="E191" s="10"/>
      <c r="F191" s="10"/>
      <c r="G191" s="10"/>
      <c r="H191" s="10"/>
      <c r="I191" s="10"/>
      <c r="J191" s="10"/>
      <c r="K191" s="10"/>
      <c r="L191" s="177"/>
      <c r="M191" s="1201"/>
      <c r="N191" s="1201"/>
      <c r="O191" s="1201"/>
      <c r="P191" s="1201"/>
      <c r="Q191" s="1201"/>
      <c r="R191" s="1201"/>
      <c r="S191" s="1201"/>
      <c r="T191" s="177"/>
      <c r="U191" s="1051"/>
      <c r="V191" s="1198"/>
      <c r="W191" s="1067"/>
      <c r="X191" s="9"/>
      <c r="Y191" s="1197"/>
      <c r="Z191" s="1197"/>
      <c r="AA191" s="1197"/>
      <c r="AB191" s="1197"/>
      <c r="AC191" s="1197"/>
      <c r="AD191" s="1197"/>
      <c r="AE191" s="1197"/>
      <c r="AF191" s="1197"/>
      <c r="AG191" s="1197"/>
      <c r="AH191" s="1197"/>
      <c r="AI191" s="1197"/>
      <c r="AJ191" s="1197"/>
      <c r="AK191" s="1197"/>
      <c r="AL191" s="1197"/>
      <c r="AM191" s="1197"/>
      <c r="AN191" s="381"/>
      <c r="AO191" s="381"/>
      <c r="AP191" s="9"/>
      <c r="AQ191" s="9"/>
      <c r="AR191" s="9"/>
      <c r="AS191" s="9"/>
      <c r="AT191" s="9"/>
      <c r="AU191" s="9"/>
      <c r="AV191" s="9"/>
      <c r="AW191" s="9"/>
      <c r="AX191" s="9"/>
      <c r="AY191" s="9"/>
      <c r="AZ191" s="9"/>
      <c r="BA191" s="9"/>
    </row>
    <row r="192" spans="1:53" ht="16.5" thickBot="1" x14ac:dyDescent="0.3">
      <c r="A192" s="1194"/>
      <c r="B192" s="2"/>
      <c r="C192" s="453" t="s">
        <v>2302</v>
      </c>
      <c r="D192" s="10"/>
      <c r="E192" s="10"/>
      <c r="F192" s="10"/>
      <c r="G192" s="10"/>
      <c r="H192" s="10"/>
      <c r="I192" s="10"/>
      <c r="J192" s="10"/>
      <c r="K192" s="10"/>
      <c r="L192" s="1211"/>
      <c r="M192" s="1205"/>
      <c r="N192" s="1205"/>
      <c r="O192" s="1205"/>
      <c r="P192" s="1205"/>
      <c r="Q192" s="1205"/>
      <c r="R192" s="1205"/>
      <c r="S192" s="1205"/>
      <c r="T192" s="177"/>
      <c r="U192" s="1051"/>
      <c r="V192" s="8"/>
      <c r="W192" s="1067"/>
      <c r="X192" s="9"/>
      <c r="Y192" s="1197"/>
      <c r="Z192" s="1197"/>
      <c r="AA192" s="1197"/>
      <c r="AB192" s="1197"/>
      <c r="AC192" s="1197"/>
      <c r="AD192" s="1197"/>
      <c r="AE192" s="1197"/>
      <c r="AF192" s="1197"/>
      <c r="AG192" s="1197"/>
      <c r="AH192" s="1197"/>
      <c r="AI192" s="1197"/>
      <c r="AJ192" s="1197"/>
      <c r="AK192" s="1197"/>
      <c r="AL192" s="1197"/>
      <c r="AM192" s="1197"/>
      <c r="AN192" s="381"/>
      <c r="AO192" s="381"/>
      <c r="AP192" s="9"/>
      <c r="AQ192" s="9"/>
      <c r="AR192" s="9"/>
      <c r="AS192" s="9"/>
      <c r="AT192" s="9"/>
      <c r="AU192" s="9"/>
      <c r="AV192" s="9"/>
      <c r="AW192" s="9"/>
      <c r="AX192" s="9"/>
      <c r="AY192" s="9"/>
      <c r="AZ192" s="9"/>
      <c r="BA192" s="9"/>
    </row>
    <row r="193" spans="1:53" ht="16.5" thickBot="1" x14ac:dyDescent="0.3">
      <c r="A193" s="1194"/>
      <c r="B193" s="2"/>
      <c r="C193" s="10"/>
      <c r="D193" s="1703" t="s">
        <v>1315</v>
      </c>
      <c r="E193" s="1703"/>
      <c r="F193" s="1703"/>
      <c r="G193" s="1703"/>
      <c r="H193" s="1703"/>
      <c r="I193" s="1703"/>
      <c r="J193" s="1703"/>
      <c r="K193" s="1703"/>
      <c r="L193" s="1211"/>
      <c r="M193" s="1126">
        <f>ROUND(+$S$193-$O$193-$Q$193,0)</f>
        <v>0</v>
      </c>
      <c r="N193" s="1122"/>
      <c r="O193" s="1126">
        <f>ROUND(+(('Part 2'!$G$141)+('Part 2'!$S$141))*-1*$O$96,0)</f>
        <v>0</v>
      </c>
      <c r="P193" s="1122"/>
      <c r="Q193" s="1126">
        <f>ROUND(+(('Part 2'!$G$141)+('Part 2'!$S$141))*-1*$Q$96,0)</f>
        <v>0</v>
      </c>
      <c r="R193" s="1122"/>
      <c r="S193" s="1126">
        <f>ROUND(((ROUND(+(('Part 2'!G$141)+('Part 2'!S$141))*Local_Share_Total,0)*-1)+(ROUND(+((('Part 2'!J$141)+('Part 2'!V$141))*IF('Part 3 DA summary'!U$6&gt;0,1,Local_Share_Total)),0)*-1)), 0)</f>
        <v>0</v>
      </c>
      <c r="T193" s="177"/>
      <c r="U193" s="67"/>
      <c r="V193" s="8"/>
      <c r="W193" s="1067">
        <f>+IF(M193+O193+Q193-S193=0,0,1)</f>
        <v>0</v>
      </c>
      <c r="X193" s="9"/>
      <c r="Y193" s="1197"/>
      <c r="Z193" s="1197"/>
      <c r="AA193" s="1197"/>
      <c r="AB193" s="1197"/>
      <c r="AC193" s="1197"/>
      <c r="AD193" s="1197"/>
      <c r="AE193" s="1197"/>
      <c r="AF193" s="1197"/>
      <c r="AG193" s="1197"/>
      <c r="AH193" s="1197"/>
      <c r="AI193" s="1197"/>
      <c r="AJ193" s="1197"/>
      <c r="AK193" s="1197"/>
      <c r="AL193" s="1197"/>
      <c r="AM193" s="1197"/>
      <c r="AN193" s="381"/>
      <c r="AO193" s="381"/>
      <c r="AP193" s="9"/>
      <c r="AQ193" s="9"/>
      <c r="AR193" s="9"/>
      <c r="AS193" s="9"/>
      <c r="AT193" s="9"/>
      <c r="AU193" s="9"/>
      <c r="AV193" s="9"/>
      <c r="AW193" s="9"/>
      <c r="AX193" s="9"/>
      <c r="AY193" s="9"/>
      <c r="AZ193" s="9"/>
      <c r="BA193" s="9"/>
    </row>
    <row r="194" spans="1:53" ht="15.75" x14ac:dyDescent="0.25">
      <c r="A194" s="1194"/>
      <c r="B194" s="2"/>
      <c r="C194" s="1142"/>
      <c r="D194" s="1142"/>
      <c r="E194" s="1212"/>
      <c r="F194" s="1212"/>
      <c r="G194" s="1212"/>
      <c r="H194" s="1212"/>
      <c r="I194" s="1212"/>
      <c r="J194" s="1212"/>
      <c r="K194" s="1212"/>
      <c r="L194" s="1199"/>
      <c r="M194" s="1213"/>
      <c r="N194" s="1147"/>
      <c r="O194" s="1213"/>
      <c r="P194" s="1147"/>
      <c r="Q194" s="1213"/>
      <c r="R194" s="1147"/>
      <c r="S194" s="1213"/>
      <c r="T194" s="177"/>
      <c r="U194" s="67"/>
      <c r="V194" s="8"/>
      <c r="W194" s="1067"/>
      <c r="X194" s="9"/>
      <c r="Y194" s="1197"/>
      <c r="Z194" s="1197"/>
      <c r="AA194" s="1197"/>
      <c r="AB194" s="1197"/>
      <c r="AC194" s="1197"/>
      <c r="AD194" s="1197"/>
      <c r="AE194" s="1197"/>
      <c r="AF194" s="1197"/>
      <c r="AG194" s="1197"/>
      <c r="AH194" s="1197"/>
      <c r="AI194" s="1197"/>
      <c r="AJ194" s="1197"/>
      <c r="AK194" s="1197"/>
      <c r="AL194" s="1197"/>
      <c r="AM194" s="1197"/>
      <c r="AN194" s="381"/>
      <c r="AO194" s="381"/>
      <c r="AP194" s="9"/>
      <c r="AQ194" s="9"/>
      <c r="AR194" s="9"/>
      <c r="AS194" s="9"/>
      <c r="AT194" s="9"/>
      <c r="AU194" s="9"/>
      <c r="AV194" s="9"/>
      <c r="AW194" s="9"/>
      <c r="AX194" s="9"/>
      <c r="AY194" s="9"/>
      <c r="AZ194" s="9"/>
      <c r="BA194" s="9"/>
    </row>
    <row r="195" spans="1:53" ht="16.5" thickBot="1" x14ac:dyDescent="0.3">
      <c r="A195" s="1194"/>
      <c r="B195" s="2"/>
      <c r="C195" s="12" t="s">
        <v>2300</v>
      </c>
      <c r="D195" s="10"/>
      <c r="E195" s="242"/>
      <c r="F195" s="242"/>
      <c r="G195" s="242"/>
      <c r="H195" s="242"/>
      <c r="I195" s="242"/>
      <c r="J195" s="242"/>
      <c r="K195" s="242"/>
      <c r="L195" s="1199"/>
      <c r="M195" s="1123"/>
      <c r="N195" s="1122"/>
      <c r="O195" s="1123"/>
      <c r="P195" s="1122"/>
      <c r="Q195" s="1123"/>
      <c r="R195" s="1122"/>
      <c r="S195" s="1123"/>
      <c r="T195" s="177"/>
      <c r="U195" s="67"/>
      <c r="V195" s="8"/>
      <c r="W195" s="1067"/>
      <c r="X195" s="9"/>
      <c r="Y195" s="1197"/>
      <c r="Z195" s="1197"/>
      <c r="AA195" s="1197"/>
      <c r="AB195" s="1197"/>
      <c r="AC195" s="1197"/>
      <c r="AD195" s="1197"/>
      <c r="AE195" s="1197"/>
      <c r="AF195" s="1197"/>
      <c r="AG195" s="1197"/>
      <c r="AH195" s="1197"/>
      <c r="AI195" s="1197"/>
      <c r="AJ195" s="1197"/>
      <c r="AK195" s="1197"/>
      <c r="AL195" s="1197"/>
      <c r="AM195" s="1197"/>
      <c r="AN195" s="381"/>
      <c r="AO195" s="381"/>
      <c r="AP195" s="9"/>
      <c r="AQ195" s="9"/>
      <c r="AR195" s="9"/>
      <c r="AS195" s="9"/>
      <c r="AT195" s="9"/>
      <c r="AU195" s="9"/>
      <c r="AV195" s="9"/>
      <c r="AW195" s="9"/>
      <c r="AX195" s="9"/>
      <c r="AY195" s="9"/>
      <c r="AZ195" s="9"/>
      <c r="BA195" s="9"/>
    </row>
    <row r="196" spans="1:53" ht="16.5" thickBot="1" x14ac:dyDescent="0.3">
      <c r="A196" s="1194"/>
      <c r="B196" s="2"/>
      <c r="C196" s="10"/>
      <c r="D196" s="1703" t="s">
        <v>1305</v>
      </c>
      <c r="E196" s="1703"/>
      <c r="F196" s="1703"/>
      <c r="G196" s="1703"/>
      <c r="H196" s="1703"/>
      <c r="I196" s="1703"/>
      <c r="J196" s="1703"/>
      <c r="K196" s="1703"/>
      <c r="L196" s="1199"/>
      <c r="M196" s="1208">
        <f>$S$196-$Q$196-$O$196</f>
        <v>0</v>
      </c>
      <c r="N196" s="1122"/>
      <c r="O196" s="1208">
        <f>IF(Local_Share_Total=1,'Part 3'!$G$48*'Part 1'!$O$96,0)</f>
        <v>0</v>
      </c>
      <c r="P196" s="1122"/>
      <c r="Q196" s="1208">
        <f>IF(Local_Share_Total=1,'Part 3'!$G$48*'Part 1'!$Q$96,0)</f>
        <v>0</v>
      </c>
      <c r="R196" s="1122"/>
      <c r="S196" s="1208">
        <f>IF(Local_Share_Total=1,'Part 3'!$G$48+'Part 3'!$J$48,0)</f>
        <v>0</v>
      </c>
      <c r="T196" s="177"/>
      <c r="U196" s="67"/>
      <c r="V196" s="8"/>
      <c r="W196" s="1067">
        <f>+IF(M196+O196+Q196-S196=0,0,1)</f>
        <v>0</v>
      </c>
      <c r="X196" s="9"/>
      <c r="Y196" s="1197"/>
      <c r="Z196" s="1197"/>
      <c r="AA196" s="1197"/>
      <c r="AB196" s="1197"/>
      <c r="AC196" s="1197"/>
      <c r="AD196" s="1197"/>
      <c r="AE196" s="1197"/>
      <c r="AF196" s="1197"/>
      <c r="AG196" s="1197"/>
      <c r="AH196" s="1197"/>
      <c r="AI196" s="1197"/>
      <c r="AJ196" s="1197"/>
      <c r="AK196" s="1197"/>
      <c r="AL196" s="1197"/>
      <c r="AM196" s="1197"/>
      <c r="AN196" s="381"/>
      <c r="AO196" s="381"/>
      <c r="AP196" s="9"/>
      <c r="AQ196" s="9"/>
      <c r="AR196" s="9"/>
      <c r="AS196" s="9"/>
      <c r="AT196" s="9"/>
      <c r="AU196" s="9"/>
      <c r="AV196" s="9"/>
      <c r="AW196" s="9"/>
      <c r="AX196" s="9"/>
      <c r="AY196" s="9"/>
      <c r="AZ196" s="9"/>
      <c r="BA196" s="9"/>
    </row>
    <row r="197" spans="1:53" ht="15.75" x14ac:dyDescent="0.25">
      <c r="A197" s="1194"/>
      <c r="B197" s="2"/>
      <c r="C197" s="10"/>
      <c r="D197" s="10"/>
      <c r="E197" s="242"/>
      <c r="F197" s="242"/>
      <c r="G197" s="242"/>
      <c r="H197" s="242"/>
      <c r="I197" s="242"/>
      <c r="J197" s="242"/>
      <c r="K197" s="242"/>
      <c r="L197" s="1199"/>
      <c r="M197" s="1123"/>
      <c r="N197" s="1122"/>
      <c r="O197" s="1123"/>
      <c r="P197" s="1122"/>
      <c r="Q197" s="1123"/>
      <c r="R197" s="1122"/>
      <c r="S197" s="1214"/>
      <c r="T197" s="177"/>
      <c r="U197" s="578"/>
      <c r="V197" s="8"/>
      <c r="W197" s="1067"/>
      <c r="X197" s="9"/>
      <c r="Y197" s="1197"/>
      <c r="Z197" s="1197"/>
      <c r="AA197" s="1197"/>
      <c r="AB197" s="1197"/>
      <c r="AC197" s="1197"/>
      <c r="AD197" s="1197"/>
      <c r="AE197" s="1197"/>
      <c r="AF197" s="1197"/>
      <c r="AG197" s="1197"/>
      <c r="AH197" s="1197"/>
      <c r="AI197" s="1197"/>
      <c r="AJ197" s="1197"/>
      <c r="AK197" s="1197"/>
      <c r="AL197" s="1197"/>
      <c r="AM197" s="1197"/>
      <c r="AN197" s="381"/>
      <c r="AO197" s="381"/>
      <c r="AP197" s="9"/>
      <c r="AQ197" s="9"/>
      <c r="AR197" s="9"/>
      <c r="AS197" s="9"/>
      <c r="AT197" s="9"/>
      <c r="AU197" s="9"/>
      <c r="AV197" s="9"/>
      <c r="AW197" s="9"/>
      <c r="AX197" s="9"/>
      <c r="AY197" s="9"/>
      <c r="AZ197" s="9"/>
      <c r="BA197" s="9"/>
    </row>
    <row r="198" spans="1:53" ht="16.5" thickBot="1" x14ac:dyDescent="0.3">
      <c r="A198" s="1194"/>
      <c r="B198" s="2"/>
      <c r="C198" s="12" t="s">
        <v>2260</v>
      </c>
      <c r="D198" s="10"/>
      <c r="E198" s="242"/>
      <c r="F198" s="242"/>
      <c r="G198" s="242"/>
      <c r="H198" s="242"/>
      <c r="I198" s="242"/>
      <c r="J198" s="242"/>
      <c r="K198" s="242"/>
      <c r="L198" s="1199"/>
      <c r="M198" s="1123"/>
      <c r="N198" s="1122"/>
      <c r="O198" s="1123"/>
      <c r="P198" s="1122"/>
      <c r="Q198" s="1123"/>
      <c r="R198" s="1122"/>
      <c r="S198" s="1123"/>
      <c r="T198" s="177"/>
      <c r="U198" s="578"/>
      <c r="V198" s="8"/>
      <c r="W198" s="1067"/>
      <c r="X198" s="9"/>
      <c r="Y198" s="1197"/>
      <c r="Z198" s="1197"/>
      <c r="AA198" s="1197"/>
      <c r="AB198" s="1197"/>
      <c r="AC198" s="1197"/>
      <c r="AD198" s="1197"/>
      <c r="AE198" s="1197"/>
      <c r="AF198" s="1197"/>
      <c r="AG198" s="1197"/>
      <c r="AH198" s="1197"/>
      <c r="AI198" s="1197"/>
      <c r="AJ198" s="1197"/>
      <c r="AK198" s="1197"/>
      <c r="AL198" s="1197"/>
      <c r="AM198" s="1197"/>
      <c r="AN198" s="381"/>
      <c r="AO198" s="381"/>
      <c r="AP198" s="9"/>
      <c r="AQ198" s="9"/>
      <c r="AR198" s="9"/>
      <c r="AS198" s="9"/>
      <c r="AT198" s="9"/>
      <c r="AU198" s="9"/>
      <c r="AV198" s="9"/>
      <c r="AW198" s="9"/>
      <c r="AX198" s="9"/>
      <c r="AY198" s="9"/>
      <c r="AZ198" s="9"/>
      <c r="BA198" s="9"/>
    </row>
    <row r="199" spans="1:53" ht="16.5" thickBot="1" x14ac:dyDescent="0.3">
      <c r="A199" s="1194"/>
      <c r="B199" s="2"/>
      <c r="C199" s="10"/>
      <c r="D199" s="1703" t="s">
        <v>2241</v>
      </c>
      <c r="E199" s="1703"/>
      <c r="F199" s="1703"/>
      <c r="G199" s="1703"/>
      <c r="H199" s="1703"/>
      <c r="I199" s="1703"/>
      <c r="J199" s="1703"/>
      <c r="K199" s="1703"/>
      <c r="L199" s="1199"/>
      <c r="M199" s="1126">
        <f>ROUND(+$S$199-$O$199-$Q$199,0)</f>
        <v>0</v>
      </c>
      <c r="N199" s="1122"/>
      <c r="O199" s="1126">
        <f>ROUND(+(('Part 2'!$G$59)+('Part 2'!$S$59))*-1*$O$96,0)</f>
        <v>0</v>
      </c>
      <c r="P199" s="1122"/>
      <c r="Q199" s="1126">
        <f>ROUND(+(('Part 2'!$G$59)+('Part 2'!$S$59))*-1*$Q$96,0)</f>
        <v>0</v>
      </c>
      <c r="R199" s="1122"/>
      <c r="S199" s="1126">
        <f>ROUND(((ROUND(+(('Part 2'!$G$59)+('Part 2'!$S$59))*Local_Share_Total,0)*-1)+(ROUND(+((('Part 2'!$J$59)+('Part 2'!$V$59))*IF('Part 3 DA summary'!$U$6&gt;0,1,Local_Share_Total)),0)*-1)), 0)</f>
        <v>0</v>
      </c>
      <c r="T199" s="177"/>
      <c r="U199" s="578"/>
      <c r="V199" s="8"/>
      <c r="W199" s="1067">
        <f>+IF(M199+O199+Q199-S199=0,0,1)</f>
        <v>0</v>
      </c>
      <c r="X199" s="9"/>
      <c r="Y199" s="1197"/>
      <c r="Z199" s="1197"/>
      <c r="AA199" s="1197"/>
      <c r="AB199" s="1197"/>
      <c r="AC199" s="1197"/>
      <c r="AD199" s="1197"/>
      <c r="AE199" s="1197"/>
      <c r="AF199" s="1197"/>
      <c r="AG199" s="1197"/>
      <c r="AH199" s="1197"/>
      <c r="AI199" s="1197"/>
      <c r="AJ199" s="1197"/>
      <c r="AK199" s="1197"/>
      <c r="AL199" s="1197"/>
      <c r="AM199" s="1197"/>
      <c r="AN199" s="381"/>
      <c r="AO199" s="381"/>
      <c r="AP199" s="9"/>
      <c r="AQ199" s="9"/>
      <c r="AR199" s="9"/>
      <c r="AS199" s="9"/>
      <c r="AT199" s="9"/>
      <c r="AU199" s="9"/>
      <c r="AV199" s="9"/>
      <c r="AW199" s="9"/>
      <c r="AX199" s="9"/>
      <c r="AY199" s="9"/>
      <c r="AZ199" s="9"/>
      <c r="BA199" s="9"/>
    </row>
    <row r="200" spans="1:53" ht="15.75" x14ac:dyDescent="0.25">
      <c r="A200" s="1194"/>
      <c r="B200" s="2"/>
      <c r="C200" s="10"/>
      <c r="D200" s="10"/>
      <c r="E200" s="242"/>
      <c r="F200" s="242"/>
      <c r="G200" s="242"/>
      <c r="H200" s="242"/>
      <c r="I200" s="242"/>
      <c r="J200" s="242"/>
      <c r="K200" s="242"/>
      <c r="L200" s="1199"/>
      <c r="M200" s="1123"/>
      <c r="N200" s="1122"/>
      <c r="O200" s="1123"/>
      <c r="P200" s="1122"/>
      <c r="Q200" s="1123"/>
      <c r="R200" s="1122"/>
      <c r="S200" s="1123"/>
      <c r="T200" s="177"/>
      <c r="U200" s="578"/>
      <c r="V200" s="8"/>
      <c r="W200" s="1067"/>
      <c r="X200" s="9"/>
      <c r="Y200" s="1197"/>
      <c r="Z200" s="1197"/>
      <c r="AA200" s="1197"/>
      <c r="AB200" s="1197"/>
      <c r="AC200" s="1197"/>
      <c r="AD200" s="1197"/>
      <c r="AE200" s="1197"/>
      <c r="AF200" s="1197"/>
      <c r="AG200" s="1197"/>
      <c r="AH200" s="1197"/>
      <c r="AI200" s="1197"/>
      <c r="AJ200" s="1197"/>
      <c r="AK200" s="1197"/>
      <c r="AL200" s="1197"/>
      <c r="AM200" s="1197"/>
      <c r="AN200" s="381"/>
      <c r="AO200" s="381"/>
      <c r="AP200" s="9"/>
      <c r="AQ200" s="9"/>
      <c r="AR200" s="9"/>
      <c r="AS200" s="9"/>
      <c r="AT200" s="9"/>
      <c r="AU200" s="9"/>
      <c r="AV200" s="9"/>
      <c r="AW200" s="9"/>
      <c r="AX200" s="9"/>
      <c r="AY200" s="9"/>
      <c r="AZ200" s="9"/>
      <c r="BA200" s="9"/>
    </row>
    <row r="201" spans="1:53" ht="16.5" thickBot="1" x14ac:dyDescent="0.3">
      <c r="A201" s="1194"/>
      <c r="B201" s="2"/>
      <c r="C201" s="453" t="s">
        <v>2236</v>
      </c>
      <c r="D201" s="459"/>
      <c r="E201" s="675"/>
      <c r="F201" s="675"/>
      <c r="G201" s="675"/>
      <c r="H201" s="675"/>
      <c r="I201" s="242"/>
      <c r="J201" s="242"/>
      <c r="K201" s="242"/>
      <c r="L201" s="1199"/>
      <c r="M201" s="1123"/>
      <c r="N201" s="1122"/>
      <c r="O201" s="1123"/>
      <c r="P201" s="1122"/>
      <c r="Q201" s="1123"/>
      <c r="R201" s="1122"/>
      <c r="S201" s="1123"/>
      <c r="T201" s="177"/>
      <c r="U201" s="578"/>
      <c r="V201" s="8"/>
      <c r="W201" s="1067"/>
      <c r="X201" s="9"/>
      <c r="Y201" s="1197"/>
      <c r="Z201" s="1197"/>
      <c r="AA201" s="1197"/>
      <c r="AB201" s="1197"/>
      <c r="AC201" s="1197"/>
      <c r="AD201" s="1197"/>
      <c r="AE201" s="1197"/>
      <c r="AF201" s="1197"/>
      <c r="AG201" s="1197"/>
      <c r="AH201" s="1197"/>
      <c r="AI201" s="1197"/>
      <c r="AJ201" s="1197"/>
      <c r="AK201" s="1197"/>
      <c r="AL201" s="1197"/>
      <c r="AM201" s="1197"/>
      <c r="AN201" s="381"/>
      <c r="AO201" s="381"/>
      <c r="AP201" s="9"/>
      <c r="AQ201" s="9"/>
      <c r="AR201" s="9"/>
      <c r="AS201" s="9"/>
      <c r="AT201" s="9"/>
      <c r="AU201" s="9"/>
      <c r="AV201" s="9"/>
      <c r="AW201" s="9"/>
      <c r="AX201" s="9"/>
      <c r="AY201" s="9"/>
      <c r="AZ201" s="9"/>
      <c r="BA201" s="9"/>
    </row>
    <row r="202" spans="1:53" ht="16.5" thickBot="1" x14ac:dyDescent="0.3">
      <c r="A202" s="1194"/>
      <c r="B202" s="2"/>
      <c r="C202" s="459"/>
      <c r="D202" s="1702" t="s">
        <v>1151</v>
      </c>
      <c r="E202" s="1702"/>
      <c r="F202" s="1702"/>
      <c r="G202" s="1702"/>
      <c r="H202" s="1702"/>
      <c r="I202" s="1702"/>
      <c r="J202" s="1702"/>
      <c r="K202" s="1702"/>
      <c r="L202" s="1199"/>
      <c r="M202" s="1126">
        <f>ROUND(+$S$202-$O$202-$Q$202,0)</f>
        <v>0</v>
      </c>
      <c r="N202" s="1122"/>
      <c r="O202" s="1126">
        <f>ROUND(+(('Part 2'!$G$144)+('Part 2'!$S$144))*-1*$O$96,0)</f>
        <v>0</v>
      </c>
      <c r="P202" s="1122"/>
      <c r="Q202" s="1126">
        <f>ROUND(+(('Part 2'!$G$144)+('Part 2'!$S$144))*-1*$Q$96,0)</f>
        <v>0</v>
      </c>
      <c r="R202" s="1122"/>
      <c r="S202" s="1126">
        <f>ROUND(((ROUND(+(('Part 2'!$G$144)+('Part 2'!$S$144))*Local_Share_Total,0)*-1)+(ROUND(+((('Part 2'!$J$144)+('Part 2'!$V$144))*IF('Part 3 DA summary'!$U$6&gt;0,1,Local_Share_Total)),0)*-1)), 0)</f>
        <v>0</v>
      </c>
      <c r="T202" s="177"/>
      <c r="U202" s="578"/>
      <c r="V202" s="8"/>
      <c r="W202" s="1067">
        <f>+IF(M202+O202+Q202-S202=0,0,1)</f>
        <v>0</v>
      </c>
      <c r="X202" s="9"/>
      <c r="Y202" s="1197"/>
      <c r="Z202" s="1197"/>
      <c r="AA202" s="1197"/>
      <c r="AB202" s="1197"/>
      <c r="AC202" s="1197"/>
      <c r="AD202" s="1197"/>
      <c r="AE202" s="1197"/>
      <c r="AF202" s="1197"/>
      <c r="AG202" s="1197"/>
      <c r="AH202" s="1197"/>
      <c r="AI202" s="1197"/>
      <c r="AJ202" s="1197"/>
      <c r="AK202" s="1197"/>
      <c r="AL202" s="1197"/>
      <c r="AM202" s="1197"/>
      <c r="AN202" s="381"/>
      <c r="AO202" s="381"/>
      <c r="AP202" s="9"/>
      <c r="AQ202" s="9"/>
      <c r="AR202" s="9"/>
      <c r="AS202" s="9"/>
      <c r="AT202" s="9"/>
      <c r="AU202" s="9"/>
      <c r="AV202" s="9"/>
      <c r="AW202" s="9"/>
      <c r="AX202" s="9"/>
      <c r="AY202" s="9"/>
      <c r="AZ202" s="9"/>
      <c r="BA202" s="9"/>
    </row>
    <row r="203" spans="1:53" ht="15.75" x14ac:dyDescent="0.25">
      <c r="A203" s="1194"/>
      <c r="B203" s="2"/>
      <c r="C203" s="459"/>
      <c r="D203" s="459"/>
      <c r="E203" s="675"/>
      <c r="F203" s="675"/>
      <c r="G203" s="675"/>
      <c r="H203" s="675"/>
      <c r="I203" s="242"/>
      <c r="J203" s="242"/>
      <c r="K203" s="242"/>
      <c r="L203" s="1199"/>
      <c r="M203" s="1123"/>
      <c r="N203" s="1122"/>
      <c r="O203" s="1123"/>
      <c r="P203" s="1122"/>
      <c r="Q203" s="1123"/>
      <c r="R203" s="1122"/>
      <c r="S203" s="1123"/>
      <c r="T203" s="177"/>
      <c r="U203" s="578"/>
      <c r="V203" s="8"/>
      <c r="W203" s="1067"/>
      <c r="X203" s="9"/>
      <c r="Y203" s="1197"/>
      <c r="Z203" s="1197"/>
      <c r="AA203" s="1197"/>
      <c r="AB203" s="1197"/>
      <c r="AC203" s="1197"/>
      <c r="AD203" s="1197"/>
      <c r="AE203" s="1197"/>
      <c r="AF203" s="1197"/>
      <c r="AG203" s="1197"/>
      <c r="AH203" s="1197"/>
      <c r="AI203" s="1197"/>
      <c r="AJ203" s="1197"/>
      <c r="AK203" s="1197"/>
      <c r="AL203" s="1197"/>
      <c r="AM203" s="1197"/>
      <c r="AN203" s="381"/>
      <c r="AO203" s="381"/>
      <c r="AP203" s="9"/>
      <c r="AQ203" s="9"/>
      <c r="AR203" s="9"/>
      <c r="AS203" s="9"/>
      <c r="AT203" s="9"/>
      <c r="AU203" s="9"/>
      <c r="AV203" s="9"/>
      <c r="AW203" s="9"/>
      <c r="AX203" s="9"/>
      <c r="AY203" s="9"/>
      <c r="AZ203" s="9"/>
      <c r="BA203" s="9"/>
    </row>
    <row r="204" spans="1:53" ht="16.5" thickBot="1" x14ac:dyDescent="0.3">
      <c r="A204" s="1194"/>
      <c r="B204" s="2"/>
      <c r="C204" s="453" t="s">
        <v>2253</v>
      </c>
      <c r="D204" s="459"/>
      <c r="E204" s="675"/>
      <c r="F204" s="675"/>
      <c r="G204" s="675"/>
      <c r="H204" s="675"/>
      <c r="I204" s="675"/>
      <c r="J204" s="242"/>
      <c r="K204" s="242"/>
      <c r="L204" s="1199"/>
      <c r="M204" s="1123"/>
      <c r="N204" s="1122"/>
      <c r="O204" s="1123"/>
      <c r="P204" s="1122"/>
      <c r="Q204" s="1123"/>
      <c r="R204" s="1122"/>
      <c r="S204" s="1123"/>
      <c r="T204" s="177"/>
      <c r="U204" s="578"/>
      <c r="V204" s="8"/>
      <c r="W204" s="1067"/>
      <c r="X204" s="958" t="s">
        <v>2251</v>
      </c>
      <c r="Y204" s="1197"/>
      <c r="Z204" s="1197"/>
      <c r="AA204" s="1197"/>
      <c r="AB204" s="1197"/>
      <c r="AC204" s="1197"/>
      <c r="AD204" s="1197"/>
      <c r="AE204" s="1197"/>
      <c r="AF204" s="1197"/>
      <c r="AG204" s="1197"/>
      <c r="AH204" s="1197"/>
      <c r="AI204" s="1197"/>
      <c r="AJ204" s="1197"/>
      <c r="AK204" s="1197"/>
      <c r="AL204" s="1197"/>
      <c r="AM204" s="1197"/>
      <c r="AN204" s="381"/>
      <c r="AO204" s="381"/>
      <c r="AP204" s="9"/>
      <c r="AQ204" s="9"/>
      <c r="AR204" s="9"/>
      <c r="AS204" s="9"/>
      <c r="AT204" s="9"/>
      <c r="AU204" s="9"/>
      <c r="AV204" s="9"/>
      <c r="AW204" s="9"/>
      <c r="AX204" s="9"/>
      <c r="AY204" s="9"/>
      <c r="AZ204" s="9"/>
      <c r="BA204" s="9"/>
    </row>
    <row r="205" spans="1:53" ht="16.5" thickBot="1" x14ac:dyDescent="0.3">
      <c r="A205" s="1194"/>
      <c r="B205" s="2"/>
      <c r="C205" s="459"/>
      <c r="D205" s="1702" t="s">
        <v>2259</v>
      </c>
      <c r="E205" s="1702"/>
      <c r="F205" s="1702"/>
      <c r="G205" s="1702"/>
      <c r="H205" s="1702"/>
      <c r="I205" s="1702"/>
      <c r="J205" s="1702"/>
      <c r="K205" s="1702"/>
      <c r="L205" s="1199"/>
      <c r="M205" s="1126">
        <f>ROUND(+$S$205-$O$205-$Q$205,0)</f>
        <v>0</v>
      </c>
      <c r="N205" s="1122"/>
      <c r="O205" s="1126">
        <v>0</v>
      </c>
      <c r="P205" s="1122"/>
      <c r="Q205" s="1126">
        <f>0</f>
        <v>0</v>
      </c>
      <c r="R205" s="1122"/>
      <c r="S205" s="1132">
        <f>ROUND(+(('Part 2'!$J$121*-1)+('Part 2'!$V$121*-1)), 0)</f>
        <v>0</v>
      </c>
      <c r="T205" s="177"/>
      <c r="U205" s="578"/>
      <c r="V205" s="8"/>
      <c r="W205" s="1067">
        <f>+IF(M205+O205+Q205-S205=0,0,1)</f>
        <v>0</v>
      </c>
      <c r="X205" s="959">
        <f>IF(INDEX(TierSplit!CG:CG,MATCH(Import_LA_Code,Ref_LA_Codes2,0))="Yes",1,0)</f>
        <v>1</v>
      </c>
      <c r="Y205" s="1197"/>
      <c r="Z205" s="1197"/>
      <c r="AA205" s="1197"/>
      <c r="AB205" s="1197"/>
      <c r="AC205" s="1197"/>
      <c r="AD205" s="1197"/>
      <c r="AE205" s="1197"/>
      <c r="AF205" s="1197"/>
      <c r="AG205" s="1197"/>
      <c r="AH205" s="1197"/>
      <c r="AI205" s="1197"/>
      <c r="AJ205" s="1197"/>
      <c r="AK205" s="1197"/>
      <c r="AL205" s="1197"/>
      <c r="AM205" s="1197"/>
      <c r="AN205" s="381"/>
      <c r="AO205" s="381"/>
      <c r="AP205" s="9"/>
      <c r="AQ205" s="9"/>
      <c r="AR205" s="9"/>
      <c r="AS205" s="9"/>
      <c r="AT205" s="9"/>
      <c r="AU205" s="9"/>
      <c r="AV205" s="9"/>
      <c r="AW205" s="9"/>
      <c r="AX205" s="9"/>
      <c r="AY205" s="9"/>
      <c r="AZ205" s="9"/>
      <c r="BA205" s="9"/>
    </row>
    <row r="206" spans="1:53" ht="15.75" x14ac:dyDescent="0.25">
      <c r="A206" s="1194"/>
      <c r="B206" s="2"/>
      <c r="C206" s="459"/>
      <c r="D206" s="459"/>
      <c r="E206" s="675"/>
      <c r="F206" s="675"/>
      <c r="G206" s="675"/>
      <c r="H206" s="675"/>
      <c r="I206" s="675"/>
      <c r="J206" s="242"/>
      <c r="K206" s="242"/>
      <c r="L206" s="1199"/>
      <c r="M206" s="1140"/>
      <c r="N206" s="1138"/>
      <c r="O206" s="1140"/>
      <c r="P206" s="1138"/>
      <c r="Q206" s="1140"/>
      <c r="R206" s="1138"/>
      <c r="S206" s="1140"/>
      <c r="T206" s="177"/>
      <c r="U206" s="867"/>
      <c r="V206" s="8"/>
      <c r="W206" s="1067"/>
      <c r="X206"/>
      <c r="Y206" s="1197"/>
      <c r="Z206" s="1197"/>
      <c r="AA206" s="1197"/>
      <c r="AB206" s="1197"/>
      <c r="AC206" s="1197"/>
      <c r="AD206" s="1197"/>
      <c r="AE206" s="1197"/>
      <c r="AF206" s="1197"/>
      <c r="AG206" s="1197"/>
      <c r="AH206" s="1197"/>
      <c r="AI206" s="1197"/>
      <c r="AJ206" s="1197"/>
      <c r="AK206" s="1197"/>
      <c r="AL206" s="1197"/>
      <c r="AM206" s="1197"/>
      <c r="AN206" s="381"/>
      <c r="AO206" s="381"/>
      <c r="AP206" s="9"/>
      <c r="AQ206" s="9"/>
      <c r="AR206" s="9"/>
      <c r="AS206" s="9"/>
      <c r="AT206" s="9"/>
      <c r="AU206" s="9"/>
      <c r="AV206" s="9"/>
      <c r="AW206" s="9"/>
      <c r="AX206" s="9"/>
      <c r="AY206" s="9"/>
      <c r="AZ206" s="9"/>
      <c r="BA206" s="9"/>
    </row>
    <row r="207" spans="1:53" ht="16.5" thickBot="1" x14ac:dyDescent="0.3">
      <c r="A207" s="1194"/>
      <c r="B207" s="2"/>
      <c r="C207" s="453" t="s">
        <v>3040</v>
      </c>
      <c r="D207" s="459"/>
      <c r="E207" s="675"/>
      <c r="F207" s="675"/>
      <c r="G207" s="675"/>
      <c r="H207" s="675"/>
      <c r="I207" s="675"/>
      <c r="J207" s="242"/>
      <c r="K207" s="242"/>
      <c r="L207" s="1199"/>
      <c r="M207" s="1140"/>
      <c r="N207" s="1138"/>
      <c r="O207" s="1140"/>
      <c r="P207" s="1138"/>
      <c r="Q207" s="1140"/>
      <c r="R207" s="1138"/>
      <c r="S207" s="1140"/>
      <c r="T207" s="177"/>
      <c r="U207" s="867"/>
      <c r="V207" s="8"/>
      <c r="W207" s="1067"/>
      <c r="X207" s="958" t="s">
        <v>3059</v>
      </c>
      <c r="Y207" s="1197"/>
      <c r="Z207" s="1197"/>
      <c r="AA207" s="1197"/>
      <c r="AB207" s="1197"/>
      <c r="AC207" s="1197"/>
      <c r="AD207" s="1197"/>
      <c r="AE207" s="1197"/>
      <c r="AF207" s="1197"/>
      <c r="AG207" s="1197"/>
      <c r="AH207" s="1197"/>
      <c r="AI207" s="1197"/>
      <c r="AJ207" s="1197"/>
      <c r="AK207" s="1197"/>
      <c r="AL207" s="1197"/>
      <c r="AM207" s="1197"/>
      <c r="AN207" s="381"/>
      <c r="AO207" s="381"/>
      <c r="AP207" s="9"/>
      <c r="AQ207" s="9"/>
      <c r="AR207" s="9"/>
      <c r="AS207" s="9"/>
      <c r="AT207" s="9"/>
      <c r="AU207" s="9"/>
      <c r="AV207" s="9"/>
      <c r="AW207" s="9"/>
      <c r="AX207" s="9"/>
      <c r="AY207" s="9"/>
      <c r="AZ207" s="9"/>
      <c r="BA207" s="9"/>
    </row>
    <row r="208" spans="1:53" ht="16.5" thickBot="1" x14ac:dyDescent="0.3">
      <c r="A208" s="1194"/>
      <c r="B208" s="2"/>
      <c r="C208" s="459"/>
      <c r="D208" s="1702" t="s">
        <v>2307</v>
      </c>
      <c r="E208" s="1702"/>
      <c r="F208" s="1702"/>
      <c r="G208" s="1702"/>
      <c r="H208" s="1702"/>
      <c r="I208" s="1702"/>
      <c r="J208" s="1702"/>
      <c r="K208" s="1702"/>
      <c r="L208" s="1199"/>
      <c r="M208" s="1126">
        <f>ROUND(+$S$208-$O$208-$Q$208,0)</f>
        <v>0</v>
      </c>
      <c r="N208" s="1122"/>
      <c r="O208" s="1126">
        <f>0</f>
        <v>0</v>
      </c>
      <c r="P208" s="1122"/>
      <c r="Q208" s="1126">
        <f>0</f>
        <v>0</v>
      </c>
      <c r="R208" s="1122"/>
      <c r="S208" s="1126">
        <f>ROUND(+(((('Part 2'!$G$123*-1)+('Part 2'!$S$123*-1))*Local_Share_Total)+('Part 2'!$J$123*-1)+('Part 2'!$V$123*-1)), 0)</f>
        <v>0</v>
      </c>
      <c r="T208" s="177"/>
      <c r="U208" s="867"/>
      <c r="V208" s="8"/>
      <c r="W208" s="1067">
        <f>+IF(M208+O208+Q208-S208=0,0,1)</f>
        <v>0</v>
      </c>
      <c r="X208" s="959">
        <f>IF(INDEX(TierSplit!CH:CH,MATCH(Import_LA_Code,Ref_LA_Codes2,0))="Yes",1,0)</f>
        <v>0</v>
      </c>
      <c r="Y208" s="1197"/>
      <c r="Z208" s="1197"/>
      <c r="AA208" s="1197"/>
      <c r="AB208" s="1197"/>
      <c r="AC208" s="1197"/>
      <c r="AD208" s="1197"/>
      <c r="AE208" s="1197"/>
      <c r="AF208" s="1197"/>
      <c r="AG208" s="1197"/>
      <c r="AH208" s="1197"/>
      <c r="AI208" s="1197"/>
      <c r="AJ208" s="1197"/>
      <c r="AK208" s="1197"/>
      <c r="AL208" s="1197"/>
      <c r="AM208" s="1197"/>
      <c r="AN208" s="381"/>
      <c r="AO208" s="381"/>
      <c r="AP208" s="9"/>
      <c r="AQ208" s="9"/>
      <c r="AR208" s="9"/>
      <c r="AS208" s="9"/>
      <c r="AT208" s="9"/>
      <c r="AU208" s="9"/>
      <c r="AV208" s="9"/>
      <c r="AW208" s="9"/>
      <c r="AX208" s="9"/>
      <c r="AY208" s="9"/>
      <c r="AZ208" s="9"/>
      <c r="BA208" s="9"/>
    </row>
    <row r="209" spans="1:53" ht="15.75" x14ac:dyDescent="0.25">
      <c r="A209" s="1194"/>
      <c r="B209" s="2"/>
      <c r="C209" s="459"/>
      <c r="D209" s="459"/>
      <c r="E209" s="675"/>
      <c r="F209" s="675"/>
      <c r="G209" s="675"/>
      <c r="H209" s="675"/>
      <c r="I209" s="675"/>
      <c r="J209" s="242"/>
      <c r="K209" s="242"/>
      <c r="L209" s="1199"/>
      <c r="M209" s="1123"/>
      <c r="N209" s="1122"/>
      <c r="O209" s="1123"/>
      <c r="P209" s="1122"/>
      <c r="Q209" s="1123"/>
      <c r="R209" s="1122"/>
      <c r="S209" s="1123"/>
      <c r="T209" s="177"/>
      <c r="U209" s="578"/>
      <c r="V209" s="8"/>
      <c r="W209" s="1067"/>
      <c r="X209" s="9"/>
      <c r="Y209" s="1197"/>
      <c r="Z209" s="1197"/>
      <c r="AA209" s="1197"/>
      <c r="AB209" s="1197"/>
      <c r="AC209" s="1197"/>
      <c r="AD209" s="1197"/>
      <c r="AE209" s="1197"/>
      <c r="AF209" s="1197"/>
      <c r="AG209" s="1197"/>
      <c r="AH209" s="1197"/>
      <c r="AI209" s="1197"/>
      <c r="AJ209" s="1197"/>
      <c r="AK209" s="1197"/>
      <c r="AL209" s="1197"/>
      <c r="AM209" s="1197"/>
      <c r="AN209" s="381"/>
      <c r="AO209" s="381"/>
      <c r="AP209" s="9"/>
      <c r="AQ209" s="9"/>
      <c r="AR209" s="9"/>
      <c r="AS209" s="9"/>
      <c r="AT209" s="9"/>
      <c r="AU209" s="9"/>
      <c r="AV209" s="9"/>
      <c r="AW209" s="9"/>
      <c r="AX209" s="9"/>
      <c r="AY209" s="9"/>
      <c r="AZ209" s="9"/>
      <c r="BA209" s="9"/>
    </row>
    <row r="210" spans="1:53" ht="16.5" thickBot="1" x14ac:dyDescent="0.3">
      <c r="A210" s="1194"/>
      <c r="B210" s="2"/>
      <c r="C210" s="453" t="s">
        <v>2306</v>
      </c>
      <c r="D210" s="459"/>
      <c r="E210" s="675"/>
      <c r="F210" s="675"/>
      <c r="G210" s="675"/>
      <c r="H210" s="675"/>
      <c r="I210" s="242"/>
      <c r="J210" s="242"/>
      <c r="K210" s="242"/>
      <c r="L210" s="1199"/>
      <c r="M210" s="1123"/>
      <c r="N210" s="1122"/>
      <c r="O210" s="1123"/>
      <c r="P210" s="1122"/>
      <c r="Q210" s="1123"/>
      <c r="R210" s="1122"/>
      <c r="S210" s="1123"/>
      <c r="T210" s="177"/>
      <c r="U210" s="578"/>
      <c r="V210" s="8"/>
      <c r="W210" s="1067"/>
      <c r="X210" s="9"/>
      <c r="Y210" s="1197"/>
      <c r="Z210" s="1197"/>
      <c r="AA210" s="1197"/>
      <c r="AB210" s="1197"/>
      <c r="AC210" s="1197"/>
      <c r="AD210" s="1197"/>
      <c r="AE210" s="1197"/>
      <c r="AF210" s="1197"/>
      <c r="AG210" s="1197"/>
      <c r="AH210" s="1197"/>
      <c r="AI210" s="1197"/>
      <c r="AJ210" s="1197"/>
      <c r="AK210" s="1197"/>
      <c r="AL210" s="1197"/>
      <c r="AM210" s="1197"/>
      <c r="AN210" s="381"/>
      <c r="AO210" s="381"/>
      <c r="AP210" s="9"/>
      <c r="AQ210" s="9"/>
      <c r="AR210" s="9"/>
      <c r="AS210" s="9"/>
      <c r="AT210" s="9"/>
      <c r="AU210" s="9"/>
      <c r="AV210" s="9"/>
      <c r="AW210" s="9"/>
      <c r="AX210" s="9"/>
      <c r="AY210" s="9"/>
      <c r="AZ210" s="9"/>
      <c r="BA210" s="9"/>
    </row>
    <row r="211" spans="1:53" ht="15.75" customHeight="1" thickBot="1" x14ac:dyDescent="0.3">
      <c r="A211" s="1194"/>
      <c r="B211" s="2"/>
      <c r="C211" s="459" t="s">
        <v>699</v>
      </c>
      <c r="D211" s="1702" t="s">
        <v>2999</v>
      </c>
      <c r="E211" s="1702"/>
      <c r="F211" s="1702"/>
      <c r="G211" s="1702"/>
      <c r="H211" s="1702"/>
      <c r="I211" s="1702"/>
      <c r="J211" s="1702"/>
      <c r="K211" s="1702"/>
      <c r="L211" s="1199"/>
      <c r="M211" s="1126">
        <f>ROUND(+$S$211-$O$211-$Q$211,0)</f>
        <v>0</v>
      </c>
      <c r="N211" s="1122"/>
      <c r="O211" s="1126">
        <f>ROUND(+(('Part 2'!$G$62)+('Part 2'!$S$62))*-1*$O$96,0)</f>
        <v>0</v>
      </c>
      <c r="P211" s="1122"/>
      <c r="Q211" s="1126">
        <f>ROUND(+(('Part 2'!$G$62)+('Part 2'!$S$62))*-1*$Q$96,0)</f>
        <v>0</v>
      </c>
      <c r="R211" s="1122"/>
      <c r="S211" s="1126">
        <f>ROUND(((ROUND(+(('Part 2'!$G$62)+('Part 2'!$S$62))*Local_Share_Total,0)*-1)+(ROUND(+((('Part 2'!$J$62)+('Part 2'!$V$62))*IF('Part 3 DA summary'!$U$6&gt;0,1,Local_Share_Total)),0)*-1)), 0)</f>
        <v>0</v>
      </c>
      <c r="T211" s="177"/>
      <c r="U211" s="578"/>
      <c r="V211" s="8"/>
      <c r="W211" s="1067">
        <f>+IF(M211+O211+Q211-S211=0,0,1)</f>
        <v>0</v>
      </c>
      <c r="X211" s="9"/>
      <c r="Y211" s="1197"/>
      <c r="Z211" s="1197"/>
      <c r="AA211" s="1197"/>
      <c r="AB211" s="1197"/>
      <c r="AC211" s="1197"/>
      <c r="AD211" s="1197"/>
      <c r="AE211" s="1197"/>
      <c r="AF211" s="1197"/>
      <c r="AG211" s="1197"/>
      <c r="AH211" s="1197"/>
      <c r="AI211" s="1197"/>
      <c r="AJ211" s="1197"/>
      <c r="AK211" s="1197"/>
      <c r="AL211" s="1197"/>
      <c r="AM211" s="1197"/>
      <c r="AN211" s="381"/>
      <c r="AO211" s="381"/>
      <c r="AP211" s="9"/>
      <c r="AQ211" s="9"/>
      <c r="AR211" s="9"/>
      <c r="AS211" s="9"/>
      <c r="AT211" s="9"/>
      <c r="AU211" s="9"/>
      <c r="AV211" s="9"/>
      <c r="AW211" s="9"/>
      <c r="AX211" s="9"/>
      <c r="AY211" s="9"/>
      <c r="AZ211" s="9"/>
      <c r="BA211" s="9"/>
    </row>
    <row r="212" spans="1:53" ht="15.75" customHeight="1" x14ac:dyDescent="0.25">
      <c r="A212" s="1200"/>
      <c r="B212" s="2"/>
      <c r="C212" s="459"/>
      <c r="D212" s="459"/>
      <c r="E212" s="459"/>
      <c r="F212" s="459"/>
      <c r="G212" s="459"/>
      <c r="H212" s="459"/>
      <c r="I212" s="459"/>
      <c r="J212" s="459"/>
      <c r="K212" s="459"/>
      <c r="L212" s="1199"/>
      <c r="M212" s="1128"/>
      <c r="N212" s="1122"/>
      <c r="O212" s="1128"/>
      <c r="P212" s="1122"/>
      <c r="Q212" s="1128"/>
      <c r="R212" s="1122"/>
      <c r="S212" s="1128"/>
      <c r="T212" s="177"/>
      <c r="U212" s="578"/>
      <c r="V212" s="8"/>
      <c r="W212" s="1067"/>
      <c r="X212" s="9"/>
      <c r="Y212" s="1197"/>
      <c r="Z212" s="1197"/>
      <c r="AA212" s="1197"/>
      <c r="AB212" s="1197"/>
      <c r="AC212" s="1197"/>
      <c r="AD212" s="1197"/>
      <c r="AE212" s="1197"/>
      <c r="AF212" s="1197"/>
      <c r="AG212" s="1197"/>
      <c r="AH212" s="1197"/>
      <c r="AI212" s="1197"/>
      <c r="AJ212" s="1197"/>
      <c r="AK212" s="1197"/>
      <c r="AL212" s="1197"/>
      <c r="AM212" s="1197"/>
      <c r="AN212" s="381"/>
      <c r="AO212" s="381"/>
      <c r="AP212" s="9"/>
      <c r="AQ212" s="9"/>
      <c r="AR212" s="9"/>
      <c r="AS212" s="9"/>
      <c r="AT212" s="9"/>
      <c r="AU212" s="9"/>
      <c r="AV212" s="9"/>
      <c r="AW212" s="9"/>
      <c r="AX212" s="9"/>
      <c r="AY212" s="9"/>
      <c r="AZ212" s="9"/>
      <c r="BA212" s="9"/>
    </row>
    <row r="213" spans="1:53" ht="15.75" customHeight="1" thickBot="1" x14ac:dyDescent="0.3">
      <c r="A213" s="1593"/>
      <c r="B213" s="338"/>
      <c r="C213" s="453" t="s">
        <v>3152</v>
      </c>
      <c r="D213" s="459"/>
      <c r="E213" s="675"/>
      <c r="F213" s="675"/>
      <c r="G213" s="675"/>
      <c r="H213" s="675"/>
      <c r="I213" s="242"/>
      <c r="J213" s="242"/>
      <c r="K213" s="242"/>
      <c r="L213" s="1199"/>
      <c r="M213" s="1123"/>
      <c r="N213" s="1122"/>
      <c r="O213" s="1123"/>
      <c r="P213" s="1122"/>
      <c r="Q213" s="1123"/>
      <c r="R213" s="1122"/>
      <c r="S213" s="1123"/>
      <c r="T213" s="177"/>
      <c r="U213" s="578"/>
      <c r="V213" s="8"/>
      <c r="W213" s="1067"/>
      <c r="X213" s="9"/>
      <c r="Y213" s="1197"/>
      <c r="Z213" s="1197"/>
      <c r="AA213" s="1197"/>
      <c r="AB213" s="1197"/>
      <c r="AC213" s="1197"/>
      <c r="AD213" s="1197"/>
      <c r="AE213" s="1197"/>
      <c r="AF213" s="1197"/>
      <c r="AG213" s="1197"/>
      <c r="AH213" s="1197"/>
      <c r="AI213" s="1197"/>
      <c r="AJ213" s="1197"/>
      <c r="AK213" s="1197"/>
      <c r="AL213" s="1197"/>
      <c r="AM213" s="1197"/>
      <c r="AN213" s="381"/>
      <c r="AO213" s="381"/>
      <c r="AP213" s="9"/>
      <c r="AQ213" s="9"/>
      <c r="AR213" s="9"/>
      <c r="AS213" s="9"/>
      <c r="AT213" s="9"/>
      <c r="AU213" s="9"/>
      <c r="AV213" s="9"/>
      <c r="AW213" s="9"/>
      <c r="AX213" s="9"/>
      <c r="AY213" s="9"/>
      <c r="AZ213" s="9"/>
      <c r="BA213" s="9"/>
    </row>
    <row r="214" spans="1:53" ht="15.75" customHeight="1" thickBot="1" x14ac:dyDescent="0.3">
      <c r="A214" s="1593"/>
      <c r="B214" s="338"/>
      <c r="C214" s="459" t="s">
        <v>699</v>
      </c>
      <c r="D214" s="1702" t="s">
        <v>3000</v>
      </c>
      <c r="E214" s="1702"/>
      <c r="F214" s="1702"/>
      <c r="G214" s="1702"/>
      <c r="H214" s="1702"/>
      <c r="I214" s="1702"/>
      <c r="J214" s="1702"/>
      <c r="K214" s="1702"/>
      <c r="L214" s="1199"/>
      <c r="M214" s="1126">
        <f>ROUND(+$S$214-$O$214-$Q$214,0)</f>
        <v>0</v>
      </c>
      <c r="N214" s="1122"/>
      <c r="O214" s="1126">
        <f>ROUND(+(('Part 2'!$G$65)+('Part 2'!$S$65))*-1*$O$96,0)</f>
        <v>0</v>
      </c>
      <c r="P214" s="1122"/>
      <c r="Q214" s="1126">
        <f>ROUND(+(('Part 2'!$G$65)+('Part 2'!$S$65))*-1*$Q$96,0)</f>
        <v>0</v>
      </c>
      <c r="R214" s="1122"/>
      <c r="S214" s="1126">
        <f>ROUND(((ROUND(+(('Part 2'!$G$65)+('Part 2'!$S$65))*Local_Share_Total,0)*-1)+(ROUND(+((('Part 2'!$J$65)+('Part 2'!$V$65))*IF('Part 3 DA summary'!$U$6&gt;0,1,Local_Share_Total)),0)*-1)), 0)</f>
        <v>0</v>
      </c>
      <c r="T214" s="177"/>
      <c r="U214" s="578"/>
      <c r="V214" s="8"/>
      <c r="W214" s="1067">
        <f>+IF(M214+O214+Q214-S214=0,0,1)</f>
        <v>0</v>
      </c>
      <c r="X214" s="9"/>
      <c r="Y214" s="1197"/>
      <c r="Z214" s="1197"/>
      <c r="AA214" s="1197"/>
      <c r="AB214" s="1197"/>
      <c r="AC214" s="1197"/>
      <c r="AD214" s="1197"/>
      <c r="AE214" s="1197"/>
      <c r="AF214" s="1197"/>
      <c r="AG214" s="1197"/>
      <c r="AH214" s="1197"/>
      <c r="AI214" s="1197"/>
      <c r="AJ214" s="1197"/>
      <c r="AK214" s="1197"/>
      <c r="AL214" s="1197"/>
      <c r="AM214" s="1197"/>
      <c r="AN214" s="381"/>
      <c r="AO214" s="381"/>
      <c r="AP214" s="9"/>
      <c r="AQ214" s="9"/>
      <c r="AR214" s="9"/>
      <c r="AS214" s="9"/>
      <c r="AT214" s="9"/>
      <c r="AU214" s="9"/>
      <c r="AV214" s="9"/>
      <c r="AW214" s="9"/>
      <c r="AX214" s="9"/>
      <c r="AY214" s="9"/>
      <c r="AZ214" s="9"/>
      <c r="BA214" s="9"/>
    </row>
    <row r="215" spans="1:53" ht="15.75" customHeight="1" x14ac:dyDescent="0.25">
      <c r="A215" s="1593"/>
      <c r="B215" s="338"/>
      <c r="C215" s="459"/>
      <c r="D215" s="459"/>
      <c r="E215" s="459"/>
      <c r="F215" s="459"/>
      <c r="G215" s="459"/>
      <c r="H215" s="459"/>
      <c r="I215" s="459"/>
      <c r="J215" s="459"/>
      <c r="K215" s="459"/>
      <c r="L215" s="1199"/>
      <c r="M215" s="1128"/>
      <c r="N215" s="1122"/>
      <c r="O215" s="1128"/>
      <c r="P215" s="1122"/>
      <c r="Q215" s="1128"/>
      <c r="R215" s="1122"/>
      <c r="S215" s="1128"/>
      <c r="T215" s="177"/>
      <c r="U215" s="578"/>
      <c r="V215" s="8"/>
      <c r="W215" s="1067"/>
      <c r="X215" s="9"/>
      <c r="Y215" s="1197"/>
      <c r="Z215" s="1197"/>
      <c r="AA215" s="1197"/>
      <c r="AB215" s="1197"/>
      <c r="AC215" s="1197"/>
      <c r="AD215" s="1197"/>
      <c r="AE215" s="1197"/>
      <c r="AF215" s="1197"/>
      <c r="AG215" s="1197"/>
      <c r="AH215" s="1197"/>
      <c r="AI215" s="1197"/>
      <c r="AJ215" s="1197"/>
      <c r="AK215" s="1197"/>
      <c r="AL215" s="1197"/>
      <c r="AM215" s="1197"/>
      <c r="AN215" s="381"/>
      <c r="AO215" s="381"/>
      <c r="AP215" s="9"/>
      <c r="AQ215" s="9"/>
      <c r="AR215" s="9"/>
      <c r="AS215" s="9"/>
      <c r="AT215" s="9"/>
      <c r="AU215" s="9"/>
      <c r="AV215" s="9"/>
      <c r="AW215" s="9"/>
      <c r="AX215" s="9"/>
      <c r="AY215" s="9"/>
      <c r="AZ215" s="9"/>
      <c r="BA215" s="9"/>
    </row>
    <row r="216" spans="1:53" ht="15.75" customHeight="1" thickBot="1" x14ac:dyDescent="0.3">
      <c r="A216" s="1593"/>
      <c r="B216" s="338"/>
      <c r="C216" s="453" t="s">
        <v>3153</v>
      </c>
      <c r="D216" s="459"/>
      <c r="E216" s="675"/>
      <c r="F216" s="675"/>
      <c r="G216" s="675"/>
      <c r="H216" s="675"/>
      <c r="I216" s="242"/>
      <c r="J216" s="242"/>
      <c r="K216" s="242"/>
      <c r="L216" s="1199"/>
      <c r="M216" s="1123"/>
      <c r="N216" s="1122"/>
      <c r="O216" s="1123"/>
      <c r="P216" s="1122"/>
      <c r="Q216" s="1123"/>
      <c r="R216" s="1122"/>
      <c r="S216" s="1123"/>
      <c r="T216" s="177"/>
      <c r="U216" s="578"/>
      <c r="V216" s="8"/>
      <c r="W216" s="1067"/>
      <c r="X216" s="9"/>
      <c r="Y216" s="1197"/>
      <c r="Z216" s="1197"/>
      <c r="AA216" s="1197"/>
      <c r="AB216" s="1197"/>
      <c r="AC216" s="1197"/>
      <c r="AD216" s="1197"/>
      <c r="AE216" s="1197"/>
      <c r="AF216" s="1197"/>
      <c r="AG216" s="1197"/>
      <c r="AH216" s="1197"/>
      <c r="AI216" s="1197"/>
      <c r="AJ216" s="1197"/>
      <c r="AK216" s="1197"/>
      <c r="AL216" s="1197"/>
      <c r="AM216" s="1197"/>
      <c r="AN216" s="381"/>
      <c r="AO216" s="381"/>
      <c r="AP216" s="9"/>
      <c r="AQ216" s="9"/>
      <c r="AR216" s="9"/>
      <c r="AS216" s="9"/>
      <c r="AT216" s="9"/>
      <c r="AU216" s="9"/>
      <c r="AV216" s="9"/>
      <c r="AW216" s="9"/>
      <c r="AX216" s="9"/>
      <c r="AY216" s="9"/>
      <c r="AZ216" s="9"/>
      <c r="BA216" s="9"/>
    </row>
    <row r="217" spans="1:53" ht="15.75" customHeight="1" thickBot="1" x14ac:dyDescent="0.3">
      <c r="A217" s="1593"/>
      <c r="B217" s="338"/>
      <c r="C217" s="459" t="s">
        <v>699</v>
      </c>
      <c r="D217" s="1702" t="s">
        <v>3173</v>
      </c>
      <c r="E217" s="1702"/>
      <c r="F217" s="1702"/>
      <c r="G217" s="1702"/>
      <c r="H217" s="1702"/>
      <c r="I217" s="1702"/>
      <c r="J217" s="1702"/>
      <c r="K217" s="1702"/>
      <c r="L217" s="1199"/>
      <c r="M217" s="1126">
        <f>ROUND(+$S$217-$O$217-$Q$217,0)</f>
        <v>0</v>
      </c>
      <c r="N217" s="1122"/>
      <c r="O217" s="1126">
        <f>ROUND(+(('Part 2'!$G$147)+('Part 2'!$S$147))*-1*$O$96,0)</f>
        <v>0</v>
      </c>
      <c r="P217" s="1122"/>
      <c r="Q217" s="1126">
        <f>ROUND(+(('Part 2'!$G$147)+('Part 2'!$S$147))*-1*$Q$96,0)</f>
        <v>0</v>
      </c>
      <c r="R217" s="1122"/>
      <c r="S217" s="1126">
        <f>ROUND(((ROUND(+(('Part 2'!$G$147)+('Part 2'!$S$147))*Local_Share_Total,0)*-1)+(ROUND(+((('Part 2'!$J$147)+('Part 2'!$V$147))*IF('Part 3 DA summary'!$U$6&gt;0,1,Local_Share_Total)),0)*-1)), 0)</f>
        <v>0</v>
      </c>
      <c r="T217" s="177"/>
      <c r="U217" s="578"/>
      <c r="V217" s="8"/>
      <c r="W217" s="1067">
        <f>+IF(M217+O217+Q217-S217=0,0,1)</f>
        <v>0</v>
      </c>
      <c r="X217" s="9"/>
      <c r="Y217" s="1197"/>
      <c r="Z217" s="1197"/>
      <c r="AA217" s="1197"/>
      <c r="AB217" s="1197"/>
      <c r="AC217" s="1197"/>
      <c r="AD217" s="1197"/>
      <c r="AE217" s="1197"/>
      <c r="AF217" s="1197"/>
      <c r="AG217" s="1197"/>
      <c r="AH217" s="1197"/>
      <c r="AI217" s="1197"/>
      <c r="AJ217" s="1197"/>
      <c r="AK217" s="1197"/>
      <c r="AL217" s="1197"/>
      <c r="AM217" s="1197"/>
      <c r="AN217" s="381"/>
      <c r="AO217" s="381"/>
      <c r="AP217" s="9"/>
      <c r="AQ217" s="9"/>
      <c r="AR217" s="9"/>
      <c r="AS217" s="9"/>
      <c r="AT217" s="9"/>
      <c r="AU217" s="9"/>
      <c r="AV217" s="9"/>
      <c r="AW217" s="9"/>
      <c r="AX217" s="9"/>
      <c r="AY217" s="9"/>
      <c r="AZ217" s="9"/>
      <c r="BA217" s="9"/>
    </row>
    <row r="218" spans="1:53" ht="16.5" thickBot="1" x14ac:dyDescent="0.3">
      <c r="A218" s="1194"/>
      <c r="B218" s="2"/>
      <c r="C218" s="459"/>
      <c r="D218" s="459"/>
      <c r="E218" s="675"/>
      <c r="F218" s="675"/>
      <c r="G218" s="675"/>
      <c r="H218" s="675"/>
      <c r="I218" s="242"/>
      <c r="J218" s="242"/>
      <c r="K218" s="242"/>
      <c r="L218" s="1199"/>
      <c r="M218" s="1123"/>
      <c r="N218" s="1122"/>
      <c r="O218" s="1123"/>
      <c r="P218" s="1122"/>
      <c r="Q218" s="1123"/>
      <c r="R218" s="1122"/>
      <c r="S218" s="1123"/>
      <c r="T218" s="177"/>
      <c r="U218" s="578"/>
      <c r="V218" s="8"/>
      <c r="W218" s="1067"/>
      <c r="X218" s="9"/>
      <c r="Y218" s="1197"/>
      <c r="Z218" s="1197"/>
      <c r="AA218" s="1197"/>
      <c r="AB218" s="1197"/>
      <c r="AC218" s="1197"/>
      <c r="AD218" s="1197"/>
      <c r="AE218" s="1197"/>
      <c r="AF218" s="1197"/>
      <c r="AG218" s="1197"/>
      <c r="AH218" s="1197"/>
      <c r="AI218" s="1197"/>
      <c r="AJ218" s="1197"/>
      <c r="AK218" s="1197"/>
      <c r="AL218" s="1197"/>
      <c r="AM218" s="1197"/>
      <c r="AN218" s="381"/>
      <c r="AO218" s="381"/>
      <c r="AP218" s="9"/>
      <c r="AQ218" s="9"/>
      <c r="AR218" s="9"/>
      <c r="AS218" s="9"/>
      <c r="AT218" s="9"/>
      <c r="AU218" s="9"/>
      <c r="AV218" s="9"/>
      <c r="AW218" s="9"/>
      <c r="AX218" s="9"/>
      <c r="AY218" s="9"/>
      <c r="AZ218" s="9"/>
      <c r="BA218" s="9"/>
    </row>
    <row r="219" spans="1:53" ht="15.75" x14ac:dyDescent="0.25">
      <c r="A219" s="1050"/>
      <c r="B219" s="1153"/>
      <c r="C219" s="1154"/>
      <c r="D219" s="1154"/>
      <c r="E219" s="1154"/>
      <c r="F219" s="1154"/>
      <c r="G219" s="1154"/>
      <c r="H219" s="1154"/>
      <c r="I219" s="1154"/>
      <c r="J219" s="1154"/>
      <c r="K219" s="1215"/>
      <c r="L219" s="1216"/>
      <c r="M219" s="1216"/>
      <c r="N219" s="1216"/>
      <c r="O219" s="1216"/>
      <c r="P219" s="1216"/>
      <c r="Q219" s="1216"/>
      <c r="R219" s="1216"/>
      <c r="S219" s="1216"/>
      <c r="T219" s="1157"/>
      <c r="U219" s="1051"/>
      <c r="V219" s="8"/>
      <c r="W219" s="1067"/>
      <c r="X219" s="9"/>
      <c r="Y219" s="1197"/>
      <c r="Z219" s="1197"/>
      <c r="AA219" s="1197"/>
      <c r="AB219" s="1197"/>
      <c r="AC219" s="1197"/>
      <c r="AD219" s="1197"/>
      <c r="AE219" s="1197"/>
      <c r="AF219" s="1197"/>
      <c r="AG219" s="1197"/>
      <c r="AH219" s="1197"/>
      <c r="AI219" s="1197"/>
      <c r="AJ219" s="1197"/>
      <c r="AK219" s="1197"/>
      <c r="AL219" s="1197"/>
      <c r="AM219" s="1197"/>
      <c r="AN219" s="381"/>
      <c r="AO219" s="381"/>
      <c r="AP219" s="9"/>
      <c r="AQ219" s="9"/>
      <c r="AR219" s="9"/>
      <c r="AS219" s="9"/>
      <c r="AT219" s="9"/>
      <c r="AU219" s="9"/>
      <c r="AV219" s="9"/>
      <c r="AW219" s="9"/>
      <c r="AX219" s="9"/>
      <c r="AY219" s="9"/>
      <c r="AZ219" s="9"/>
      <c r="BA219" s="9"/>
    </row>
    <row r="220" spans="1:53" ht="16.5" thickBot="1" x14ac:dyDescent="0.3">
      <c r="A220" s="1050"/>
      <c r="B220" s="1159"/>
      <c r="C220" s="14" t="s">
        <v>700</v>
      </c>
      <c r="D220" s="8"/>
      <c r="E220" s="8"/>
      <c r="F220" s="8"/>
      <c r="G220" s="8"/>
      <c r="H220" s="8"/>
      <c r="I220" s="8"/>
      <c r="J220" s="8"/>
      <c r="K220" s="8"/>
      <c r="L220" s="1122"/>
      <c r="M220" s="1120" t="s">
        <v>681</v>
      </c>
      <c r="N220" s="1122"/>
      <c r="O220" s="1120" t="s">
        <v>681</v>
      </c>
      <c r="P220" s="1122"/>
      <c r="Q220" s="1120" t="s">
        <v>681</v>
      </c>
      <c r="R220" s="1122"/>
      <c r="S220" s="1120" t="s">
        <v>681</v>
      </c>
      <c r="T220" s="1161"/>
      <c r="U220" s="1051"/>
      <c r="V220" s="8"/>
      <c r="W220" s="1067"/>
      <c r="X220" s="9"/>
      <c r="Y220" s="1197"/>
      <c r="Z220" s="1197"/>
      <c r="AA220" s="1197"/>
      <c r="AB220" s="1197"/>
      <c r="AC220" s="1197"/>
      <c r="AD220" s="1197"/>
      <c r="AE220" s="1197"/>
      <c r="AF220" s="1197"/>
      <c r="AG220" s="1197"/>
      <c r="AH220" s="1197"/>
      <c r="AI220" s="1197"/>
      <c r="AJ220" s="1197"/>
      <c r="AK220" s="1197"/>
      <c r="AL220" s="1197"/>
      <c r="AM220" s="1197"/>
      <c r="AN220" s="381"/>
      <c r="AO220" s="381"/>
      <c r="AP220" s="9"/>
      <c r="AQ220" s="9"/>
      <c r="AR220" s="9"/>
      <c r="AS220" s="9"/>
      <c r="AT220" s="9"/>
      <c r="AU220" s="9"/>
      <c r="AV220" s="9"/>
      <c r="AW220" s="9"/>
      <c r="AX220" s="9"/>
      <c r="AY220" s="9"/>
      <c r="AZ220" s="9"/>
      <c r="BA220" s="9"/>
    </row>
    <row r="221" spans="1:53" ht="16.5" customHeight="1" thickBot="1" x14ac:dyDescent="0.3">
      <c r="A221" s="1050"/>
      <c r="B221" s="1159"/>
      <c r="C221" s="1704" t="s">
        <v>5705</v>
      </c>
      <c r="D221" s="1704"/>
      <c r="E221" s="1704"/>
      <c r="F221" s="1704"/>
      <c r="G221" s="1704"/>
      <c r="H221" s="1704"/>
      <c r="I221" s="1704"/>
      <c r="J221" s="1704"/>
      <c r="K221" s="1704"/>
      <c r="L221" s="1122"/>
      <c r="M221" s="1126" t="e">
        <f>+M179+M183+M185+M187+M190+M193+M196+M199+M202+M211+M205+M208+M214+M217</f>
        <v>#N/A</v>
      </c>
      <c r="N221" s="1122"/>
      <c r="O221" s="1126" t="e">
        <f>+O179+O183+O185+O187+O190+O193+O196+O199+O202+O211+O205+O208+O214+O217</f>
        <v>#N/A</v>
      </c>
      <c r="P221" s="1122"/>
      <c r="Q221" s="1126" t="e">
        <f>+Q179+Q183+Q185+Q187+Q190+Q193+Q196+Q199+Q202+Q211+Q205+Q208+Q214+Q217</f>
        <v>#N/A</v>
      </c>
      <c r="R221" s="1122"/>
      <c r="S221" s="1126" t="e">
        <f>+S179+S183+S185+S187+S190+S193+S196+S199+S202+S211+S205+S208+S214+S217</f>
        <v>#N/A</v>
      </c>
      <c r="T221" s="1161"/>
      <c r="U221" s="67"/>
      <c r="V221" s="8"/>
      <c r="W221" s="1073" t="e">
        <f>+IF(ROUND(M221+O221+Q221-S221,0)=0,0,1)</f>
        <v>#N/A</v>
      </c>
      <c r="X221" s="9"/>
      <c r="Y221" s="1197"/>
      <c r="Z221" s="1197"/>
      <c r="AA221" s="1197"/>
      <c r="AB221" s="1197"/>
      <c r="AC221" s="1197"/>
      <c r="AD221" s="1197"/>
      <c r="AE221" s="1197"/>
      <c r="AF221" s="1197"/>
      <c r="AG221" s="1197"/>
      <c r="AH221" s="1197"/>
      <c r="AI221" s="1197"/>
      <c r="AJ221" s="1197"/>
      <c r="AK221" s="1197"/>
      <c r="AL221" s="1197"/>
      <c r="AM221" s="1197"/>
      <c r="AN221" s="381"/>
      <c r="AO221" s="381"/>
      <c r="AP221" s="9"/>
      <c r="AQ221" s="9"/>
      <c r="AR221" s="9"/>
      <c r="AS221" s="9"/>
      <c r="AT221" s="9"/>
      <c r="AU221" s="9"/>
      <c r="AV221" s="9"/>
      <c r="AW221" s="9"/>
      <c r="AX221" s="9"/>
      <c r="AY221" s="9"/>
      <c r="AZ221" s="9"/>
      <c r="BA221" s="9"/>
    </row>
    <row r="222" spans="1:53" ht="16.5" thickBot="1" x14ac:dyDescent="0.3">
      <c r="A222" s="1050"/>
      <c r="B222" s="1217"/>
      <c r="C222" s="1218"/>
      <c r="D222" s="1218"/>
      <c r="E222" s="1218"/>
      <c r="F222" s="1218"/>
      <c r="G222" s="1218"/>
      <c r="H222" s="1218"/>
      <c r="I222" s="1218"/>
      <c r="J222" s="1218"/>
      <c r="K222" s="1218"/>
      <c r="L222" s="1219"/>
      <c r="M222" s="1219"/>
      <c r="N222" s="1219"/>
      <c r="O222" s="1219"/>
      <c r="P222" s="1219"/>
      <c r="Q222" s="1219"/>
      <c r="R222" s="1219"/>
      <c r="S222" s="1219"/>
      <c r="T222" s="1220"/>
      <c r="U222" s="1051"/>
      <c r="V222" s="8"/>
      <c r="W222" s="85"/>
      <c r="X222" s="9"/>
      <c r="Y222" s="1197"/>
      <c r="Z222" s="1197"/>
      <c r="AA222" s="1197"/>
      <c r="AB222" s="1197"/>
      <c r="AC222" s="1197"/>
      <c r="AD222" s="1197"/>
      <c r="AE222" s="1197"/>
      <c r="AF222" s="1197"/>
      <c r="AG222" s="1197"/>
      <c r="AH222" s="1197"/>
      <c r="AI222" s="1197"/>
      <c r="AJ222" s="1197"/>
      <c r="AK222" s="1197"/>
      <c r="AL222" s="1197"/>
      <c r="AM222" s="1197"/>
      <c r="AN222" s="381"/>
      <c r="AO222" s="381"/>
      <c r="AP222" s="9"/>
      <c r="AQ222" s="9"/>
      <c r="AR222" s="9"/>
      <c r="AS222" s="9"/>
      <c r="AT222" s="9"/>
      <c r="AU222" s="9"/>
      <c r="AV222" s="9"/>
      <c r="AW222" s="9"/>
      <c r="AX222" s="9"/>
      <c r="AY222" s="9"/>
      <c r="AZ222" s="9"/>
      <c r="BA222" s="9"/>
    </row>
    <row r="223" spans="1:53" ht="15.75" x14ac:dyDescent="0.25">
      <c r="A223" s="1050"/>
      <c r="B223" s="10"/>
      <c r="C223" s="10"/>
      <c r="D223" s="10"/>
      <c r="E223" s="10"/>
      <c r="F223" s="10"/>
      <c r="G223" s="10"/>
      <c r="H223" s="10"/>
      <c r="I223" s="10"/>
      <c r="J223" s="10"/>
      <c r="K223" s="10"/>
      <c r="L223" s="10"/>
      <c r="M223" s="10"/>
      <c r="N223" s="10"/>
      <c r="O223" s="10"/>
      <c r="P223" s="10"/>
      <c r="Q223" s="10"/>
      <c r="R223" s="10"/>
      <c r="S223" s="10"/>
      <c r="T223" s="10"/>
      <c r="U223" s="1051"/>
      <c r="V223" s="8"/>
      <c r="W223" s="85"/>
      <c r="X223" s="9"/>
      <c r="Y223" s="1197"/>
      <c r="Z223" s="1197"/>
      <c r="AA223" s="1197"/>
      <c r="AB223" s="1197"/>
      <c r="AC223" s="1197"/>
      <c r="AD223" s="1197"/>
      <c r="AE223" s="1197"/>
      <c r="AF223" s="1197"/>
      <c r="AG223" s="1197"/>
      <c r="AH223" s="1197"/>
      <c r="AI223" s="1197"/>
      <c r="AJ223" s="1197"/>
      <c r="AK223" s="1197"/>
      <c r="AL223" s="1197"/>
      <c r="AM223" s="1197"/>
      <c r="AN223" s="381"/>
      <c r="AO223" s="381"/>
      <c r="AP223" s="9"/>
      <c r="AQ223" s="9"/>
      <c r="AR223" s="9"/>
      <c r="AS223" s="9"/>
      <c r="AT223" s="9"/>
      <c r="AU223" s="9"/>
      <c r="AV223" s="9"/>
      <c r="AW223" s="9"/>
      <c r="AX223" s="9"/>
      <c r="AY223" s="9"/>
      <c r="AZ223" s="9"/>
      <c r="BA223" s="9"/>
    </row>
    <row r="224" spans="1:53" ht="18.75" customHeight="1" x14ac:dyDescent="0.25">
      <c r="A224" s="1050"/>
      <c r="B224" s="10"/>
      <c r="C224" s="1735" t="s">
        <v>5707</v>
      </c>
      <c r="D224" s="1735"/>
      <c r="E224" s="1735"/>
      <c r="F224" s="1735"/>
      <c r="G224" s="1735"/>
      <c r="H224" s="1735"/>
      <c r="I224" s="1735"/>
      <c r="J224" s="1735"/>
      <c r="K224" s="1735"/>
      <c r="L224" s="1735"/>
      <c r="M224" s="1735"/>
      <c r="N224" s="1735"/>
      <c r="O224" s="1735"/>
      <c r="P224" s="1735"/>
      <c r="Q224" s="1735"/>
      <c r="R224" s="1735"/>
      <c r="S224" s="1735"/>
      <c r="T224" s="10"/>
      <c r="U224" s="1051"/>
      <c r="V224" s="8"/>
      <c r="W224" s="85"/>
      <c r="X224" s="9"/>
      <c r="Y224" s="1197"/>
      <c r="Z224" s="1197"/>
      <c r="AA224" s="1197"/>
      <c r="AB224" s="1197"/>
      <c r="AC224" s="1197"/>
      <c r="AD224" s="1197"/>
      <c r="AE224" s="1197"/>
      <c r="AF224" s="1197"/>
      <c r="AG224" s="1197"/>
      <c r="AH224" s="1197"/>
      <c r="AI224" s="1197"/>
      <c r="AJ224" s="1197"/>
      <c r="AK224" s="1197"/>
      <c r="AL224" s="1197"/>
      <c r="AM224" s="1197"/>
      <c r="AN224" s="381"/>
      <c r="AO224" s="381"/>
      <c r="AP224" s="9"/>
      <c r="AQ224" s="9"/>
      <c r="AR224" s="9"/>
      <c r="AS224" s="9"/>
      <c r="AT224" s="9"/>
      <c r="AU224" s="9"/>
      <c r="AV224" s="9"/>
      <c r="AW224" s="9"/>
      <c r="AX224" s="9"/>
      <c r="AY224" s="9"/>
      <c r="AZ224" s="9"/>
      <c r="BA224" s="9"/>
    </row>
    <row r="225" spans="1:53" ht="18.75" customHeight="1" x14ac:dyDescent="0.25">
      <c r="A225" s="1050"/>
      <c r="B225" s="10"/>
      <c r="C225" s="1735"/>
      <c r="D225" s="1735"/>
      <c r="E225" s="1735"/>
      <c r="F225" s="1735"/>
      <c r="G225" s="1735"/>
      <c r="H225" s="1735"/>
      <c r="I225" s="1735"/>
      <c r="J225" s="1735"/>
      <c r="K225" s="1735"/>
      <c r="L225" s="1735"/>
      <c r="M225" s="1735"/>
      <c r="N225" s="1735"/>
      <c r="O225" s="1735"/>
      <c r="P225" s="1735"/>
      <c r="Q225" s="1735"/>
      <c r="R225" s="1735"/>
      <c r="S225" s="1735"/>
      <c r="T225" s="10"/>
      <c r="U225" s="1051"/>
      <c r="V225" s="8"/>
      <c r="W225" s="85"/>
      <c r="X225" s="9"/>
      <c r="Y225" s="1197"/>
      <c r="Z225" s="1197"/>
      <c r="AA225" s="1197"/>
      <c r="AB225" s="1197"/>
      <c r="AC225" s="1197"/>
      <c r="AD225" s="1197"/>
      <c r="AE225" s="1197"/>
      <c r="AF225" s="1197"/>
      <c r="AG225" s="1197"/>
      <c r="AH225" s="1197"/>
      <c r="AI225" s="1197"/>
      <c r="AJ225" s="1197"/>
      <c r="AK225" s="1197"/>
      <c r="AL225" s="1197"/>
      <c r="AM225" s="1197"/>
      <c r="AN225" s="381"/>
      <c r="AO225" s="381"/>
      <c r="AP225" s="9"/>
      <c r="AQ225" s="9"/>
      <c r="AR225" s="9"/>
      <c r="AS225" s="9"/>
      <c r="AT225" s="9"/>
      <c r="AU225" s="9"/>
      <c r="AV225" s="9"/>
      <c r="AW225" s="9"/>
      <c r="AX225" s="9"/>
      <c r="AY225" s="9"/>
      <c r="AZ225" s="9"/>
      <c r="BA225" s="9"/>
    </row>
    <row r="226" spans="1:53" x14ac:dyDescent="0.2">
      <c r="A226" s="1050"/>
      <c r="B226" s="10"/>
      <c r="C226" s="10"/>
      <c r="D226" s="10"/>
      <c r="E226" s="10"/>
      <c r="F226" s="10"/>
      <c r="G226" s="10"/>
      <c r="H226" s="10"/>
      <c r="I226" s="10"/>
      <c r="J226" s="10"/>
      <c r="K226" s="10"/>
      <c r="L226" s="10"/>
      <c r="M226" s="10"/>
      <c r="N226" s="10"/>
      <c r="O226" s="10"/>
      <c r="P226" s="10"/>
      <c r="Q226" s="10"/>
      <c r="R226" s="10"/>
      <c r="S226" s="10"/>
      <c r="T226" s="10"/>
      <c r="U226" s="1051"/>
      <c r="V226" s="8"/>
      <c r="W226" s="85"/>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row>
    <row r="227" spans="1:53" x14ac:dyDescent="0.2">
      <c r="A227" s="1086"/>
      <c r="B227" s="1087"/>
      <c r="C227" s="1087"/>
      <c r="D227" s="1087"/>
      <c r="E227" s="1087"/>
      <c r="F227" s="1087"/>
      <c r="G227" s="1087"/>
      <c r="H227" s="1087"/>
      <c r="I227" s="1087"/>
      <c r="J227" s="1087"/>
      <c r="K227" s="1087"/>
      <c r="L227" s="1087"/>
      <c r="M227" s="1087"/>
      <c r="N227" s="1087"/>
      <c r="O227" s="1087"/>
      <c r="P227" s="1087"/>
      <c r="Q227" s="1087"/>
      <c r="R227" s="1087"/>
      <c r="S227" s="1087"/>
      <c r="T227" s="1087"/>
      <c r="U227" s="1091"/>
      <c r="V227" s="8"/>
      <c r="W227" s="85"/>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row>
    <row r="228" spans="1:53" ht="15.75" hidden="1" x14ac:dyDescent="0.25">
      <c r="A228" s="1108"/>
      <c r="B228" s="1221"/>
      <c r="C228" s="1716" t="e">
        <f>+IF(B264=0,"","Please investigate the error messages shown below and make the appropriate changes to the form.  Any comments should be added at the bottom of Part 4")</f>
        <v>#N/A</v>
      </c>
      <c r="D228" s="1716"/>
      <c r="E228" s="1716"/>
      <c r="F228" s="1716"/>
      <c r="G228" s="1716"/>
      <c r="H228" s="1716"/>
      <c r="I228" s="1716"/>
      <c r="J228" s="1716"/>
      <c r="K228" s="1716"/>
      <c r="L228" s="1716"/>
      <c r="M228" s="1716"/>
      <c r="N228" s="1716"/>
      <c r="O228" s="1716"/>
      <c r="P228" s="1716"/>
      <c r="Q228" s="1716"/>
      <c r="R228" s="1716"/>
      <c r="S228" s="1716"/>
      <c r="T228" s="1222"/>
      <c r="U228" s="1097"/>
      <c r="V228" s="8"/>
      <c r="W228" s="85"/>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row>
    <row r="229" spans="1:53" hidden="1" x14ac:dyDescent="0.2">
      <c r="A229" s="1108"/>
      <c r="B229" s="1223"/>
      <c r="C229" s="1224"/>
      <c r="D229" s="1224"/>
      <c r="E229" s="1224"/>
      <c r="F229" s="1224"/>
      <c r="G229" s="1224"/>
      <c r="H229" s="1224"/>
      <c r="I229" s="1224"/>
      <c r="J229" s="1224"/>
      <c r="K229" s="1224"/>
      <c r="L229" s="1225"/>
      <c r="M229" s="1225"/>
      <c r="N229" s="1225"/>
      <c r="O229" s="1225"/>
      <c r="P229" s="1225"/>
      <c r="Q229" s="1225"/>
      <c r="R229" s="1225"/>
      <c r="S229" s="1225"/>
      <c r="T229" s="1226"/>
      <c r="U229" s="1097"/>
      <c r="V229" s="8"/>
      <c r="W229" s="85"/>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row>
    <row r="230" spans="1:53" ht="15.75" hidden="1" x14ac:dyDescent="0.25">
      <c r="A230" s="1102" t="e">
        <f>+IF(C230="",0,1)</f>
        <v>#N/A</v>
      </c>
      <c r="B230" s="1223"/>
      <c r="C230" s="1186" t="e">
        <f>IF(W171=0,"","Line 25 column 5 doesn't equal the sum of columns 2 to 4. Please check why.")</f>
        <v>#N/A</v>
      </c>
      <c r="D230" s="1186"/>
      <c r="E230" s="1186"/>
      <c r="F230" s="1186"/>
      <c r="G230" s="1186"/>
      <c r="H230" s="1186"/>
      <c r="I230" s="1186"/>
      <c r="J230" s="1186"/>
      <c r="K230" s="1186"/>
      <c r="L230" s="1225"/>
      <c r="M230" s="1225"/>
      <c r="N230" s="1225"/>
      <c r="O230" s="1225"/>
      <c r="P230" s="1225"/>
      <c r="Q230" s="1225"/>
      <c r="R230" s="1225"/>
      <c r="S230" s="1225"/>
      <c r="T230" s="1226"/>
      <c r="U230" s="1097"/>
      <c r="V230" s="8"/>
      <c r="W230" s="85"/>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row>
    <row r="231" spans="1:53" ht="15.75" hidden="1" x14ac:dyDescent="0.25">
      <c r="A231" s="1622"/>
      <c r="B231" s="1223"/>
      <c r="C231" s="1186"/>
      <c r="D231" s="1186"/>
      <c r="E231" s="1186"/>
      <c r="F231" s="1186"/>
      <c r="G231" s="1186"/>
      <c r="H231" s="1186"/>
      <c r="I231" s="1186"/>
      <c r="J231" s="1186"/>
      <c r="K231" s="1186"/>
      <c r="L231" s="1225"/>
      <c r="M231" s="1225"/>
      <c r="N231" s="1225"/>
      <c r="O231" s="1225"/>
      <c r="P231" s="1225"/>
      <c r="Q231" s="1225"/>
      <c r="R231" s="1225"/>
      <c r="S231" s="1225"/>
      <c r="T231" s="1226"/>
      <c r="U231" s="1227"/>
      <c r="V231" s="8"/>
      <c r="W231" s="85"/>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row>
    <row r="232" spans="1:53" ht="15.75" hidden="1" x14ac:dyDescent="0.25">
      <c r="A232" s="1622"/>
      <c r="B232" s="1223"/>
      <c r="C232" s="1186" t="str">
        <f>IF(W175=0,"","Line 26 column 5 doesn't equal the sum of columns 2 to 4. Please check why.")</f>
        <v/>
      </c>
      <c r="D232" s="1186"/>
      <c r="E232" s="1186"/>
      <c r="F232" s="1186"/>
      <c r="G232" s="1186"/>
      <c r="H232" s="1186"/>
      <c r="I232" s="1186"/>
      <c r="J232" s="1186"/>
      <c r="K232" s="1186"/>
      <c r="L232" s="1225"/>
      <c r="M232" s="1225"/>
      <c r="N232" s="1225"/>
      <c r="O232" s="1225"/>
      <c r="P232" s="1225"/>
      <c r="Q232" s="1225"/>
      <c r="R232" s="1225"/>
      <c r="S232" s="1225"/>
      <c r="T232" s="1226"/>
      <c r="U232" s="1227"/>
      <c r="V232" s="8"/>
      <c r="W232" s="85"/>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9"/>
      <c r="BA232" s="9"/>
    </row>
    <row r="233" spans="1:53" ht="15.75" hidden="1" x14ac:dyDescent="0.25">
      <c r="A233" s="1622"/>
      <c r="B233" s="1223"/>
      <c r="C233" s="1186"/>
      <c r="D233" s="1186"/>
      <c r="E233" s="1186"/>
      <c r="F233" s="1186"/>
      <c r="G233" s="1186"/>
      <c r="H233" s="1186"/>
      <c r="I233" s="1186"/>
      <c r="J233" s="1186"/>
      <c r="K233" s="1186"/>
      <c r="L233" s="1225"/>
      <c r="M233" s="1225"/>
      <c r="N233" s="1225"/>
      <c r="O233" s="1225"/>
      <c r="P233" s="1225"/>
      <c r="Q233" s="1225"/>
      <c r="R233" s="1225"/>
      <c r="S233" s="1225"/>
      <c r="T233" s="1226"/>
      <c r="U233" s="1227"/>
      <c r="V233" s="8"/>
      <c r="W233" s="85"/>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row>
    <row r="234" spans="1:53" ht="15.75" hidden="1" x14ac:dyDescent="0.25">
      <c r="A234" s="1622"/>
      <c r="B234" s="1223"/>
      <c r="C234" s="1186" t="e">
        <f>IF(W179=0,"","Line 27 column 5 doesn't equal the sum of columns 2 to 4. Please check why.")</f>
        <v>#N/A</v>
      </c>
      <c r="D234" s="1186"/>
      <c r="E234" s="1186"/>
      <c r="F234" s="1186"/>
      <c r="G234" s="1186"/>
      <c r="H234" s="1186"/>
      <c r="I234" s="1186"/>
      <c r="J234" s="1186"/>
      <c r="K234" s="1186"/>
      <c r="L234" s="1225"/>
      <c r="M234" s="1225"/>
      <c r="N234" s="1225"/>
      <c r="O234" s="1225"/>
      <c r="P234" s="1225"/>
      <c r="Q234" s="1225"/>
      <c r="R234" s="1225"/>
      <c r="S234" s="1225"/>
      <c r="T234" s="1226"/>
      <c r="U234" s="1227"/>
      <c r="V234" s="8"/>
      <c r="W234" s="85"/>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row>
    <row r="235" spans="1:53" ht="15.75" hidden="1" x14ac:dyDescent="0.25">
      <c r="A235" s="1102"/>
      <c r="B235" s="1223"/>
      <c r="C235" s="1705"/>
      <c r="D235" s="1705"/>
      <c r="E235" s="1705"/>
      <c r="F235" s="1705"/>
      <c r="G235" s="1705"/>
      <c r="H235" s="1705"/>
      <c r="I235" s="1705"/>
      <c r="J235" s="1705"/>
      <c r="K235" s="1705"/>
      <c r="L235" s="1225"/>
      <c r="M235" s="1225"/>
      <c r="N235" s="1225"/>
      <c r="O235" s="1225"/>
      <c r="P235" s="1225"/>
      <c r="Q235" s="1225"/>
      <c r="R235" s="1225"/>
      <c r="S235" s="1225"/>
      <c r="T235" s="1226"/>
      <c r="U235" s="1097"/>
      <c r="V235" s="8"/>
      <c r="W235" s="85"/>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row>
    <row r="236" spans="1:53" ht="15.75" hidden="1" x14ac:dyDescent="0.25">
      <c r="A236" s="1102">
        <f>+IF(C236="",0,1)</f>
        <v>0</v>
      </c>
      <c r="B236" s="1223"/>
      <c r="C236" s="1186" t="str">
        <f>IF(W183=0,"","Line 28 column 5 doesn't equal the sum of columns 2 to 4. Please check why.")</f>
        <v/>
      </c>
      <c r="D236" s="1186"/>
      <c r="E236" s="1186"/>
      <c r="F236" s="1186"/>
      <c r="G236" s="1186"/>
      <c r="H236" s="1186"/>
      <c r="I236" s="1186"/>
      <c r="J236" s="1186"/>
      <c r="K236" s="1186"/>
      <c r="L236" s="1225"/>
      <c r="M236" s="1225"/>
      <c r="N236" s="1225"/>
      <c r="O236" s="1225"/>
      <c r="P236" s="1225"/>
      <c r="Q236" s="1225"/>
      <c r="R236" s="1225"/>
      <c r="S236" s="1225"/>
      <c r="T236" s="1226"/>
      <c r="U236" s="1097"/>
      <c r="V236" s="8"/>
      <c r="W236" s="85"/>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9"/>
      <c r="BA236" s="9"/>
    </row>
    <row r="237" spans="1:53" ht="15.75" hidden="1" x14ac:dyDescent="0.25">
      <c r="A237" s="1102"/>
      <c r="B237" s="1223"/>
      <c r="C237" s="1705"/>
      <c r="D237" s="1705"/>
      <c r="E237" s="1705"/>
      <c r="F237" s="1705"/>
      <c r="G237" s="1705"/>
      <c r="H237" s="1705"/>
      <c r="I237" s="1705"/>
      <c r="J237" s="1705"/>
      <c r="K237" s="1705"/>
      <c r="L237" s="1225"/>
      <c r="M237" s="1225"/>
      <c r="N237" s="1225"/>
      <c r="O237" s="1225"/>
      <c r="P237" s="1225"/>
      <c r="Q237" s="1225"/>
      <c r="R237" s="1225"/>
      <c r="S237" s="1225"/>
      <c r="T237" s="1226"/>
      <c r="U237" s="1097"/>
      <c r="V237" s="8"/>
      <c r="W237" s="85"/>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9"/>
      <c r="BA237" s="9"/>
    </row>
    <row r="238" spans="1:53" ht="15.75" hidden="1" x14ac:dyDescent="0.25">
      <c r="A238" s="1102" t="e">
        <f>+IF(C238="",0,1)</f>
        <v>#N/A</v>
      </c>
      <c r="B238" s="1223"/>
      <c r="C238" s="1186" t="e">
        <f>IF(W185=0,"","Line 28a column 5 doesn't equal the sum of columns 2 to 4. Please check why.")</f>
        <v>#N/A</v>
      </c>
      <c r="D238" s="1186"/>
      <c r="E238" s="1186"/>
      <c r="F238" s="1186"/>
      <c r="G238" s="1186"/>
      <c r="H238" s="1186"/>
      <c r="I238" s="1186"/>
      <c r="J238" s="1186"/>
      <c r="K238" s="1186"/>
      <c r="L238" s="1225"/>
      <c r="M238" s="1225"/>
      <c r="N238" s="1225"/>
      <c r="O238" s="1225"/>
      <c r="P238" s="1225"/>
      <c r="Q238" s="1225"/>
      <c r="R238" s="1225"/>
      <c r="S238" s="1225"/>
      <c r="T238" s="1226"/>
      <c r="U238" s="1227"/>
      <c r="V238" s="8"/>
      <c r="W238" s="85"/>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9"/>
      <c r="BA238" s="9"/>
    </row>
    <row r="239" spans="1:53" ht="15.75" hidden="1" x14ac:dyDescent="0.25">
      <c r="A239" s="1102"/>
      <c r="B239" s="1223"/>
      <c r="C239" s="1186"/>
      <c r="D239" s="1186"/>
      <c r="E239" s="1186"/>
      <c r="F239" s="1186"/>
      <c r="G239" s="1186"/>
      <c r="H239" s="1186"/>
      <c r="I239" s="1186"/>
      <c r="J239" s="1186"/>
      <c r="K239" s="1186"/>
      <c r="L239" s="1225"/>
      <c r="M239" s="1225"/>
      <c r="N239" s="1225"/>
      <c r="O239" s="1225"/>
      <c r="P239" s="1225"/>
      <c r="Q239" s="1225"/>
      <c r="R239" s="1225"/>
      <c r="S239" s="1225"/>
      <c r="T239" s="1226"/>
      <c r="U239" s="1227"/>
      <c r="V239" s="8"/>
      <c r="W239" s="85"/>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9"/>
      <c r="BA239" s="9"/>
    </row>
    <row r="240" spans="1:53" ht="15.75" hidden="1" x14ac:dyDescent="0.25">
      <c r="A240" s="1102">
        <f>+IF(C240="",0,1)</f>
        <v>0</v>
      </c>
      <c r="B240" s="1223"/>
      <c r="C240" s="1186" t="str">
        <f>IF(W187=0,"","Line 29 column 5 doesn't equal the sum of columns 2 to 4. Please check why.")</f>
        <v/>
      </c>
      <c r="D240" s="1186"/>
      <c r="E240" s="1186"/>
      <c r="F240" s="1186"/>
      <c r="G240" s="1186"/>
      <c r="H240" s="1186"/>
      <c r="I240" s="1186"/>
      <c r="J240" s="1186"/>
      <c r="K240" s="1186"/>
      <c r="L240" s="1225"/>
      <c r="M240" s="1225"/>
      <c r="N240" s="1225"/>
      <c r="O240" s="1225"/>
      <c r="P240" s="1225"/>
      <c r="Q240" s="1225"/>
      <c r="R240" s="1225"/>
      <c r="S240" s="1225"/>
      <c r="T240" s="1226"/>
      <c r="U240" s="1097"/>
      <c r="V240" s="8"/>
      <c r="W240" s="85"/>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row>
    <row r="241" spans="1:53" ht="15.75" hidden="1" x14ac:dyDescent="0.25">
      <c r="A241" s="1102"/>
      <c r="B241" s="1223"/>
      <c r="C241" s="1186"/>
      <c r="D241" s="1186"/>
      <c r="E241" s="1186"/>
      <c r="F241" s="1186"/>
      <c r="G241" s="1186"/>
      <c r="H241" s="1186"/>
      <c r="I241" s="1186"/>
      <c r="J241" s="1186"/>
      <c r="K241" s="1186"/>
      <c r="L241" s="1225"/>
      <c r="M241" s="1225"/>
      <c r="N241" s="1225"/>
      <c r="O241" s="1225"/>
      <c r="P241" s="1225"/>
      <c r="Q241" s="1225"/>
      <c r="R241" s="1225"/>
      <c r="S241" s="1225"/>
      <c r="T241" s="1226"/>
      <c r="U241" s="1097"/>
      <c r="V241" s="8"/>
      <c r="W241" s="85"/>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row>
    <row r="242" spans="1:53" ht="15.75" hidden="1" x14ac:dyDescent="0.25">
      <c r="A242" s="1102">
        <f>+IF(C242="",0,1)</f>
        <v>0</v>
      </c>
      <c r="B242" s="1223"/>
      <c r="C242" s="1186" t="str">
        <f>IF(W190=0,"","Line 30 column 5 doesn't equal the sum of columns 2 to 4. Please check why.")</f>
        <v/>
      </c>
      <c r="D242" s="1186"/>
      <c r="E242" s="1186"/>
      <c r="F242" s="1186"/>
      <c r="G242" s="1186"/>
      <c r="H242" s="1186"/>
      <c r="I242" s="1186"/>
      <c r="J242" s="1186"/>
      <c r="K242" s="1186"/>
      <c r="L242" s="1225"/>
      <c r="M242" s="1225"/>
      <c r="N242" s="1225"/>
      <c r="O242" s="1225"/>
      <c r="P242" s="1225"/>
      <c r="Q242" s="1225"/>
      <c r="R242" s="1225"/>
      <c r="S242" s="1225"/>
      <c r="T242" s="1226"/>
      <c r="U242" s="1097"/>
      <c r="V242" s="8"/>
      <c r="W242" s="85"/>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9"/>
      <c r="BA242" s="9"/>
    </row>
    <row r="243" spans="1:53" ht="15.75" hidden="1" x14ac:dyDescent="0.25">
      <c r="A243" s="1102"/>
      <c r="B243" s="1223"/>
      <c r="C243" s="1186"/>
      <c r="D243" s="1186"/>
      <c r="E243" s="1186"/>
      <c r="F243" s="1186"/>
      <c r="G243" s="1186"/>
      <c r="H243" s="1186"/>
      <c r="I243" s="1186"/>
      <c r="J243" s="1186"/>
      <c r="K243" s="1186"/>
      <c r="L243" s="1225"/>
      <c r="M243" s="1225"/>
      <c r="N243" s="1225"/>
      <c r="O243" s="1225"/>
      <c r="P243" s="1225"/>
      <c r="Q243" s="1225"/>
      <c r="R243" s="1225"/>
      <c r="S243" s="1225"/>
      <c r="T243" s="1226"/>
      <c r="U243" s="1097"/>
      <c r="V243" s="8"/>
      <c r="W243" s="85"/>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row>
    <row r="244" spans="1:53" ht="15.75" hidden="1" x14ac:dyDescent="0.25">
      <c r="A244" s="1102">
        <f>+IF(C244="",0,1)</f>
        <v>0</v>
      </c>
      <c r="B244" s="1223"/>
      <c r="C244" s="1186" t="str">
        <f>IF(W193=0,"","Line 31 column 5 doesn't equal the sum of columns 2 to 4. Please check why.")</f>
        <v/>
      </c>
      <c r="D244" s="1186"/>
      <c r="E244" s="1186"/>
      <c r="F244" s="1186"/>
      <c r="G244" s="1186"/>
      <c r="H244" s="1186"/>
      <c r="I244" s="1186"/>
      <c r="J244" s="1186"/>
      <c r="K244" s="1186"/>
      <c r="L244" s="1225"/>
      <c r="M244" s="1225"/>
      <c r="N244" s="1225"/>
      <c r="O244" s="1225"/>
      <c r="P244" s="1225"/>
      <c r="Q244" s="1225"/>
      <c r="R244" s="1225"/>
      <c r="S244" s="1225"/>
      <c r="T244" s="1226"/>
      <c r="U244" s="1097"/>
      <c r="V244" s="8"/>
      <c r="W244" s="85"/>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row>
    <row r="245" spans="1:53" ht="15.75" hidden="1" x14ac:dyDescent="0.25">
      <c r="A245" s="1102"/>
      <c r="B245" s="1223"/>
      <c r="C245" s="1705"/>
      <c r="D245" s="1705"/>
      <c r="E245" s="1705"/>
      <c r="F245" s="1705"/>
      <c r="G245" s="1705"/>
      <c r="H245" s="1705"/>
      <c r="I245" s="1705"/>
      <c r="J245" s="1705"/>
      <c r="K245" s="1705"/>
      <c r="L245" s="1225"/>
      <c r="M245" s="1225"/>
      <c r="N245" s="1225"/>
      <c r="O245" s="1225"/>
      <c r="P245" s="1225"/>
      <c r="Q245" s="1225"/>
      <c r="R245" s="1225"/>
      <c r="S245" s="1225"/>
      <c r="T245" s="1226"/>
      <c r="U245" s="1097"/>
      <c r="V245" s="8"/>
      <c r="W245" s="85"/>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row>
    <row r="246" spans="1:53" ht="15.75" hidden="1" x14ac:dyDescent="0.25">
      <c r="A246" s="1102">
        <f>+IF(C246="",0,1)</f>
        <v>0</v>
      </c>
      <c r="B246" s="1223"/>
      <c r="C246" s="1186" t="str">
        <f>IF(W196=0,"","Line 32 column 5 doesn't equal the sum of columns 2 to 4. Please check why.")</f>
        <v/>
      </c>
      <c r="D246" s="1186"/>
      <c r="E246" s="1186"/>
      <c r="F246" s="1186"/>
      <c r="G246" s="1186"/>
      <c r="H246" s="1186"/>
      <c r="I246" s="1186"/>
      <c r="J246" s="1186"/>
      <c r="K246" s="1186"/>
      <c r="L246" s="1225"/>
      <c r="M246" s="1225"/>
      <c r="N246" s="1225"/>
      <c r="O246" s="1225"/>
      <c r="P246" s="1225"/>
      <c r="Q246" s="1225"/>
      <c r="R246" s="1225"/>
      <c r="S246" s="1225"/>
      <c r="T246" s="1226"/>
      <c r="U246" s="1227"/>
      <c r="V246" s="8"/>
      <c r="W246" s="85"/>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9"/>
      <c r="BA246" s="9"/>
    </row>
    <row r="247" spans="1:53" ht="15.75" hidden="1" x14ac:dyDescent="0.25">
      <c r="A247" s="1102"/>
      <c r="B247" s="1223"/>
      <c r="C247" s="1186"/>
      <c r="D247" s="1186"/>
      <c r="E247" s="1186"/>
      <c r="F247" s="1186"/>
      <c r="G247" s="1186"/>
      <c r="H247" s="1186"/>
      <c r="I247" s="1186"/>
      <c r="J247" s="1186"/>
      <c r="K247" s="1186"/>
      <c r="L247" s="1225"/>
      <c r="M247" s="1225"/>
      <c r="N247" s="1225"/>
      <c r="O247" s="1225"/>
      <c r="P247" s="1225"/>
      <c r="Q247" s="1225"/>
      <c r="R247" s="1225"/>
      <c r="S247" s="1225"/>
      <c r="T247" s="1226"/>
      <c r="U247" s="1227"/>
      <c r="V247" s="8"/>
      <c r="W247" s="85"/>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row>
    <row r="248" spans="1:53" ht="15.75" hidden="1" x14ac:dyDescent="0.25">
      <c r="A248" s="1102">
        <f>+IF(C248="",0,1)</f>
        <v>0</v>
      </c>
      <c r="B248" s="1223"/>
      <c r="C248" s="1186" t="str">
        <f>IF(W199=0,"","Line 33 column 5 doesn't equal the sum of columns 2 to 4. Please check why.")</f>
        <v/>
      </c>
      <c r="D248" s="1186"/>
      <c r="E248" s="1186"/>
      <c r="F248" s="1186"/>
      <c r="G248" s="1186"/>
      <c r="H248" s="1186"/>
      <c r="I248" s="1186"/>
      <c r="J248" s="1186"/>
      <c r="K248" s="1186"/>
      <c r="L248" s="1225"/>
      <c r="M248" s="1225"/>
      <c r="N248" s="1225"/>
      <c r="O248" s="1225"/>
      <c r="P248" s="1225"/>
      <c r="Q248" s="1225"/>
      <c r="R248" s="1225"/>
      <c r="S248" s="1225"/>
      <c r="T248" s="1226"/>
      <c r="U248" s="1227"/>
      <c r="V248" s="8"/>
      <c r="W248" s="85"/>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row>
    <row r="249" spans="1:53" ht="15.75" hidden="1" x14ac:dyDescent="0.25">
      <c r="A249" s="1102"/>
      <c r="B249" s="1223"/>
      <c r="C249" s="1186"/>
      <c r="D249" s="1186"/>
      <c r="E249" s="1186"/>
      <c r="F249" s="1186"/>
      <c r="G249" s="1186"/>
      <c r="H249" s="1186"/>
      <c r="I249" s="1186"/>
      <c r="J249" s="1186"/>
      <c r="K249" s="1186"/>
      <c r="L249" s="1225"/>
      <c r="M249" s="1225"/>
      <c r="N249" s="1225"/>
      <c r="O249" s="1225"/>
      <c r="P249" s="1225"/>
      <c r="Q249" s="1225"/>
      <c r="R249" s="1225"/>
      <c r="S249" s="1225"/>
      <c r="T249" s="1226"/>
      <c r="U249" s="1227"/>
      <c r="V249" s="8"/>
      <c r="W249" s="85"/>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9"/>
      <c r="BA249" s="9"/>
    </row>
    <row r="250" spans="1:53" ht="15.75" hidden="1" x14ac:dyDescent="0.25">
      <c r="A250" s="1102">
        <f>+IF(C250="",0,1)</f>
        <v>0</v>
      </c>
      <c r="B250" s="1223"/>
      <c r="C250" s="1186" t="str">
        <f>IF(W202=0,"","Line 34 column 5 doesn't equal the sum of columns 2 to 4. Please check why.")</f>
        <v/>
      </c>
      <c r="D250" s="1186"/>
      <c r="E250" s="1186"/>
      <c r="F250" s="1186"/>
      <c r="G250" s="1186"/>
      <c r="H250" s="1186"/>
      <c r="I250" s="1186"/>
      <c r="J250" s="1186"/>
      <c r="K250" s="1186"/>
      <c r="L250" s="1225"/>
      <c r="M250" s="1225"/>
      <c r="N250" s="1225"/>
      <c r="O250" s="1225"/>
      <c r="P250" s="1225"/>
      <c r="Q250" s="1225"/>
      <c r="R250" s="1225"/>
      <c r="S250" s="1225"/>
      <c r="T250" s="1226"/>
      <c r="U250" s="1227"/>
      <c r="V250" s="8"/>
      <c r="W250" s="85"/>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9"/>
      <c r="BA250" s="9"/>
    </row>
    <row r="251" spans="1:53" ht="15.75" hidden="1" x14ac:dyDescent="0.25">
      <c r="A251" s="1102"/>
      <c r="B251" s="1223"/>
      <c r="C251" s="1186"/>
      <c r="D251" s="1186"/>
      <c r="E251" s="1186"/>
      <c r="F251" s="1186"/>
      <c r="G251" s="1186"/>
      <c r="H251" s="1186"/>
      <c r="I251" s="1186"/>
      <c r="J251" s="1186"/>
      <c r="K251" s="1186"/>
      <c r="L251" s="1225"/>
      <c r="M251" s="1225"/>
      <c r="N251" s="1225"/>
      <c r="O251" s="1225"/>
      <c r="P251" s="1225"/>
      <c r="Q251" s="1225"/>
      <c r="R251" s="1225"/>
      <c r="S251" s="1225"/>
      <c r="T251" s="1226"/>
      <c r="U251" s="1227"/>
      <c r="V251" s="8"/>
      <c r="W251" s="85"/>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row>
    <row r="252" spans="1:53" ht="15.75" hidden="1" x14ac:dyDescent="0.25">
      <c r="A252" s="1102">
        <f>+IF(C252="",0,1)</f>
        <v>0</v>
      </c>
      <c r="B252" s="1223"/>
      <c r="C252" s="1186" t="str">
        <f>IF(W205=0,"","Line 35 column 5 doesn't equal the sum of columns 2 to 4. Please check why.")</f>
        <v/>
      </c>
      <c r="D252" s="1186"/>
      <c r="E252" s="1186"/>
      <c r="F252" s="1186"/>
      <c r="G252" s="1186"/>
      <c r="H252" s="1186"/>
      <c r="I252" s="1186"/>
      <c r="J252" s="1186"/>
      <c r="K252" s="1186"/>
      <c r="L252" s="1225"/>
      <c r="M252" s="1225"/>
      <c r="N252" s="1225"/>
      <c r="O252" s="1225"/>
      <c r="P252" s="1225"/>
      <c r="Q252" s="1225"/>
      <c r="R252" s="1225"/>
      <c r="S252" s="1225"/>
      <c r="T252" s="1226"/>
      <c r="U252" s="1227"/>
      <c r="V252" s="8"/>
      <c r="W252" s="85"/>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row>
    <row r="253" spans="1:53" ht="15.75" hidden="1" x14ac:dyDescent="0.25">
      <c r="A253" s="1102"/>
      <c r="B253" s="1223"/>
      <c r="C253" s="1186"/>
      <c r="D253" s="1186"/>
      <c r="E253" s="1186"/>
      <c r="F253" s="1186"/>
      <c r="G253" s="1186"/>
      <c r="H253" s="1186"/>
      <c r="I253" s="1186"/>
      <c r="J253" s="1186"/>
      <c r="K253" s="1186"/>
      <c r="L253" s="1225"/>
      <c r="M253" s="1225"/>
      <c r="N253" s="1225"/>
      <c r="O253" s="1225"/>
      <c r="P253" s="1225"/>
      <c r="Q253" s="1225"/>
      <c r="R253" s="1225"/>
      <c r="S253" s="1225"/>
      <c r="T253" s="1226"/>
      <c r="U253" s="1227"/>
      <c r="V253" s="8"/>
      <c r="W253" s="85"/>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row>
    <row r="254" spans="1:53" ht="15.75" hidden="1" x14ac:dyDescent="0.25">
      <c r="A254" s="1102">
        <f>+IF(C254="",0,1)</f>
        <v>0</v>
      </c>
      <c r="B254" s="1223"/>
      <c r="C254" s="1186" t="str">
        <f>IF(W208=0,"","Line 36 column 5 doesn't equal the sum of columns 2 to 4. Please check why.")</f>
        <v/>
      </c>
      <c r="D254" s="1186"/>
      <c r="E254" s="1186"/>
      <c r="F254" s="1186"/>
      <c r="G254" s="1186"/>
      <c r="H254" s="1186"/>
      <c r="I254" s="1186"/>
      <c r="J254" s="1186"/>
      <c r="K254" s="1186"/>
      <c r="L254" s="1225"/>
      <c r="M254" s="1225"/>
      <c r="N254" s="1225"/>
      <c r="O254" s="1225"/>
      <c r="P254" s="1225"/>
      <c r="Q254" s="1225"/>
      <c r="R254" s="1225"/>
      <c r="S254" s="1225"/>
      <c r="T254" s="1226"/>
      <c r="U254" s="1227"/>
      <c r="V254" s="8"/>
      <c r="W254" s="85"/>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9"/>
      <c r="BA254" s="9"/>
    </row>
    <row r="255" spans="1:53" ht="15.75" hidden="1" x14ac:dyDescent="0.25">
      <c r="A255" s="1102"/>
      <c r="B255" s="1223"/>
      <c r="C255" s="1186"/>
      <c r="D255" s="1186"/>
      <c r="E255" s="1186"/>
      <c r="F255" s="1186"/>
      <c r="G255" s="1186"/>
      <c r="H255" s="1186"/>
      <c r="I255" s="1186"/>
      <c r="J255" s="1186"/>
      <c r="K255" s="1186"/>
      <c r="L255" s="1225"/>
      <c r="M255" s="1225"/>
      <c r="N255" s="1225"/>
      <c r="O255" s="1225"/>
      <c r="P255" s="1225"/>
      <c r="Q255" s="1225"/>
      <c r="R255" s="1225"/>
      <c r="S255" s="1225"/>
      <c r="T255" s="1226"/>
      <c r="U255" s="1227"/>
      <c r="V255" s="8"/>
      <c r="W255" s="85"/>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9"/>
      <c r="BA255" s="9"/>
    </row>
    <row r="256" spans="1:53" ht="15.75" hidden="1" x14ac:dyDescent="0.25">
      <c r="A256" s="1102">
        <f>+IF(C256="",0,1)</f>
        <v>0</v>
      </c>
      <c r="B256" s="1223"/>
      <c r="C256" s="1186" t="str">
        <f>IF(W211=0,"","Line 37 column 5 doesn't equal the sum of columns 2 to 4. Please check why.")</f>
        <v/>
      </c>
      <c r="D256" s="1186"/>
      <c r="E256" s="1186"/>
      <c r="F256" s="1186"/>
      <c r="G256" s="1186"/>
      <c r="H256" s="1186"/>
      <c r="I256" s="1186"/>
      <c r="J256" s="1186"/>
      <c r="K256" s="1186"/>
      <c r="L256" s="1225"/>
      <c r="M256" s="1225"/>
      <c r="N256" s="1225"/>
      <c r="O256" s="1225"/>
      <c r="P256" s="1225"/>
      <c r="Q256" s="1225"/>
      <c r="R256" s="1225"/>
      <c r="S256" s="1225"/>
      <c r="T256" s="1226"/>
      <c r="U256" s="1227"/>
      <c r="V256" s="8"/>
      <c r="W256" s="85"/>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row>
    <row r="257" spans="1:53" ht="15.75" hidden="1" x14ac:dyDescent="0.25">
      <c r="A257" s="1102"/>
      <c r="B257" s="1223"/>
      <c r="C257" s="1186"/>
      <c r="D257" s="1186"/>
      <c r="E257" s="1186"/>
      <c r="F257" s="1186"/>
      <c r="G257" s="1186"/>
      <c r="H257" s="1186"/>
      <c r="I257" s="1186"/>
      <c r="J257" s="1186"/>
      <c r="K257" s="1186"/>
      <c r="L257" s="1225"/>
      <c r="M257" s="1225"/>
      <c r="N257" s="1225"/>
      <c r="O257" s="1225"/>
      <c r="P257" s="1225"/>
      <c r="Q257" s="1225"/>
      <c r="R257" s="1225"/>
      <c r="S257" s="1225"/>
      <c r="T257" s="1226"/>
      <c r="U257" s="1227"/>
      <c r="V257" s="8"/>
      <c r="W257" s="85"/>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row>
    <row r="258" spans="1:53" ht="15.75" hidden="1" x14ac:dyDescent="0.25">
      <c r="A258" s="1102">
        <f>+IF(C258="",0,1)</f>
        <v>0</v>
      </c>
      <c r="B258" s="1223"/>
      <c r="C258" s="1186" t="str">
        <f>IF(W214=0,"","Line 38 column 5 doesn't equal the sum of columns 2 to 4. Please check why.")</f>
        <v/>
      </c>
      <c r="D258" s="1186"/>
      <c r="E258" s="1186"/>
      <c r="F258" s="1186"/>
      <c r="G258" s="1186"/>
      <c r="H258" s="1186"/>
      <c r="I258" s="1186"/>
      <c r="J258" s="1186"/>
      <c r="K258" s="1186"/>
      <c r="L258" s="1225"/>
      <c r="M258" s="1225"/>
      <c r="N258" s="1225"/>
      <c r="O258" s="1225"/>
      <c r="P258" s="1225"/>
      <c r="Q258" s="1225"/>
      <c r="R258" s="1225"/>
      <c r="S258" s="1225"/>
      <c r="T258" s="1226"/>
      <c r="U258" s="1227"/>
      <c r="V258" s="8"/>
      <c r="W258" s="85"/>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9"/>
      <c r="BA258" s="9"/>
    </row>
    <row r="259" spans="1:53" ht="15.75" hidden="1" x14ac:dyDescent="0.25">
      <c r="A259" s="1102"/>
      <c r="B259" s="1223"/>
      <c r="C259" s="1186"/>
      <c r="D259" s="1186"/>
      <c r="E259" s="1186"/>
      <c r="F259" s="1186"/>
      <c r="G259" s="1186"/>
      <c r="H259" s="1186"/>
      <c r="I259" s="1186"/>
      <c r="J259" s="1186"/>
      <c r="K259" s="1186"/>
      <c r="L259" s="1225"/>
      <c r="M259" s="1225"/>
      <c r="N259" s="1225"/>
      <c r="O259" s="1225"/>
      <c r="P259" s="1225"/>
      <c r="Q259" s="1225"/>
      <c r="R259" s="1225"/>
      <c r="S259" s="1225"/>
      <c r="T259" s="1226"/>
      <c r="U259" s="1227"/>
      <c r="V259" s="8"/>
      <c r="W259" s="85"/>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9"/>
      <c r="BA259" s="9"/>
    </row>
    <row r="260" spans="1:53" ht="15.75" hidden="1" x14ac:dyDescent="0.25">
      <c r="A260" s="1102">
        <f>+IF(C260="",0,1)</f>
        <v>0</v>
      </c>
      <c r="B260" s="1223"/>
      <c r="C260" s="1186" t="str">
        <f>IF(W217=0,"","Line 39 column 5 doesn't equal the sum of columns 2 to 4. Please check why.")</f>
        <v/>
      </c>
      <c r="D260" s="1186"/>
      <c r="E260" s="1186"/>
      <c r="F260" s="1186"/>
      <c r="G260" s="1186"/>
      <c r="H260" s="1186"/>
      <c r="I260" s="1186"/>
      <c r="J260" s="1186"/>
      <c r="K260" s="1186"/>
      <c r="L260" s="1225"/>
      <c r="M260" s="1225"/>
      <c r="N260" s="1225"/>
      <c r="O260" s="1225"/>
      <c r="P260" s="1225"/>
      <c r="Q260" s="1225"/>
      <c r="R260" s="1225"/>
      <c r="S260" s="1225"/>
      <c r="T260" s="1226"/>
      <c r="U260" s="1227"/>
      <c r="V260" s="8"/>
      <c r="W260" s="85"/>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9"/>
      <c r="BA260" s="9"/>
    </row>
    <row r="261" spans="1:53" ht="15.75" hidden="1" x14ac:dyDescent="0.25">
      <c r="A261" s="1102"/>
      <c r="B261" s="1223"/>
      <c r="C261" s="1186"/>
      <c r="D261" s="1186"/>
      <c r="E261" s="1186"/>
      <c r="F261" s="1186"/>
      <c r="G261" s="1186"/>
      <c r="H261" s="1186"/>
      <c r="I261" s="1186"/>
      <c r="J261" s="1186"/>
      <c r="K261" s="1186"/>
      <c r="L261" s="1225"/>
      <c r="M261" s="1225"/>
      <c r="N261" s="1225"/>
      <c r="O261" s="1225"/>
      <c r="P261" s="1225"/>
      <c r="Q261" s="1225"/>
      <c r="R261" s="1225"/>
      <c r="S261" s="1225"/>
      <c r="T261" s="1226"/>
      <c r="U261" s="1227"/>
      <c r="V261" s="8"/>
      <c r="W261" s="85"/>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9"/>
      <c r="BA261" s="9"/>
    </row>
    <row r="262" spans="1:53" ht="15.75" hidden="1" x14ac:dyDescent="0.25">
      <c r="A262" s="1102" t="e">
        <f>+IF(C262="",0,1)</f>
        <v>#N/A</v>
      </c>
      <c r="B262" s="1223"/>
      <c r="C262" s="1186" t="e">
        <f>IF(W221=0,"","Line 40 column 5 doesn't equal the sum of columns 2 to 4. Please check why.")</f>
        <v>#N/A</v>
      </c>
      <c r="D262" s="1186"/>
      <c r="E262" s="1186"/>
      <c r="F262" s="1186"/>
      <c r="G262" s="1186"/>
      <c r="H262" s="1186"/>
      <c r="I262" s="1186"/>
      <c r="J262" s="1186"/>
      <c r="K262" s="1186"/>
      <c r="L262" s="1225"/>
      <c r="M262" s="1225"/>
      <c r="N262" s="1225"/>
      <c r="O262" s="1225"/>
      <c r="P262" s="1225"/>
      <c r="Q262" s="1225"/>
      <c r="R262" s="1225"/>
      <c r="S262" s="1225"/>
      <c r="T262" s="1226"/>
      <c r="U262" s="1227"/>
      <c r="V262" s="8"/>
      <c r="W262" s="85"/>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row>
    <row r="263" spans="1:53" ht="15.75" hidden="1" x14ac:dyDescent="0.25">
      <c r="A263" s="1102"/>
      <c r="B263" s="1223"/>
      <c r="C263" s="1186"/>
      <c r="D263" s="1186"/>
      <c r="E263" s="1186"/>
      <c r="F263" s="1186"/>
      <c r="G263" s="1186"/>
      <c r="H263" s="1186"/>
      <c r="I263" s="1186"/>
      <c r="J263" s="1186"/>
      <c r="K263" s="1186"/>
      <c r="L263" s="1225"/>
      <c r="M263" s="1225"/>
      <c r="N263" s="1225"/>
      <c r="O263" s="1225"/>
      <c r="P263" s="1225"/>
      <c r="Q263" s="1225"/>
      <c r="R263" s="1225"/>
      <c r="S263" s="1225"/>
      <c r="T263" s="1226"/>
      <c r="U263" s="1227"/>
      <c r="V263" s="8"/>
      <c r="W263" s="85"/>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row>
    <row r="264" spans="1:53" hidden="1" x14ac:dyDescent="0.2">
      <c r="A264" s="1108"/>
      <c r="B264" s="1736" t="e">
        <f>SUM(A229:A249)</f>
        <v>#N/A</v>
      </c>
      <c r="C264" s="1737"/>
      <c r="D264" s="1737"/>
      <c r="E264" s="1737"/>
      <c r="F264" s="1737"/>
      <c r="G264" s="1737"/>
      <c r="H264" s="1737"/>
      <c r="I264" s="1228"/>
      <c r="J264" s="1228"/>
      <c r="K264" s="1228"/>
      <c r="L264" s="1229"/>
      <c r="M264" s="1229"/>
      <c r="N264" s="1229"/>
      <c r="O264" s="1229"/>
      <c r="P264" s="1229"/>
      <c r="Q264" s="1229"/>
      <c r="R264" s="1229"/>
      <c r="S264" s="1229"/>
      <c r="T264" s="1230"/>
      <c r="U264" s="1097"/>
      <c r="V264" s="8"/>
      <c r="W264" s="85"/>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row>
    <row r="265" spans="1:53" ht="15.75" thickBot="1" x14ac:dyDescent="0.25">
      <c r="A265" s="1112"/>
      <c r="B265" s="1113"/>
      <c r="C265" s="1113"/>
      <c r="D265" s="1113"/>
      <c r="E265" s="1113"/>
      <c r="F265" s="1113"/>
      <c r="G265" s="1113"/>
      <c r="H265" s="1113"/>
      <c r="I265" s="1113"/>
      <c r="J265" s="1113"/>
      <c r="K265" s="1113"/>
      <c r="L265" s="1113"/>
      <c r="M265" s="1113"/>
      <c r="N265" s="1113"/>
      <c r="O265" s="1113"/>
      <c r="P265" s="1113"/>
      <c r="Q265" s="1113"/>
      <c r="R265" s="1113"/>
      <c r="S265" s="1113"/>
      <c r="T265" s="1113"/>
      <c r="U265" s="1116"/>
      <c r="V265" s="8"/>
      <c r="W265" s="85"/>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row>
    <row r="266" spans="1:53" s="1024" customFormat="1" ht="31.5" customHeight="1" x14ac:dyDescent="0.2">
      <c r="A266" s="1231"/>
      <c r="B266" s="1232"/>
      <c r="C266" s="1731" t="str">
        <f>+IF('Main Validation'!M53&gt;0,"There are a number of validation questions that require an answer. Please complete the main validation sheet","")</f>
        <v/>
      </c>
      <c r="D266" s="1731"/>
      <c r="E266" s="1731"/>
      <c r="F266" s="1731"/>
      <c r="G266" s="1731"/>
      <c r="H266" s="1731"/>
      <c r="I266" s="1731"/>
      <c r="J266" s="1731"/>
      <c r="K266" s="1731"/>
      <c r="L266" s="1731"/>
      <c r="M266" s="1731"/>
      <c r="N266" s="1731"/>
      <c r="O266" s="1731"/>
      <c r="P266" s="1731"/>
      <c r="Q266" s="1731"/>
      <c r="R266" s="1731"/>
      <c r="S266" s="1731"/>
      <c r="T266" s="1232"/>
      <c r="U266" s="1233"/>
      <c r="V266" s="341"/>
      <c r="W266" s="1234"/>
      <c r="X266" s="1235"/>
      <c r="Y266" s="1235"/>
      <c r="Z266" s="1235"/>
      <c r="AA266" s="1235"/>
      <c r="AB266" s="1235"/>
      <c r="AC266" s="1235"/>
      <c r="AD266" s="1235"/>
      <c r="AE266" s="1235"/>
      <c r="AF266" s="1235"/>
      <c r="AG266" s="1235"/>
      <c r="AH266" s="1235"/>
      <c r="AI266" s="1235"/>
      <c r="AJ266" s="1235"/>
      <c r="AK266" s="1235"/>
      <c r="AL266" s="1235"/>
      <c r="AM266" s="1235"/>
      <c r="AN266" s="1235"/>
      <c r="AO266" s="1235"/>
      <c r="AP266" s="1235"/>
      <c r="AQ266" s="1235"/>
      <c r="AR266" s="1235"/>
      <c r="AS266" s="1235"/>
      <c r="AT266" s="1235"/>
      <c r="AU266" s="1235"/>
      <c r="AV266" s="1235"/>
      <c r="AW266" s="1235"/>
      <c r="AX266" s="1235"/>
      <c r="AY266" s="1235"/>
      <c r="AZ266" s="1235"/>
      <c r="BA266" s="1235"/>
    </row>
    <row r="267" spans="1:53" ht="15.75" customHeight="1" x14ac:dyDescent="0.25">
      <c r="A267" s="1236"/>
      <c r="B267" s="261"/>
      <c r="C267" s="1727" t="s">
        <v>5431</v>
      </c>
      <c r="D267" s="1727"/>
      <c r="E267" s="1727"/>
      <c r="F267" s="1727"/>
      <c r="G267" s="1727"/>
      <c r="H267" s="1727"/>
      <c r="I267" s="1727"/>
      <c r="J267" s="1727"/>
      <c r="K267" s="1727"/>
      <c r="L267" s="1727"/>
      <c r="M267" s="1727"/>
      <c r="N267" s="1727"/>
      <c r="O267" s="1727"/>
      <c r="P267" s="1727"/>
      <c r="Q267" s="1727"/>
      <c r="R267" s="1727"/>
      <c r="S267" s="1727"/>
      <c r="U267" s="516"/>
      <c r="V267"/>
      <c r="W267" s="85"/>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row>
    <row r="268" spans="1:53" ht="15.75" customHeight="1" x14ac:dyDescent="0.25">
      <c r="A268" s="1236"/>
      <c r="B268" s="261"/>
      <c r="C268" s="1727"/>
      <c r="D268" s="1727"/>
      <c r="E268" s="1727"/>
      <c r="F268" s="1727"/>
      <c r="G268" s="1727"/>
      <c r="H268" s="1727"/>
      <c r="I268" s="1727"/>
      <c r="J268" s="1727"/>
      <c r="K268" s="1727"/>
      <c r="L268" s="1727"/>
      <c r="M268" s="1727"/>
      <c r="N268" s="1727"/>
      <c r="O268" s="1727"/>
      <c r="P268" s="1727"/>
      <c r="Q268" s="1727"/>
      <c r="R268" s="1727"/>
      <c r="S268" s="1727"/>
      <c r="U268" s="516"/>
      <c r="V268" s="8"/>
      <c r="W268" s="85"/>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row>
    <row r="269" spans="1:53" ht="15.75" x14ac:dyDescent="0.25">
      <c r="A269" s="1236"/>
      <c r="B269" s="1237"/>
      <c r="C269" s="1727"/>
      <c r="D269" s="1727"/>
      <c r="E269" s="1727"/>
      <c r="F269" s="1727"/>
      <c r="G269" s="1727"/>
      <c r="H269" s="1727"/>
      <c r="I269" s="1727"/>
      <c r="J269" s="1727"/>
      <c r="K269" s="1727"/>
      <c r="L269" s="1727"/>
      <c r="M269" s="1727"/>
      <c r="N269" s="1727"/>
      <c r="O269" s="1727"/>
      <c r="P269" s="1727"/>
      <c r="Q269" s="1727"/>
      <c r="R269" s="1727"/>
      <c r="S269" s="1727"/>
      <c r="U269" s="516"/>
      <c r="V269" s="8"/>
      <c r="W269" s="85"/>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row>
    <row r="270" spans="1:53" x14ac:dyDescent="0.2">
      <c r="A270" s="1173"/>
      <c r="B270" s="232"/>
      <c r="C270" s="1727"/>
      <c r="D270" s="1727"/>
      <c r="E270" s="1727"/>
      <c r="F270" s="1727"/>
      <c r="G270" s="1727"/>
      <c r="H270" s="1727"/>
      <c r="I270" s="1727"/>
      <c r="J270" s="1727"/>
      <c r="K270" s="1727"/>
      <c r="L270" s="1727"/>
      <c r="M270" s="1727"/>
      <c r="N270" s="1727"/>
      <c r="O270" s="1727"/>
      <c r="P270" s="1727"/>
      <c r="Q270" s="1727"/>
      <c r="R270" s="1727"/>
      <c r="S270" s="1727"/>
      <c r="U270" s="516"/>
      <c r="V270" s="8"/>
      <c r="W270" s="85"/>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row>
    <row r="271" spans="1:53" ht="15.75" customHeight="1" x14ac:dyDescent="0.2">
      <c r="A271" s="1173"/>
      <c r="B271" s="232"/>
      <c r="C271" s="1727"/>
      <c r="D271" s="1727"/>
      <c r="E271" s="1727"/>
      <c r="F271" s="1727"/>
      <c r="G271" s="1727"/>
      <c r="H271" s="1727"/>
      <c r="I271" s="1727"/>
      <c r="J271" s="1727"/>
      <c r="K271" s="1727"/>
      <c r="L271" s="1727"/>
      <c r="M271" s="1727"/>
      <c r="N271" s="1727"/>
      <c r="O271" s="1727"/>
      <c r="P271" s="1727"/>
      <c r="Q271" s="1727"/>
      <c r="R271" s="1727"/>
      <c r="S271" s="1727"/>
      <c r="U271" s="516"/>
      <c r="V271" s="8"/>
      <c r="W271" s="85"/>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row>
    <row r="272" spans="1:53" ht="15.75" x14ac:dyDescent="0.25">
      <c r="A272" s="1236"/>
      <c r="B272" s="1238"/>
      <c r="C272" s="1727"/>
      <c r="D272" s="1727"/>
      <c r="E272" s="1727"/>
      <c r="F272" s="1727"/>
      <c r="G272" s="1727"/>
      <c r="H272" s="1727"/>
      <c r="I272" s="1727"/>
      <c r="J272" s="1727"/>
      <c r="K272" s="1727"/>
      <c r="L272" s="1727"/>
      <c r="M272" s="1727"/>
      <c r="N272" s="1727"/>
      <c r="O272" s="1727"/>
      <c r="P272" s="1727"/>
      <c r="Q272" s="1727"/>
      <c r="R272" s="1727"/>
      <c r="S272" s="1727"/>
      <c r="U272" s="516"/>
      <c r="V272" s="8"/>
      <c r="W272" s="85"/>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9"/>
      <c r="BA272" s="9"/>
    </row>
    <row r="273" spans="1:97" ht="15.75" x14ac:dyDescent="0.25">
      <c r="A273" s="1236"/>
      <c r="B273" s="1238"/>
      <c r="C273" s="1727"/>
      <c r="D273" s="1727"/>
      <c r="E273" s="1727"/>
      <c r="F273" s="1727"/>
      <c r="G273" s="1727"/>
      <c r="H273" s="1727"/>
      <c r="I273" s="1727"/>
      <c r="J273" s="1727"/>
      <c r="K273" s="1727"/>
      <c r="L273" s="1727"/>
      <c r="M273" s="1727"/>
      <c r="N273" s="1727"/>
      <c r="O273" s="1727"/>
      <c r="P273" s="1727"/>
      <c r="Q273" s="1727"/>
      <c r="R273" s="1727"/>
      <c r="S273" s="1727"/>
      <c r="U273" s="516"/>
      <c r="V273" s="8"/>
      <c r="W273" s="85"/>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9"/>
      <c r="BA273" s="9"/>
    </row>
    <row r="274" spans="1:97" ht="15.75" thickBot="1" x14ac:dyDescent="0.25">
      <c r="A274" s="1239"/>
      <c r="B274" s="1240"/>
      <c r="C274" s="1240"/>
      <c r="D274" s="1241"/>
      <c r="E274" s="1241"/>
      <c r="F274" s="1241"/>
      <c r="G274" s="1241"/>
      <c r="H274" s="1241"/>
      <c r="I274" s="1241"/>
      <c r="J274" s="1241"/>
      <c r="K274" s="1241"/>
      <c r="L274" s="1241"/>
      <c r="M274" s="1241"/>
      <c r="N274" s="517"/>
      <c r="O274" s="517"/>
      <c r="P274" s="517"/>
      <c r="Q274" s="517"/>
      <c r="R274" s="517"/>
      <c r="S274" s="517"/>
      <c r="T274" s="517"/>
      <c r="U274" s="518"/>
      <c r="V274" s="8"/>
      <c r="W274" s="85"/>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9"/>
      <c r="BA274" s="9"/>
    </row>
    <row r="275" spans="1:97" x14ac:dyDescent="0.2">
      <c r="A275" s="1242"/>
      <c r="B275" s="232"/>
      <c r="C275" s="232"/>
      <c r="D275" s="261"/>
      <c r="E275" s="1243"/>
      <c r="F275" s="261"/>
      <c r="G275" s="261"/>
      <c r="H275" s="261"/>
      <c r="I275" s="261"/>
      <c r="J275" s="261"/>
      <c r="K275" s="261"/>
      <c r="L275" s="261"/>
      <c r="M275" s="261"/>
      <c r="R275" s="1244"/>
      <c r="S275" s="1244"/>
      <c r="T275" s="1244"/>
      <c r="U275" s="1244"/>
      <c r="V275" s="1244"/>
    </row>
    <row r="276" spans="1:97" s="1244" customFormat="1" hidden="1" x14ac:dyDescent="0.2">
      <c r="A276" s="493"/>
      <c r="W276" s="1245"/>
    </row>
    <row r="277" spans="1:97" s="1244" customFormat="1" ht="15.75" hidden="1" x14ac:dyDescent="0.25">
      <c r="A277" s="317" t="s">
        <v>3138</v>
      </c>
      <c r="W277" s="1245"/>
    </row>
    <row r="278" spans="1:97" s="1247" customFormat="1" hidden="1" x14ac:dyDescent="0.25">
      <c r="A278" s="1246"/>
      <c r="C278" s="1247" t="s">
        <v>1174</v>
      </c>
      <c r="E278" s="1247" t="s">
        <v>546</v>
      </c>
      <c r="K278" s="1247" t="s">
        <v>1175</v>
      </c>
      <c r="M278" s="1247" t="s">
        <v>3147</v>
      </c>
      <c r="N278" s="1247" t="s">
        <v>1176</v>
      </c>
      <c r="O278" s="1247" t="s">
        <v>1177</v>
      </c>
      <c r="P278" s="1247" t="s">
        <v>3148</v>
      </c>
      <c r="Q278" s="1247" t="s">
        <v>3149</v>
      </c>
      <c r="R278" s="1247" t="s">
        <v>1198</v>
      </c>
      <c r="S278" s="1247" t="s">
        <v>3150</v>
      </c>
      <c r="T278" s="1247" t="s">
        <v>1175</v>
      </c>
      <c r="U278" s="1247" t="s">
        <v>3151</v>
      </c>
      <c r="V278" s="1247" t="s">
        <v>1194</v>
      </c>
      <c r="W278" s="1248" t="s">
        <v>1198</v>
      </c>
    </row>
    <row r="279" spans="1:97" s="1675" customFormat="1" hidden="1" x14ac:dyDescent="0.25">
      <c r="A279" s="1249"/>
      <c r="B279" s="705"/>
      <c r="C279" s="705" t="str">
        <f>+K16</f>
        <v>EZZZZ</v>
      </c>
      <c r="D279" s="705"/>
      <c r="E279" s="1250">
        <f>INDEX(TierSplit!E:E,MATCH(Import_LA_Code,Ref_LA_Codes2,0))</f>
        <v>0</v>
      </c>
      <c r="F279" s="1250"/>
      <c r="G279" s="1250"/>
      <c r="H279" s="1250"/>
      <c r="I279" s="1250"/>
      <c r="J279" s="1250"/>
      <c r="K279" s="1250">
        <f>INDEX(TierSplit!H:H,MATCH(Import_LA_Code,Ref_LA_Codes2,0))</f>
        <v>0</v>
      </c>
      <c r="L279" s="705"/>
      <c r="M279" s="1250">
        <f>INDEX(TierSplit!G:G,MATCH(Import_LA_Code,Ref_LA_Codes2,0))</f>
        <v>0</v>
      </c>
      <c r="N279" s="1250" t="str">
        <f>IF(INDEX(TierSplit!J:J,MATCH(Import_LA_Code,Ref_LA_Codes2,0))=1,"Yes","No")</f>
        <v>No</v>
      </c>
      <c r="O279" s="1250" t="str">
        <f>+IF(AND(INDEX(TierSplit!CF:CF,MATCH(Import_LA_Code,Ref_LA_Codes2,0))="Yes"),"Yes",IF(AND(INDEX(TierSplit!CF:CF,MATCH(Import_LA_Code,Ref_LA_Codes2,0))=0),"No"))</f>
        <v>No</v>
      </c>
      <c r="P279" s="1250">
        <f>INDEX(TierSplit!C:C,MATCH(Import_LA_Code,Ref_LA_Codes2,0))</f>
        <v>0</v>
      </c>
      <c r="Q279" s="1250">
        <f>INDEX(TierSplit!D:D,MATCH(Import_LA_Code,Ref_LA_Codes2,0))</f>
        <v>0</v>
      </c>
      <c r="R279" s="1250">
        <f>INDEX(TierSplit!E:E,MATCH(Import_LA_Code,Ref_LA_Codes2,0))</f>
        <v>0</v>
      </c>
      <c r="S279" s="1250">
        <f>INDEX(TierSplit!G:G,MATCH(Import_LA_Code,Ref_LA_Codes2,0))</f>
        <v>0</v>
      </c>
      <c r="T279" s="1250">
        <f>INDEX(TierSplit!H:H,MATCH(Import_LA_Code,Ref_LA_Codes2,0))</f>
        <v>0</v>
      </c>
      <c r="U279" s="1250">
        <f>INDEX(TierSplit!I:I,MATCH(Import_LA_Code,Ref_LA_Codes2,0))</f>
        <v>0</v>
      </c>
      <c r="V279" s="1250">
        <f>INDEX(TierSplit!CK:CK,MATCH(Import_LA_Code,Ref_LA_Codes2,0))</f>
        <v>0</v>
      </c>
      <c r="W279" s="1250">
        <f>INDEX(TierSplit!CI:CI,MATCH(Import_LA_Code,Ref_LA_Codes2,0))</f>
        <v>0</v>
      </c>
      <c r="X279" s="705"/>
      <c r="Y279" s="705"/>
      <c r="Z279" s="705"/>
      <c r="AA279" s="705"/>
      <c r="AB279" s="705"/>
      <c r="AC279" s="705"/>
      <c r="AD279" s="705"/>
      <c r="AE279" s="705"/>
      <c r="AF279" s="705"/>
      <c r="AG279" s="705"/>
      <c r="AH279" s="705"/>
      <c r="AI279" s="705"/>
      <c r="AJ279" s="705"/>
      <c r="AK279" s="705"/>
      <c r="AL279" s="705"/>
      <c r="AM279" s="705"/>
      <c r="AN279" s="705"/>
      <c r="AO279" s="705"/>
      <c r="AP279" s="705"/>
      <c r="AQ279" s="705"/>
      <c r="AR279" s="705"/>
      <c r="AS279" s="705"/>
      <c r="AT279" s="705"/>
      <c r="AU279" s="705"/>
      <c r="AV279" s="705"/>
      <c r="AW279" s="705"/>
      <c r="AX279" s="705"/>
      <c r="AY279" s="705"/>
      <c r="AZ279" s="705"/>
      <c r="BA279" s="705"/>
      <c r="BB279" s="705"/>
      <c r="BC279" s="705"/>
      <c r="BD279" s="705"/>
      <c r="BE279" s="705"/>
      <c r="BF279" s="705"/>
      <c r="BG279" s="705"/>
      <c r="BH279" s="705"/>
      <c r="BI279" s="705"/>
      <c r="BJ279" s="705"/>
      <c r="BK279" s="705"/>
      <c r="BL279" s="705"/>
      <c r="BM279" s="705"/>
      <c r="BN279" s="705"/>
      <c r="BO279" s="705"/>
      <c r="BP279" s="705"/>
      <c r="BQ279" s="705"/>
      <c r="BR279" s="705"/>
      <c r="BS279" s="705"/>
      <c r="BT279" s="705"/>
      <c r="BU279" s="705"/>
      <c r="BV279" s="705"/>
      <c r="BW279" s="705"/>
      <c r="BX279" s="705"/>
      <c r="BY279" s="705"/>
      <c r="BZ279" s="705"/>
      <c r="CA279" s="705"/>
      <c r="CB279" s="705"/>
      <c r="CC279" s="705"/>
      <c r="CD279" s="705"/>
      <c r="CE279" s="705"/>
      <c r="CF279" s="705"/>
      <c r="CG279" s="705"/>
      <c r="CH279" s="705"/>
      <c r="CI279" s="705"/>
      <c r="CJ279" s="705"/>
      <c r="CK279" s="705"/>
      <c r="CL279" s="705"/>
      <c r="CM279" s="705"/>
      <c r="CN279" s="705"/>
      <c r="CO279" s="705"/>
      <c r="CP279" s="705"/>
      <c r="CQ279" s="705"/>
      <c r="CR279" s="705"/>
      <c r="CS279" s="1674"/>
    </row>
    <row r="280" spans="1:97" s="1244" customFormat="1" hidden="1" x14ac:dyDescent="0.2">
      <c r="A280" s="493"/>
      <c r="W280" s="1245"/>
    </row>
    <row r="281" spans="1:97" s="1244" customFormat="1" hidden="1" x14ac:dyDescent="0.2">
      <c r="A281" s="493"/>
      <c r="C281" s="1244" t="s">
        <v>1168</v>
      </c>
      <c r="F281" s="1244">
        <f>134/499</f>
        <v>0.26853707414829658</v>
      </c>
      <c r="I281" s="1244" t="s">
        <v>2222</v>
      </c>
      <c r="K281" s="1244">
        <f>INDEX(TierSplit!J:J,MATCH(Import_LA_Code,Ref_LA_Codes2,0))</f>
        <v>0</v>
      </c>
      <c r="M281" s="1244" t="s">
        <v>2669</v>
      </c>
      <c r="N281" s="1251">
        <v>49.9</v>
      </c>
      <c r="P281" s="1252" t="s">
        <v>2670</v>
      </c>
      <c r="Q281" s="1253">
        <v>5.6000000000000001E-2</v>
      </c>
      <c r="W281" s="1245"/>
    </row>
    <row r="282" spans="1:97" s="1244" customFormat="1" hidden="1" x14ac:dyDescent="0.2">
      <c r="A282" s="493"/>
      <c r="C282" s="1244" t="s">
        <v>2702</v>
      </c>
      <c r="F282" s="1244">
        <f>93/555</f>
        <v>0.16756756756756758</v>
      </c>
      <c r="N282" s="1252" t="s">
        <v>2697</v>
      </c>
      <c r="Q282" s="1244" t="s">
        <v>3061</v>
      </c>
      <c r="W282" s="1245"/>
    </row>
    <row r="283" spans="1:97" s="1244" customFormat="1" ht="75" hidden="1" x14ac:dyDescent="0.2">
      <c r="A283" s="493"/>
      <c r="C283" s="1261" t="s">
        <v>3081</v>
      </c>
      <c r="F283" s="1244">
        <v>1.2999999999999999E-2</v>
      </c>
      <c r="W283" s="1245"/>
    </row>
    <row r="284" spans="1:97" s="1244" customFormat="1" hidden="1" x14ac:dyDescent="0.2">
      <c r="A284" s="493"/>
      <c r="W284" s="1245"/>
    </row>
    <row r="285" spans="1:97" s="1244" customFormat="1" hidden="1" x14ac:dyDescent="0.2">
      <c r="A285" s="493"/>
      <c r="W285" s="1245"/>
    </row>
    <row r="286" spans="1:97" s="1244" customFormat="1" hidden="1" x14ac:dyDescent="0.2">
      <c r="A286" s="493"/>
      <c r="W286" s="1245"/>
    </row>
    <row r="287" spans="1:97" s="1244" customFormat="1" x14ac:dyDescent="0.2">
      <c r="A287" s="493"/>
      <c r="W287" s="1245"/>
    </row>
    <row r="288" spans="1:97" s="1244" customFormat="1" x14ac:dyDescent="0.2">
      <c r="A288" s="493"/>
      <c r="W288" s="1245"/>
    </row>
    <row r="289" spans="1:23" s="1244" customFormat="1" x14ac:dyDescent="0.2">
      <c r="A289" s="493"/>
      <c r="W289" s="1245"/>
    </row>
    <row r="290" spans="1:23" s="1244" customFormat="1" x14ac:dyDescent="0.2">
      <c r="A290" s="493"/>
      <c r="W290" s="1245"/>
    </row>
    <row r="291" spans="1:23" s="493" customFormat="1" x14ac:dyDescent="0.2">
      <c r="W291" s="1254"/>
    </row>
    <row r="292" spans="1:23" s="493" customFormat="1" x14ac:dyDescent="0.2">
      <c r="W292" s="1254"/>
    </row>
    <row r="293" spans="1:23" s="493" customFormat="1" x14ac:dyDescent="0.2">
      <c r="W293" s="1254"/>
    </row>
    <row r="294" spans="1:23" s="493" customFormat="1" x14ac:dyDescent="0.2">
      <c r="W294" s="1254"/>
    </row>
    <row r="295" spans="1:23" s="493" customFormat="1" x14ac:dyDescent="0.2">
      <c r="W295" s="1254"/>
    </row>
    <row r="296" spans="1:23" s="493" customFormat="1" x14ac:dyDescent="0.2">
      <c r="W296" s="1254"/>
    </row>
    <row r="297" spans="1:23" s="493" customFormat="1" x14ac:dyDescent="0.2">
      <c r="W297" s="1254"/>
    </row>
    <row r="298" spans="1:23" s="493" customFormat="1" x14ac:dyDescent="0.2">
      <c r="W298" s="1254"/>
    </row>
  </sheetData>
  <sheetProtection sheet="1" objects="1" scenarios="1"/>
  <dataConsolidate/>
  <mergeCells count="110">
    <mergeCell ref="A2:U2"/>
    <mergeCell ref="A3:U3"/>
    <mergeCell ref="O48:S48"/>
    <mergeCell ref="E11:J11"/>
    <mergeCell ref="A9:U9"/>
    <mergeCell ref="C27:I29"/>
    <mergeCell ref="C31:I31"/>
    <mergeCell ref="A4:U4"/>
    <mergeCell ref="A6:U6"/>
    <mergeCell ref="A8:U8"/>
    <mergeCell ref="C25:S25"/>
    <mergeCell ref="C47:I48"/>
    <mergeCell ref="M35:O36"/>
    <mergeCell ref="M37:O38"/>
    <mergeCell ref="C32:I32"/>
    <mergeCell ref="C34:I34"/>
    <mergeCell ref="K15:N15"/>
    <mergeCell ref="K16:N16"/>
    <mergeCell ref="K17:N17"/>
    <mergeCell ref="K19:N19"/>
    <mergeCell ref="K20:N20"/>
    <mergeCell ref="K21:N21"/>
    <mergeCell ref="K18:N18"/>
    <mergeCell ref="W164:W165"/>
    <mergeCell ref="C267:S273"/>
    <mergeCell ref="C141:K141"/>
    <mergeCell ref="C142:K142"/>
    <mergeCell ref="C151:K151"/>
    <mergeCell ref="C158:I158"/>
    <mergeCell ref="B157:H157"/>
    <mergeCell ref="C145:K145"/>
    <mergeCell ref="C148:K148"/>
    <mergeCell ref="C143:K143"/>
    <mergeCell ref="C144:K144"/>
    <mergeCell ref="C150:K150"/>
    <mergeCell ref="C149:K149"/>
    <mergeCell ref="C266:S266"/>
    <mergeCell ref="S167:S169"/>
    <mergeCell ref="V172:V174"/>
    <mergeCell ref="M167:M169"/>
    <mergeCell ref="O167:O169"/>
    <mergeCell ref="Q167:Q169"/>
    <mergeCell ref="D171:K173"/>
    <mergeCell ref="D175:K177"/>
    <mergeCell ref="C224:S225"/>
    <mergeCell ref="B264:H264"/>
    <mergeCell ref="C245:K245"/>
    <mergeCell ref="C237:K237"/>
    <mergeCell ref="C228:S228"/>
    <mergeCell ref="C235:K235"/>
    <mergeCell ref="C54:I54"/>
    <mergeCell ref="C60:I60"/>
    <mergeCell ref="W93:W94"/>
    <mergeCell ref="D96:I97"/>
    <mergeCell ref="B78:H78"/>
    <mergeCell ref="O92:O94"/>
    <mergeCell ref="S92:S94"/>
    <mergeCell ref="D187:K187"/>
    <mergeCell ref="D179:K180"/>
    <mergeCell ref="C164:S165"/>
    <mergeCell ref="C147:K147"/>
    <mergeCell ref="D124:G125"/>
    <mergeCell ref="K92:K94"/>
    <mergeCell ref="M92:M94"/>
    <mergeCell ref="Q92:Q94"/>
    <mergeCell ref="D103:I103"/>
    <mergeCell ref="D108:I108"/>
    <mergeCell ref="D110:I110"/>
    <mergeCell ref="D183:K183"/>
    <mergeCell ref="D185:K185"/>
    <mergeCell ref="C129:I129"/>
    <mergeCell ref="W36:W37"/>
    <mergeCell ref="C139:K139"/>
    <mergeCell ref="C135:K135"/>
    <mergeCell ref="C136:K136"/>
    <mergeCell ref="C138:K138"/>
    <mergeCell ref="C69:K69"/>
    <mergeCell ref="D100:I101"/>
    <mergeCell ref="C49:I50"/>
    <mergeCell ref="C56:I57"/>
    <mergeCell ref="K55:S55"/>
    <mergeCell ref="C67:K67"/>
    <mergeCell ref="C75:K75"/>
    <mergeCell ref="C71:K71"/>
    <mergeCell ref="C73:K73"/>
    <mergeCell ref="C65:K65"/>
    <mergeCell ref="N60:O60"/>
    <mergeCell ref="C37:I37"/>
    <mergeCell ref="C39:I39"/>
    <mergeCell ref="C41:I41"/>
    <mergeCell ref="C44:I44"/>
    <mergeCell ref="C52:I52"/>
    <mergeCell ref="D116:I116"/>
    <mergeCell ref="D118:I118"/>
    <mergeCell ref="D120:I120"/>
    <mergeCell ref="D112:I113"/>
    <mergeCell ref="D114:I115"/>
    <mergeCell ref="D190:K190"/>
    <mergeCell ref="D193:K193"/>
    <mergeCell ref="D196:K196"/>
    <mergeCell ref="D199:K199"/>
    <mergeCell ref="C221:K221"/>
    <mergeCell ref="D202:K202"/>
    <mergeCell ref="D205:K205"/>
    <mergeCell ref="D208:K208"/>
    <mergeCell ref="D211:K211"/>
    <mergeCell ref="D214:K214"/>
    <mergeCell ref="D217:K217"/>
    <mergeCell ref="C153:K153"/>
    <mergeCell ref="C155:K155"/>
  </mergeCells>
  <phoneticPr fontId="7" type="noConversion"/>
  <conditionalFormatting sqref="K39">
    <cfRule type="cellIs" dxfId="169" priority="89" stopIfTrue="1" operator="lessThan">
      <formula>0</formula>
    </cfRule>
  </conditionalFormatting>
  <conditionalFormatting sqref="K44">
    <cfRule type="expression" dxfId="168" priority="315" stopIfTrue="1">
      <formula>AND($K$15="City of London")=TRUE</formula>
    </cfRule>
    <cfRule type="expression" dxfId="167" priority="314" stopIfTrue="1">
      <formula>AND($K$15&lt;&gt;"City of London")=TRUE</formula>
    </cfRule>
  </conditionalFormatting>
  <conditionalFormatting sqref="K47 M110 S110 M116 O116 Q116 S116">
    <cfRule type="expression" dxfId="166" priority="35">
      <formula>AND($O$279&lt;&gt;"Yes")=TRUE</formula>
    </cfRule>
  </conditionalFormatting>
  <conditionalFormatting sqref="K54">
    <cfRule type="expression" dxfId="165" priority="341" stopIfTrue="1">
      <formula>AND($S$279="Yes")=TRUE</formula>
    </cfRule>
    <cfRule type="expression" dxfId="164" priority="340">
      <formula>$W$279="yes"</formula>
    </cfRule>
  </conditionalFormatting>
  <conditionalFormatting sqref="K56">
    <cfRule type="expression" dxfId="163" priority="1">
      <formula>$X$57="No"</formula>
    </cfRule>
  </conditionalFormatting>
  <conditionalFormatting sqref="K56:K57">
    <cfRule type="expression" dxfId="162" priority="333" stopIfTrue="1">
      <formula>AND($S$279="Yes")=TRUE</formula>
    </cfRule>
  </conditionalFormatting>
  <conditionalFormatting sqref="M114">
    <cfRule type="expression" dxfId="161" priority="21">
      <formula>AND($V$279&lt;&gt;"Yes")=TRUE</formula>
    </cfRule>
  </conditionalFormatting>
  <conditionalFormatting sqref="M118 S118">
    <cfRule type="expression" dxfId="160" priority="316">
      <formula>AND($K$15&lt;&gt;"City of London")=TRUE</formula>
    </cfRule>
  </conditionalFormatting>
  <conditionalFormatting sqref="M120">
    <cfRule type="expression" dxfId="159" priority="317">
      <formula>AND($K$15&lt;&gt;"North Somerset UA")=TRUE</formula>
    </cfRule>
  </conditionalFormatting>
  <conditionalFormatting sqref="M196 Q196">
    <cfRule type="expression" dxfId="158" priority="14">
      <formula>AND($N$279&lt;&gt;"Yes")=TRUE</formula>
    </cfRule>
  </conditionalFormatting>
  <conditionalFormatting sqref="M205 O205 Q205 S205">
    <cfRule type="expression" dxfId="157" priority="2">
      <formula>$X$205=0</formula>
    </cfRule>
  </conditionalFormatting>
  <conditionalFormatting sqref="M208 O208 Q208 S208">
    <cfRule type="expression" dxfId="156" priority="8">
      <formula>$X$208=0</formula>
    </cfRule>
  </conditionalFormatting>
  <conditionalFormatting sqref="O110">
    <cfRule type="expression" dxfId="155" priority="318">
      <formula>$K$16&lt;&gt;"E0703"</formula>
    </cfRule>
  </conditionalFormatting>
  <conditionalFormatting sqref="O114">
    <cfRule type="expression" dxfId="154" priority="18">
      <formula>AND($V$279&lt;&gt;"Yes")=TRUE</formula>
    </cfRule>
  </conditionalFormatting>
  <conditionalFormatting sqref="O196">
    <cfRule type="expression" dxfId="153" priority="34">
      <formula>AND($N$279&lt;&gt;"Yes")=TRUE</formula>
    </cfRule>
  </conditionalFormatting>
  <conditionalFormatting sqref="Q114">
    <cfRule type="expression" dxfId="152" priority="19">
      <formula>AND($V$279&lt;&gt;"Yes")=TRUE</formula>
    </cfRule>
  </conditionalFormatting>
  <conditionalFormatting sqref="S114">
    <cfRule type="expression" dxfId="151" priority="16">
      <formula>AND($V$279&lt;&gt;"Yes")=TRUE</formula>
    </cfRule>
  </conditionalFormatting>
  <conditionalFormatting sqref="S120">
    <cfRule type="expression" dxfId="150" priority="320">
      <formula>AND($K$15&lt;&gt;"North Somerset UA")=TRUE</formula>
    </cfRule>
  </conditionalFormatting>
  <conditionalFormatting sqref="S196">
    <cfRule type="expression" dxfId="149" priority="15">
      <formula>AND($N$279&lt;&gt;"Yes")=TRUE</formula>
    </cfRule>
  </conditionalFormatting>
  <conditionalFormatting sqref="T27:U27">
    <cfRule type="expression" dxfId="148" priority="80">
      <formula>AND($W42=0)=FALSE</formula>
    </cfRule>
  </conditionalFormatting>
  <conditionalFormatting sqref="T32:U32">
    <cfRule type="expression" dxfId="147" priority="78">
      <formula>AND($W$44=0)=FALSE</formula>
    </cfRule>
  </conditionalFormatting>
  <conditionalFormatting sqref="T34:U34">
    <cfRule type="expression" dxfId="146" priority="74">
      <formula>AND($W$44=0)=FALSE</formula>
    </cfRule>
  </conditionalFormatting>
  <conditionalFormatting sqref="T37:U37">
    <cfRule type="expression" dxfId="145" priority="67">
      <formula>AND(W48=0)=FALSE</formula>
    </cfRule>
    <cfRule type="expression" dxfId="144" priority="72">
      <formula>AND($W46=0)=FALSE</formula>
    </cfRule>
  </conditionalFormatting>
  <conditionalFormatting sqref="T39:U39">
    <cfRule type="expression" dxfId="143" priority="66">
      <formula>AND($W48=0)=FALSE</formula>
    </cfRule>
  </conditionalFormatting>
  <conditionalFormatting sqref="T41:U41">
    <cfRule type="expression" dxfId="142" priority="64">
      <formula>AND($W48=0)=FALSE</formula>
    </cfRule>
  </conditionalFormatting>
  <conditionalFormatting sqref="T47:U47">
    <cfRule type="expression" dxfId="141" priority="63">
      <formula>AND($W50=0)=FALSE</formula>
    </cfRule>
  </conditionalFormatting>
  <conditionalFormatting sqref="T49:U49">
    <cfRule type="expression" dxfId="140" priority="62">
      <formula>AND($W50=0)=FALSE</formula>
    </cfRule>
  </conditionalFormatting>
  <conditionalFormatting sqref="T60:U60">
    <cfRule type="expression" dxfId="139" priority="61">
      <formula>AND($W54=0)=FALSE</formula>
    </cfRule>
  </conditionalFormatting>
  <conditionalFormatting sqref="U100">
    <cfRule type="expression" dxfId="138" priority="47">
      <formula>AND($W100+W102=0)=FALSE</formula>
    </cfRule>
  </conditionalFormatting>
  <conditionalFormatting sqref="U108 U171:U173 U193:U218">
    <cfRule type="expression" dxfId="137" priority="40">
      <formula>AND($W108=0)=FALSE</formula>
    </cfRule>
  </conditionalFormatting>
  <conditionalFormatting sqref="U110">
    <cfRule type="expression" dxfId="136" priority="41">
      <formula>AND($W110=0)=FALSE</formula>
    </cfRule>
  </conditionalFormatting>
  <conditionalFormatting sqref="U112">
    <cfRule type="expression" dxfId="135" priority="42">
      <formula>AND($W112=0)=FALSE</formula>
    </cfRule>
  </conditionalFormatting>
  <conditionalFormatting sqref="U116">
    <cfRule type="expression" dxfId="134" priority="43">
      <formula>AND($W116=0)=FALSE</formula>
    </cfRule>
  </conditionalFormatting>
  <conditionalFormatting sqref="U118">
    <cfRule type="expression" dxfId="133" priority="46">
      <formula>AND($W118=0)=FALSE</formula>
    </cfRule>
  </conditionalFormatting>
  <conditionalFormatting sqref="U124">
    <cfRule type="expression" dxfId="132" priority="60">
      <formula>AND($W124=0)=FALSE</formula>
    </cfRule>
  </conditionalFormatting>
  <conditionalFormatting sqref="U129">
    <cfRule type="expression" dxfId="131" priority="44">
      <formula>AND($W129=0)=FALSE</formula>
    </cfRule>
  </conditionalFormatting>
  <conditionalFormatting sqref="U183">
    <cfRule type="expression" dxfId="130" priority="53">
      <formula>AND($W183=0)=FALSE</formula>
    </cfRule>
  </conditionalFormatting>
  <conditionalFormatting sqref="U187">
    <cfRule type="expression" dxfId="129" priority="52">
      <formula>AND($W187=0)=FALSE</formula>
    </cfRule>
  </conditionalFormatting>
  <conditionalFormatting sqref="U190">
    <cfRule type="expression" dxfId="128" priority="32">
      <formula>AND($W190=0)=FALSE</formula>
    </cfRule>
  </conditionalFormatting>
  <conditionalFormatting sqref="U221">
    <cfRule type="expression" dxfId="127" priority="48">
      <formula>AND($W221=0)=FALSE</formula>
    </cfRule>
  </conditionalFormatting>
  <dataValidations count="69">
    <dataValidation type="whole" operator="greaterThanOrEqual" allowBlank="1" showInputMessage="1" showErrorMessage="1" errorTitle="Positive whole number required" error="This number MUST be a positive whole number. " sqref="K39" xr:uid="{BEA3FB4D-9A96-41A9-9CA3-033B7A8C0BE6}">
      <formula1>0</formula1>
    </dataValidation>
    <dataValidation type="whole" operator="greaterThanOrEqual" allowBlank="1" showInputMessage="1" showErrorMessage="1" sqref="K57" xr:uid="{B1A73314-62C0-4A36-A1F9-78C2094F80EE}">
      <formula1>0</formula1>
    </dataValidation>
    <dataValidation type="custom" allowBlank="1" showInputMessage="1" showErrorMessage="1" error="Do not amend" sqref="B63:B78 C63:K64 C66:K66 C68:K72 C74:K78" xr:uid="{9E3C68CC-E0C8-48C5-BFFC-6F9D96E30684}">
      <formula1>"az1=""n/a"""</formula1>
    </dataValidation>
    <dataValidation type="custom" allowBlank="1" showInputMessage="1" showErrorMessage="1" error="Data entry is not allowed in this cell" sqref="M100 O110 M110 N171:N173 M114 P171:P173 S108 K103 O172:O173 M118 R179 K105 M116 R175 P179 N179 K129:L129 N129:R129 S100 Q100 R171:R173 S110 S112 S96 S103 O100 S105 M112 O112 S114 K100 K96 Q172:Q173 S172:S173 P175 M108 Q108 O108 S120 M120 S118 S116 Q116 O116 M172:M173 N175 O96 M96 Q96" xr:uid="{AF218ABF-EB57-4C6C-921D-39DA2F11A358}">
      <formula1>"if(AC50=""n/a"")"</formula1>
    </dataValidation>
    <dataValidation type="custom" allowBlank="1" showInputMessage="1" showErrorMessage="1" error="Data entry is not allowed in this cell" sqref="M105 O105 Q105" xr:uid="{A351E981-AAD3-4C0E-ABA0-EEF6A7475E57}">
      <formula1>"AC50=""na"""</formula1>
    </dataValidation>
    <dataValidation type="custom" operator="greaterThanOrEqual" allowBlank="1" showInputMessage="1" showErrorMessage="1" error="Data entry is not allowed in this cell" sqref="K54" xr:uid="{0E463B85-3579-4B27-B8C1-02E50C92A0E3}">
      <formula1>"$L$16=""NA"""</formula1>
    </dataValidation>
    <dataValidation type="custom" allowBlank="1" showInputMessage="1" showErrorMessage="1" error="Do not amend" sqref="C67:K67 C65:K65" xr:uid="{80DC8DA9-71B6-4B2E-B483-EB49B1197730}">
      <formula1>"az1=""na"""</formula1>
    </dataValidation>
    <dataValidation type="custom" allowBlank="1" showInputMessage="1" showErrorMessage="1" error="Data entry is not allowed in this cell" sqref="M129" xr:uid="{7CA3CBBF-0311-42AC-8E1C-2FABADA56DD5}">
      <formula1>"AC50=""NA"""</formula1>
    </dataValidation>
    <dataValidation type="custom" allowBlank="1" showInputMessage="1" showErrorMessage="1" error="Data entry is not allowed in this cell" sqref="S129" xr:uid="{2DBE807A-FB27-4269-9356-CCAE60106ADB}">
      <formula1>"AC1=""NA"""</formula1>
    </dataValidation>
    <dataValidation allowBlank="1" showInputMessage="1" showErrorMessage="1" error="Data entry is not allowed in this cell" sqref="O114:Q114 R199 P199 N199 M124 O124 Q124 S124" xr:uid="{B31EE026-095A-47C2-8044-7E67E8A77A40}"/>
    <dataValidation type="custom" allowBlank="1" showInputMessage="1" showErrorMessage="1" error="Do not edit these cells" sqref="I281:J281" xr:uid="{874FE695-6DA5-455E-8BEC-F2BDB0149EE7}">
      <formula1>"AX1=""n/a"""</formula1>
    </dataValidation>
    <dataValidation type="whole" operator="greaterThanOrEqual" allowBlank="1" showInputMessage="1" showErrorMessage="1" error="Data entry is not allowed in this cell" sqref="K56" xr:uid="{CFA44706-66C9-4889-897D-14E459ED1207}">
      <formula1>0</formula1>
    </dataValidation>
    <dataValidation type="custom" allowBlank="1" showInputMessage="1" showErrorMessage="1" error="Do not amend these cells" sqref="Q281 N281" xr:uid="{56559844-F1E1-49A7-84D5-3581EC514A7A}">
      <formula1>"AX1=""n/a"""</formula1>
    </dataValidation>
    <dataValidation type="custom" allowBlank="1" showInputMessage="1" showErrorMessage="1" error="Data entry not allowed" sqref="K32 K27" xr:uid="{F62A5E89-DF6E-48C3-B6BA-4EC01C4D1441}">
      <formula1>$K$15="n/a"</formula1>
    </dataValidation>
    <dataValidation type="custom" allowBlank="1" showInputMessage="1" showErrorMessage="1" error="This data is pre-filled from Part 3 of the form" sqref="K49" xr:uid="{16D91DB1-9A41-49AC-B915-630775C2C545}">
      <formula1>K15="n/a"</formula1>
    </dataValidation>
    <dataValidation type="custom" allowBlank="1" showInputMessage="1" showErrorMessage="1" error="Data entry not allowed in this cell" sqref="K41" xr:uid="{14E0C7D6-65EA-4E0C-840F-C63310FCDE8F}">
      <formula1>K15="N/A"</formula1>
    </dataValidation>
    <dataValidation type="custom" allowBlank="1" showInputMessage="1" showErrorMessage="1" error="This data is pre-filled from Part 3 of the form_x000a_" sqref="K47" xr:uid="{194328E2-A1B5-428E-A5B6-E08A6CF432E6}">
      <formula1>K15="N/A"</formula1>
    </dataValidation>
    <dataValidation type="custom" allowBlank="1" showInputMessage="1" showErrorMessage="1" error="Data entry is not allowed in this cell" sqref="K60" xr:uid="{41204629-4F24-414F-B0D5-60E8C5F22460}">
      <formula1>K15="n/a"</formula1>
    </dataValidation>
    <dataValidation type="custom" allowBlank="1" showInputMessage="1" showErrorMessage="1" errorTitle="Pre-filled cell" error="Data entry not allowed" sqref="K44 K37" xr:uid="{6601D6DE-BAD6-4921-8166-64927E73B0B0}">
      <formula1>K15="N/A"</formula1>
    </dataValidation>
    <dataValidation type="custom" allowBlank="1" showInputMessage="1" showErrorMessage="1" error="Emails should contain an '@'" sqref="K19:K20" xr:uid="{3FBF33D0-AB38-4FE1-AF53-A94DBBDB0517}">
      <formula1>NOT(ISERROR(FIND("@",K19)))</formula1>
    </dataValidation>
    <dataValidation type="custom" allowBlank="1" showInputMessage="1" showErrorMessage="1" error="Data entry not allowed" prompt="It is very unlikely that adjustments to the transitional relief will outweigh the revenue foregone in 2025-26. If you do have an amount in this cell, please check Part 2 lines 6-8" sqref="K34" xr:uid="{C2217E7C-3502-479B-BEDB-502EFAF2D643}">
      <formula1>$K$15="n/a"</formula1>
    </dataValidation>
    <dataValidation allowBlank="1" showInputMessage="1" showErrorMessage="1" error="Do not try to enter data here_x000a_" sqref="M279:U279" xr:uid="{F1213D3C-2191-415E-91E8-C48A4D87D378}"/>
    <dataValidation type="whole" allowBlank="1" showInputMessage="1" showErrorMessage="1" errorTitle="Please review data entry" error="Line 9a must be positive and no greater than Line 9" sqref="K52" xr:uid="{0A5FDAF8-EAEC-41D0-9653-D750270A86A4}">
      <formula1>0</formula1>
      <formula2>K49</formula2>
    </dataValidation>
    <dataValidation type="custom" allowBlank="1" showInputMessage="1" showErrorMessage="1" error="Do not try to enter data here_x000a_" sqref="A279:D279 L279:M279" xr:uid="{DD548D5A-CEAB-432E-8C0B-8067B43E0D10}">
      <formula1>"if(az1=""n/a"")"</formula1>
    </dataValidation>
    <dataValidation type="custom" allowBlank="1" showInputMessage="1" showErrorMessage="1" error="Data entry not allowed in this cell" sqref="Q40 Q28 Q30:Q31 Q33 Q35 Q37" xr:uid="{C50C50B5-D1BF-434C-9723-ECB2D270278D}">
      <formula1>$K$15="n/a"</formula1>
    </dataValidation>
    <dataValidation allowBlank="1" showInputMessage="1" showErrorMessage="1" error="Do not amend" sqref="C75:K75 C73:K73" xr:uid="{96D6AD0D-8795-4978-AD05-2D1B7ACAF73A}"/>
    <dataValidation allowBlank="1" showInputMessage="1" showErrorMessage="1" prompt="This was line 26a in the 2023-24 form" sqref="D185" xr:uid="{CC7F5940-16D5-4C8F-8323-4EC8D67F8366}"/>
    <dataValidation allowBlank="1" showInputMessage="1" showErrorMessage="1" prompt="This was line 34 in the 2023-24 form._x000a_This data is being taken from 'Part 2 - line 32'." sqref="D206:D207" xr:uid="{B07C12C8-8193-4516-BA33-2A77F7E3438D}"/>
    <dataValidation allowBlank="1" showInputMessage="1" showErrorMessage="1" prompt="Total compensation for cost of cap on 2014-15, 2015-16 and post-2018-19 and freezing of 2021-22, 2022-23, 2023-24 small business rates and standard business rates multipliers and the 2024-25, 2025-26 small business rates multiplier" sqref="D179:K180" xr:uid="{B7FC6CDC-750F-457C-BA25-31FECC301E79}"/>
    <dataValidation allowBlank="1" showInputMessage="1" showErrorMessage="1" prompt="This data is from 'Part 3 - line 9', _x000a_it's then being used in 'Part 1 - line 11' and 'Part 1 - line 17'." sqref="C47:I48" xr:uid="{7ADDFDB7-DE98-406A-8051-8A79AA2C0807}"/>
    <dataValidation allowBlank="1" showInputMessage="1" showErrorMessage="1" prompt="This data is from 'Part 3 - line 5', _x000a_it's then being used in 'Part 1 - line 11' and 'Part 1 - line 18'." sqref="C49:I50" xr:uid="{9EC3DD04-B718-42DA-A33F-1E1B3E5E9782}"/>
    <dataValidation allowBlank="1" showInputMessage="1" showErrorMessage="1" prompt="This data is from 'Part 3 - line 6', _x000a_it's then being used in 'Part 1 - line 11' and 'Part 1 - line 19'." sqref="C56:I57" xr:uid="{50AEED03-0BF1-4381-94B0-7AD5FA3B54A3}"/>
    <dataValidation allowBlank="1" showInputMessage="1" showErrorMessage="1" prompt="This is using data from 'Part 1 - line 11' and 'Part 1 - line 12',_x000a_it's then being used in 'Part 1 - line 15'." sqref="D100:I101" xr:uid="{5AD223B7-B482-412D-BE0D-5CC505A9CECE}"/>
    <dataValidation allowBlank="1" showInputMessage="1" showErrorMessage="1" prompt="This data is being taken from 'Part 3 - line 13', _x000a_it's then being used in 'Part 1 - line 15'." sqref="D103:I103" xr:uid="{E906C572-7F2E-4490-9C0F-1BA6D036F359}"/>
    <dataValidation allowBlank="1" showInputMessage="1" showErrorMessage="1" prompt="This data is being taken from 'Part 1 - line 6',_x000a_it's then being used in 'Part 1 - line 24'." sqref="D108:I108" xr:uid="{DF6E43C6-0F05-45A2-B209-82EFE7212085}"/>
    <dataValidation allowBlank="1" showInputMessage="1" showErrorMessage="1" prompt="This data is being taken from 'Part 1 - line 8',_x000a_it's then being used in 'Part 1 - line 23' and 'Part 1 - line 24'." sqref="D110:I110" xr:uid="{402B4D0D-DED2-4C0F-9202-F7E891AF08A9}"/>
    <dataValidation allowBlank="1" showInputMessage="1" showErrorMessage="1" prompt="This data is being taken from 'Part 2 - line 30' and 'Part 3 - line 11',_x000a_it's then being used in 'Part 1 - line 24'." sqref="D116:I116" xr:uid="{FEAEC626-3081-416F-BE17-183D17B7E628}"/>
    <dataValidation allowBlank="1" showInputMessage="1" showErrorMessage="1" prompt="This data is being taken from 'Part 1 - line 7',_x000a_it's then being used in 'Part 1 - line 24'" sqref="D118:I118" xr:uid="{A0F20F24-C158-4D8F-9804-3262F11D1D2A}"/>
    <dataValidation allowBlank="1" showInputMessage="1" showErrorMessage="1" prompt="This line uses data from 'Part 4 - line 20',_x000a_it's then being used in 'Part 1 - line 24'." sqref="D124:G125" xr:uid="{0E02FA0C-DB71-49D9-AFD5-DE47A4DC6252}"/>
    <dataValidation allowBlank="1" showInputMessage="1" showErrorMessage="1" prompt="This is the total of 'Part 1 : lines 15-23'" sqref="C129:I129" xr:uid="{1FBD867B-736E-4778-84E8-0DF098218014}"/>
    <dataValidation allowBlank="1" showInputMessage="1" showErrorMessage="1" prompt="This was line 34 in the 2023-24 form._x000a_This data is being taken from 'Part 2 - line 33',_x000a_it's then being used in 'Part 1 - line 40'." sqref="D208:K208" xr:uid="{07DBBADD-055B-4CE6-B4D0-5AE495BCA2A6}"/>
    <dataValidation allowBlank="1" showInputMessage="1" showErrorMessage="1" prompt="This data is being used in 'Part 1 - line 6'." sqref="C37:I37 C39:I39" xr:uid="{34086029-FCE8-4331-B5C2-85C6A18800AB}"/>
    <dataValidation allowBlank="1" showInputMessage="1" showErrorMessage="1" prompt="This data is being used in 'Part 1 - line 11', 'Part 1 - line 16' and  'Part 1 - line 24'." sqref="C41:I41" xr:uid="{8B1FBC07-9947-4107-AC41-E19008C12DC8}"/>
    <dataValidation type="custom" allowBlank="1" showInputMessage="1" showErrorMessage="1" error="Data entry not allowed in this cell" prompt="See the breakdown table to the right for how this is calculated from gross rates payable._x000a_This data is being used in 'Part 1 - line 11'." sqref="C27:I29" xr:uid="{319E8576-18B3-4C3C-8707-87BCFB72930D}">
      <formula1>$K$15="n/a"</formula1>
    </dataValidation>
    <dataValidation allowBlank="1" showInputMessage="1" showErrorMessage="1" prompt="This data is from 'Part 2 - line 8', _x000a_it's then being used in 'Part 1 - line 11'." sqref="C32:I32 C34:I34" xr:uid="{D2DAA966-3E5E-469E-85C3-BCD77BB20A81}"/>
    <dataValidation allowBlank="1" showInputMessage="1" showErrorMessage="1" prompt="This data is being used in 'Part 1 - line 11' and 'Part 1 - line 21'." sqref="C44:I44" xr:uid="{ABFAB395-78AF-423A-987B-E6D81B803F9D}"/>
    <dataValidation allowBlank="1" showInputMessage="1" showErrorMessage="1" prompt="This data is being used in 'Part 1 - line 13'." sqref="C60:I60" xr:uid="{FFAC1AA6-059B-4474-B5C0-34580D5A2B60}"/>
    <dataValidation allowBlank="1" showInputMessage="1" showErrorMessage="1" prompt="This data is being taken from 'Part 1 - lines 9, 9a, 9b',_x000a_its then being used in 'Part 1 - line 23' and 'Part 1 - line 24'." sqref="D112:I113" xr:uid="{F09860B9-1FB4-4BA4-BF0C-CB4FC3F80249}"/>
    <dataValidation allowBlank="1" showInputMessage="1" showErrorMessage="1" prompt="This data is being taken from 'Part 1 - line 10', _x000a_it's then being used in 'Part 1 line 23' and 'Part 1 - line 24'." sqref="D114:I115" xr:uid="{B074C2CA-2852-4B6A-8E12-ACCB845F8E15}"/>
    <dataValidation allowBlank="1" showInputMessage="1" showErrorMessage="1" prompt="This data is being taken from 'Part 3 - line 12',_x000a_it's then being used in 'Part 1 - line 23' and 'Part 1 - line 24'." sqref="D120:I120" xr:uid="{D4C9A57C-641F-4EB1-B7EC-EC8B6C412BF5}"/>
    <dataValidation allowBlank="1" showInputMessage="1" showErrorMessage="1" prompt="This was line 26 in the 2023-24 form._x000a_This is using data from 'Part 2 - line 9' and 'Part 2 - line 10',_x000a_it's then being used in 'Part 1 - line 40'." sqref="D183:K183" xr:uid="{4246CF63-3BB0-4A8B-806E-9DB44EF0A69A}"/>
    <dataValidation allowBlank="1" showInputMessage="1" showErrorMessage="1" prompt="This was line 27 in the 2023-24 form._x000a_This data is being taken from 'Part 2 - line 10',_x000a_it's then being used in 'Part 1 - line 40'." sqref="D187:K187" xr:uid="{5D648D61-898A-4134-891A-FA055C9D1575}"/>
    <dataValidation allowBlank="1" showInputMessage="1" showErrorMessage="1" prompt="This was line 28 in the 2023-24 form._x000a_This data is being taken from 'Part 2 - line 13',_x000a_it's then being used in 'Part 1 - line 40'." sqref="D190:K190" xr:uid="{B277037C-1831-43ED-B747-9B915916735B}"/>
    <dataValidation allowBlank="1" showInputMessage="1" showErrorMessage="1" prompt="This was line 29 in the 2023-24 form._x000a_This data is being taken from 'Part 2 - line 37',_x000a_it's then being used in 'Part 1 - line 40'." sqref="D193:K193" xr:uid="{AD80110D-1F8A-4646-B86C-3D23189B9D71}"/>
    <dataValidation allowBlank="1" showInputMessage="1" showErrorMessage="1" prompt="This was line 30 in the 2023-24 form._x000a_This data is being taken from 'Part 3 - line 10',_x000a_it's then being used in 'Part 1 - line 40'." sqref="D196:K196" xr:uid="{70A16707-18D8-4337-A408-CC1119A2A61D}"/>
    <dataValidation allowBlank="1" showInputMessage="1" showErrorMessage="1" prompt="This was line 32 in the 2023-24 form._x000a_This data is being taken from 'Part 2 - line 14',_x000a_it's then being used in 'Part 1 - line 40'." sqref="D199:K199" xr:uid="{8A577C72-CA7D-4457-A1F9-8D7B9E82D650}"/>
    <dataValidation allowBlank="1" showInputMessage="1" showErrorMessage="1" prompt="This was line 33 in the 2023-24 form._x000a_This data is being taken from 'Part 2 - Line 38',_x000a_it's then being used in 'Part 1 - line 40'." sqref="D202:K202" xr:uid="{2E358F4B-20FD-43F9-BBB7-7733A47B5A65}"/>
    <dataValidation allowBlank="1" showInputMessage="1" showErrorMessage="1" prompt="This was line 34 in the 2023-24 form._x000a_This data is being taken from 'Part 2 - line 32',_x000a_it's then being used in 'Part 1 - line 40'." sqref="D205:K205" xr:uid="{15771D8D-7202-4966-B3EA-48C54600C030}"/>
    <dataValidation allowBlank="1" showInputMessage="1" showErrorMessage="1" prompt="This was line 35 in the 2023-24 form._x000a_This data is being taken from 'Part 2 - line 15',_x000a_it's then being used in 'Part 1 - line 39'." sqref="D212:K212" xr:uid="{957043BC-0431-422C-AEC2-91E8FEC8C837}"/>
    <dataValidation allowBlank="1" showInputMessage="1" showErrorMessage="1" prompt="This was line 36 in the 2023-24 form._x000a_This is the sum of 'Part 1 - lines 27 : 39'." sqref="C221:K221" xr:uid="{66754CF8-5893-497B-8818-86B2DD188D7F}"/>
    <dataValidation type="list" allowBlank="1" showInputMessage="1" showErrorMessage="1" error="Emails should contain an '@'" prompt="Enter the Certifiers job title from the options in the list" sqref="K21:N21" xr:uid="{53D40AFE-E3C2-4948-91A1-50870435151A}">
      <formula1>"Section 151 Officer - CFO, Section 151 Officer - Director/Head of finance, Deputy/Delegated/Interim Section 151 Officer, Other"</formula1>
    </dataValidation>
    <dataValidation allowBlank="1" showInputMessage="1" showErrorMessage="1" error="Data entry is not allowed in this cell_x000a_" sqref="K124" xr:uid="{D247D489-7159-4A0C-8178-FC69454DC73B}"/>
    <dataValidation allowBlank="1" showInputMessage="1" showErrorMessage="1" prompt="Cost of cap on 2014-15, 2015-16 and post-2018-19 and freezing of 2021-22, 2022-23, 2023-24 small business rates and standard business rates multipliers and the 2024-25, 2025-26 small business rates multiplier - Loss of net rates income" sqref="D171:K173" xr:uid="{B7960948-C9C1-41F3-B7F4-F330D164D1A4}"/>
    <dataValidation allowBlank="1" showInputMessage="1" showErrorMessage="1" prompt="Cost of cap on 2014-15, 2015-16 and post-2018-19 and freezing of 2021-22, 2022-23, 2023-24 small and standard business rates multipliers and the 2024-25, 2025-26 small business rates multiplier - Uprating to grants in respect of S31 funded reliefs" sqref="D175:K177" xr:uid="{722957D6-2772-4937-B8DA-43BAABFBC6F4}"/>
    <dataValidation type="custom" allowBlank="1" showInputMessage="1" showErrorMessage="1" error="Data entry is not allowed in this cell" sqref="F281" xr:uid="{9AC0BA20-1FB6-46FF-A7E2-78B37C3901BC}">
      <formula1>"AX1='n/a'"</formula1>
    </dataValidation>
    <dataValidation type="custom" allowBlank="1" showInputMessage="1" showErrorMessage="1" error="Data entry is not allowed in this cell" sqref="F282" xr:uid="{4A8B6BB1-6446-42FB-A6D7-62E87692A9EE}">
      <formula1>"AX1=""n/a"""</formula1>
    </dataValidation>
    <dataValidation allowBlank="1" showInputMessage="1" showErrorMessage="1" prompt="This was line 35 in the 2023-24 form._x000a_This data is being taken from 'Part 2 - line 15',_x000a_it's then being used in 'Part 1 - line 40'." sqref="D211:K211" xr:uid="{49CBF434-160D-4469-A89E-9C51D2604080}"/>
    <dataValidation allowBlank="1" showInputMessage="1" showErrorMessage="1" prompt="This is a new relief added to this years form. This data is being taken from 'Part 2 - line 39', its then being used in 'Part 1 - line 40'_x000a_" sqref="D217:K217" xr:uid="{744927C3-0EFC-4AE9-8703-33C71EBBC4D4}"/>
    <dataValidation allowBlank="1" showInputMessage="1" showErrorMessage="1" prompt="This is a new relief added to this years form. This data is being taken from 'Part 2 - line 16', its then being used in 'Part 1 - line 40'_x000a_" sqref="D214:K214" xr:uid="{ADCF8BD9-D300-40D6-801E-A05AF7534806}"/>
  </dataValidations>
  <printOptions horizontalCentered="1"/>
  <pageMargins left="0.39370078740157483" right="0.39370078740157483" top="0.59055118110236227" bottom="0.59055118110236227" header="0.51181102362204722" footer="0.51181102362204722"/>
  <pageSetup paperSize="9" fitToHeight="2" orientation="portrait" r:id="rId1"/>
  <headerFooter alignWithMargins="0">
    <oddHeader>&amp;C&amp;"Calibri"&amp;10&amp;K000000 OFFICIAL&amp;1#_x000D_</oddHeader>
    <oddFooter>&amp;C_x000D_&amp;1#&amp;"Calibri"&amp;10&amp;K000000 OFFICIAL</oddFooter>
  </headerFooter>
  <rowBreaks count="2" manualBreakCount="2">
    <brk id="79" min="1" max="24" man="1"/>
    <brk id="158" min="1"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2053" r:id="rId4" name="List Box 5">
              <controlPr locked="0" defaultSize="0" autoFill="0" autoLine="0" autoPict="0">
                <anchor moveWithCells="1">
                  <from>
                    <xdr:col>10</xdr:col>
                    <xdr:colOff>457200</xdr:colOff>
                    <xdr:row>9</xdr:row>
                    <xdr:rowOff>76200</xdr:rowOff>
                  </from>
                  <to>
                    <xdr:col>13</xdr:col>
                    <xdr:colOff>95250</xdr:colOff>
                    <xdr:row>13</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62" id="{2F5B5C7D-4C72-4292-A2E9-89996A6AC4DF}">
            <xm:f>'Main Validation'!#REF!&gt;0</xm:f>
            <x14:dxf>
              <font>
                <b/>
                <i val="0"/>
                <color rgb="FFFF0000"/>
              </font>
            </x14:dxf>
          </x14:cfRule>
          <xm:sqref>A8:U8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1:BA180"/>
  <sheetViews>
    <sheetView zoomScaleNormal="100" workbookViewId="0"/>
  </sheetViews>
  <sheetFormatPr defaultRowHeight="15" x14ac:dyDescent="0.2"/>
  <cols>
    <col min="1" max="2" width="1.140625" style="261" customWidth="1"/>
    <col min="3" max="3" width="36.5703125" style="261" customWidth="1"/>
    <col min="4" max="4" width="13.85546875" style="261" customWidth="1"/>
    <col min="5" max="5" width="1.140625" style="261" customWidth="1"/>
    <col min="6" max="6" width="2.85546875" style="261" customWidth="1"/>
    <col min="7" max="7" width="17.140625" style="261" customWidth="1"/>
    <col min="8" max="9" width="1.140625" style="261" customWidth="1"/>
    <col min="10" max="10" width="17.140625" style="261" customWidth="1"/>
    <col min="11" max="12" width="1.140625" style="261" customWidth="1"/>
    <col min="13" max="13" width="17.140625" style="261" customWidth="1"/>
    <col min="14" max="15" width="1.140625" style="261" customWidth="1"/>
    <col min="16" max="16" width="12" style="261" customWidth="1"/>
    <col min="17" max="18" width="1.140625" style="261" customWidth="1"/>
    <col min="19" max="19" width="17.140625" style="261" customWidth="1"/>
    <col min="20" max="21" width="1.140625" style="261" customWidth="1"/>
    <col min="22" max="22" width="17.140625" style="261" customWidth="1"/>
    <col min="23" max="24" width="1.140625" style="261" customWidth="1"/>
    <col min="25" max="25" width="17.140625" style="261" customWidth="1"/>
    <col min="26" max="26" width="1.42578125" style="261" customWidth="1"/>
    <col min="27" max="27" width="7.7109375" style="261" customWidth="1"/>
    <col min="28" max="28" width="17.140625" style="261" customWidth="1"/>
    <col min="29" max="29" width="2.28515625" style="261" customWidth="1"/>
    <col min="30" max="30" width="1.7109375" style="261" customWidth="1"/>
    <col min="31" max="31" width="9" style="261" hidden="1" customWidth="1"/>
    <col min="32" max="32" width="16.7109375" style="382" hidden="1" customWidth="1"/>
    <col min="33" max="33" width="30.42578125" style="261" hidden="1" customWidth="1"/>
    <col min="34" max="34" width="13.7109375" style="261" hidden="1" customWidth="1"/>
    <col min="35" max="35" width="26" style="261" hidden="1" customWidth="1"/>
    <col min="36" max="36" width="9.140625" style="261" hidden="1" customWidth="1"/>
    <col min="37" max="37" width="16.85546875" style="261" hidden="1" customWidth="1"/>
    <col min="38" max="53" width="9.140625" style="261" hidden="1" customWidth="1"/>
    <col min="54" max="66" width="9.140625" style="261" customWidth="1"/>
    <col min="67" max="16384" width="9.140625" style="261"/>
  </cols>
  <sheetData>
    <row r="1" spans="1:53" x14ac:dyDescent="0.2">
      <c r="A1" s="64"/>
      <c r="B1" s="65"/>
      <c r="C1" s="1777"/>
      <c r="D1" s="1777"/>
      <c r="E1" s="1777"/>
      <c r="F1" s="65"/>
      <c r="G1" s="65"/>
      <c r="H1" s="65"/>
      <c r="I1" s="65"/>
      <c r="J1" s="65"/>
      <c r="K1" s="65"/>
      <c r="L1" s="65"/>
      <c r="M1" s="65"/>
      <c r="N1" s="65"/>
      <c r="O1" s="65"/>
      <c r="P1" s="65"/>
      <c r="Q1" s="65"/>
      <c r="R1" s="65"/>
      <c r="S1" s="65"/>
      <c r="T1" s="65"/>
      <c r="U1" s="65"/>
      <c r="V1" s="65"/>
      <c r="W1" s="65"/>
      <c r="X1" s="65"/>
      <c r="Y1" s="65"/>
      <c r="Z1" s="65"/>
      <c r="AA1" s="65"/>
      <c r="AB1" s="65"/>
      <c r="AC1" s="65"/>
      <c r="AD1" s="66"/>
      <c r="AE1"/>
      <c r="AF1" s="9"/>
      <c r="AG1"/>
      <c r="AH1"/>
      <c r="AI1"/>
      <c r="AJ1"/>
      <c r="AK1"/>
      <c r="AL1"/>
      <c r="AM1"/>
      <c r="AN1"/>
      <c r="AO1"/>
      <c r="AP1"/>
      <c r="AQ1"/>
      <c r="AR1"/>
      <c r="AS1"/>
      <c r="AT1"/>
      <c r="AU1"/>
      <c r="AV1"/>
      <c r="AW1"/>
      <c r="AX1"/>
      <c r="AY1"/>
      <c r="AZ1"/>
      <c r="BA1"/>
    </row>
    <row r="2" spans="1:53" s="232" customFormat="1" ht="18" x14ac:dyDescent="0.25">
      <c r="A2" s="31"/>
      <c r="B2" s="19"/>
      <c r="C2" s="83" t="str">
        <f>+CONCATENATE("Local Authority : ",+'Part 1'!K15)</f>
        <v>Local Authority : ZZZZ</v>
      </c>
      <c r="D2" s="306"/>
      <c r="E2" s="306"/>
      <c r="F2" s="19"/>
      <c r="G2" s="19"/>
      <c r="H2" s="19"/>
      <c r="I2" s="19"/>
      <c r="J2" s="19"/>
      <c r="K2" s="19"/>
      <c r="L2" s="19"/>
      <c r="M2" s="19"/>
      <c r="N2" s="19"/>
      <c r="O2" s="306"/>
      <c r="P2" s="306"/>
      <c r="Q2" s="306"/>
      <c r="R2" s="19"/>
      <c r="S2" s="19"/>
      <c r="T2" s="19"/>
      <c r="U2" s="19"/>
      <c r="V2" s="19"/>
      <c r="W2" s="19"/>
      <c r="X2" s="19"/>
      <c r="Y2" s="19"/>
      <c r="Z2" s="19"/>
      <c r="AA2" s="19"/>
      <c r="AB2" s="19"/>
      <c r="AC2" s="19"/>
      <c r="AD2" s="20"/>
      <c r="AE2"/>
      <c r="AF2" s="9"/>
      <c r="AG2" s="26"/>
      <c r="AH2" s="26"/>
      <c r="AI2" s="26"/>
      <c r="AJ2" s="26"/>
      <c r="AK2" s="26"/>
      <c r="AL2" s="26"/>
      <c r="AM2" s="26"/>
      <c r="AN2" s="26"/>
      <c r="AO2" s="26"/>
      <c r="AP2" s="26"/>
      <c r="AQ2" s="26"/>
      <c r="AR2" s="26"/>
      <c r="AS2" s="26"/>
      <c r="AT2" s="26"/>
      <c r="AU2" s="26"/>
      <c r="AV2" s="26"/>
      <c r="AW2" s="26"/>
      <c r="AX2" s="26"/>
      <c r="AY2" s="26"/>
      <c r="AZ2" s="26"/>
      <c r="BA2" s="26"/>
    </row>
    <row r="3" spans="1:53" s="232" customFormat="1" ht="18" x14ac:dyDescent="0.25">
      <c r="A3" s="31"/>
      <c r="B3" s="19"/>
      <c r="C3" s="83"/>
      <c r="D3" s="306"/>
      <c r="E3" s="306"/>
      <c r="F3" s="19"/>
      <c r="G3" s="19"/>
      <c r="H3" s="19"/>
      <c r="I3" s="19"/>
      <c r="J3" s="19"/>
      <c r="K3" s="19"/>
      <c r="L3" s="19"/>
      <c r="M3" s="19"/>
      <c r="N3" s="19"/>
      <c r="O3" s="306"/>
      <c r="P3" s="306"/>
      <c r="Q3" s="306"/>
      <c r="R3" s="19"/>
      <c r="S3" s="19"/>
      <c r="T3" s="19"/>
      <c r="U3" s="19"/>
      <c r="V3" s="19"/>
      <c r="W3" s="19"/>
      <c r="X3" s="19"/>
      <c r="Y3" s="19"/>
      <c r="Z3" s="19"/>
      <c r="AA3" s="19"/>
      <c r="AB3" s="19"/>
      <c r="AC3" s="19"/>
      <c r="AD3" s="20"/>
      <c r="AE3"/>
      <c r="AF3" s="1706" t="s">
        <v>910</v>
      </c>
      <c r="AG3" s="26"/>
      <c r="AH3" s="26"/>
      <c r="AI3" s="26"/>
      <c r="AJ3" s="26"/>
      <c r="AK3" s="26"/>
      <c r="AL3" s="26"/>
      <c r="AM3" s="26"/>
      <c r="AN3" s="26"/>
      <c r="AO3" s="26"/>
      <c r="AP3" s="26"/>
      <c r="AQ3" s="26"/>
      <c r="AR3" s="26"/>
      <c r="AS3" s="26"/>
      <c r="AT3" s="26"/>
      <c r="AU3" s="26"/>
      <c r="AV3" s="26"/>
      <c r="AW3" s="26"/>
      <c r="AX3" s="26"/>
      <c r="AY3" s="26"/>
      <c r="AZ3" s="26"/>
      <c r="BA3" s="26"/>
    </row>
    <row r="4" spans="1:53" ht="18" x14ac:dyDescent="0.25">
      <c r="A4" s="15"/>
      <c r="B4" s="2"/>
      <c r="C4" s="862" t="s">
        <v>3072</v>
      </c>
      <c r="D4" s="862"/>
      <c r="E4" s="862"/>
      <c r="F4" s="19"/>
      <c r="G4" s="72"/>
      <c r="H4" s="72"/>
      <c r="I4" s="19"/>
      <c r="J4" s="72"/>
      <c r="K4" s="19"/>
      <c r="L4" s="19"/>
      <c r="M4" s="72"/>
      <c r="N4" s="1"/>
      <c r="O4" s="1"/>
      <c r="P4" s="1"/>
      <c r="Q4" s="1"/>
      <c r="R4" s="19"/>
      <c r="S4" s="72"/>
      <c r="T4" s="72"/>
      <c r="U4" s="19"/>
      <c r="V4" s="72"/>
      <c r="W4" s="19"/>
      <c r="X4" s="19"/>
      <c r="Y4" s="72"/>
      <c r="Z4" s="1"/>
      <c r="AA4" s="1"/>
      <c r="AB4" s="19"/>
      <c r="AC4" s="1"/>
      <c r="AD4" s="67"/>
      <c r="AE4"/>
      <c r="AF4" s="1707"/>
      <c r="AG4"/>
      <c r="AH4" s="750"/>
      <c r="AI4"/>
      <c r="AJ4"/>
      <c r="AK4"/>
      <c r="AL4"/>
      <c r="AM4"/>
      <c r="AN4"/>
      <c r="AO4"/>
      <c r="AP4"/>
      <c r="AQ4"/>
      <c r="AR4"/>
      <c r="AS4"/>
      <c r="AT4"/>
      <c r="AU4"/>
      <c r="AV4"/>
      <c r="AW4"/>
      <c r="AX4"/>
      <c r="AY4"/>
      <c r="AZ4"/>
      <c r="BA4"/>
    </row>
    <row r="5" spans="1:53" ht="36.75" customHeight="1" x14ac:dyDescent="0.2">
      <c r="A5" s="15"/>
      <c r="B5" s="2"/>
      <c r="C5" s="1701" t="s">
        <v>3093</v>
      </c>
      <c r="D5" s="1701"/>
      <c r="E5" s="1701"/>
      <c r="F5" s="1701"/>
      <c r="G5" s="1701"/>
      <c r="H5" s="1701"/>
      <c r="I5" s="1701"/>
      <c r="J5" s="1701"/>
      <c r="K5" s="1701"/>
      <c r="L5" s="1701"/>
      <c r="M5" s="1701"/>
      <c r="N5" s="1701"/>
      <c r="O5" s="1701"/>
      <c r="P5" s="1701"/>
      <c r="Q5" s="1701"/>
      <c r="R5" s="1701"/>
      <c r="S5" s="1701"/>
      <c r="T5" s="1"/>
      <c r="U5" s="1"/>
      <c r="V5" s="1"/>
      <c r="W5" s="1"/>
      <c r="X5" s="1"/>
      <c r="Y5" s="1"/>
      <c r="Z5" s="1"/>
      <c r="AA5" s="1"/>
      <c r="AB5" s="19"/>
      <c r="AC5" s="1"/>
      <c r="AD5" s="578"/>
      <c r="AE5"/>
      <c r="AF5" s="743"/>
      <c r="AG5"/>
      <c r="AH5" s="750"/>
      <c r="AI5"/>
      <c r="AJ5"/>
      <c r="AK5"/>
      <c r="AL5"/>
      <c r="AM5"/>
      <c r="AN5"/>
      <c r="AO5"/>
      <c r="AP5"/>
      <c r="AQ5"/>
      <c r="AR5"/>
      <c r="AS5"/>
      <c r="AT5"/>
      <c r="AU5"/>
      <c r="AV5"/>
      <c r="AW5"/>
      <c r="AX5"/>
      <c r="AY5"/>
      <c r="AZ5"/>
      <c r="BA5"/>
    </row>
    <row r="6" spans="1:53" ht="19.5" customHeight="1" x14ac:dyDescent="0.25">
      <c r="A6" s="827"/>
      <c r="B6" s="2"/>
      <c r="C6" s="937"/>
      <c r="D6" s="937"/>
      <c r="E6" s="937"/>
      <c r="F6" s="937"/>
      <c r="G6" s="937"/>
      <c r="H6" s="328"/>
      <c r="I6" s="328"/>
      <c r="J6" s="866"/>
      <c r="K6" s="866"/>
      <c r="L6" s="866"/>
      <c r="M6" s="866"/>
      <c r="N6" s="866"/>
      <c r="O6" s="866"/>
      <c r="P6" s="866"/>
      <c r="Q6" s="3"/>
      <c r="R6" s="19"/>
      <c r="S6" s="947"/>
      <c r="T6" s="947"/>
      <c r="U6" s="947"/>
      <c r="V6" s="947"/>
      <c r="W6" s="947"/>
      <c r="X6" s="947"/>
      <c r="Y6" s="947"/>
      <c r="Z6" s="948"/>
      <c r="AA6" s="949"/>
      <c r="AB6" s="949"/>
      <c r="AC6" s="938"/>
      <c r="AD6" s="578"/>
      <c r="AE6"/>
      <c r="AF6" s="45"/>
      <c r="AG6"/>
      <c r="AH6"/>
      <c r="AI6"/>
      <c r="AJ6"/>
      <c r="AK6"/>
      <c r="AL6"/>
      <c r="AM6"/>
      <c r="AN6"/>
      <c r="AO6"/>
      <c r="AP6"/>
      <c r="AQ6"/>
      <c r="AR6"/>
      <c r="AS6"/>
      <c r="AT6"/>
      <c r="AU6"/>
      <c r="AV6"/>
      <c r="AW6"/>
      <c r="AX6"/>
      <c r="AY6"/>
      <c r="AZ6"/>
      <c r="BA6"/>
    </row>
    <row r="7" spans="1:53" ht="15.75" customHeight="1" x14ac:dyDescent="0.2">
      <c r="A7" s="15"/>
      <c r="B7" s="2"/>
      <c r="C7" s="898" t="str">
        <f>+IF('Part 1'!O279="Yes", "You should complete columns 1, 2, 4 &amp; 5","You should complete columns 1 &amp; 4 only")</f>
        <v>You should complete columns 1 &amp; 4 only</v>
      </c>
      <c r="D7" s="863"/>
      <c r="E7" s="863"/>
      <c r="F7" s="19"/>
      <c r="G7" s="72" t="s">
        <v>686</v>
      </c>
      <c r="H7" s="72"/>
      <c r="I7" s="19"/>
      <c r="J7" s="72" t="s">
        <v>687</v>
      </c>
      <c r="K7" s="19"/>
      <c r="L7" s="19"/>
      <c r="M7" s="72" t="s">
        <v>688</v>
      </c>
      <c r="N7" s="3"/>
      <c r="O7" s="3"/>
      <c r="P7" s="3"/>
      <c r="Q7" s="3"/>
      <c r="R7" s="19"/>
      <c r="S7" s="799" t="s">
        <v>689</v>
      </c>
      <c r="T7" s="72"/>
      <c r="U7" s="19"/>
      <c r="V7" s="799" t="s">
        <v>706</v>
      </c>
      <c r="W7" s="19"/>
      <c r="X7" s="19"/>
      <c r="Y7" s="799" t="s">
        <v>2701</v>
      </c>
      <c r="Z7" s="3"/>
      <c r="AA7" s="3"/>
      <c r="AB7" s="799" t="s">
        <v>2699</v>
      </c>
      <c r="AC7" s="3"/>
      <c r="AD7" s="67"/>
      <c r="AE7"/>
      <c r="AF7" s="45"/>
      <c r="AG7"/>
      <c r="AH7"/>
      <c r="AI7"/>
      <c r="AJ7"/>
      <c r="AK7"/>
      <c r="AL7"/>
      <c r="AM7"/>
      <c r="AN7"/>
      <c r="AO7"/>
      <c r="AP7"/>
      <c r="AQ7"/>
      <c r="AR7"/>
      <c r="AS7"/>
      <c r="AT7"/>
      <c r="AU7"/>
      <c r="AV7"/>
      <c r="AW7"/>
      <c r="AX7"/>
      <c r="AY7"/>
      <c r="AZ7"/>
      <c r="BA7"/>
    </row>
    <row r="8" spans="1:53" ht="21.75" customHeight="1" x14ac:dyDescent="0.25">
      <c r="A8" s="827"/>
      <c r="B8" s="2"/>
      <c r="C8" s="384"/>
      <c r="D8" s="384"/>
      <c r="E8" s="1275"/>
      <c r="F8" s="12"/>
      <c r="G8" s="1275" t="s">
        <v>3182</v>
      </c>
      <c r="H8" s="12"/>
      <c r="I8" s="12"/>
      <c r="J8" s="12"/>
      <c r="K8" s="12"/>
      <c r="L8" s="12"/>
      <c r="M8" s="12"/>
      <c r="N8" s="12"/>
      <c r="O8" s="12"/>
      <c r="P8" s="3"/>
      <c r="Q8" s="3"/>
      <c r="R8" s="19"/>
      <c r="S8" s="1275" t="s">
        <v>2710</v>
      </c>
      <c r="T8" s="92"/>
      <c r="U8" s="92"/>
      <c r="V8" s="92"/>
      <c r="W8" s="92"/>
      <c r="X8" s="92"/>
      <c r="Y8" s="92"/>
      <c r="Z8" s="3"/>
      <c r="AA8" s="3"/>
      <c r="AB8" s="3"/>
      <c r="AC8" s="3"/>
      <c r="AD8" s="578"/>
      <c r="AE8"/>
      <c r="AF8" s="45"/>
      <c r="AG8"/>
      <c r="AH8"/>
      <c r="AI8"/>
      <c r="AJ8"/>
      <c r="AK8"/>
      <c r="AL8"/>
      <c r="AM8"/>
      <c r="AN8"/>
      <c r="AO8"/>
      <c r="AP8"/>
      <c r="AQ8"/>
      <c r="AR8"/>
      <c r="AS8"/>
      <c r="AT8"/>
      <c r="AU8"/>
      <c r="AV8"/>
      <c r="AW8"/>
      <c r="AX8"/>
      <c r="AY8"/>
      <c r="AZ8"/>
      <c r="BA8"/>
    </row>
    <row r="9" spans="1:53" ht="17.25" customHeight="1" x14ac:dyDescent="0.25">
      <c r="A9" s="827"/>
      <c r="B9" s="2"/>
      <c r="C9" s="937"/>
      <c r="D9" s="937"/>
      <c r="E9" s="937"/>
      <c r="F9" s="937"/>
      <c r="G9" s="937"/>
      <c r="H9" s="328"/>
      <c r="I9" s="328"/>
      <c r="J9" s="328"/>
      <c r="K9" s="73"/>
      <c r="L9" s="573"/>
      <c r="M9" s="573"/>
      <c r="N9" s="338"/>
      <c r="O9" s="459"/>
      <c r="P9" s="459"/>
      <c r="Q9" s="3"/>
      <c r="R9" s="19"/>
      <c r="S9" s="866"/>
      <c r="T9" s="866"/>
      <c r="U9" s="866"/>
      <c r="V9" s="866"/>
      <c r="W9" s="866"/>
      <c r="X9" s="866"/>
      <c r="Y9" s="866"/>
      <c r="Z9" s="3"/>
      <c r="AA9" s="3"/>
      <c r="AB9" s="3"/>
      <c r="AC9" s="3"/>
      <c r="AD9" s="578"/>
      <c r="AE9"/>
      <c r="AF9" s="45"/>
      <c r="AG9"/>
      <c r="AH9"/>
      <c r="AI9"/>
      <c r="AJ9"/>
      <c r="AK9"/>
      <c r="AL9"/>
      <c r="AM9"/>
      <c r="AN9"/>
      <c r="AO9"/>
      <c r="AP9"/>
      <c r="AQ9"/>
      <c r="AR9"/>
      <c r="AS9"/>
      <c r="AT9"/>
      <c r="AU9"/>
      <c r="AV9"/>
      <c r="AW9"/>
      <c r="AX9"/>
      <c r="AY9"/>
      <c r="AZ9"/>
      <c r="BA9"/>
    </row>
    <row r="10" spans="1:53" ht="46.5" customHeight="1" x14ac:dyDescent="0.25">
      <c r="A10" s="15"/>
      <c r="B10" s="2"/>
      <c r="C10" s="795"/>
      <c r="D10" s="19"/>
      <c r="E10" s="19"/>
      <c r="F10" s="19"/>
      <c r="G10" s="864" t="s">
        <v>2698</v>
      </c>
      <c r="H10" s="307"/>
      <c r="I10" s="72"/>
      <c r="J10" s="385" t="s">
        <v>827</v>
      </c>
      <c r="K10" s="72"/>
      <c r="L10" s="72"/>
      <c r="M10" s="385" t="s">
        <v>26</v>
      </c>
      <c r="N10" s="1"/>
      <c r="O10" s="72"/>
      <c r="P10" s="72"/>
      <c r="Q10" s="72"/>
      <c r="R10" s="72"/>
      <c r="S10" s="385" t="s">
        <v>825</v>
      </c>
      <c r="T10" s="307"/>
      <c r="U10" s="72"/>
      <c r="V10" s="385" t="s">
        <v>827</v>
      </c>
      <c r="W10" s="72"/>
      <c r="X10" s="72"/>
      <c r="Y10" s="385" t="s">
        <v>26</v>
      </c>
      <c r="Z10" s="2"/>
      <c r="AA10" s="2"/>
      <c r="AB10" s="385" t="s">
        <v>2700</v>
      </c>
      <c r="AC10" s="2"/>
      <c r="AD10" s="67"/>
      <c r="AE10"/>
      <c r="AF10" s="45"/>
      <c r="AG10"/>
      <c r="AH10"/>
      <c r="AI10" s="1779"/>
      <c r="AJ10" s="1780"/>
      <c r="AK10" s="1780"/>
      <c r="AL10"/>
      <c r="AM10"/>
      <c r="AN10"/>
      <c r="AO10"/>
      <c r="AP10"/>
      <c r="AQ10"/>
      <c r="AR10"/>
      <c r="AS10"/>
      <c r="AT10"/>
      <c r="AU10"/>
      <c r="AV10"/>
      <c r="AW10"/>
      <c r="AX10"/>
      <c r="AY10"/>
      <c r="AZ10"/>
      <c r="BA10"/>
    </row>
    <row r="11" spans="1:53" ht="45.75" customHeight="1" x14ac:dyDescent="0.25">
      <c r="A11" s="15"/>
      <c r="B11" s="2"/>
      <c r="C11" s="1775" t="s">
        <v>3073</v>
      </c>
      <c r="D11" s="1775"/>
      <c r="E11" s="1775"/>
      <c r="F11" s="19"/>
      <c r="G11" s="795" t="s">
        <v>831</v>
      </c>
      <c r="H11" s="307"/>
      <c r="I11" s="19"/>
      <c r="J11" s="795" t="str">
        <f>+IF('Part 1'!$O$279="Yes", "Complete this column","Do not complete this column")</f>
        <v>Do not complete this column</v>
      </c>
      <c r="K11" s="19"/>
      <c r="L11" s="19"/>
      <c r="M11" s="795" t="s">
        <v>832</v>
      </c>
      <c r="N11" s="2"/>
      <c r="O11" s="2"/>
      <c r="P11" s="2"/>
      <c r="Q11" s="2"/>
      <c r="R11" s="19"/>
      <c r="S11" s="795" t="s">
        <v>831</v>
      </c>
      <c r="T11" s="307"/>
      <c r="U11" s="19"/>
      <c r="V11" s="795" t="str">
        <f>+IF('Part 1'!$O$279="Yes", "Complete this column","Do not complete this column")</f>
        <v>Do not complete this column</v>
      </c>
      <c r="W11" s="19"/>
      <c r="X11" s="19"/>
      <c r="Y11" s="795" t="s">
        <v>832</v>
      </c>
      <c r="Z11" s="2"/>
      <c r="AA11" s="2"/>
      <c r="AB11" s="795" t="s">
        <v>832</v>
      </c>
      <c r="AC11" s="2"/>
      <c r="AD11" s="67"/>
      <c r="AE11"/>
      <c r="AF11" s="1781" t="s">
        <v>880</v>
      </c>
      <c r="AG11"/>
      <c r="AH11" s="374"/>
      <c r="AI11"/>
      <c r="AJ11"/>
      <c r="AK11"/>
      <c r="AL11"/>
      <c r="AM11"/>
      <c r="AN11"/>
      <c r="AO11"/>
      <c r="AP11"/>
      <c r="AQ11"/>
      <c r="AR11"/>
      <c r="AS11"/>
      <c r="AT11"/>
      <c r="AU11"/>
      <c r="AV11"/>
      <c r="AW11"/>
      <c r="AX11"/>
      <c r="AY11"/>
      <c r="AZ11"/>
      <c r="BA11"/>
    </row>
    <row r="12" spans="1:53" ht="16.5" customHeight="1" thickBot="1" x14ac:dyDescent="0.3">
      <c r="A12" s="15"/>
      <c r="B12" s="2"/>
      <c r="C12" s="1775"/>
      <c r="D12" s="1775"/>
      <c r="E12" s="1775"/>
      <c r="F12" s="19"/>
      <c r="G12" s="797" t="s">
        <v>681</v>
      </c>
      <c r="H12" s="19"/>
      <c r="I12" s="19"/>
      <c r="J12" s="307" t="s">
        <v>681</v>
      </c>
      <c r="K12" s="19"/>
      <c r="L12" s="184"/>
      <c r="M12" s="326" t="s">
        <v>681</v>
      </c>
      <c r="N12" s="177"/>
      <c r="O12" s="338"/>
      <c r="P12" s="338"/>
      <c r="Q12" s="338"/>
      <c r="R12" s="19"/>
      <c r="S12" s="307" t="s">
        <v>681</v>
      </c>
      <c r="T12" s="19"/>
      <c r="U12" s="19"/>
      <c r="V12" s="307" t="s">
        <v>681</v>
      </c>
      <c r="W12" s="19"/>
      <c r="X12" s="184"/>
      <c r="Y12" s="326" t="s">
        <v>681</v>
      </c>
      <c r="Z12" s="177"/>
      <c r="AA12" s="177"/>
      <c r="AB12" s="326" t="s">
        <v>681</v>
      </c>
      <c r="AC12" s="177"/>
      <c r="AD12" s="67"/>
      <c r="AE12"/>
      <c r="AF12" s="1782"/>
      <c r="AG12"/>
      <c r="AH12"/>
      <c r="AI12"/>
      <c r="AJ12"/>
      <c r="AK12"/>
      <c r="AL12"/>
      <c r="AM12"/>
      <c r="AN12"/>
      <c r="AO12"/>
      <c r="AP12"/>
      <c r="AQ12"/>
      <c r="AR12"/>
      <c r="AS12"/>
      <c r="AT12"/>
      <c r="AU12"/>
      <c r="AV12"/>
      <c r="AW12"/>
      <c r="AX12"/>
      <c r="AY12"/>
      <c r="AZ12"/>
      <c r="BA12"/>
    </row>
    <row r="13" spans="1:53" ht="16.5" thickBot="1" x14ac:dyDescent="0.25">
      <c r="A13" s="15"/>
      <c r="B13" s="2"/>
      <c r="C13" s="423" t="s">
        <v>710</v>
      </c>
      <c r="D13" s="950"/>
      <c r="E13" s="19"/>
      <c r="F13" s="19"/>
      <c r="G13" s="807">
        <v>0</v>
      </c>
      <c r="H13" s="73"/>
      <c r="I13" s="19"/>
      <c r="J13" s="807">
        <v>0</v>
      </c>
      <c r="K13" s="19"/>
      <c r="L13" s="172"/>
      <c r="M13" s="816">
        <f>+G13+J13</f>
        <v>0</v>
      </c>
      <c r="N13" s="177"/>
      <c r="O13" s="72"/>
      <c r="P13" s="338"/>
      <c r="Q13" s="19"/>
      <c r="R13" s="19"/>
      <c r="S13" s="807">
        <v>0</v>
      </c>
      <c r="T13" s="73"/>
      <c r="U13" s="19"/>
      <c r="V13" s="807">
        <v>0</v>
      </c>
      <c r="W13" s="19"/>
      <c r="X13" s="172"/>
      <c r="Y13" s="816">
        <f>+S13+V13</f>
        <v>0</v>
      </c>
      <c r="Z13" s="177"/>
      <c r="AA13" s="177"/>
      <c r="AB13" s="816">
        <f>Y13+M13</f>
        <v>0</v>
      </c>
      <c r="AC13" s="177"/>
      <c r="AD13" s="67"/>
      <c r="AE13"/>
      <c r="AF13" s="245">
        <f>IF(+G13+J13+S13+V13-AB13=0,0,1)</f>
        <v>0</v>
      </c>
      <c r="AG13"/>
      <c r="AH13" s="137"/>
      <c r="AI13" s="231"/>
      <c r="AJ13"/>
      <c r="AK13"/>
      <c r="AL13"/>
      <c r="AM13"/>
      <c r="AN13"/>
      <c r="AO13"/>
      <c r="AP13"/>
      <c r="AQ13"/>
      <c r="AR13"/>
      <c r="AS13"/>
      <c r="AT13"/>
      <c r="AU13"/>
      <c r="AV13"/>
      <c r="AW13"/>
      <c r="AX13"/>
      <c r="AY13"/>
      <c r="AZ13"/>
      <c r="BA13"/>
    </row>
    <row r="14" spans="1:53" ht="15.75" thickBot="1" x14ac:dyDescent="0.25">
      <c r="A14" s="15"/>
      <c r="B14" s="2"/>
      <c r="C14" s="19"/>
      <c r="D14" s="19"/>
      <c r="E14" s="19"/>
      <c r="F14" s="72"/>
      <c r="G14" s="73"/>
      <c r="H14" s="73"/>
      <c r="I14" s="423"/>
      <c r="J14" s="573"/>
      <c r="K14" s="423"/>
      <c r="L14" s="762"/>
      <c r="M14" s="762"/>
      <c r="N14" s="764"/>
      <c r="O14" s="72"/>
      <c r="P14" s="19"/>
      <c r="Q14" s="19"/>
      <c r="R14" s="72"/>
      <c r="S14" s="73"/>
      <c r="T14" s="73"/>
      <c r="U14" s="423"/>
      <c r="V14" s="573"/>
      <c r="W14" s="423"/>
      <c r="X14" s="762"/>
      <c r="Y14" s="762"/>
      <c r="Z14" s="764"/>
      <c r="AA14" s="764"/>
      <c r="AB14" s="764"/>
      <c r="AC14" s="764"/>
      <c r="AD14" s="578"/>
      <c r="AE14"/>
      <c r="AF14" s="246"/>
      <c r="AG14"/>
      <c r="AH14"/>
      <c r="AI14"/>
      <c r="AJ14"/>
      <c r="AK14"/>
      <c r="AL14"/>
      <c r="AM14"/>
      <c r="AN14"/>
      <c r="AO14"/>
      <c r="AP14"/>
      <c r="AQ14"/>
      <c r="AR14"/>
      <c r="AS14"/>
      <c r="AT14"/>
      <c r="AU14"/>
      <c r="AV14"/>
      <c r="AW14"/>
      <c r="AX14"/>
      <c r="AY14"/>
      <c r="AZ14"/>
      <c r="BA14"/>
    </row>
    <row r="15" spans="1:53" ht="16.5" customHeight="1" thickBot="1" x14ac:dyDescent="0.3">
      <c r="A15" s="15"/>
      <c r="B15" s="2"/>
      <c r="C15" s="852" t="s">
        <v>3094</v>
      </c>
      <c r="D15" s="676">
        <f>SBRR_Multiple</f>
        <v>49.9</v>
      </c>
      <c r="E15" s="185"/>
      <c r="F15" s="19"/>
      <c r="G15" s="73"/>
      <c r="H15" s="73"/>
      <c r="I15" s="423"/>
      <c r="J15" s="573"/>
      <c r="K15" s="423"/>
      <c r="L15" s="762"/>
      <c r="M15" s="762"/>
      <c r="N15" s="764"/>
      <c r="O15" s="338"/>
      <c r="P15" s="676">
        <f>SBRR_Multiple+(SBRR_Supplement*100)</f>
        <v>55.5</v>
      </c>
      <c r="Q15" s="185"/>
      <c r="R15" s="19"/>
      <c r="S15" s="73"/>
      <c r="T15" s="73"/>
      <c r="U15" s="423"/>
      <c r="V15" s="573"/>
      <c r="W15" s="423"/>
      <c r="X15" s="762"/>
      <c r="Y15" s="762"/>
      <c r="Z15" s="764"/>
      <c r="AA15" s="764"/>
      <c r="AB15" s="764"/>
      <c r="AC15" s="764"/>
      <c r="AD15" s="67"/>
      <c r="AE15"/>
      <c r="AF15" s="246"/>
      <c r="AG15" s="137"/>
      <c r="AH15"/>
      <c r="AI15"/>
      <c r="AJ15"/>
      <c r="AK15"/>
      <c r="AL15"/>
      <c r="AM15"/>
      <c r="AN15"/>
      <c r="AO15"/>
      <c r="AP15"/>
      <c r="AQ15"/>
      <c r="AR15"/>
      <c r="AS15"/>
      <c r="AT15"/>
      <c r="AU15"/>
      <c r="AV15"/>
      <c r="AW15"/>
      <c r="AX15"/>
      <c r="AY15"/>
      <c r="AZ15"/>
      <c r="BA15"/>
    </row>
    <row r="16" spans="1:53" ht="15.75" thickBot="1" x14ac:dyDescent="0.25">
      <c r="A16" s="15"/>
      <c r="B16" s="2"/>
      <c r="C16" s="10"/>
      <c r="D16" s="10"/>
      <c r="E16" s="19"/>
      <c r="F16" s="19"/>
      <c r="G16" s="73"/>
      <c r="H16" s="73"/>
      <c r="I16" s="73"/>
      <c r="J16" s="73"/>
      <c r="K16" s="73"/>
      <c r="L16" s="172"/>
      <c r="M16" s="172"/>
      <c r="N16" s="177"/>
      <c r="O16" s="338"/>
      <c r="P16" s="459"/>
      <c r="Q16" s="423"/>
      <c r="R16" s="19"/>
      <c r="S16" s="73"/>
      <c r="T16" s="73"/>
      <c r="U16" s="73"/>
      <c r="V16" s="73"/>
      <c r="W16" s="73"/>
      <c r="X16" s="172"/>
      <c r="Y16" s="172"/>
      <c r="Z16" s="177"/>
      <c r="AA16" s="177"/>
      <c r="AB16" s="177"/>
      <c r="AC16" s="177"/>
      <c r="AD16" s="67"/>
      <c r="AE16"/>
      <c r="AF16" s="246"/>
      <c r="AG16"/>
      <c r="AH16"/>
      <c r="AI16"/>
      <c r="AJ16"/>
      <c r="AK16"/>
      <c r="AL16"/>
      <c r="AM16"/>
      <c r="AN16"/>
      <c r="AO16"/>
      <c r="AP16"/>
      <c r="AQ16"/>
      <c r="AR16"/>
      <c r="AS16"/>
      <c r="AT16"/>
      <c r="AU16"/>
      <c r="AV16"/>
      <c r="AW16"/>
      <c r="AX16"/>
      <c r="AY16"/>
      <c r="AZ16"/>
      <c r="BA16"/>
    </row>
    <row r="17" spans="1:53" ht="15.75" thickBot="1" x14ac:dyDescent="0.25">
      <c r="A17" s="15"/>
      <c r="B17" s="2"/>
      <c r="C17" s="10"/>
      <c r="D17" s="10"/>
      <c r="E17" s="19"/>
      <c r="F17" s="200"/>
      <c r="G17" s="201"/>
      <c r="H17" s="202"/>
      <c r="I17" s="201"/>
      <c r="J17" s="201"/>
      <c r="K17" s="202"/>
      <c r="L17" s="203"/>
      <c r="M17" s="203"/>
      <c r="N17" s="204"/>
      <c r="O17" s="459"/>
      <c r="P17" s="459"/>
      <c r="Q17" s="423"/>
      <c r="R17" s="200"/>
      <c r="S17" s="201"/>
      <c r="T17" s="202"/>
      <c r="U17" s="201"/>
      <c r="V17" s="201"/>
      <c r="W17" s="202"/>
      <c r="X17" s="203"/>
      <c r="Y17" s="203"/>
      <c r="Z17" s="204"/>
      <c r="AA17" s="177"/>
      <c r="AB17" s="177"/>
      <c r="AC17" s="177"/>
      <c r="AD17" s="67"/>
      <c r="AE17"/>
      <c r="AF17" s="246"/>
      <c r="AG17"/>
      <c r="AH17"/>
      <c r="AI17"/>
      <c r="AJ17"/>
      <c r="AK17"/>
      <c r="AL17"/>
      <c r="AM17"/>
      <c r="AN17"/>
      <c r="AO17"/>
      <c r="AP17"/>
      <c r="AQ17"/>
      <c r="AR17"/>
      <c r="AS17"/>
      <c r="AT17"/>
      <c r="AU17"/>
      <c r="AV17"/>
      <c r="AW17"/>
      <c r="AX17"/>
      <c r="AY17"/>
      <c r="AZ17"/>
      <c r="BA17"/>
    </row>
    <row r="18" spans="1:53" ht="16.5" thickBot="1" x14ac:dyDescent="0.25">
      <c r="A18" s="15"/>
      <c r="B18" s="2"/>
      <c r="C18" s="1715" t="s">
        <v>3095</v>
      </c>
      <c r="D18" s="1715"/>
      <c r="E18" s="19"/>
      <c r="F18" s="205"/>
      <c r="G18" s="808">
        <f>ROUND(+G13*($D15/100),0)</f>
        <v>0</v>
      </c>
      <c r="H18" s="75"/>
      <c r="I18" s="19"/>
      <c r="J18" s="808">
        <f>ROUND(+J13*($D15/100),0)</f>
        <v>0</v>
      </c>
      <c r="K18" s="75"/>
      <c r="L18" s="172"/>
      <c r="M18" s="172"/>
      <c r="N18" s="206"/>
      <c r="O18" s="459"/>
      <c r="P18" s="459"/>
      <c r="Q18" s="423"/>
      <c r="R18" s="205"/>
      <c r="S18" s="808">
        <f>ROUND(+S13*($P$15/100),0)</f>
        <v>0</v>
      </c>
      <c r="T18" s="75"/>
      <c r="U18" s="19"/>
      <c r="V18" s="808">
        <f>ROUND(+V13*($P$15/100),0)</f>
        <v>0</v>
      </c>
      <c r="W18" s="75"/>
      <c r="X18" s="172"/>
      <c r="Y18" s="172"/>
      <c r="Z18" s="206"/>
      <c r="AA18" s="177"/>
      <c r="AB18" s="809">
        <f>G18+J18+S18+V18</f>
        <v>0</v>
      </c>
      <c r="AC18" s="177"/>
      <c r="AD18" s="67"/>
      <c r="AE18"/>
      <c r="AF18" s="245">
        <f>IF(+G18+J18+S18+V18-AB18=0,0,1)</f>
        <v>0</v>
      </c>
      <c r="AG18"/>
      <c r="AH18"/>
      <c r="AI18" s="231"/>
      <c r="AJ18"/>
      <c r="AK18"/>
      <c r="AL18"/>
      <c r="AM18"/>
      <c r="AN18"/>
      <c r="AO18"/>
      <c r="AP18"/>
      <c r="AQ18"/>
      <c r="AR18"/>
      <c r="AS18"/>
      <c r="AT18"/>
      <c r="AU18"/>
      <c r="AV18"/>
      <c r="AW18"/>
      <c r="AX18"/>
      <c r="AY18"/>
      <c r="AZ18"/>
      <c r="BA18"/>
    </row>
    <row r="19" spans="1:53" ht="16.5" thickBot="1" x14ac:dyDescent="0.25">
      <c r="A19" s="15"/>
      <c r="B19" s="2"/>
      <c r="C19" s="10"/>
      <c r="D19" s="10"/>
      <c r="E19" s="19"/>
      <c r="F19" s="207"/>
      <c r="G19" s="208"/>
      <c r="H19" s="209"/>
      <c r="I19" s="909"/>
      <c r="J19" s="208"/>
      <c r="K19" s="209"/>
      <c r="L19" s="210"/>
      <c r="M19" s="210"/>
      <c r="N19" s="212"/>
      <c r="O19" s="459"/>
      <c r="P19" s="459"/>
      <c r="Q19" s="423"/>
      <c r="R19" s="207"/>
      <c r="S19" s="208"/>
      <c r="T19" s="209"/>
      <c r="U19" s="909"/>
      <c r="V19" s="208"/>
      <c r="W19" s="209"/>
      <c r="X19" s="210"/>
      <c r="Y19" s="210"/>
      <c r="Z19" s="212"/>
      <c r="AA19" s="177"/>
      <c r="AB19" s="177"/>
      <c r="AC19" s="177"/>
      <c r="AD19" s="67"/>
      <c r="AE19"/>
      <c r="AF19" s="245">
        <f>IF(+G18+G22-G25=0,0,1)</f>
        <v>0</v>
      </c>
      <c r="AG19"/>
      <c r="AH19"/>
      <c r="AI19"/>
      <c r="AJ19"/>
      <c r="AK19"/>
      <c r="AL19"/>
      <c r="AM19"/>
      <c r="AN19"/>
      <c r="AO19"/>
      <c r="AP19"/>
      <c r="AQ19"/>
      <c r="AR19"/>
      <c r="AS19"/>
      <c r="AT19"/>
      <c r="AU19"/>
      <c r="AV19"/>
      <c r="AW19"/>
      <c r="AX19"/>
      <c r="AY19"/>
      <c r="AZ19"/>
      <c r="BA19"/>
    </row>
    <row r="20" spans="1:53" ht="16.5" thickBot="1" x14ac:dyDescent="0.25">
      <c r="A20" s="827"/>
      <c r="B20" s="2"/>
      <c r="C20" s="10" t="s">
        <v>699</v>
      </c>
      <c r="D20" s="10"/>
      <c r="E20" s="19"/>
      <c r="F20" s="941"/>
      <c r="G20" s="940"/>
      <c r="H20" s="942"/>
      <c r="I20" s="941"/>
      <c r="J20" s="940"/>
      <c r="K20" s="942"/>
      <c r="L20" s="943"/>
      <c r="M20" s="943"/>
      <c r="N20" s="944"/>
      <c r="O20" s="459"/>
      <c r="P20" s="459"/>
      <c r="Q20" s="423"/>
      <c r="R20" s="941"/>
      <c r="S20" s="940"/>
      <c r="T20" s="942"/>
      <c r="U20" s="941"/>
      <c r="V20" s="940"/>
      <c r="W20" s="942"/>
      <c r="X20" s="943"/>
      <c r="Y20" s="943"/>
      <c r="Z20" s="944"/>
      <c r="AA20" s="177"/>
      <c r="AB20" s="177"/>
      <c r="AC20" s="177"/>
      <c r="AD20" s="867"/>
      <c r="AE20"/>
      <c r="AF20" s="245">
        <f>IF(+J18+J22-J25=0,0,1)</f>
        <v>0</v>
      </c>
      <c r="AG20"/>
      <c r="AH20"/>
      <c r="AI20"/>
      <c r="AJ20"/>
      <c r="AK20"/>
      <c r="AL20"/>
      <c r="AM20"/>
      <c r="AN20"/>
      <c r="AO20"/>
      <c r="AP20"/>
      <c r="AQ20"/>
      <c r="AR20"/>
      <c r="AS20"/>
      <c r="AT20"/>
      <c r="AU20"/>
      <c r="AV20"/>
      <c r="AW20"/>
      <c r="AX20"/>
      <c r="AY20"/>
      <c r="AZ20"/>
      <c r="BA20"/>
    </row>
    <row r="21" spans="1:53" ht="15.75" x14ac:dyDescent="0.2">
      <c r="A21" s="827"/>
      <c r="B21" s="2"/>
      <c r="C21" s="10"/>
      <c r="D21" s="10"/>
      <c r="E21" s="19"/>
      <c r="F21" s="205"/>
      <c r="G21" s="74"/>
      <c r="H21" s="868"/>
      <c r="I21" s="19"/>
      <c r="J21" s="74"/>
      <c r="K21" s="868"/>
      <c r="L21" s="172"/>
      <c r="M21" s="172"/>
      <c r="N21" s="206"/>
      <c r="O21" s="459"/>
      <c r="P21" s="459"/>
      <c r="Q21" s="423"/>
      <c r="R21" s="205"/>
      <c r="S21" s="74"/>
      <c r="T21" s="868"/>
      <c r="U21" s="19"/>
      <c r="V21" s="74"/>
      <c r="W21" s="868"/>
      <c r="X21" s="172"/>
      <c r="Y21" s="172"/>
      <c r="Z21" s="206"/>
      <c r="AA21" s="177"/>
      <c r="AB21" s="177"/>
      <c r="AC21" s="177"/>
      <c r="AD21" s="867"/>
      <c r="AE21"/>
      <c r="AF21" s="245">
        <f>IF(+S18+S22-S25=0,0,1)</f>
        <v>0</v>
      </c>
      <c r="AG21"/>
      <c r="AH21"/>
      <c r="AI21"/>
      <c r="AJ21"/>
      <c r="AK21"/>
      <c r="AL21"/>
      <c r="AM21"/>
      <c r="AN21"/>
      <c r="AO21"/>
      <c r="AP21"/>
      <c r="AQ21"/>
      <c r="AR21"/>
      <c r="AS21"/>
      <c r="AT21"/>
      <c r="AU21"/>
      <c r="AV21"/>
      <c r="AW21"/>
      <c r="AX21"/>
      <c r="AY21"/>
      <c r="AZ21"/>
      <c r="BA21"/>
    </row>
    <row r="22" spans="1:53" ht="16.5" thickBot="1" x14ac:dyDescent="0.25">
      <c r="A22" s="15"/>
      <c r="B22" s="2"/>
      <c r="C22" s="1722" t="s">
        <v>3063</v>
      </c>
      <c r="D22" s="1722"/>
      <c r="E22" s="19"/>
      <c r="F22" s="205"/>
      <c r="G22" s="807">
        <v>0</v>
      </c>
      <c r="H22" s="75"/>
      <c r="I22" s="19"/>
      <c r="J22" s="807">
        <v>0</v>
      </c>
      <c r="K22" s="75"/>
      <c r="L22" s="172"/>
      <c r="M22" s="172"/>
      <c r="N22" s="206"/>
      <c r="O22" s="459"/>
      <c r="P22" s="459"/>
      <c r="Q22" s="423"/>
      <c r="R22" s="205"/>
      <c r="S22" s="807">
        <v>0</v>
      </c>
      <c r="T22" s="75"/>
      <c r="U22" s="19"/>
      <c r="V22" s="807">
        <v>0</v>
      </c>
      <c r="W22" s="75"/>
      <c r="X22" s="172"/>
      <c r="Y22" s="172"/>
      <c r="Z22" s="206"/>
      <c r="AA22" s="177"/>
      <c r="AB22" s="809">
        <f>G22+J22+S22+V22</f>
        <v>0</v>
      </c>
      <c r="AC22" s="177"/>
      <c r="AD22" s="67"/>
      <c r="AE22"/>
      <c r="AF22" s="245">
        <f>IF(+V18+V22-V25=0,0,1)</f>
        <v>0</v>
      </c>
      <c r="AG22"/>
      <c r="AH22"/>
      <c r="AI22" s="231"/>
      <c r="AJ22"/>
      <c r="AK22"/>
      <c r="AL22"/>
      <c r="AM22"/>
      <c r="AN22"/>
      <c r="AO22"/>
      <c r="AP22"/>
      <c r="AQ22"/>
      <c r="AR22"/>
      <c r="AS22"/>
      <c r="AT22"/>
      <c r="AU22"/>
      <c r="AV22"/>
      <c r="AW22"/>
      <c r="AX22"/>
      <c r="AY22"/>
      <c r="AZ22"/>
      <c r="BA22"/>
    </row>
    <row r="23" spans="1:53" ht="15.75" x14ac:dyDescent="0.2">
      <c r="A23" s="15"/>
      <c r="B23" s="2"/>
      <c r="C23" s="1722"/>
      <c r="D23" s="1722"/>
      <c r="E23" s="19"/>
      <c r="F23" s="205"/>
      <c r="G23" s="74"/>
      <c r="H23" s="75"/>
      <c r="I23" s="19"/>
      <c r="J23" s="74"/>
      <c r="K23" s="75"/>
      <c r="L23" s="172"/>
      <c r="M23" s="173"/>
      <c r="N23" s="206"/>
      <c r="O23" s="459"/>
      <c r="P23" s="459"/>
      <c r="Q23" s="423"/>
      <c r="R23" s="205"/>
      <c r="S23" s="74"/>
      <c r="T23" s="75"/>
      <c r="U23" s="19"/>
      <c r="V23" s="74"/>
      <c r="W23" s="75"/>
      <c r="X23" s="172"/>
      <c r="Y23" s="173"/>
      <c r="Z23" s="206"/>
      <c r="AA23" s="177"/>
      <c r="AB23" s="177"/>
      <c r="AC23" s="177"/>
      <c r="AD23" s="67"/>
      <c r="AE23"/>
      <c r="AF23" s="252">
        <f>IF(+G22+J22+S22+V22-AB22=0,0,1)</f>
        <v>0</v>
      </c>
      <c r="AG23"/>
      <c r="AH23"/>
      <c r="AI23"/>
      <c r="AJ23"/>
      <c r="AK23"/>
      <c r="AL23"/>
      <c r="AM23"/>
      <c r="AN23"/>
      <c r="AO23"/>
      <c r="AP23"/>
      <c r="AQ23"/>
      <c r="AR23"/>
      <c r="AS23"/>
      <c r="AT23"/>
      <c r="AU23"/>
      <c r="AV23"/>
      <c r="AW23"/>
      <c r="AX23"/>
      <c r="AY23"/>
      <c r="AZ23"/>
      <c r="BA23"/>
    </row>
    <row r="24" spans="1:53" ht="16.5" thickBot="1" x14ac:dyDescent="0.25">
      <c r="A24" s="15"/>
      <c r="B24" s="2"/>
      <c r="C24" s="10"/>
      <c r="D24" s="10"/>
      <c r="E24" s="19"/>
      <c r="F24" s="205"/>
      <c r="G24" s="74"/>
      <c r="H24" s="75"/>
      <c r="I24" s="19"/>
      <c r="J24" s="74"/>
      <c r="K24" s="75"/>
      <c r="L24" s="172"/>
      <c r="M24" s="173"/>
      <c r="N24" s="206"/>
      <c r="O24" s="459"/>
      <c r="P24" s="459"/>
      <c r="Q24" s="423"/>
      <c r="R24" s="205"/>
      <c r="S24" s="74"/>
      <c r="T24" s="75"/>
      <c r="U24" s="19"/>
      <c r="V24" s="74"/>
      <c r="W24" s="75"/>
      <c r="X24" s="172"/>
      <c r="Y24" s="173"/>
      <c r="Z24" s="206"/>
      <c r="AA24" s="177"/>
      <c r="AB24" s="177"/>
      <c r="AC24" s="177"/>
      <c r="AD24" s="67"/>
      <c r="AE24"/>
      <c r="AF24" s="246"/>
      <c r="AG24"/>
      <c r="AH24"/>
      <c r="AI24"/>
      <c r="AJ24"/>
      <c r="AK24"/>
      <c r="AL24"/>
      <c r="AM24"/>
      <c r="AN24"/>
      <c r="AO24"/>
      <c r="AP24"/>
      <c r="AQ24"/>
      <c r="AR24"/>
      <c r="AS24"/>
      <c r="AT24"/>
      <c r="AU24"/>
      <c r="AV24"/>
      <c r="AW24"/>
      <c r="AX24"/>
      <c r="AY24"/>
      <c r="AZ24"/>
      <c r="BA24"/>
    </row>
    <row r="25" spans="1:53" ht="16.5" thickBot="1" x14ac:dyDescent="0.25">
      <c r="A25" s="15"/>
      <c r="B25" s="2"/>
      <c r="C25" s="1715" t="s">
        <v>3096</v>
      </c>
      <c r="D25" s="1715"/>
      <c r="E25" s="19"/>
      <c r="F25" s="205"/>
      <c r="G25" s="808">
        <f>+G18+G22</f>
        <v>0</v>
      </c>
      <c r="H25" s="75"/>
      <c r="I25" s="19"/>
      <c r="J25" s="808">
        <f>+J18+J22</f>
        <v>0</v>
      </c>
      <c r="K25" s="75"/>
      <c r="L25" s="172"/>
      <c r="M25" s="809">
        <f>+G25+J25</f>
        <v>0</v>
      </c>
      <c r="N25" s="206"/>
      <c r="O25" s="459"/>
      <c r="P25" s="459"/>
      <c r="Q25" s="423"/>
      <c r="R25" s="205"/>
      <c r="S25" s="808">
        <f>+S18+S22</f>
        <v>0</v>
      </c>
      <c r="T25" s="75"/>
      <c r="U25" s="19"/>
      <c r="V25" s="808">
        <f>+V18+V22</f>
        <v>0</v>
      </c>
      <c r="W25" s="75"/>
      <c r="X25" s="172"/>
      <c r="Y25" s="809">
        <f>+S25+V25</f>
        <v>0</v>
      </c>
      <c r="Z25" s="206"/>
      <c r="AA25" s="177"/>
      <c r="AB25" s="809">
        <f>Y25+M25</f>
        <v>0</v>
      </c>
      <c r="AC25" s="177"/>
      <c r="AD25" s="67"/>
      <c r="AE25"/>
      <c r="AF25" s="245">
        <f>IF(+G25+J25+S25+V25-AB25=0,0,1)</f>
        <v>0</v>
      </c>
      <c r="AG25"/>
      <c r="AH25" s="137"/>
      <c r="AI25" s="231"/>
      <c r="AJ25"/>
      <c r="AK25"/>
      <c r="AL25"/>
      <c r="AM25"/>
      <c r="AN25"/>
      <c r="AO25"/>
      <c r="AP25"/>
      <c r="AQ25"/>
      <c r="AR25"/>
      <c r="AS25"/>
      <c r="AT25"/>
      <c r="AU25"/>
      <c r="AV25"/>
      <c r="AW25"/>
      <c r="AX25"/>
      <c r="AY25"/>
      <c r="AZ25"/>
      <c r="BA25"/>
    </row>
    <row r="26" spans="1:53" ht="16.5" thickBot="1" x14ac:dyDescent="0.25">
      <c r="A26" s="15"/>
      <c r="B26" s="6"/>
      <c r="C26" s="19"/>
      <c r="D26" s="19"/>
      <c r="E26" s="19"/>
      <c r="F26" s="207"/>
      <c r="G26" s="208"/>
      <c r="H26" s="209"/>
      <c r="I26" s="208"/>
      <c r="J26" s="208"/>
      <c r="K26" s="209"/>
      <c r="L26" s="210"/>
      <c r="M26" s="211"/>
      <c r="N26" s="212"/>
      <c r="O26" s="423"/>
      <c r="P26" s="423"/>
      <c r="Q26" s="423"/>
      <c r="R26" s="207"/>
      <c r="S26" s="208"/>
      <c r="T26" s="209"/>
      <c r="U26" s="208"/>
      <c r="V26" s="208"/>
      <c r="W26" s="209"/>
      <c r="X26" s="210"/>
      <c r="Y26" s="211"/>
      <c r="Z26" s="212"/>
      <c r="AA26" s="177"/>
      <c r="AB26" s="177"/>
      <c r="AC26" s="177"/>
      <c r="AD26" s="67"/>
      <c r="AE26"/>
      <c r="AF26" s="246"/>
      <c r="AG26"/>
      <c r="AH26"/>
      <c r="AI26"/>
      <c r="AJ26"/>
      <c r="AK26"/>
      <c r="AL26"/>
      <c r="AM26"/>
      <c r="AN26"/>
      <c r="AO26"/>
      <c r="AP26"/>
      <c r="AQ26"/>
      <c r="AR26"/>
      <c r="AS26"/>
      <c r="AT26"/>
      <c r="AU26"/>
      <c r="AV26"/>
      <c r="AW26"/>
      <c r="AX26"/>
      <c r="AY26"/>
      <c r="AZ26"/>
      <c r="BA26"/>
    </row>
    <row r="27" spans="1:53" ht="15.75" x14ac:dyDescent="0.2">
      <c r="A27" s="827"/>
      <c r="B27" s="6"/>
      <c r="C27" s="19"/>
      <c r="D27" s="19"/>
      <c r="E27" s="19"/>
      <c r="F27" s="19"/>
      <c r="G27" s="74"/>
      <c r="H27" s="73"/>
      <c r="I27" s="74"/>
      <c r="J27" s="74"/>
      <c r="K27" s="73"/>
      <c r="L27" s="172"/>
      <c r="M27" s="173"/>
      <c r="N27" s="177"/>
      <c r="O27" s="423"/>
      <c r="P27" s="423"/>
      <c r="Q27" s="423"/>
      <c r="R27" s="19"/>
      <c r="S27" s="74"/>
      <c r="T27" s="73"/>
      <c r="U27" s="74"/>
      <c r="V27" s="74"/>
      <c r="W27" s="73"/>
      <c r="X27" s="172"/>
      <c r="Y27" s="173"/>
      <c r="Z27" s="177"/>
      <c r="AA27" s="177"/>
      <c r="AB27" s="177"/>
      <c r="AC27" s="177"/>
      <c r="AD27" s="578"/>
      <c r="AE27"/>
      <c r="AF27" s="246"/>
      <c r="AG27"/>
      <c r="AH27"/>
      <c r="AI27"/>
      <c r="AJ27"/>
      <c r="AK27"/>
      <c r="AL27"/>
      <c r="AM27"/>
      <c r="AN27"/>
      <c r="AO27"/>
      <c r="AP27"/>
      <c r="AQ27"/>
      <c r="AR27"/>
      <c r="AS27"/>
      <c r="AT27"/>
      <c r="AU27"/>
      <c r="AV27"/>
      <c r="AW27"/>
      <c r="AX27"/>
      <c r="AY27"/>
      <c r="AZ27"/>
      <c r="BA27"/>
    </row>
    <row r="28" spans="1:53" ht="16.5" thickBot="1" x14ac:dyDescent="0.3">
      <c r="A28" s="827"/>
      <c r="B28" s="2"/>
      <c r="C28" s="453" t="s">
        <v>3074</v>
      </c>
      <c r="D28" s="10"/>
      <c r="E28" s="19"/>
      <c r="F28" s="19"/>
      <c r="G28" s="865"/>
      <c r="H28" s="911"/>
      <c r="I28" s="912"/>
      <c r="J28" s="865"/>
      <c r="K28" s="912"/>
      <c r="L28" s="913"/>
      <c r="M28" s="914"/>
      <c r="N28" s="177"/>
      <c r="O28" s="423"/>
      <c r="P28" s="423"/>
      <c r="Q28" s="423"/>
      <c r="R28" s="19"/>
      <c r="S28" s="865"/>
      <c r="T28" s="911"/>
      <c r="U28" s="912"/>
      <c r="V28" s="865"/>
      <c r="W28" s="912"/>
      <c r="X28" s="915"/>
      <c r="Y28" s="914"/>
      <c r="Z28" s="177"/>
      <c r="AA28" s="177"/>
      <c r="AB28" s="914"/>
      <c r="AC28" s="177"/>
      <c r="AD28" s="867"/>
      <c r="AE28"/>
      <c r="AF28" s="246"/>
      <c r="AG28"/>
      <c r="AH28"/>
      <c r="AI28"/>
      <c r="AJ28"/>
      <c r="AK28"/>
      <c r="AL28"/>
      <c r="AM28"/>
      <c r="AN28"/>
      <c r="AO28"/>
      <c r="AP28"/>
      <c r="AQ28"/>
      <c r="AR28"/>
      <c r="AS28"/>
      <c r="AT28"/>
      <c r="AU28"/>
      <c r="AV28"/>
      <c r="AW28"/>
      <c r="AX28"/>
      <c r="AY28"/>
      <c r="AZ28"/>
      <c r="BA28"/>
    </row>
    <row r="29" spans="1:53" ht="16.5" customHeight="1" thickBot="1" x14ac:dyDescent="0.25">
      <c r="A29" s="572"/>
      <c r="B29" s="338"/>
      <c r="C29" s="1776" t="s">
        <v>877</v>
      </c>
      <c r="D29" s="1776"/>
      <c r="E29" s="423"/>
      <c r="F29" s="423"/>
      <c r="G29" s="812">
        <v>0</v>
      </c>
      <c r="H29" s="573"/>
      <c r="I29" s="423"/>
      <c r="J29" s="812">
        <v>0</v>
      </c>
      <c r="K29" s="423"/>
      <c r="L29" s="762"/>
      <c r="M29" s="810">
        <f>+G29+J29</f>
        <v>0</v>
      </c>
      <c r="N29" s="764"/>
      <c r="O29" s="338"/>
      <c r="P29" s="338"/>
      <c r="Q29" s="423"/>
      <c r="R29" s="423"/>
      <c r="S29" s="812">
        <v>0</v>
      </c>
      <c r="T29" s="573"/>
      <c r="U29" s="423"/>
      <c r="V29" s="812">
        <v>0</v>
      </c>
      <c r="W29" s="423"/>
      <c r="X29" s="762"/>
      <c r="Y29" s="810">
        <f>+S29+V29</f>
        <v>0</v>
      </c>
      <c r="Z29" s="764"/>
      <c r="AA29" s="764"/>
      <c r="AB29" s="809">
        <f>Y29+M29</f>
        <v>0</v>
      </c>
      <c r="AC29" s="764"/>
      <c r="AD29" s="67"/>
      <c r="AE29"/>
      <c r="AF29" s="245">
        <f>IF(+G29+J29+S29+V29-AB29=0,0,1)</f>
        <v>0</v>
      </c>
      <c r="AG29"/>
      <c r="AH29" s="137"/>
      <c r="AI29" s="231"/>
      <c r="AJ29"/>
      <c r="AK29"/>
      <c r="AL29"/>
      <c r="AM29"/>
      <c r="AN29"/>
      <c r="AO29"/>
      <c r="AP29"/>
      <c r="AQ29"/>
      <c r="AR29"/>
      <c r="AS29"/>
      <c r="AT29"/>
      <c r="AU29"/>
      <c r="AV29"/>
      <c r="AW29"/>
      <c r="AX29"/>
      <c r="AY29"/>
      <c r="AZ29"/>
      <c r="BA29"/>
    </row>
    <row r="30" spans="1:53" ht="15.75" customHeight="1" x14ac:dyDescent="0.2">
      <c r="A30" s="572"/>
      <c r="B30" s="338"/>
      <c r="C30" s="1776"/>
      <c r="D30" s="1776"/>
      <c r="E30" s="423"/>
      <c r="F30" s="423"/>
      <c r="G30" s="423"/>
      <c r="H30" s="423"/>
      <c r="I30" s="423"/>
      <c r="J30" s="423"/>
      <c r="K30" s="423"/>
      <c r="L30" s="762"/>
      <c r="M30" s="763"/>
      <c r="N30" s="764"/>
      <c r="O30" s="338"/>
      <c r="P30" s="338"/>
      <c r="Q30" s="423"/>
      <c r="R30" s="423"/>
      <c r="S30" s="423"/>
      <c r="T30" s="423"/>
      <c r="U30" s="423"/>
      <c r="V30" s="423"/>
      <c r="W30" s="423"/>
      <c r="X30" s="762"/>
      <c r="Y30" s="763"/>
      <c r="Z30" s="764"/>
      <c r="AA30" s="764"/>
      <c r="AB30" s="764"/>
      <c r="AC30" s="764"/>
      <c r="AD30" s="67"/>
      <c r="AE30"/>
      <c r="AF30" s="246"/>
      <c r="AG30"/>
      <c r="AH30"/>
      <c r="AI30" s="231"/>
      <c r="AJ30"/>
      <c r="AK30"/>
      <c r="AL30"/>
      <c r="AM30"/>
      <c r="AN30"/>
      <c r="AO30"/>
      <c r="AP30"/>
      <c r="AQ30"/>
      <c r="AR30"/>
      <c r="AS30"/>
      <c r="AT30"/>
      <c r="AU30"/>
      <c r="AV30"/>
      <c r="AW30"/>
      <c r="AX30"/>
      <c r="AY30"/>
      <c r="AZ30"/>
      <c r="BA30"/>
    </row>
    <row r="31" spans="1:53" ht="15.75" customHeight="1" x14ac:dyDescent="0.2">
      <c r="A31" s="572"/>
      <c r="B31" s="338"/>
      <c r="C31" s="757"/>
      <c r="D31" s="757"/>
      <c r="E31" s="423"/>
      <c r="F31" s="423"/>
      <c r="G31" s="573"/>
      <c r="H31" s="573"/>
      <c r="I31" s="573"/>
      <c r="J31" s="573"/>
      <c r="K31" s="573"/>
      <c r="L31" s="762"/>
      <c r="M31" s="762"/>
      <c r="N31" s="764"/>
      <c r="O31" s="757"/>
      <c r="P31" s="757"/>
      <c r="Q31" s="423"/>
      <c r="R31" s="423"/>
      <c r="S31" s="573"/>
      <c r="T31" s="573"/>
      <c r="U31" s="573"/>
      <c r="V31" s="573"/>
      <c r="W31" s="573"/>
      <c r="X31" s="762"/>
      <c r="Y31" s="762"/>
      <c r="Z31" s="764"/>
      <c r="AA31" s="764"/>
      <c r="AB31" s="764"/>
      <c r="AC31" s="764"/>
      <c r="AD31" s="67"/>
      <c r="AE31"/>
      <c r="AF31" s="246"/>
      <c r="AG31"/>
      <c r="AH31"/>
      <c r="AI31"/>
      <c r="AJ31" s="1783"/>
      <c r="AK31" s="1783"/>
      <c r="AL31" s="1783"/>
      <c r="AM31" s="1783"/>
      <c r="AN31" s="1783"/>
      <c r="AO31" s="1783"/>
      <c r="AP31" s="1783"/>
      <c r="AQ31"/>
      <c r="AR31"/>
      <c r="AS31"/>
      <c r="AT31"/>
      <c r="AU31"/>
      <c r="AV31"/>
      <c r="AW31"/>
      <c r="AX31"/>
      <c r="AY31"/>
      <c r="AZ31"/>
      <c r="BA31"/>
    </row>
    <row r="32" spans="1:53" ht="15.75" customHeight="1" thickBot="1" x14ac:dyDescent="0.25">
      <c r="A32" s="572"/>
      <c r="B32" s="338"/>
      <c r="C32" s="756"/>
      <c r="D32" s="756"/>
      <c r="E32" s="423"/>
      <c r="F32" s="423"/>
      <c r="G32" s="573"/>
      <c r="H32" s="573"/>
      <c r="I32" s="573"/>
      <c r="J32" s="573"/>
      <c r="K32" s="573"/>
      <c r="L32" s="762"/>
      <c r="M32" s="762"/>
      <c r="N32" s="764"/>
      <c r="O32" s="756"/>
      <c r="P32" s="756"/>
      <c r="Q32" s="423"/>
      <c r="R32" s="423"/>
      <c r="S32" s="573"/>
      <c r="T32" s="573"/>
      <c r="U32" s="573"/>
      <c r="V32" s="573"/>
      <c r="W32" s="573"/>
      <c r="X32" s="762"/>
      <c r="Y32" s="762"/>
      <c r="Z32" s="764"/>
      <c r="AA32" s="764"/>
      <c r="AB32" s="764"/>
      <c r="AC32" s="764"/>
      <c r="AD32" s="67"/>
      <c r="AE32"/>
      <c r="AF32" s="246"/>
      <c r="AG32"/>
      <c r="AH32"/>
      <c r="AI32"/>
      <c r="AJ32" s="1783"/>
      <c r="AK32" s="1783"/>
      <c r="AL32" s="1783"/>
      <c r="AM32" s="1783"/>
      <c r="AN32" s="1783"/>
      <c r="AO32" s="1783"/>
      <c r="AP32" s="1783"/>
      <c r="AQ32"/>
      <c r="AR32"/>
      <c r="AS32"/>
      <c r="AT32"/>
      <c r="AU32"/>
      <c r="AV32"/>
      <c r="AW32"/>
      <c r="AX32"/>
      <c r="AY32"/>
      <c r="AZ32"/>
      <c r="BA32"/>
    </row>
    <row r="33" spans="1:53" ht="16.5" customHeight="1" thickBot="1" x14ac:dyDescent="0.25">
      <c r="A33" s="572"/>
      <c r="B33" s="338"/>
      <c r="C33" s="1769" t="s">
        <v>2672</v>
      </c>
      <c r="D33" s="1769"/>
      <c r="E33" s="423"/>
      <c r="F33" s="423"/>
      <c r="G33" s="812">
        <v>0</v>
      </c>
      <c r="H33" s="573"/>
      <c r="I33" s="423"/>
      <c r="J33" s="812">
        <v>0</v>
      </c>
      <c r="K33" s="573"/>
      <c r="L33" s="762"/>
      <c r="M33" s="762"/>
      <c r="N33" s="764"/>
      <c r="O33" s="338"/>
      <c r="P33" s="338"/>
      <c r="Q33" s="423"/>
      <c r="R33" s="423"/>
      <c r="S33" s="812">
        <v>0</v>
      </c>
      <c r="T33" s="573"/>
      <c r="U33" s="423"/>
      <c r="V33" s="812">
        <v>0</v>
      </c>
      <c r="W33" s="573"/>
      <c r="X33" s="762"/>
      <c r="Y33" s="762"/>
      <c r="Z33" s="764"/>
      <c r="AA33" s="764"/>
      <c r="AB33" s="764"/>
      <c r="AC33" s="764"/>
      <c r="AD33" s="67"/>
      <c r="AE33"/>
      <c r="AF33" s="245"/>
      <c r="AG33"/>
      <c r="AH33"/>
      <c r="AI33" s="231"/>
      <c r="AJ33"/>
      <c r="AK33"/>
      <c r="AL33"/>
      <c r="AM33"/>
      <c r="AN33"/>
      <c r="AO33"/>
      <c r="AP33"/>
      <c r="AQ33"/>
      <c r="AR33"/>
      <c r="AS33"/>
      <c r="AT33"/>
      <c r="AU33"/>
      <c r="AV33"/>
      <c r="AW33"/>
      <c r="AX33"/>
      <c r="AY33"/>
      <c r="AZ33"/>
      <c r="BA33"/>
    </row>
    <row r="34" spans="1:53" ht="15.75" customHeight="1" x14ac:dyDescent="0.2">
      <c r="A34" s="572"/>
      <c r="B34" s="338"/>
      <c r="C34" s="1769"/>
      <c r="D34" s="1769"/>
      <c r="E34" s="423"/>
      <c r="F34" s="423"/>
      <c r="G34" s="454"/>
      <c r="H34" s="573"/>
      <c r="I34" s="423"/>
      <c r="J34" s="454"/>
      <c r="K34" s="573"/>
      <c r="L34" s="762"/>
      <c r="M34" s="763"/>
      <c r="N34" s="764"/>
      <c r="O34" s="338"/>
      <c r="P34" s="338"/>
      <c r="Q34" s="423"/>
      <c r="R34" s="423"/>
      <c r="S34" s="454"/>
      <c r="T34" s="573"/>
      <c r="U34" s="423"/>
      <c r="V34" s="454"/>
      <c r="W34" s="573"/>
      <c r="X34" s="762"/>
      <c r="Y34" s="763"/>
      <c r="Z34" s="764"/>
      <c r="AA34" s="764"/>
      <c r="AB34" s="764"/>
      <c r="AC34" s="764"/>
      <c r="AD34" s="67"/>
      <c r="AE34"/>
      <c r="AF34" s="246"/>
      <c r="AG34"/>
      <c r="AH34"/>
      <c r="AI34"/>
      <c r="AJ34"/>
      <c r="AK34"/>
      <c r="AL34"/>
      <c r="AM34"/>
      <c r="AN34"/>
      <c r="AO34"/>
      <c r="AP34"/>
      <c r="AQ34"/>
      <c r="AR34"/>
      <c r="AS34"/>
      <c r="AT34"/>
      <c r="AU34"/>
      <c r="AV34"/>
      <c r="AW34"/>
      <c r="AX34"/>
      <c r="AY34"/>
      <c r="AZ34"/>
      <c r="BA34"/>
    </row>
    <row r="35" spans="1:53" ht="16.5" thickBot="1" x14ac:dyDescent="0.25">
      <c r="A35" s="572"/>
      <c r="B35" s="338"/>
      <c r="C35" s="423"/>
      <c r="D35" s="423"/>
      <c r="E35" s="423"/>
      <c r="F35" s="423"/>
      <c r="G35" s="454"/>
      <c r="H35" s="573"/>
      <c r="I35" s="573"/>
      <c r="J35" s="573"/>
      <c r="K35" s="573"/>
      <c r="L35" s="762"/>
      <c r="M35" s="763"/>
      <c r="N35" s="764"/>
      <c r="O35" s="423"/>
      <c r="P35" s="423"/>
      <c r="Q35" s="423"/>
      <c r="R35" s="423"/>
      <c r="S35" s="454"/>
      <c r="T35" s="573"/>
      <c r="U35" s="573"/>
      <c r="V35" s="573"/>
      <c r="W35" s="573"/>
      <c r="X35" s="769"/>
      <c r="Y35" s="763"/>
      <c r="Z35" s="764"/>
      <c r="AA35" s="764"/>
      <c r="AB35" s="764"/>
      <c r="AC35" s="764"/>
      <c r="AD35" s="67"/>
      <c r="AE35"/>
      <c r="AF35" s="246"/>
      <c r="AG35"/>
      <c r="AH35"/>
      <c r="AI35"/>
      <c r="AJ35"/>
      <c r="AK35"/>
      <c r="AL35"/>
      <c r="AM35"/>
      <c r="AN35"/>
      <c r="AO35"/>
      <c r="AP35"/>
      <c r="AQ35"/>
      <c r="AR35"/>
      <c r="AS35"/>
      <c r="AT35"/>
      <c r="AU35"/>
      <c r="AV35"/>
      <c r="AW35"/>
      <c r="AX35"/>
      <c r="AY35"/>
      <c r="AZ35"/>
      <c r="BA35"/>
    </row>
    <row r="36" spans="1:53" ht="15.75" x14ac:dyDescent="0.2">
      <c r="A36" s="572"/>
      <c r="B36" s="721"/>
      <c r="C36" s="718"/>
      <c r="D36" s="718"/>
      <c r="E36" s="718"/>
      <c r="F36" s="718"/>
      <c r="G36" s="758"/>
      <c r="H36" s="717"/>
      <c r="I36" s="717"/>
      <c r="J36" s="717"/>
      <c r="K36" s="717"/>
      <c r="L36" s="765"/>
      <c r="M36" s="766"/>
      <c r="N36" s="767"/>
      <c r="O36" s="718"/>
      <c r="P36" s="718"/>
      <c r="Q36" s="718"/>
      <c r="R36" s="718"/>
      <c r="S36" s="758"/>
      <c r="T36" s="717"/>
      <c r="U36" s="717"/>
      <c r="V36" s="717"/>
      <c r="W36" s="717"/>
      <c r="X36" s="765"/>
      <c r="Y36" s="766"/>
      <c r="Z36" s="767"/>
      <c r="AA36" s="764"/>
      <c r="AB36" s="764"/>
      <c r="AC36" s="764"/>
      <c r="AD36" s="67"/>
      <c r="AE36"/>
      <c r="AF36" s="246"/>
      <c r="AG36"/>
      <c r="AH36"/>
      <c r="AI36"/>
      <c r="AJ36"/>
      <c r="AK36"/>
      <c r="AL36"/>
      <c r="AM36"/>
      <c r="AN36"/>
      <c r="AO36"/>
      <c r="AP36"/>
      <c r="AQ36"/>
      <c r="AR36"/>
      <c r="AS36"/>
      <c r="AT36"/>
      <c r="AU36"/>
      <c r="AV36"/>
      <c r="AW36"/>
      <c r="AX36"/>
      <c r="AY36"/>
      <c r="AZ36"/>
      <c r="BA36"/>
    </row>
    <row r="37" spans="1:53" ht="16.5" thickBot="1" x14ac:dyDescent="0.3">
      <c r="A37" s="572"/>
      <c r="B37" s="722"/>
      <c r="C37" s="453" t="s">
        <v>3076</v>
      </c>
      <c r="D37" s="759"/>
      <c r="E37" s="423"/>
      <c r="F37" s="423"/>
      <c r="G37" s="454"/>
      <c r="H37" s="573"/>
      <c r="I37" s="573"/>
      <c r="J37" s="573"/>
      <c r="K37" s="573"/>
      <c r="L37" s="762"/>
      <c r="M37" s="763"/>
      <c r="N37" s="768"/>
      <c r="O37" s="759"/>
      <c r="P37" s="759"/>
      <c r="Q37" s="423"/>
      <c r="R37" s="423"/>
      <c r="S37" s="454"/>
      <c r="T37" s="573"/>
      <c r="U37" s="573"/>
      <c r="V37" s="573"/>
      <c r="W37" s="573"/>
      <c r="X37" s="762"/>
      <c r="Y37" s="763"/>
      <c r="Z37" s="768"/>
      <c r="AA37" s="764"/>
      <c r="AB37" s="764"/>
      <c r="AC37" s="764"/>
      <c r="AD37" s="67"/>
      <c r="AE37"/>
      <c r="AF37" s="246"/>
      <c r="AG37"/>
      <c r="AH37"/>
      <c r="AI37"/>
      <c r="AJ37"/>
      <c r="AK37"/>
      <c r="AL37"/>
      <c r="AM37"/>
      <c r="AN37"/>
      <c r="AO37"/>
      <c r="AP37"/>
      <c r="AQ37"/>
      <c r="AR37"/>
      <c r="AS37"/>
      <c r="AT37"/>
      <c r="AU37"/>
      <c r="AV37"/>
      <c r="AW37"/>
      <c r="AX37"/>
      <c r="AY37"/>
      <c r="AZ37"/>
      <c r="BA37"/>
    </row>
    <row r="38" spans="1:53" ht="16.5" thickBot="1" x14ac:dyDescent="0.25">
      <c r="A38" s="572"/>
      <c r="B38" s="722"/>
      <c r="C38" s="459" t="s">
        <v>3001</v>
      </c>
      <c r="D38" s="759"/>
      <c r="E38" s="423"/>
      <c r="F38" s="423"/>
      <c r="G38" s="811">
        <f>(G29+G33)*-1</f>
        <v>0</v>
      </c>
      <c r="H38" s="573"/>
      <c r="I38" s="573"/>
      <c r="J38" s="811">
        <f>(J29+J33)*-1</f>
        <v>0</v>
      </c>
      <c r="K38" s="573"/>
      <c r="L38" s="762"/>
      <c r="M38" s="810">
        <f>+G38+J38</f>
        <v>0</v>
      </c>
      <c r="N38" s="768"/>
      <c r="O38" s="759"/>
      <c r="P38" s="759"/>
      <c r="Q38" s="423"/>
      <c r="R38" s="423"/>
      <c r="S38" s="811">
        <f>(S29+S33)*-1</f>
        <v>0</v>
      </c>
      <c r="T38" s="573"/>
      <c r="U38" s="573"/>
      <c r="V38" s="811">
        <f>(V29+V33)*-1</f>
        <v>0</v>
      </c>
      <c r="W38" s="573"/>
      <c r="X38" s="762"/>
      <c r="Y38" s="810">
        <f>+S38+V38</f>
        <v>0</v>
      </c>
      <c r="Z38" s="768"/>
      <c r="AA38" s="764"/>
      <c r="AB38" s="809">
        <f>Y38+M38</f>
        <v>0</v>
      </c>
      <c r="AC38" s="764"/>
      <c r="AD38" s="67"/>
      <c r="AE38"/>
      <c r="AF38" s="245">
        <f>IF(+G38+J38+S38+V38-AB38=0,0,1)</f>
        <v>0</v>
      </c>
      <c r="AG38"/>
      <c r="AH38" s="137"/>
      <c r="AI38" s="231"/>
      <c r="AJ38"/>
      <c r="AK38"/>
      <c r="AL38"/>
      <c r="AM38"/>
      <c r="AN38"/>
      <c r="AO38"/>
      <c r="AP38"/>
      <c r="AQ38"/>
      <c r="AR38"/>
      <c r="AS38"/>
      <c r="AT38"/>
      <c r="AU38"/>
      <c r="AV38"/>
      <c r="AW38"/>
      <c r="AX38"/>
      <c r="AY38"/>
      <c r="AZ38"/>
      <c r="BA38"/>
    </row>
    <row r="39" spans="1:53" ht="16.5" thickBot="1" x14ac:dyDescent="0.3">
      <c r="A39" s="572"/>
      <c r="B39" s="723"/>
      <c r="C39" s="963"/>
      <c r="D39" s="502"/>
      <c r="E39" s="502"/>
      <c r="F39" s="502"/>
      <c r="G39" s="963" t="str">
        <f>IF(J38+V38='Part 3 DA summary'!Q6,"","Not equal to Part 3 DA Summary column 7")</f>
        <v/>
      </c>
      <c r="H39" s="761"/>
      <c r="I39" s="761"/>
      <c r="J39" s="761"/>
      <c r="K39" s="761"/>
      <c r="L39" s="769"/>
      <c r="M39" s="770"/>
      <c r="N39" s="771"/>
      <c r="O39" s="502"/>
      <c r="P39" s="502"/>
      <c r="Q39" s="502"/>
      <c r="R39" s="502"/>
      <c r="S39" s="760"/>
      <c r="T39" s="761"/>
      <c r="U39" s="761"/>
      <c r="V39" s="761"/>
      <c r="W39" s="761"/>
      <c r="X39" s="769"/>
      <c r="Y39" s="770"/>
      <c r="Z39" s="771"/>
      <c r="AA39" s="764"/>
      <c r="AB39" s="764"/>
      <c r="AC39" s="764"/>
      <c r="AD39" s="67"/>
      <c r="AE39"/>
      <c r="AF39" s="246"/>
      <c r="AG39"/>
      <c r="AH39"/>
      <c r="AI39"/>
      <c r="AJ39"/>
      <c r="AK39"/>
      <c r="AL39"/>
      <c r="AM39"/>
      <c r="AN39"/>
      <c r="AO39"/>
      <c r="AP39"/>
      <c r="AQ39"/>
      <c r="AR39"/>
      <c r="AS39"/>
      <c r="AT39"/>
      <c r="AU39"/>
      <c r="AV39"/>
      <c r="AW39"/>
      <c r="AX39"/>
      <c r="AY39"/>
      <c r="AZ39"/>
      <c r="BA39"/>
    </row>
    <row r="40" spans="1:53" x14ac:dyDescent="0.2">
      <c r="A40" s="15"/>
      <c r="B40" s="2"/>
      <c r="C40" s="2"/>
      <c r="D40" s="2"/>
      <c r="E40" s="2"/>
      <c r="F40" s="2"/>
      <c r="G40" s="2"/>
      <c r="H40" s="2"/>
      <c r="I40" s="19"/>
      <c r="J40" s="2"/>
      <c r="K40" s="2"/>
      <c r="L40" s="177"/>
      <c r="M40" s="177"/>
      <c r="N40" s="177"/>
      <c r="O40" s="338"/>
      <c r="P40" s="338"/>
      <c r="Q40" s="338"/>
      <c r="R40" s="2"/>
      <c r="S40" s="2"/>
      <c r="T40" s="2"/>
      <c r="U40" s="19"/>
      <c r="V40" s="2"/>
      <c r="W40" s="2"/>
      <c r="X40" s="177"/>
      <c r="Y40" s="177"/>
      <c r="Z40" s="177"/>
      <c r="AA40" s="177"/>
      <c r="AB40" s="177"/>
      <c r="AC40" s="177"/>
      <c r="AD40" s="67"/>
      <c r="AE40"/>
      <c r="AF40" s="246"/>
      <c r="AG40"/>
      <c r="AH40"/>
      <c r="AI40"/>
      <c r="AJ40"/>
      <c r="AK40"/>
      <c r="AL40"/>
      <c r="AM40"/>
      <c r="AN40"/>
      <c r="AO40"/>
      <c r="AP40"/>
      <c r="AQ40"/>
      <c r="AR40"/>
      <c r="AS40"/>
      <c r="AT40"/>
      <c r="AU40"/>
      <c r="AV40"/>
      <c r="AW40"/>
      <c r="AX40"/>
      <c r="AY40"/>
      <c r="AZ40"/>
      <c r="BA40"/>
    </row>
    <row r="41" spans="1:53" ht="15.75" customHeight="1" x14ac:dyDescent="0.25">
      <c r="A41" s="84"/>
      <c r="B41" s="73"/>
      <c r="C41" s="12" t="s">
        <v>3075</v>
      </c>
      <c r="D41" s="12"/>
      <c r="E41" s="12"/>
      <c r="F41" s="73"/>
      <c r="G41" s="73"/>
      <c r="H41" s="73"/>
      <c r="I41" s="19"/>
      <c r="J41" s="73"/>
      <c r="K41" s="73"/>
      <c r="L41" s="172"/>
      <c r="M41" s="172"/>
      <c r="N41" s="177"/>
      <c r="O41" s="453"/>
      <c r="P41" s="453"/>
      <c r="Q41" s="453"/>
      <c r="R41" s="73"/>
      <c r="S41" s="73"/>
      <c r="T41" s="73"/>
      <c r="U41" s="19"/>
      <c r="V41" s="73"/>
      <c r="W41" s="73"/>
      <c r="X41" s="172"/>
      <c r="Y41" s="172"/>
      <c r="Z41" s="177"/>
      <c r="AA41" s="177"/>
      <c r="AB41" s="177"/>
      <c r="AC41" s="177"/>
      <c r="AD41" s="67"/>
      <c r="AE41"/>
      <c r="AF41" s="246"/>
      <c r="AG41"/>
      <c r="AH41"/>
      <c r="AI41"/>
      <c r="AJ41"/>
      <c r="AK41"/>
      <c r="AL41"/>
      <c r="AM41"/>
      <c r="AN41"/>
      <c r="AO41"/>
      <c r="AP41"/>
      <c r="AQ41"/>
      <c r="AR41"/>
      <c r="AS41"/>
      <c r="AT41"/>
      <c r="AU41"/>
      <c r="AV41"/>
      <c r="AW41"/>
      <c r="AX41"/>
      <c r="AY41"/>
      <c r="AZ41"/>
      <c r="BA41"/>
    </row>
    <row r="42" spans="1:53" x14ac:dyDescent="0.2">
      <c r="A42" s="15"/>
      <c r="B42" s="2"/>
      <c r="C42" s="10"/>
      <c r="D42" s="19"/>
      <c r="E42" s="19"/>
      <c r="F42" s="19"/>
      <c r="G42" s="73"/>
      <c r="H42" s="73"/>
      <c r="I42" s="19"/>
      <c r="J42" s="73"/>
      <c r="K42" s="73"/>
      <c r="L42" s="172"/>
      <c r="M42" s="172"/>
      <c r="N42" s="177"/>
      <c r="O42" s="423"/>
      <c r="P42" s="423"/>
      <c r="Q42" s="423"/>
      <c r="R42" s="19"/>
      <c r="S42" s="73"/>
      <c r="T42" s="73"/>
      <c r="U42" s="19"/>
      <c r="V42" s="73"/>
      <c r="W42" s="73"/>
      <c r="X42" s="172"/>
      <c r="Y42" s="172"/>
      <c r="Z42" s="177"/>
      <c r="AA42" s="177"/>
      <c r="AB42" s="177"/>
      <c r="AC42" s="177"/>
      <c r="AD42" s="67"/>
      <c r="AE42"/>
      <c r="AF42" s="246"/>
      <c r="AG42"/>
      <c r="AH42"/>
      <c r="AI42"/>
      <c r="AJ42"/>
      <c r="AK42"/>
      <c r="AL42"/>
      <c r="AM42"/>
      <c r="AN42"/>
      <c r="AO42"/>
      <c r="AP42"/>
      <c r="AQ42"/>
      <c r="AR42"/>
      <c r="AS42"/>
      <c r="AT42"/>
      <c r="AU42"/>
      <c r="AV42"/>
      <c r="AW42"/>
      <c r="AX42"/>
      <c r="AY42"/>
      <c r="AZ42"/>
      <c r="BA42"/>
    </row>
    <row r="43" spans="1:53" ht="16.5" thickBot="1" x14ac:dyDescent="0.3">
      <c r="A43" s="15"/>
      <c r="B43" s="2"/>
      <c r="C43" s="12" t="s">
        <v>690</v>
      </c>
      <c r="D43" s="10"/>
      <c r="E43" s="19"/>
      <c r="F43" s="19"/>
      <c r="G43" s="73"/>
      <c r="H43" s="73"/>
      <c r="I43" s="19"/>
      <c r="J43" s="73"/>
      <c r="K43" s="73"/>
      <c r="L43" s="172"/>
      <c r="M43" s="172"/>
      <c r="N43" s="177"/>
      <c r="O43" s="459"/>
      <c r="P43" s="459"/>
      <c r="Q43" s="423"/>
      <c r="R43" s="19"/>
      <c r="S43" s="73"/>
      <c r="T43" s="73"/>
      <c r="U43" s="19"/>
      <c r="V43" s="73"/>
      <c r="W43" s="73"/>
      <c r="X43" s="172"/>
      <c r="Y43" s="172"/>
      <c r="Z43" s="177"/>
      <c r="AA43" s="177"/>
      <c r="AB43" s="177"/>
      <c r="AC43" s="177"/>
      <c r="AD43" s="67"/>
      <c r="AE43"/>
      <c r="AF43" s="246"/>
      <c r="AG43"/>
      <c r="AH43"/>
      <c r="AI43"/>
      <c r="AJ43"/>
      <c r="AK43"/>
      <c r="AL43"/>
      <c r="AM43"/>
      <c r="AN43"/>
      <c r="AO43"/>
      <c r="AP43"/>
      <c r="AQ43"/>
      <c r="AR43"/>
      <c r="AS43"/>
      <c r="AT43"/>
      <c r="AU43"/>
      <c r="AV43"/>
      <c r="AW43"/>
      <c r="AX43"/>
      <c r="AY43"/>
      <c r="AZ43"/>
      <c r="BA43"/>
    </row>
    <row r="44" spans="1:53" ht="16.5" thickBot="1" x14ac:dyDescent="0.25">
      <c r="A44" s="15"/>
      <c r="B44" s="2"/>
      <c r="C44" s="1715" t="s">
        <v>3097</v>
      </c>
      <c r="D44" s="1715"/>
      <c r="E44" s="19"/>
      <c r="F44" s="19"/>
      <c r="G44" s="807">
        <v>0</v>
      </c>
      <c r="H44" s="73"/>
      <c r="I44" s="19"/>
      <c r="J44" s="807">
        <v>0</v>
      </c>
      <c r="K44" s="73"/>
      <c r="L44" s="172"/>
      <c r="M44" s="809">
        <f>+G44+J44</f>
        <v>0</v>
      </c>
      <c r="N44" s="177"/>
      <c r="O44" s="459"/>
      <c r="P44" s="459"/>
      <c r="Q44" s="423"/>
      <c r="R44" s="19"/>
      <c r="S44" s="828">
        <v>0</v>
      </c>
      <c r="T44" s="73"/>
      <c r="U44" s="19"/>
      <c r="V44" s="828">
        <v>0</v>
      </c>
      <c r="W44" s="73"/>
      <c r="X44" s="172"/>
      <c r="Y44" s="829">
        <f>+S44+V44</f>
        <v>0</v>
      </c>
      <c r="Z44" s="177"/>
      <c r="AA44" s="177"/>
      <c r="AB44" s="809">
        <f>Y44+M44</f>
        <v>0</v>
      </c>
      <c r="AC44" s="177"/>
      <c r="AD44" s="67"/>
      <c r="AE44"/>
      <c r="AF44" s="245">
        <f>IF(+G44+J44-M44=0,0,1)</f>
        <v>0</v>
      </c>
      <c r="AG44"/>
      <c r="AH44" s="137"/>
      <c r="AI44" s="231"/>
      <c r="AJ44"/>
      <c r="AK44"/>
      <c r="AL44"/>
      <c r="AM44"/>
      <c r="AN44"/>
      <c r="AO44"/>
      <c r="AP44"/>
      <c r="AQ44"/>
      <c r="AR44"/>
      <c r="AS44"/>
      <c r="AT44"/>
      <c r="AU44"/>
      <c r="AV44"/>
      <c r="AW44"/>
      <c r="AX44"/>
      <c r="AY44"/>
      <c r="AZ44"/>
      <c r="BA44"/>
    </row>
    <row r="45" spans="1:53" ht="16.5" thickBot="1" x14ac:dyDescent="0.3">
      <c r="A45" s="15"/>
      <c r="B45" s="2"/>
      <c r="C45" s="10"/>
      <c r="D45" s="10"/>
      <c r="E45" s="19"/>
      <c r="F45" s="19"/>
      <c r="G45" s="376">
        <f>+IF(OR(G46&lt;G44,J46&lt;J44),1,0)</f>
        <v>0</v>
      </c>
      <c r="H45" s="345"/>
      <c r="I45" s="185"/>
      <c r="J45" s="376">
        <f>+IF(OR(J46&lt;J44,M46&lt;M44),1,0)</f>
        <v>0</v>
      </c>
      <c r="K45" s="345" t="s">
        <v>909</v>
      </c>
      <c r="L45" s="346"/>
      <c r="M45" s="346"/>
      <c r="N45" s="177"/>
      <c r="O45" s="459"/>
      <c r="P45" s="459"/>
      <c r="Q45" s="423"/>
      <c r="R45" s="19"/>
      <c r="S45" s="376">
        <f>+IF(OR(S46&lt;S44,V46&lt;V44),1,0)</f>
        <v>0</v>
      </c>
      <c r="T45" s="345"/>
      <c r="U45" s="185"/>
      <c r="V45" s="376">
        <f>+IF(OR(V46&lt;V44,Y46&lt;Y44),1,0)</f>
        <v>0</v>
      </c>
      <c r="W45" s="345" t="s">
        <v>909</v>
      </c>
      <c r="X45" s="346"/>
      <c r="Y45" s="346"/>
      <c r="Z45" s="177"/>
      <c r="AA45" s="177"/>
      <c r="AB45" s="177"/>
      <c r="AC45" s="177"/>
      <c r="AD45" s="67"/>
      <c r="AE45"/>
      <c r="AF45" s="246"/>
      <c r="AG45"/>
      <c r="AH45"/>
      <c r="AI45"/>
      <c r="AJ45"/>
      <c r="AK45"/>
      <c r="AL45"/>
      <c r="AM45"/>
      <c r="AN45"/>
      <c r="AO45"/>
      <c r="AP45"/>
      <c r="AQ45"/>
      <c r="AR45"/>
      <c r="AS45"/>
      <c r="AT45"/>
      <c r="AU45"/>
      <c r="AV45"/>
      <c r="AW45"/>
      <c r="AX45"/>
      <c r="AY45"/>
      <c r="AZ45"/>
      <c r="BA45"/>
    </row>
    <row r="46" spans="1:53" ht="16.5" customHeight="1" thickBot="1" x14ac:dyDescent="0.25">
      <c r="A46" s="15"/>
      <c r="B46" s="2"/>
      <c r="C46" s="1778" t="s">
        <v>3002</v>
      </c>
      <c r="D46" s="1778"/>
      <c r="E46" s="738"/>
      <c r="F46" s="738"/>
      <c r="G46" s="807">
        <v>0</v>
      </c>
      <c r="H46" s="740"/>
      <c r="I46" s="738"/>
      <c r="J46" s="807">
        <v>0</v>
      </c>
      <c r="K46" s="740"/>
      <c r="L46" s="740"/>
      <c r="M46" s="809">
        <f>+G46+J46</f>
        <v>0</v>
      </c>
      <c r="N46" s="742"/>
      <c r="O46" s="338"/>
      <c r="P46" s="338"/>
      <c r="Q46" s="423"/>
      <c r="R46" s="738"/>
      <c r="S46" s="828">
        <v>0</v>
      </c>
      <c r="T46" s="740"/>
      <c r="U46" s="738"/>
      <c r="V46" s="828">
        <v>0</v>
      </c>
      <c r="W46" s="740"/>
      <c r="X46" s="740"/>
      <c r="Y46" s="829">
        <f>+S46+V46</f>
        <v>0</v>
      </c>
      <c r="Z46" s="742"/>
      <c r="AA46" s="742"/>
      <c r="AB46" s="809">
        <f>Y46+M46</f>
        <v>0</v>
      </c>
      <c r="AC46" s="764"/>
      <c r="AD46" s="575"/>
      <c r="AE46"/>
      <c r="AF46" s="245">
        <f>IF(+G46+J46-M46=0,0,1)</f>
        <v>0</v>
      </c>
      <c r="AG46"/>
      <c r="AH46" s="137"/>
      <c r="AI46" s="231"/>
      <c r="AJ46"/>
      <c r="AK46"/>
      <c r="AL46"/>
      <c r="AM46"/>
      <c r="AN46"/>
      <c r="AO46"/>
      <c r="AP46"/>
      <c r="AQ46"/>
      <c r="AR46"/>
      <c r="AS46"/>
      <c r="AT46"/>
      <c r="AU46"/>
      <c r="AV46"/>
      <c r="AW46"/>
      <c r="AX46"/>
      <c r="AY46"/>
      <c r="AZ46"/>
      <c r="BA46"/>
    </row>
    <row r="47" spans="1:53" ht="15.75" x14ac:dyDescent="0.2">
      <c r="A47" s="15"/>
      <c r="B47" s="2"/>
      <c r="C47" s="1778"/>
      <c r="D47" s="1778"/>
      <c r="E47" s="738"/>
      <c r="F47" s="738"/>
      <c r="G47" s="736" t="str">
        <f>+IF(G45+J45&gt;0,"Line 10 must be less than Line 9. Please check your data","")</f>
        <v/>
      </c>
      <c r="H47" s="739"/>
      <c r="I47" s="739"/>
      <c r="J47" s="736"/>
      <c r="K47" s="740"/>
      <c r="L47" s="740"/>
      <c r="M47" s="741"/>
      <c r="N47" s="742"/>
      <c r="O47" s="338"/>
      <c r="P47" s="338"/>
      <c r="Q47" s="423"/>
      <c r="R47" s="738"/>
      <c r="S47" s="736" t="str">
        <f>+IF(S45+V45&gt;0,"Line 13 must be less than Line 12. Please check your data","")</f>
        <v/>
      </c>
      <c r="T47" s="739"/>
      <c r="U47" s="739"/>
      <c r="V47" s="736"/>
      <c r="W47" s="740"/>
      <c r="X47" s="740"/>
      <c r="Y47" s="741"/>
      <c r="Z47" s="742"/>
      <c r="AA47" s="742"/>
      <c r="AB47" s="742"/>
      <c r="AC47" s="764"/>
      <c r="AD47" s="575"/>
      <c r="AE47"/>
      <c r="AF47" s="246"/>
      <c r="AG47"/>
      <c r="AH47"/>
      <c r="AI47"/>
      <c r="AJ47"/>
      <c r="AK47"/>
      <c r="AL47"/>
      <c r="AM47"/>
      <c r="AN47"/>
      <c r="AO47"/>
      <c r="AP47"/>
      <c r="AQ47"/>
      <c r="AR47"/>
      <c r="AS47"/>
      <c r="AT47"/>
      <c r="AU47"/>
      <c r="AV47"/>
      <c r="AW47"/>
      <c r="AX47"/>
      <c r="AY47"/>
      <c r="AZ47"/>
      <c r="BA47"/>
    </row>
    <row r="48" spans="1:53" ht="15.75" x14ac:dyDescent="0.2">
      <c r="A48" s="15"/>
      <c r="B48" s="2"/>
      <c r="C48" s="10"/>
      <c r="D48" s="10"/>
      <c r="E48" s="19"/>
      <c r="F48" s="19"/>
      <c r="G48" s="74"/>
      <c r="H48" s="73"/>
      <c r="I48" s="19"/>
      <c r="J48" s="74"/>
      <c r="K48" s="73"/>
      <c r="L48" s="172"/>
      <c r="M48" s="173"/>
      <c r="N48" s="177"/>
      <c r="O48" s="459"/>
      <c r="P48" s="459"/>
      <c r="Q48" s="423"/>
      <c r="R48" s="19"/>
      <c r="S48" s="74"/>
      <c r="T48" s="73"/>
      <c r="U48" s="19"/>
      <c r="V48" s="74"/>
      <c r="W48" s="73"/>
      <c r="X48" s="172"/>
      <c r="Y48" s="173"/>
      <c r="Z48" s="177"/>
      <c r="AA48" s="177"/>
      <c r="AB48" s="177"/>
      <c r="AC48" s="177"/>
      <c r="AD48" s="67"/>
      <c r="AE48"/>
      <c r="AF48" s="246"/>
      <c r="AG48"/>
      <c r="AH48"/>
      <c r="AI48"/>
      <c r="AJ48"/>
      <c r="AK48"/>
      <c r="AL48"/>
      <c r="AM48"/>
      <c r="AN48"/>
      <c r="AO48"/>
      <c r="AP48"/>
      <c r="AQ48"/>
      <c r="AR48"/>
      <c r="AS48"/>
      <c r="AT48"/>
      <c r="AU48"/>
      <c r="AV48"/>
      <c r="AW48"/>
      <c r="AX48"/>
      <c r="AY48"/>
      <c r="AZ48"/>
      <c r="BA48"/>
    </row>
    <row r="49" spans="1:53" ht="16.5" thickBot="1" x14ac:dyDescent="0.3">
      <c r="A49" s="15"/>
      <c r="B49" s="2"/>
      <c r="C49" s="12" t="s">
        <v>707</v>
      </c>
      <c r="D49" s="10"/>
      <c r="E49" s="19"/>
      <c r="F49" s="19"/>
      <c r="G49" s="73"/>
      <c r="H49" s="73"/>
      <c r="I49" s="19"/>
      <c r="J49" s="73"/>
      <c r="K49" s="73"/>
      <c r="L49" s="172"/>
      <c r="M49" s="172"/>
      <c r="N49" s="177"/>
      <c r="O49" s="459"/>
      <c r="P49" s="459"/>
      <c r="Q49" s="423"/>
      <c r="R49" s="19"/>
      <c r="S49" s="73"/>
      <c r="T49" s="73"/>
      <c r="U49" s="19"/>
      <c r="V49" s="73"/>
      <c r="W49" s="73"/>
      <c r="X49" s="172"/>
      <c r="Y49" s="172"/>
      <c r="Z49" s="177"/>
      <c r="AA49" s="177"/>
      <c r="AB49" s="177"/>
      <c r="AC49" s="177"/>
      <c r="AD49" s="67"/>
      <c r="AE49"/>
      <c r="AF49" s="246"/>
      <c r="AG49"/>
      <c r="AH49"/>
      <c r="AI49"/>
      <c r="AJ49"/>
      <c r="AK49"/>
      <c r="AL49"/>
      <c r="AM49"/>
      <c r="AN49"/>
      <c r="AO49"/>
      <c r="AP49"/>
      <c r="AQ49"/>
      <c r="AR49"/>
      <c r="AS49"/>
      <c r="AT49"/>
      <c r="AU49"/>
      <c r="AV49"/>
      <c r="AW49"/>
      <c r="AX49"/>
      <c r="AY49"/>
      <c r="AZ49"/>
      <c r="BA49"/>
    </row>
    <row r="50" spans="1:53" ht="16.5" thickBot="1" x14ac:dyDescent="0.25">
      <c r="A50" s="15"/>
      <c r="B50" s="2"/>
      <c r="C50" s="1715" t="s">
        <v>3098</v>
      </c>
      <c r="D50" s="1715"/>
      <c r="E50" s="19"/>
      <c r="F50" s="19"/>
      <c r="G50" s="807">
        <v>0</v>
      </c>
      <c r="H50" s="73"/>
      <c r="I50" s="19"/>
      <c r="J50" s="807">
        <v>0</v>
      </c>
      <c r="K50" s="73"/>
      <c r="L50" s="172"/>
      <c r="M50" s="809">
        <f>+G50+J50</f>
        <v>0</v>
      </c>
      <c r="N50" s="177"/>
      <c r="O50" s="459"/>
      <c r="P50" s="459"/>
      <c r="Q50" s="423"/>
      <c r="R50" s="19"/>
      <c r="S50" s="807">
        <v>0</v>
      </c>
      <c r="T50" s="73"/>
      <c r="U50" s="19"/>
      <c r="V50" s="807">
        <v>0</v>
      </c>
      <c r="W50" s="73"/>
      <c r="X50" s="172"/>
      <c r="Y50" s="809">
        <f>+S50+V50</f>
        <v>0</v>
      </c>
      <c r="Z50" s="177"/>
      <c r="AA50" s="177"/>
      <c r="AB50" s="809">
        <f>Y50+M50</f>
        <v>0</v>
      </c>
      <c r="AC50" s="177"/>
      <c r="AD50" s="67"/>
      <c r="AE50"/>
      <c r="AF50" s="245">
        <f>IF(+G50+J50+S50+V50-AB50=0,0,1)</f>
        <v>0</v>
      </c>
      <c r="AG50"/>
      <c r="AH50" s="137"/>
      <c r="AI50" s="231"/>
      <c r="AJ50"/>
      <c r="AK50"/>
      <c r="AL50"/>
      <c r="AM50"/>
      <c r="AN50"/>
      <c r="AO50"/>
      <c r="AP50"/>
      <c r="AQ50"/>
      <c r="AR50"/>
      <c r="AS50"/>
      <c r="AT50"/>
      <c r="AU50"/>
      <c r="AV50"/>
      <c r="AW50"/>
      <c r="AX50"/>
      <c r="AY50"/>
      <c r="AZ50"/>
      <c r="BA50"/>
    </row>
    <row r="51" spans="1:53" x14ac:dyDescent="0.2">
      <c r="A51" s="15"/>
      <c r="B51" s="2"/>
      <c r="C51" s="10"/>
      <c r="D51" s="10"/>
      <c r="E51" s="19"/>
      <c r="F51" s="19"/>
      <c r="G51" s="73"/>
      <c r="H51" s="73"/>
      <c r="I51" s="19"/>
      <c r="J51" s="73"/>
      <c r="K51" s="73"/>
      <c r="L51" s="172"/>
      <c r="M51" s="172"/>
      <c r="N51" s="177"/>
      <c r="O51" s="459"/>
      <c r="P51" s="459"/>
      <c r="Q51" s="423"/>
      <c r="R51" s="19"/>
      <c r="S51" s="73"/>
      <c r="T51" s="73"/>
      <c r="U51" s="19"/>
      <c r="V51" s="73"/>
      <c r="W51" s="73"/>
      <c r="X51" s="172"/>
      <c r="Y51" s="172"/>
      <c r="Z51" s="177"/>
      <c r="AA51" s="177"/>
      <c r="AB51" s="177"/>
      <c r="AC51" s="177"/>
      <c r="AD51" s="67"/>
      <c r="AE51"/>
      <c r="AF51" s="246"/>
      <c r="AG51"/>
      <c r="AH51"/>
      <c r="AI51"/>
      <c r="AJ51"/>
      <c r="AK51"/>
      <c r="AL51"/>
      <c r="AM51"/>
      <c r="AN51"/>
      <c r="AO51"/>
      <c r="AP51"/>
      <c r="AQ51"/>
      <c r="AR51"/>
      <c r="AS51"/>
      <c r="AT51"/>
      <c r="AU51"/>
      <c r="AV51"/>
      <c r="AW51"/>
      <c r="AX51"/>
      <c r="AY51"/>
      <c r="AZ51"/>
      <c r="BA51"/>
    </row>
    <row r="52" spans="1:53" ht="16.5" thickBot="1" x14ac:dyDescent="0.3">
      <c r="A52" s="15"/>
      <c r="B52" s="2"/>
      <c r="C52" s="12" t="s">
        <v>691</v>
      </c>
      <c r="D52" s="10"/>
      <c r="E52" s="19"/>
      <c r="F52" s="19"/>
      <c r="G52" s="73"/>
      <c r="H52" s="73"/>
      <c r="I52" s="19"/>
      <c r="J52" s="73"/>
      <c r="K52" s="73"/>
      <c r="L52" s="172"/>
      <c r="M52" s="172"/>
      <c r="N52" s="177"/>
      <c r="O52" s="459"/>
      <c r="P52" s="459"/>
      <c r="Q52" s="423"/>
      <c r="R52" s="19"/>
      <c r="S52" s="73"/>
      <c r="T52" s="73"/>
      <c r="U52" s="19"/>
      <c r="V52" s="73"/>
      <c r="W52" s="73"/>
      <c r="X52" s="172"/>
      <c r="Y52" s="172"/>
      <c r="Z52" s="177"/>
      <c r="AA52" s="177"/>
      <c r="AB52" s="177"/>
      <c r="AC52" s="177"/>
      <c r="AD52" s="67"/>
      <c r="AE52"/>
      <c r="AF52" s="246"/>
      <c r="AG52"/>
      <c r="AH52"/>
      <c r="AI52"/>
      <c r="AJ52"/>
      <c r="AK52"/>
      <c r="AL52"/>
      <c r="AM52"/>
      <c r="AN52"/>
      <c r="AO52"/>
      <c r="AP52"/>
      <c r="AQ52"/>
      <c r="AR52"/>
      <c r="AS52"/>
      <c r="AT52"/>
      <c r="AU52"/>
      <c r="AV52"/>
      <c r="AW52"/>
      <c r="AX52"/>
      <c r="AY52"/>
      <c r="AZ52"/>
      <c r="BA52"/>
    </row>
    <row r="53" spans="1:53" ht="16.5" thickBot="1" x14ac:dyDescent="0.25">
      <c r="A53" s="15"/>
      <c r="B53" s="2"/>
      <c r="C53" s="10" t="s">
        <v>3099</v>
      </c>
      <c r="D53" s="10"/>
      <c r="E53" s="19"/>
      <c r="F53" s="19"/>
      <c r="G53" s="807">
        <v>0</v>
      </c>
      <c r="H53" s="73"/>
      <c r="I53" s="19"/>
      <c r="J53" s="807">
        <v>0</v>
      </c>
      <c r="K53" s="73"/>
      <c r="L53" s="172"/>
      <c r="M53" s="809">
        <f>+G53+J53</f>
        <v>0</v>
      </c>
      <c r="N53" s="177"/>
      <c r="O53" s="459"/>
      <c r="P53" s="459"/>
      <c r="Q53" s="423"/>
      <c r="R53" s="19"/>
      <c r="S53" s="807">
        <v>0</v>
      </c>
      <c r="T53" s="73"/>
      <c r="U53" s="19"/>
      <c r="V53" s="807">
        <v>0</v>
      </c>
      <c r="W53" s="73"/>
      <c r="X53" s="172"/>
      <c r="Y53" s="809">
        <f>+S53+V53</f>
        <v>0</v>
      </c>
      <c r="Z53" s="177"/>
      <c r="AA53" s="177"/>
      <c r="AB53" s="809">
        <f>Y53+M53</f>
        <v>0</v>
      </c>
      <c r="AC53" s="177"/>
      <c r="AD53" s="67"/>
      <c r="AE53"/>
      <c r="AF53" s="245">
        <f>IF(+G53+J53+S53+V53-AB53=0,0,1)</f>
        <v>0</v>
      </c>
      <c r="AG53"/>
      <c r="AH53" s="137"/>
      <c r="AI53" s="231"/>
      <c r="AJ53"/>
      <c r="AK53"/>
      <c r="AL53"/>
      <c r="AM53"/>
      <c r="AN53"/>
      <c r="AO53"/>
      <c r="AP53"/>
      <c r="AQ53"/>
      <c r="AR53"/>
      <c r="AS53"/>
      <c r="AT53"/>
      <c r="AU53"/>
      <c r="AV53"/>
      <c r="AW53"/>
      <c r="AX53"/>
      <c r="AY53"/>
      <c r="AZ53"/>
      <c r="BA53"/>
    </row>
    <row r="54" spans="1:53" ht="15.75" x14ac:dyDescent="0.2">
      <c r="A54" s="15"/>
      <c r="B54" s="2"/>
      <c r="C54" s="19"/>
      <c r="D54" s="19"/>
      <c r="E54" s="19"/>
      <c r="F54" s="19"/>
      <c r="G54" s="74"/>
      <c r="H54" s="73"/>
      <c r="I54" s="19"/>
      <c r="J54" s="74"/>
      <c r="K54" s="73"/>
      <c r="L54" s="172"/>
      <c r="M54" s="173"/>
      <c r="N54" s="177"/>
      <c r="O54" s="423"/>
      <c r="P54" s="423"/>
      <c r="Q54" s="423"/>
      <c r="R54" s="19"/>
      <c r="S54" s="74"/>
      <c r="T54" s="73"/>
      <c r="U54" s="19"/>
      <c r="V54" s="74"/>
      <c r="W54" s="73"/>
      <c r="X54" s="172"/>
      <c r="Y54" s="173"/>
      <c r="Z54" s="177"/>
      <c r="AA54" s="177"/>
      <c r="AB54" s="177"/>
      <c r="AC54" s="177"/>
      <c r="AD54" s="67"/>
      <c r="AE54"/>
      <c r="AF54" s="246"/>
      <c r="AG54"/>
      <c r="AH54"/>
      <c r="AI54"/>
      <c r="AJ54"/>
      <c r="AK54"/>
      <c r="AL54"/>
      <c r="AM54"/>
      <c r="AN54"/>
      <c r="AO54"/>
      <c r="AP54"/>
      <c r="AQ54"/>
      <c r="AR54"/>
      <c r="AS54"/>
      <c r="AT54"/>
      <c r="AU54"/>
      <c r="AV54"/>
      <c r="AW54"/>
      <c r="AX54"/>
      <c r="AY54"/>
      <c r="AZ54"/>
      <c r="BA54"/>
    </row>
    <row r="55" spans="1:53" ht="16.5" thickBot="1" x14ac:dyDescent="0.3">
      <c r="A55" s="15"/>
      <c r="B55" s="2"/>
      <c r="C55" s="18" t="s">
        <v>708</v>
      </c>
      <c r="D55" s="19"/>
      <c r="E55" s="19"/>
      <c r="F55" s="19"/>
      <c r="G55" s="73"/>
      <c r="H55" s="73"/>
      <c r="I55" s="19"/>
      <c r="J55" s="73"/>
      <c r="K55" s="73"/>
      <c r="L55" s="172"/>
      <c r="M55" s="172"/>
      <c r="N55" s="177"/>
      <c r="O55" s="423"/>
      <c r="P55" s="423"/>
      <c r="Q55" s="423"/>
      <c r="R55" s="19"/>
      <c r="S55" s="73"/>
      <c r="T55" s="73"/>
      <c r="U55" s="19"/>
      <c r="V55" s="73"/>
      <c r="W55" s="73"/>
      <c r="X55" s="172"/>
      <c r="Y55" s="172"/>
      <c r="Z55" s="177"/>
      <c r="AA55" s="177"/>
      <c r="AB55" s="177"/>
      <c r="AC55" s="177"/>
      <c r="AD55" s="67"/>
      <c r="AE55"/>
      <c r="AF55" s="246"/>
      <c r="AG55"/>
      <c r="AH55"/>
      <c r="AI55"/>
      <c r="AJ55"/>
      <c r="AK55"/>
      <c r="AL55"/>
      <c r="AM55"/>
      <c r="AN55"/>
      <c r="AO55"/>
      <c r="AP55"/>
      <c r="AQ55"/>
      <c r="AR55"/>
      <c r="AS55"/>
      <c r="AT55"/>
      <c r="AU55"/>
      <c r="AV55"/>
      <c r="AW55"/>
      <c r="AX55"/>
      <c r="AY55"/>
      <c r="AZ55"/>
      <c r="BA55"/>
    </row>
    <row r="56" spans="1:53" ht="16.5" thickBot="1" x14ac:dyDescent="0.25">
      <c r="A56" s="15"/>
      <c r="B56" s="2"/>
      <c r="C56" s="10" t="s">
        <v>3100</v>
      </c>
      <c r="D56" s="19"/>
      <c r="E56" s="19"/>
      <c r="F56" s="19"/>
      <c r="G56" s="807">
        <v>0</v>
      </c>
      <c r="H56" s="73"/>
      <c r="I56" s="19"/>
      <c r="J56" s="807">
        <v>0</v>
      </c>
      <c r="K56" s="73"/>
      <c r="L56" s="172"/>
      <c r="M56" s="809">
        <f>+G56+J56</f>
        <v>0</v>
      </c>
      <c r="N56" s="177"/>
      <c r="O56" s="423"/>
      <c r="P56" s="423"/>
      <c r="Q56" s="423"/>
      <c r="R56" s="19"/>
      <c r="S56" s="1628">
        <v>0</v>
      </c>
      <c r="T56" s="73"/>
      <c r="U56" s="19"/>
      <c r="V56" s="1628">
        <v>0</v>
      </c>
      <c r="W56" s="73"/>
      <c r="X56" s="172"/>
      <c r="Y56" s="829">
        <f>+S56+V56</f>
        <v>0</v>
      </c>
      <c r="Z56" s="177"/>
      <c r="AA56" s="177"/>
      <c r="AB56" s="809">
        <f>Y56+M56</f>
        <v>0</v>
      </c>
      <c r="AC56" s="177"/>
      <c r="AD56" s="67"/>
      <c r="AE56"/>
      <c r="AF56" s="245">
        <f>IF(+G56+J56-M56=0,0,1)</f>
        <v>0</v>
      </c>
      <c r="AG56"/>
      <c r="AH56" s="137"/>
      <c r="AI56" s="231"/>
      <c r="AJ56"/>
      <c r="AK56"/>
      <c r="AL56"/>
      <c r="AM56"/>
      <c r="AN56"/>
      <c r="AO56"/>
      <c r="AP56"/>
      <c r="AQ56"/>
      <c r="AR56"/>
      <c r="AS56"/>
      <c r="AT56"/>
      <c r="AU56"/>
      <c r="AV56"/>
      <c r="AW56"/>
      <c r="AX56"/>
      <c r="AY56"/>
      <c r="AZ56"/>
      <c r="BA56"/>
    </row>
    <row r="57" spans="1:53" ht="15.75" x14ac:dyDescent="0.2">
      <c r="A57" s="15"/>
      <c r="B57" s="2"/>
      <c r="C57" s="10"/>
      <c r="D57" s="19"/>
      <c r="E57" s="19"/>
      <c r="F57" s="19"/>
      <c r="G57" s="686"/>
      <c r="H57" s="73"/>
      <c r="I57" s="19"/>
      <c r="J57" s="686"/>
      <c r="K57" s="73"/>
      <c r="L57" s="172"/>
      <c r="M57" s="173"/>
      <c r="N57" s="177"/>
      <c r="O57" s="423"/>
      <c r="P57" s="423"/>
      <c r="Q57" s="423"/>
      <c r="R57" s="19"/>
      <c r="S57" s="686"/>
      <c r="T57" s="73"/>
      <c r="U57" s="19"/>
      <c r="V57" s="686"/>
      <c r="W57" s="73"/>
      <c r="X57" s="172"/>
      <c r="Y57" s="173"/>
      <c r="Z57" s="177"/>
      <c r="AA57" s="177"/>
      <c r="AB57" s="177"/>
      <c r="AC57" s="177"/>
      <c r="AD57" s="67"/>
      <c r="AE57"/>
      <c r="AF57" s="245"/>
      <c r="AG57"/>
      <c r="AH57" s="137"/>
      <c r="AI57" s="231"/>
      <c r="AJ57"/>
      <c r="AK57"/>
      <c r="AL57"/>
      <c r="AM57"/>
      <c r="AN57"/>
      <c r="AO57"/>
      <c r="AP57"/>
      <c r="AQ57"/>
      <c r="AR57"/>
      <c r="AS57"/>
      <c r="AT57"/>
      <c r="AU57"/>
      <c r="AV57"/>
      <c r="AW57"/>
      <c r="AX57"/>
      <c r="AY57"/>
      <c r="AZ57"/>
      <c r="BA57"/>
    </row>
    <row r="58" spans="1:53" ht="16.5" customHeight="1" thickBot="1" x14ac:dyDescent="0.3">
      <c r="A58" s="572"/>
      <c r="B58" s="338"/>
      <c r="C58" s="453" t="s">
        <v>3078</v>
      </c>
      <c r="D58" s="706"/>
      <c r="E58" s="574"/>
      <c r="F58" s="423"/>
      <c r="G58" s="459"/>
      <c r="H58" s="573"/>
      <c r="I58" s="423"/>
      <c r="J58" s="423"/>
      <c r="K58" s="459"/>
      <c r="L58" s="172"/>
      <c r="M58" s="173"/>
      <c r="N58" s="177"/>
      <c r="O58" s="706"/>
      <c r="P58" s="706"/>
      <c r="Q58" s="574"/>
      <c r="R58" s="423"/>
      <c r="S58" s="459"/>
      <c r="T58" s="573"/>
      <c r="U58" s="423"/>
      <c r="V58" s="423"/>
      <c r="W58" s="459"/>
      <c r="X58" s="172"/>
      <c r="Y58" s="173"/>
      <c r="Z58" s="177"/>
      <c r="AA58" s="177"/>
      <c r="AB58" s="177"/>
      <c r="AC58" s="177"/>
      <c r="AD58" s="579"/>
      <c r="AE58"/>
      <c r="AF58" s="598"/>
      <c r="AH58" s="509"/>
      <c r="AI58" s="494"/>
    </row>
    <row r="59" spans="1:53" ht="16.5" customHeight="1" thickBot="1" x14ac:dyDescent="0.25">
      <c r="A59" s="572"/>
      <c r="B59" s="338"/>
      <c r="C59" s="755" t="s">
        <v>3101</v>
      </c>
      <c r="D59" s="854"/>
      <c r="E59" s="574"/>
      <c r="F59" s="423"/>
      <c r="G59" s="813">
        <v>0</v>
      </c>
      <c r="H59" s="573"/>
      <c r="I59" s="423"/>
      <c r="J59" s="814">
        <v>0</v>
      </c>
      <c r="K59" s="459"/>
      <c r="L59" s="172"/>
      <c r="M59" s="809">
        <f>+G59+J59</f>
        <v>0</v>
      </c>
      <c r="N59" s="177"/>
      <c r="O59" s="338"/>
      <c r="P59" s="338"/>
      <c r="Q59" s="574"/>
      <c r="R59" s="423"/>
      <c r="S59" s="813">
        <v>0</v>
      </c>
      <c r="T59" s="573"/>
      <c r="U59" s="423"/>
      <c r="V59" s="814">
        <v>0</v>
      </c>
      <c r="W59" s="459"/>
      <c r="X59" s="172"/>
      <c r="Y59" s="809">
        <f>+S59+V59</f>
        <v>0</v>
      </c>
      <c r="Z59" s="177"/>
      <c r="AA59" s="177"/>
      <c r="AB59" s="809">
        <f>Y59+M59</f>
        <v>0</v>
      </c>
      <c r="AC59" s="177"/>
      <c r="AD59" s="579"/>
      <c r="AE59"/>
      <c r="AF59" s="598">
        <f>IF(+G59+J59+S59+V59-AB59=0,0,1)</f>
        <v>0</v>
      </c>
      <c r="AH59" s="509"/>
      <c r="AI59" s="494"/>
    </row>
    <row r="60" spans="1:53" ht="15.75" x14ac:dyDescent="0.2">
      <c r="A60" s="15"/>
      <c r="B60" s="2"/>
      <c r="C60" s="19"/>
      <c r="D60" s="19"/>
      <c r="E60" s="19"/>
      <c r="F60" s="19"/>
      <c r="G60" s="74"/>
      <c r="H60" s="73"/>
      <c r="I60" s="73"/>
      <c r="J60" s="74"/>
      <c r="K60" s="73"/>
      <c r="L60" s="172"/>
      <c r="M60" s="173"/>
      <c r="N60" s="177"/>
      <c r="O60" s="423"/>
      <c r="P60" s="423"/>
      <c r="Q60" s="423"/>
      <c r="R60" s="19"/>
      <c r="S60" s="74"/>
      <c r="T60" s="73"/>
      <c r="U60" s="73"/>
      <c r="V60" s="74"/>
      <c r="W60" s="73"/>
      <c r="X60" s="172"/>
      <c r="Y60" s="173"/>
      <c r="Z60" s="177"/>
      <c r="AA60" s="177"/>
      <c r="AB60" s="177"/>
      <c r="AC60" s="177"/>
      <c r="AD60" s="67"/>
      <c r="AE60"/>
      <c r="AF60" s="246"/>
      <c r="AG60"/>
      <c r="AH60"/>
      <c r="AI60"/>
      <c r="AJ60"/>
      <c r="AK60"/>
      <c r="AL60"/>
      <c r="AM60"/>
      <c r="AN60"/>
      <c r="AO60"/>
      <c r="AP60"/>
      <c r="AQ60"/>
      <c r="AR60"/>
      <c r="AS60"/>
      <c r="AT60"/>
      <c r="AU60"/>
      <c r="AV60"/>
      <c r="AW60"/>
      <c r="AX60"/>
      <c r="AY60"/>
      <c r="AZ60"/>
      <c r="BA60"/>
    </row>
    <row r="61" spans="1:53" ht="16.5" thickBot="1" x14ac:dyDescent="0.3">
      <c r="A61" s="827"/>
      <c r="B61" s="2"/>
      <c r="C61" s="453" t="s">
        <v>2306</v>
      </c>
      <c r="D61" s="706"/>
      <c r="E61" s="574"/>
      <c r="F61" s="423"/>
      <c r="G61" s="459"/>
      <c r="H61" s="573"/>
      <c r="I61" s="423"/>
      <c r="J61" s="423"/>
      <c r="K61" s="459"/>
      <c r="L61" s="172"/>
      <c r="M61" s="173"/>
      <c r="N61" s="177"/>
      <c r="O61" s="706"/>
      <c r="P61" s="706"/>
      <c r="Q61" s="574"/>
      <c r="R61" s="423"/>
      <c r="S61" s="459"/>
      <c r="T61" s="573"/>
      <c r="U61" s="423"/>
      <c r="V61" s="423"/>
      <c r="W61" s="459"/>
      <c r="X61" s="172"/>
      <c r="Y61" s="173"/>
      <c r="Z61" s="177"/>
      <c r="AA61" s="177"/>
      <c r="AB61" s="177"/>
      <c r="AC61" s="177"/>
      <c r="AD61" s="867"/>
      <c r="AE61"/>
      <c r="AF61" s="246"/>
      <c r="AG61"/>
      <c r="AH61"/>
      <c r="AI61"/>
      <c r="AJ61"/>
      <c r="AK61"/>
      <c r="AL61"/>
      <c r="AM61"/>
      <c r="AN61"/>
      <c r="AO61"/>
      <c r="AP61"/>
      <c r="AQ61"/>
      <c r="AR61"/>
      <c r="AS61"/>
      <c r="AT61"/>
      <c r="AU61"/>
      <c r="AV61"/>
      <c r="AW61"/>
      <c r="AX61"/>
      <c r="AY61"/>
      <c r="AZ61"/>
      <c r="BA61"/>
    </row>
    <row r="62" spans="1:53" ht="16.5" thickBot="1" x14ac:dyDescent="0.25">
      <c r="A62" s="827"/>
      <c r="B62" s="2"/>
      <c r="C62" s="755" t="s">
        <v>3102</v>
      </c>
      <c r="D62" s="854"/>
      <c r="E62" s="574"/>
      <c r="F62" s="423"/>
      <c r="G62" s="813">
        <v>0</v>
      </c>
      <c r="H62" s="573"/>
      <c r="I62" s="423"/>
      <c r="J62" s="814">
        <v>0</v>
      </c>
      <c r="K62" s="459"/>
      <c r="L62" s="172"/>
      <c r="M62" s="809">
        <f>+G62+J62</f>
        <v>0</v>
      </c>
      <c r="N62" s="177"/>
      <c r="O62" s="338"/>
      <c r="P62" s="338"/>
      <c r="Q62" s="574"/>
      <c r="R62" s="423"/>
      <c r="S62" s="813">
        <v>0</v>
      </c>
      <c r="T62" s="573"/>
      <c r="U62" s="423"/>
      <c r="V62" s="814">
        <v>0</v>
      </c>
      <c r="W62" s="459"/>
      <c r="X62" s="172"/>
      <c r="Y62" s="809">
        <f>+S62+V62</f>
        <v>0</v>
      </c>
      <c r="Z62" s="177"/>
      <c r="AA62" s="177"/>
      <c r="AB62" s="809">
        <f>Y62+M62</f>
        <v>0</v>
      </c>
      <c r="AC62" s="177"/>
      <c r="AD62" s="867"/>
      <c r="AE62"/>
      <c r="AF62" s="1029">
        <f>IF(+G62+J62+S62+V62-AB62=0,0,1)</f>
        <v>0</v>
      </c>
      <c r="AG62"/>
      <c r="AH62"/>
      <c r="AI62"/>
      <c r="AJ62"/>
      <c r="AK62"/>
      <c r="AL62"/>
      <c r="AM62"/>
      <c r="AN62"/>
      <c r="AO62"/>
      <c r="AP62"/>
      <c r="AQ62"/>
      <c r="AR62"/>
      <c r="AS62"/>
      <c r="AT62"/>
      <c r="AU62"/>
      <c r="AV62"/>
      <c r="AW62"/>
      <c r="AX62"/>
      <c r="AY62"/>
      <c r="AZ62"/>
      <c r="BA62"/>
    </row>
    <row r="63" spans="1:53" ht="15.75" x14ac:dyDescent="0.2">
      <c r="A63" s="827"/>
      <c r="B63" s="2"/>
      <c r="C63" s="755"/>
      <c r="D63" s="854"/>
      <c r="E63" s="574"/>
      <c r="F63" s="423"/>
      <c r="G63" s="1600"/>
      <c r="H63" s="1600"/>
      <c r="I63" s="423"/>
      <c r="J63" s="454"/>
      <c r="K63" s="459"/>
      <c r="L63" s="172"/>
      <c r="M63" s="1274"/>
      <c r="N63" s="177"/>
      <c r="O63" s="338"/>
      <c r="P63" s="338"/>
      <c r="Q63" s="574"/>
      <c r="R63" s="423"/>
      <c r="S63" s="1600"/>
      <c r="T63" s="573"/>
      <c r="U63" s="423"/>
      <c r="V63" s="454"/>
      <c r="W63" s="459"/>
      <c r="X63" s="172"/>
      <c r="Y63" s="1274"/>
      <c r="Z63" s="177"/>
      <c r="AA63" s="177"/>
      <c r="AB63" s="1274"/>
      <c r="AC63" s="177"/>
      <c r="AD63" s="867"/>
      <c r="AE63"/>
      <c r="AF63" s="1029"/>
      <c r="AG63"/>
      <c r="AH63"/>
      <c r="AI63"/>
      <c r="AJ63"/>
      <c r="AK63"/>
      <c r="AL63"/>
      <c r="AM63"/>
      <c r="AN63"/>
      <c r="AO63"/>
      <c r="AP63"/>
      <c r="AQ63"/>
      <c r="AR63"/>
      <c r="AS63"/>
      <c r="AT63"/>
      <c r="AU63"/>
      <c r="AV63"/>
      <c r="AW63"/>
      <c r="AX63"/>
      <c r="AY63"/>
      <c r="AZ63"/>
      <c r="BA63"/>
    </row>
    <row r="64" spans="1:53" ht="16.5" customHeight="1" thickBot="1" x14ac:dyDescent="0.3">
      <c r="A64" s="1273"/>
      <c r="B64" s="338"/>
      <c r="C64" s="453" t="s">
        <v>3152</v>
      </c>
      <c r="D64" s="706"/>
      <c r="E64" s="574"/>
      <c r="F64" s="423"/>
      <c r="G64" s="706"/>
      <c r="H64" s="573"/>
      <c r="I64" s="423"/>
      <c r="J64" s="454"/>
      <c r="K64" s="459"/>
      <c r="L64" s="172"/>
      <c r="M64" s="173"/>
      <c r="N64" s="177"/>
      <c r="O64" s="706"/>
      <c r="P64" s="706"/>
      <c r="Q64" s="574"/>
      <c r="R64" s="423"/>
      <c r="S64" s="706"/>
      <c r="T64" s="573"/>
      <c r="U64" s="423"/>
      <c r="V64" s="454"/>
      <c r="W64" s="459"/>
      <c r="X64" s="172"/>
      <c r="Y64" s="173"/>
      <c r="Z64" s="177"/>
      <c r="AA64" s="177"/>
      <c r="AB64" s="177"/>
      <c r="AC64" s="177"/>
      <c r="AD64" s="579"/>
      <c r="AE64"/>
      <c r="AF64" s="598"/>
      <c r="AH64" s="509"/>
      <c r="AI64" s="494"/>
    </row>
    <row r="65" spans="1:53" ht="16.5" customHeight="1" thickBot="1" x14ac:dyDescent="0.25">
      <c r="A65" s="1273"/>
      <c r="B65" s="338"/>
      <c r="C65" s="755" t="s">
        <v>5751</v>
      </c>
      <c r="D65" s="854"/>
      <c r="E65" s="574"/>
      <c r="F65" s="423"/>
      <c r="G65" s="807">
        <v>0</v>
      </c>
      <c r="H65" s="573"/>
      <c r="I65" s="423"/>
      <c r="J65" s="807">
        <v>0</v>
      </c>
      <c r="K65" s="459"/>
      <c r="L65" s="172"/>
      <c r="M65" s="809">
        <f>+G65+J65</f>
        <v>0</v>
      </c>
      <c r="N65" s="177"/>
      <c r="O65" s="338"/>
      <c r="P65" s="338"/>
      <c r="Q65" s="574"/>
      <c r="R65" s="423"/>
      <c r="S65" s="951">
        <v>0</v>
      </c>
      <c r="T65" s="573"/>
      <c r="U65" s="423"/>
      <c r="V65" s="807">
        <v>0</v>
      </c>
      <c r="W65" s="459"/>
      <c r="X65" s="172"/>
      <c r="Y65" s="809">
        <f>+S65+V65</f>
        <v>0</v>
      </c>
      <c r="Z65" s="177"/>
      <c r="AA65" s="177"/>
      <c r="AB65" s="809">
        <f>Y65+M65</f>
        <v>0</v>
      </c>
      <c r="AC65" s="177"/>
      <c r="AD65" s="579"/>
      <c r="AE65"/>
      <c r="AF65" s="598">
        <f>IF(+G65+J65+S65+V65-AB65=0,0,1)</f>
        <v>0</v>
      </c>
      <c r="AH65" s="509"/>
      <c r="AI65" s="494"/>
    </row>
    <row r="66" spans="1:53" ht="16.5" thickBot="1" x14ac:dyDescent="0.25">
      <c r="A66" s="827"/>
      <c r="B66" s="2"/>
      <c r="C66" s="19"/>
      <c r="D66" s="19"/>
      <c r="E66" s="19"/>
      <c r="F66" s="19"/>
      <c r="G66" s="74"/>
      <c r="H66" s="73"/>
      <c r="I66" s="73"/>
      <c r="J66" s="74"/>
      <c r="K66" s="73"/>
      <c r="L66" s="172"/>
      <c r="M66" s="173"/>
      <c r="N66" s="177"/>
      <c r="O66" s="423"/>
      <c r="P66" s="423"/>
      <c r="Q66" s="423"/>
      <c r="R66" s="19"/>
      <c r="S66" s="74"/>
      <c r="T66" s="73"/>
      <c r="U66" s="73"/>
      <c r="V66" s="74"/>
      <c r="W66" s="73"/>
      <c r="X66" s="172"/>
      <c r="Y66" s="173"/>
      <c r="Z66" s="177"/>
      <c r="AA66" s="177"/>
      <c r="AB66" s="177"/>
      <c r="AC66" s="177"/>
      <c r="AD66" s="867"/>
      <c r="AE66"/>
      <c r="AF66" s="246"/>
      <c r="AG66"/>
      <c r="AH66"/>
      <c r="AI66"/>
      <c r="AJ66"/>
      <c r="AK66"/>
      <c r="AL66"/>
      <c r="AM66"/>
      <c r="AN66"/>
      <c r="AO66"/>
      <c r="AP66"/>
      <c r="AQ66"/>
      <c r="AR66"/>
      <c r="AS66"/>
      <c r="AT66"/>
      <c r="AU66"/>
      <c r="AV66"/>
      <c r="AW66"/>
      <c r="AX66"/>
      <c r="AY66"/>
      <c r="AZ66"/>
      <c r="BA66"/>
    </row>
    <row r="67" spans="1:53" ht="16.5" thickBot="1" x14ac:dyDescent="0.25">
      <c r="A67" s="15"/>
      <c r="B67" s="4"/>
      <c r="C67" s="69"/>
      <c r="D67" s="69"/>
      <c r="E67" s="69"/>
      <c r="F67" s="69"/>
      <c r="G67" s="76"/>
      <c r="H67" s="77"/>
      <c r="I67" s="77"/>
      <c r="J67" s="76"/>
      <c r="K67" s="77"/>
      <c r="L67" s="179"/>
      <c r="M67" s="178"/>
      <c r="N67" s="194"/>
      <c r="O67" s="822"/>
      <c r="P67" s="822"/>
      <c r="Q67" s="822"/>
      <c r="R67" s="69"/>
      <c r="S67" s="76"/>
      <c r="T67" s="77"/>
      <c r="U67" s="77"/>
      <c r="V67" s="76"/>
      <c r="W67" s="77"/>
      <c r="X67" s="179"/>
      <c r="Y67" s="178"/>
      <c r="Z67" s="831"/>
      <c r="AA67" s="837"/>
      <c r="AB67" s="831"/>
      <c r="AC67" s="194"/>
      <c r="AD67" s="67"/>
      <c r="AE67"/>
      <c r="AF67" s="246"/>
      <c r="AG67"/>
      <c r="AH67"/>
      <c r="AI67"/>
      <c r="AJ67"/>
      <c r="AK67"/>
      <c r="AL67"/>
      <c r="AM67"/>
      <c r="AN67"/>
      <c r="AO67"/>
      <c r="AP67"/>
      <c r="AQ67"/>
      <c r="AR67"/>
      <c r="AS67"/>
      <c r="AT67"/>
      <c r="AU67"/>
      <c r="AV67"/>
      <c r="AW67"/>
      <c r="AX67"/>
      <c r="AY67"/>
      <c r="AZ67"/>
      <c r="BA67"/>
    </row>
    <row r="68" spans="1:53" ht="16.5" thickBot="1" x14ac:dyDescent="0.25">
      <c r="A68" s="15"/>
      <c r="B68" s="5"/>
      <c r="C68" s="19"/>
      <c r="D68" s="19"/>
      <c r="E68" s="19"/>
      <c r="F68" s="213"/>
      <c r="G68" s="226"/>
      <c r="H68" s="215"/>
      <c r="I68" s="214"/>
      <c r="J68" s="226"/>
      <c r="K68" s="215"/>
      <c r="L68" s="216"/>
      <c r="M68" s="227"/>
      <c r="N68" s="217"/>
      <c r="O68" s="423"/>
      <c r="P68" s="423"/>
      <c r="Q68" s="423"/>
      <c r="R68" s="213"/>
      <c r="S68" s="226"/>
      <c r="T68" s="215"/>
      <c r="U68" s="214"/>
      <c r="V68" s="226"/>
      <c r="W68" s="215"/>
      <c r="X68" s="216"/>
      <c r="Y68" s="227"/>
      <c r="Z68" s="217"/>
      <c r="AA68" s="845"/>
      <c r="AB68" s="843"/>
      <c r="AC68" s="217"/>
      <c r="AD68" s="67"/>
      <c r="AE68"/>
      <c r="AF68" s="246"/>
      <c r="AG68"/>
      <c r="AH68"/>
      <c r="AI68"/>
      <c r="AJ68"/>
      <c r="AK68"/>
      <c r="AL68"/>
      <c r="AM68"/>
      <c r="AN68"/>
      <c r="AO68"/>
      <c r="AP68"/>
      <c r="AQ68"/>
      <c r="AR68"/>
      <c r="AS68"/>
      <c r="AT68"/>
      <c r="AU68"/>
      <c r="AV68"/>
      <c r="AW68"/>
      <c r="AX68"/>
      <c r="AY68"/>
      <c r="AZ68"/>
      <c r="BA68"/>
    </row>
    <row r="69" spans="1:53" ht="16.5" customHeight="1" thickBot="1" x14ac:dyDescent="0.25">
      <c r="A69" s="15"/>
      <c r="B69" s="5"/>
      <c r="C69" s="1701" t="s">
        <v>5752</v>
      </c>
      <c r="D69" s="1701"/>
      <c r="E69" s="19"/>
      <c r="F69" s="218"/>
      <c r="G69" s="808">
        <f>+G44+G50+G53+G56+G59+G62+G65</f>
        <v>0</v>
      </c>
      <c r="H69" s="75"/>
      <c r="I69" s="19"/>
      <c r="J69" s="808">
        <f>+J44+J50+J53+J56+J59+J62+J65</f>
        <v>0</v>
      </c>
      <c r="K69" s="75"/>
      <c r="L69" s="172"/>
      <c r="M69" s="172"/>
      <c r="N69" s="219"/>
      <c r="O69" s="338"/>
      <c r="P69" s="338"/>
      <c r="Q69" s="423"/>
      <c r="R69" s="218"/>
      <c r="S69" s="808">
        <f>+S50+S53+S56+S59+S62+S65</f>
        <v>0</v>
      </c>
      <c r="T69" s="75"/>
      <c r="U69" s="19"/>
      <c r="V69" s="808">
        <f>+V50+V53+V56+V59+V62+V65</f>
        <v>0</v>
      </c>
      <c r="W69" s="75"/>
      <c r="X69" s="172"/>
      <c r="Y69" s="172"/>
      <c r="Z69" s="219"/>
      <c r="AA69" s="846"/>
      <c r="AB69" s="177"/>
      <c r="AC69" s="219"/>
      <c r="AD69" s="67"/>
      <c r="AE69"/>
      <c r="AF69" s="245">
        <f>IF(+G69+G72-G75=0,0,1)</f>
        <v>0</v>
      </c>
      <c r="AG69"/>
      <c r="AH69"/>
      <c r="AI69" s="231"/>
      <c r="AJ69"/>
      <c r="AK69"/>
      <c r="AL69"/>
      <c r="AM69"/>
      <c r="AN69"/>
      <c r="AO69"/>
      <c r="AP69"/>
      <c r="AQ69"/>
      <c r="AR69"/>
      <c r="AS69"/>
      <c r="AT69"/>
      <c r="AU69"/>
      <c r="AV69"/>
      <c r="AW69"/>
      <c r="AX69"/>
      <c r="AY69"/>
      <c r="AZ69"/>
      <c r="BA69"/>
    </row>
    <row r="70" spans="1:53" ht="15.75" x14ac:dyDescent="0.2">
      <c r="A70" s="15"/>
      <c r="B70" s="5"/>
      <c r="C70" s="1701"/>
      <c r="D70" s="1701"/>
      <c r="E70" s="19"/>
      <c r="F70" s="218"/>
      <c r="G70" s="74"/>
      <c r="H70" s="75"/>
      <c r="I70" s="19"/>
      <c r="J70" s="74"/>
      <c r="K70" s="75"/>
      <c r="L70" s="172"/>
      <c r="M70" s="172"/>
      <c r="N70" s="219"/>
      <c r="O70" s="338"/>
      <c r="P70" s="338"/>
      <c r="Q70" s="423"/>
      <c r="R70" s="218"/>
      <c r="S70" s="74"/>
      <c r="T70" s="75"/>
      <c r="U70" s="19"/>
      <c r="V70" s="74"/>
      <c r="W70" s="75"/>
      <c r="X70" s="172"/>
      <c r="Y70" s="172"/>
      <c r="Z70" s="219"/>
      <c r="AA70" s="846"/>
      <c r="AB70" s="177"/>
      <c r="AC70" s="219"/>
      <c r="AD70" s="67"/>
      <c r="AE70"/>
      <c r="AF70" s="245">
        <f>IF(+J69+J72-J75=0,0,1)</f>
        <v>0</v>
      </c>
      <c r="AG70"/>
      <c r="AH70"/>
      <c r="AI70"/>
      <c r="AJ70"/>
      <c r="AK70"/>
      <c r="AL70"/>
      <c r="AM70"/>
      <c r="AN70"/>
      <c r="AO70"/>
      <c r="AP70"/>
      <c r="AQ70"/>
      <c r="AR70"/>
      <c r="AS70"/>
      <c r="AT70"/>
      <c r="AU70"/>
      <c r="AV70"/>
      <c r="AW70"/>
      <c r="AX70"/>
      <c r="AY70"/>
      <c r="AZ70"/>
      <c r="BA70"/>
    </row>
    <row r="71" spans="1:53" ht="16.5" thickBot="1" x14ac:dyDescent="0.25">
      <c r="A71" s="15"/>
      <c r="B71" s="5"/>
      <c r="C71" s="19"/>
      <c r="D71" s="19"/>
      <c r="E71" s="19"/>
      <c r="F71" s="218"/>
      <c r="G71" s="74"/>
      <c r="H71" s="75"/>
      <c r="I71" s="19"/>
      <c r="J71" s="74"/>
      <c r="K71" s="75"/>
      <c r="L71" s="172"/>
      <c r="M71" s="172"/>
      <c r="N71" s="219"/>
      <c r="O71" s="423"/>
      <c r="P71" s="423"/>
      <c r="Q71" s="423"/>
      <c r="R71" s="218"/>
      <c r="S71" s="74"/>
      <c r="T71" s="75"/>
      <c r="U71" s="19"/>
      <c r="V71" s="74"/>
      <c r="W71" s="75"/>
      <c r="X71" s="172"/>
      <c r="Y71" s="172"/>
      <c r="Z71" s="219"/>
      <c r="AA71" s="846"/>
      <c r="AB71" s="177"/>
      <c r="AC71" s="219"/>
      <c r="AD71" s="67"/>
      <c r="AE71"/>
      <c r="AF71" s="245">
        <f>IF(+S69+S72-S75=0,0,1)</f>
        <v>0</v>
      </c>
      <c r="AG71"/>
      <c r="AH71"/>
      <c r="AI71"/>
      <c r="AJ71"/>
      <c r="AK71"/>
      <c r="AL71"/>
      <c r="AM71"/>
      <c r="AN71"/>
      <c r="AO71"/>
      <c r="AP71"/>
      <c r="AQ71"/>
      <c r="AR71"/>
      <c r="AS71"/>
      <c r="AT71"/>
      <c r="AU71"/>
      <c r="AV71"/>
      <c r="AW71"/>
      <c r="AX71"/>
      <c r="AY71"/>
      <c r="AZ71"/>
      <c r="BA71"/>
    </row>
    <row r="72" spans="1:53" ht="16.5" customHeight="1" thickBot="1" x14ac:dyDescent="0.25">
      <c r="A72" s="15"/>
      <c r="B72" s="5"/>
      <c r="C72" s="1701" t="s">
        <v>5753</v>
      </c>
      <c r="D72" s="1701"/>
      <c r="E72" s="19"/>
      <c r="F72" s="218"/>
      <c r="G72" s="807">
        <v>0</v>
      </c>
      <c r="H72" s="75"/>
      <c r="I72" s="19"/>
      <c r="J72" s="807">
        <v>0</v>
      </c>
      <c r="K72" s="75"/>
      <c r="L72" s="172"/>
      <c r="M72" s="172"/>
      <c r="N72" s="219"/>
      <c r="O72" s="338"/>
      <c r="P72" s="338"/>
      <c r="Q72" s="423"/>
      <c r="R72" s="218"/>
      <c r="S72" s="807">
        <v>0</v>
      </c>
      <c r="T72" s="75"/>
      <c r="U72" s="19"/>
      <c r="V72" s="807">
        <v>0</v>
      </c>
      <c r="W72" s="75"/>
      <c r="X72" s="172"/>
      <c r="Y72" s="172"/>
      <c r="Z72" s="219"/>
      <c r="AA72" s="846"/>
      <c r="AB72" s="177"/>
      <c r="AC72" s="219"/>
      <c r="AD72" s="67"/>
      <c r="AE72"/>
      <c r="AF72" s="245">
        <f>IF(+V69+V72-V75=0,0,1)</f>
        <v>0</v>
      </c>
      <c r="AG72"/>
      <c r="AH72"/>
      <c r="AI72" s="231"/>
      <c r="AJ72"/>
      <c r="AK72"/>
      <c r="AL72"/>
      <c r="AM72"/>
      <c r="AN72"/>
      <c r="AO72"/>
      <c r="AP72"/>
      <c r="AQ72"/>
      <c r="AR72"/>
      <c r="AS72"/>
      <c r="AT72"/>
      <c r="AU72"/>
      <c r="AV72"/>
      <c r="AW72"/>
      <c r="AX72"/>
      <c r="AY72"/>
      <c r="AZ72"/>
      <c r="BA72"/>
    </row>
    <row r="73" spans="1:53" ht="15.75" customHeight="1" x14ac:dyDescent="0.2">
      <c r="A73" s="15"/>
      <c r="B73" s="5"/>
      <c r="C73" s="1701"/>
      <c r="D73" s="1701"/>
      <c r="E73" s="19"/>
      <c r="F73" s="218"/>
      <c r="G73" s="74"/>
      <c r="H73" s="75"/>
      <c r="I73" s="19"/>
      <c r="J73" s="74"/>
      <c r="K73" s="75"/>
      <c r="L73" s="172"/>
      <c r="M73" s="173"/>
      <c r="N73" s="219"/>
      <c r="O73" s="338"/>
      <c r="P73" s="338"/>
      <c r="Q73" s="423"/>
      <c r="R73" s="218"/>
      <c r="S73" s="74"/>
      <c r="T73" s="75"/>
      <c r="U73" s="19"/>
      <c r="V73" s="74"/>
      <c r="W73" s="75"/>
      <c r="X73" s="172"/>
      <c r="Y73" s="173"/>
      <c r="Z73" s="219"/>
      <c r="AA73" s="846"/>
      <c r="AB73" s="177"/>
      <c r="AC73" s="219"/>
      <c r="AD73" s="67"/>
      <c r="AE73"/>
      <c r="AF73" s="246"/>
      <c r="AG73"/>
      <c r="AH73"/>
      <c r="AI73"/>
      <c r="AJ73"/>
      <c r="AK73"/>
      <c r="AL73"/>
      <c r="AM73"/>
      <c r="AN73"/>
      <c r="AO73"/>
      <c r="AP73"/>
      <c r="AQ73"/>
      <c r="AR73"/>
      <c r="AS73"/>
      <c r="AT73"/>
      <c r="AU73"/>
      <c r="AV73"/>
      <c r="AW73"/>
      <c r="AX73"/>
      <c r="AY73"/>
      <c r="AZ73"/>
      <c r="BA73"/>
    </row>
    <row r="74" spans="1:53" ht="16.5" thickBot="1" x14ac:dyDescent="0.25">
      <c r="A74" s="15"/>
      <c r="B74" s="5"/>
      <c r="C74" s="71"/>
      <c r="D74" s="71"/>
      <c r="E74" s="19"/>
      <c r="F74" s="218"/>
      <c r="G74" s="74"/>
      <c r="H74" s="75"/>
      <c r="I74" s="19"/>
      <c r="J74" s="74"/>
      <c r="K74" s="75"/>
      <c r="L74" s="172"/>
      <c r="M74" s="173"/>
      <c r="N74" s="219"/>
      <c r="O74" s="757"/>
      <c r="P74" s="757"/>
      <c r="Q74" s="423"/>
      <c r="R74" s="218"/>
      <c r="S74" s="74"/>
      <c r="T74" s="75"/>
      <c r="U74" s="19"/>
      <c r="V74" s="74"/>
      <c r="W74" s="75"/>
      <c r="X74" s="172"/>
      <c r="Y74" s="173"/>
      <c r="Z74" s="219"/>
      <c r="AA74" s="846"/>
      <c r="AB74" s="177"/>
      <c r="AC74" s="219"/>
      <c r="AD74" s="67"/>
      <c r="AE74"/>
      <c r="AF74" s="246"/>
      <c r="AG74"/>
      <c r="AH74"/>
      <c r="AI74"/>
      <c r="AJ74"/>
      <c r="AK74"/>
      <c r="AL74"/>
      <c r="AM74"/>
      <c r="AN74"/>
      <c r="AO74"/>
      <c r="AP74"/>
      <c r="AQ74"/>
      <c r="AR74"/>
      <c r="AS74"/>
      <c r="AT74"/>
      <c r="AU74"/>
      <c r="AV74"/>
      <c r="AW74"/>
      <c r="AX74"/>
      <c r="AY74"/>
      <c r="AZ74"/>
      <c r="BA74"/>
    </row>
    <row r="75" spans="1:53" ht="16.5" customHeight="1" thickBot="1" x14ac:dyDescent="0.25">
      <c r="A75" s="15"/>
      <c r="B75" s="5"/>
      <c r="C75" s="1771" t="s">
        <v>5754</v>
      </c>
      <c r="D75" s="1771"/>
      <c r="E75" s="19"/>
      <c r="F75" s="218"/>
      <c r="G75" s="808">
        <f>+G69+G72</f>
        <v>0</v>
      </c>
      <c r="H75" s="75"/>
      <c r="I75" s="19"/>
      <c r="J75" s="808">
        <f>+J69+J72</f>
        <v>0</v>
      </c>
      <c r="K75" s="75"/>
      <c r="L75" s="172"/>
      <c r="M75" s="809">
        <f>+G75+J75</f>
        <v>0</v>
      </c>
      <c r="N75" s="219"/>
      <c r="O75" s="338"/>
      <c r="P75" s="338"/>
      <c r="Q75" s="423"/>
      <c r="R75" s="218"/>
      <c r="S75" s="808">
        <f>+S69+S72</f>
        <v>0</v>
      </c>
      <c r="T75" s="75"/>
      <c r="U75" s="19"/>
      <c r="V75" s="808">
        <f>+V69+V72</f>
        <v>0</v>
      </c>
      <c r="W75" s="75"/>
      <c r="X75" s="172"/>
      <c r="Y75" s="809">
        <f>+S75+V75</f>
        <v>0</v>
      </c>
      <c r="Z75" s="219"/>
      <c r="AA75" s="846"/>
      <c r="AB75" s="809">
        <f>Y75+M75</f>
        <v>0</v>
      </c>
      <c r="AC75" s="219"/>
      <c r="AD75" s="67"/>
      <c r="AE75"/>
      <c r="AF75" s="245">
        <f>IF(+G75+J75+S75+V75-AB75=0,0,1)</f>
        <v>0</v>
      </c>
      <c r="AG75"/>
      <c r="AH75" s="137"/>
      <c r="AI75" s="231"/>
      <c r="AJ75"/>
      <c r="AK75"/>
      <c r="AL75"/>
      <c r="AM75"/>
      <c r="AN75"/>
      <c r="AO75"/>
      <c r="AP75"/>
      <c r="AQ75"/>
      <c r="AR75"/>
      <c r="AS75"/>
      <c r="AT75"/>
      <c r="AU75"/>
      <c r="AV75"/>
      <c r="AW75"/>
      <c r="AX75"/>
      <c r="AY75"/>
      <c r="AZ75"/>
      <c r="BA75"/>
    </row>
    <row r="76" spans="1:53" ht="16.5" thickBot="1" x14ac:dyDescent="0.25">
      <c r="A76" s="15"/>
      <c r="B76" s="5"/>
      <c r="C76" s="1771"/>
      <c r="D76" s="1771"/>
      <c r="E76" s="19"/>
      <c r="F76" s="220"/>
      <c r="G76" s="221"/>
      <c r="H76" s="222"/>
      <c r="I76" s="221"/>
      <c r="J76" s="221"/>
      <c r="K76" s="222"/>
      <c r="L76" s="223"/>
      <c r="M76" s="224"/>
      <c r="N76" s="225"/>
      <c r="O76" s="338"/>
      <c r="P76" s="338"/>
      <c r="Q76" s="423"/>
      <c r="R76" s="220"/>
      <c r="S76" s="221"/>
      <c r="T76" s="222"/>
      <c r="U76" s="221"/>
      <c r="V76" s="221"/>
      <c r="W76" s="222"/>
      <c r="X76" s="223"/>
      <c r="Y76" s="224"/>
      <c r="Z76" s="225"/>
      <c r="AA76" s="847"/>
      <c r="AB76" s="844"/>
      <c r="AC76" s="225"/>
      <c r="AD76" s="67"/>
      <c r="AE76"/>
      <c r="AF76" s="246"/>
      <c r="AG76"/>
      <c r="AH76"/>
      <c r="AI76"/>
      <c r="AJ76"/>
      <c r="AK76"/>
      <c r="AL76"/>
      <c r="AM76"/>
      <c r="AN76"/>
      <c r="AO76"/>
      <c r="AP76"/>
      <c r="AQ76"/>
      <c r="AR76"/>
      <c r="AS76"/>
      <c r="AT76"/>
      <c r="AU76"/>
      <c r="AV76"/>
      <c r="AW76"/>
      <c r="AX76"/>
      <c r="AY76"/>
      <c r="AZ76"/>
      <c r="BA76"/>
    </row>
    <row r="77" spans="1:53" ht="16.5" thickBot="1" x14ac:dyDescent="0.25">
      <c r="A77" s="15"/>
      <c r="B77" s="7"/>
      <c r="C77" s="70"/>
      <c r="D77" s="70"/>
      <c r="E77" s="70"/>
      <c r="F77" s="70"/>
      <c r="G77" s="78"/>
      <c r="H77" s="79"/>
      <c r="I77" s="79"/>
      <c r="J77" s="78"/>
      <c r="K77" s="79"/>
      <c r="L77" s="181"/>
      <c r="M77" s="180"/>
      <c r="N77" s="196"/>
      <c r="O77" s="823"/>
      <c r="P77" s="823"/>
      <c r="Q77" s="823"/>
      <c r="R77" s="70"/>
      <c r="S77" s="78"/>
      <c r="T77" s="79"/>
      <c r="U77" s="79"/>
      <c r="V77" s="78"/>
      <c r="W77" s="79"/>
      <c r="X77" s="181"/>
      <c r="Y77" s="180"/>
      <c r="Z77" s="832"/>
      <c r="AA77" s="839"/>
      <c r="AB77" s="832"/>
      <c r="AC77" s="196"/>
      <c r="AD77" s="67"/>
      <c r="AE77"/>
      <c r="AF77" s="246"/>
      <c r="AG77"/>
      <c r="AH77"/>
      <c r="AI77"/>
      <c r="AJ77"/>
      <c r="AK77"/>
      <c r="AL77"/>
      <c r="AM77"/>
      <c r="AN77"/>
      <c r="AO77"/>
      <c r="AP77"/>
      <c r="AQ77"/>
      <c r="AR77"/>
      <c r="AS77"/>
      <c r="AT77"/>
      <c r="AU77"/>
      <c r="AV77"/>
      <c r="AW77"/>
      <c r="AX77"/>
      <c r="AY77"/>
      <c r="AZ77"/>
      <c r="BA77"/>
    </row>
    <row r="78" spans="1:53" ht="16.5" thickBot="1" x14ac:dyDescent="0.25">
      <c r="A78" s="16"/>
      <c r="B78" s="17"/>
      <c r="C78" s="86"/>
      <c r="D78" s="86"/>
      <c r="E78" s="86"/>
      <c r="F78" s="86"/>
      <c r="G78" s="87"/>
      <c r="H78" s="88"/>
      <c r="I78" s="88"/>
      <c r="J78" s="87"/>
      <c r="K78" s="88"/>
      <c r="L78" s="183"/>
      <c r="M78" s="182"/>
      <c r="N78" s="197"/>
      <c r="O78" s="824"/>
      <c r="P78" s="824"/>
      <c r="Q78" s="824"/>
      <c r="R78" s="86"/>
      <c r="S78" s="87"/>
      <c r="T78" s="88"/>
      <c r="U78" s="88"/>
      <c r="V78" s="87"/>
      <c r="W78" s="88"/>
      <c r="X78" s="183"/>
      <c r="Y78" s="182"/>
      <c r="Z78" s="197"/>
      <c r="AA78" s="197"/>
      <c r="AB78" s="197"/>
      <c r="AC78" s="197"/>
      <c r="AD78" s="68"/>
      <c r="AE78"/>
      <c r="AF78" s="246"/>
      <c r="AG78"/>
      <c r="AH78"/>
      <c r="AI78"/>
      <c r="AJ78"/>
      <c r="AK78"/>
      <c r="AL78"/>
      <c r="AM78"/>
      <c r="AN78"/>
      <c r="AO78"/>
      <c r="AP78"/>
      <c r="AQ78"/>
      <c r="AR78"/>
      <c r="AS78"/>
      <c r="AT78"/>
      <c r="AU78"/>
      <c r="AV78"/>
      <c r="AW78"/>
      <c r="AX78"/>
      <c r="AY78"/>
      <c r="AZ78"/>
      <c r="BA78"/>
    </row>
    <row r="79" spans="1:53" ht="15" customHeight="1" x14ac:dyDescent="0.2">
      <c r="A79" s="15"/>
      <c r="B79" s="2"/>
      <c r="C79" s="19"/>
      <c r="D79" s="19"/>
      <c r="E79" s="19"/>
      <c r="F79" s="19"/>
      <c r="G79" s="74"/>
      <c r="H79" s="73"/>
      <c r="I79" s="19"/>
      <c r="J79" s="74"/>
      <c r="K79" s="73"/>
      <c r="L79" s="172"/>
      <c r="M79" s="173"/>
      <c r="N79" s="177"/>
      <c r="O79" s="423"/>
      <c r="P79" s="423"/>
      <c r="Q79" s="423"/>
      <c r="R79" s="19"/>
      <c r="S79" s="74"/>
      <c r="T79" s="73"/>
      <c r="U79" s="19"/>
      <c r="V79" s="74"/>
      <c r="W79" s="73"/>
      <c r="X79" s="172"/>
      <c r="Y79" s="173"/>
      <c r="Z79" s="177"/>
      <c r="AA79" s="177"/>
      <c r="AB79" s="177"/>
      <c r="AC79" s="177"/>
      <c r="AD79" s="67"/>
      <c r="AE79"/>
      <c r="AF79" s="246"/>
      <c r="AG79"/>
      <c r="AH79"/>
      <c r="AI79"/>
      <c r="AJ79"/>
      <c r="AK79"/>
      <c r="AL79"/>
      <c r="AM79"/>
      <c r="AN79"/>
      <c r="AO79"/>
      <c r="AP79"/>
      <c r="AQ79"/>
      <c r="AR79"/>
      <c r="AS79"/>
      <c r="AT79"/>
      <c r="AU79"/>
      <c r="AV79"/>
      <c r="AW79"/>
      <c r="AX79"/>
      <c r="AY79"/>
      <c r="AZ79"/>
      <c r="BA79"/>
    </row>
    <row r="80" spans="1:53" ht="15.75" x14ac:dyDescent="0.25">
      <c r="A80" s="15"/>
      <c r="B80" s="2"/>
      <c r="C80" s="12" t="s">
        <v>3077</v>
      </c>
      <c r="D80" s="19"/>
      <c r="E80" s="19"/>
      <c r="F80" s="19"/>
      <c r="G80" s="73"/>
      <c r="H80" s="73"/>
      <c r="I80" s="19"/>
      <c r="J80" s="73"/>
      <c r="K80" s="73"/>
      <c r="L80" s="172"/>
      <c r="M80" s="172"/>
      <c r="N80" s="177"/>
      <c r="O80" s="423"/>
      <c r="P80" s="423"/>
      <c r="Q80" s="423"/>
      <c r="R80" s="19"/>
      <c r="S80" s="73"/>
      <c r="T80" s="73"/>
      <c r="U80" s="19"/>
      <c r="V80" s="73"/>
      <c r="W80" s="73"/>
      <c r="X80" s="172"/>
      <c r="Y80" s="172"/>
      <c r="Z80" s="177"/>
      <c r="AA80" s="177"/>
      <c r="AB80" s="177"/>
      <c r="AC80" s="177"/>
      <c r="AD80" s="67"/>
      <c r="AE80"/>
      <c r="AF80" s="246"/>
      <c r="AG80"/>
      <c r="AH80"/>
      <c r="AI80"/>
      <c r="AJ80"/>
      <c r="AK80"/>
      <c r="AL80"/>
      <c r="AM80"/>
      <c r="AN80"/>
      <c r="AO80"/>
      <c r="AP80"/>
      <c r="AQ80"/>
      <c r="AR80"/>
      <c r="AS80"/>
      <c r="AT80"/>
      <c r="AU80"/>
      <c r="AV80"/>
      <c r="AW80"/>
      <c r="AX80"/>
      <c r="AY80"/>
      <c r="AZ80"/>
      <c r="BA80"/>
    </row>
    <row r="81" spans="1:53" x14ac:dyDescent="0.2">
      <c r="A81" s="15"/>
      <c r="B81" s="2"/>
      <c r="C81" s="19"/>
      <c r="D81" s="19"/>
      <c r="E81" s="19"/>
      <c r="F81" s="19"/>
      <c r="G81" s="73"/>
      <c r="H81" s="73"/>
      <c r="I81" s="19"/>
      <c r="J81" s="73"/>
      <c r="K81" s="73"/>
      <c r="L81" s="172"/>
      <c r="M81" s="172"/>
      <c r="N81" s="177"/>
      <c r="O81" s="423"/>
      <c r="P81" s="423"/>
      <c r="Q81" s="423"/>
      <c r="R81" s="19"/>
      <c r="S81" s="73"/>
      <c r="T81" s="73"/>
      <c r="U81" s="19"/>
      <c r="V81" s="73"/>
      <c r="W81" s="73"/>
      <c r="X81" s="172"/>
      <c r="Y81" s="172"/>
      <c r="Z81" s="177"/>
      <c r="AA81" s="177"/>
      <c r="AB81" s="177"/>
      <c r="AC81" s="177"/>
      <c r="AD81" s="67"/>
      <c r="AE81"/>
      <c r="AF81" s="246"/>
      <c r="AG81"/>
      <c r="AH81"/>
      <c r="AI81"/>
      <c r="AJ81"/>
      <c r="AK81"/>
      <c r="AL81"/>
      <c r="AM81"/>
      <c r="AN81"/>
      <c r="AO81"/>
      <c r="AP81"/>
      <c r="AQ81"/>
      <c r="AR81"/>
      <c r="AS81"/>
      <c r="AT81"/>
      <c r="AU81"/>
      <c r="AV81"/>
      <c r="AW81"/>
      <c r="AX81"/>
      <c r="AY81"/>
      <c r="AZ81"/>
      <c r="BA81"/>
    </row>
    <row r="82" spans="1:53" ht="16.5" thickBot="1" x14ac:dyDescent="0.3">
      <c r="A82" s="15"/>
      <c r="B82" s="2"/>
      <c r="C82" s="12" t="s">
        <v>501</v>
      </c>
      <c r="D82" s="10"/>
      <c r="E82" s="19"/>
      <c r="F82" s="19"/>
      <c r="G82" s="73"/>
      <c r="H82" s="73"/>
      <c r="I82" s="19"/>
      <c r="J82" s="73"/>
      <c r="K82" s="73"/>
      <c r="L82" s="172"/>
      <c r="M82" s="172"/>
      <c r="N82" s="177"/>
      <c r="O82" s="459"/>
      <c r="P82" s="459"/>
      <c r="Q82" s="423"/>
      <c r="R82" s="19"/>
      <c r="S82" s="73"/>
      <c r="T82" s="73"/>
      <c r="U82" s="19"/>
      <c r="V82" s="73"/>
      <c r="W82" s="73"/>
      <c r="X82" s="172"/>
      <c r="Y82" s="172"/>
      <c r="Z82" s="177"/>
      <c r="AA82" s="177"/>
      <c r="AB82" s="177"/>
      <c r="AC82" s="177"/>
      <c r="AD82" s="67"/>
      <c r="AE82"/>
      <c r="AF82" s="246"/>
      <c r="AG82"/>
      <c r="AH82"/>
      <c r="AI82"/>
      <c r="AJ82"/>
      <c r="AK82"/>
      <c r="AL82"/>
      <c r="AM82"/>
      <c r="AN82"/>
      <c r="AO82"/>
      <c r="AP82"/>
      <c r="AQ82"/>
      <c r="AR82"/>
      <c r="AS82"/>
      <c r="AT82"/>
      <c r="AU82"/>
      <c r="AV82"/>
      <c r="AW82"/>
      <c r="AX82"/>
      <c r="AY82"/>
      <c r="AZ82"/>
      <c r="BA82"/>
    </row>
    <row r="83" spans="1:53" ht="16.5" thickBot="1" x14ac:dyDescent="0.25">
      <c r="A83" s="15"/>
      <c r="B83" s="2"/>
      <c r="C83" s="10" t="s">
        <v>3103</v>
      </c>
      <c r="D83" s="10"/>
      <c r="E83" s="19"/>
      <c r="F83" s="19"/>
      <c r="G83" s="807">
        <v>0</v>
      </c>
      <c r="H83" s="73"/>
      <c r="I83" s="19"/>
      <c r="J83" s="807">
        <v>0</v>
      </c>
      <c r="K83" s="73"/>
      <c r="L83" s="172"/>
      <c r="M83" s="809">
        <f>+G83+J83</f>
        <v>0</v>
      </c>
      <c r="N83" s="177"/>
      <c r="O83" s="459"/>
      <c r="P83" s="459"/>
      <c r="Q83" s="423"/>
      <c r="R83" s="19"/>
      <c r="S83" s="807">
        <v>0</v>
      </c>
      <c r="T83" s="73"/>
      <c r="U83" s="19"/>
      <c r="V83" s="807">
        <v>0</v>
      </c>
      <c r="W83" s="73"/>
      <c r="X83" s="172"/>
      <c r="Y83" s="809">
        <f>+S83+V83</f>
        <v>0</v>
      </c>
      <c r="Z83" s="177"/>
      <c r="AA83" s="177"/>
      <c r="AB83" s="809">
        <f>Y83+M83</f>
        <v>0</v>
      </c>
      <c r="AC83" s="177"/>
      <c r="AD83" s="67"/>
      <c r="AE83"/>
      <c r="AF83" s="245">
        <f>IF(+G83+J83+S83+V83-AB83=0,0,1)</f>
        <v>0</v>
      </c>
      <c r="AG83"/>
      <c r="AH83" s="137"/>
      <c r="AI83" s="231"/>
      <c r="AJ83"/>
      <c r="AK83"/>
      <c r="AL83"/>
      <c r="AM83"/>
      <c r="AN83"/>
      <c r="AO83"/>
      <c r="AP83"/>
      <c r="AQ83"/>
      <c r="AR83"/>
      <c r="AS83"/>
      <c r="AT83"/>
      <c r="AU83"/>
      <c r="AV83"/>
      <c r="AW83"/>
      <c r="AX83"/>
      <c r="AY83"/>
      <c r="AZ83"/>
      <c r="BA83"/>
    </row>
    <row r="84" spans="1:53" ht="15" customHeight="1" x14ac:dyDescent="0.2">
      <c r="A84" s="15"/>
      <c r="B84" s="2"/>
      <c r="C84" s="10"/>
      <c r="D84" s="10"/>
      <c r="E84" s="19"/>
      <c r="F84" s="19"/>
      <c r="G84" s="73"/>
      <c r="H84" s="73"/>
      <c r="I84" s="73"/>
      <c r="J84" s="73"/>
      <c r="K84" s="73"/>
      <c r="L84" s="172"/>
      <c r="M84" s="172"/>
      <c r="N84" s="177"/>
      <c r="O84" s="459"/>
      <c r="P84" s="459"/>
      <c r="Q84" s="423"/>
      <c r="R84" s="19"/>
      <c r="S84" s="73"/>
      <c r="T84" s="73"/>
      <c r="U84" s="73"/>
      <c r="V84" s="73"/>
      <c r="W84" s="73"/>
      <c r="X84" s="172"/>
      <c r="Y84" s="172"/>
      <c r="Z84" s="177"/>
      <c r="AA84" s="177"/>
      <c r="AB84" s="177"/>
      <c r="AC84" s="177"/>
      <c r="AD84" s="67"/>
      <c r="AE84"/>
      <c r="AF84" s="246"/>
      <c r="AG84"/>
      <c r="AH84"/>
      <c r="AI84"/>
      <c r="AJ84"/>
      <c r="AK84"/>
      <c r="AL84"/>
      <c r="AM84"/>
      <c r="AN84"/>
      <c r="AO84"/>
      <c r="AP84"/>
      <c r="AQ84"/>
      <c r="AR84"/>
      <c r="AS84"/>
      <c r="AT84"/>
      <c r="AU84"/>
      <c r="AV84"/>
      <c r="AW84"/>
      <c r="AX84"/>
      <c r="AY84"/>
      <c r="AZ84"/>
      <c r="BA84"/>
    </row>
    <row r="85" spans="1:53" ht="16.5" thickBot="1" x14ac:dyDescent="0.3">
      <c r="A85" s="15"/>
      <c r="B85" s="2"/>
      <c r="C85" s="12" t="s">
        <v>502</v>
      </c>
      <c r="D85" s="10"/>
      <c r="E85" s="19"/>
      <c r="F85" s="19"/>
      <c r="G85" s="73"/>
      <c r="H85" s="73"/>
      <c r="I85" s="73"/>
      <c r="J85" s="73"/>
      <c r="K85" s="73"/>
      <c r="L85" s="172"/>
      <c r="M85" s="172"/>
      <c r="N85" s="177"/>
      <c r="O85" s="459"/>
      <c r="P85" s="459"/>
      <c r="Q85" s="423"/>
      <c r="R85" s="19"/>
      <c r="S85" s="73"/>
      <c r="T85" s="73"/>
      <c r="U85" s="73"/>
      <c r="V85" s="73"/>
      <c r="W85" s="73"/>
      <c r="X85" s="172"/>
      <c r="Y85" s="172"/>
      <c r="Z85" s="177"/>
      <c r="AA85" s="177"/>
      <c r="AB85" s="177"/>
      <c r="AC85" s="177"/>
      <c r="AD85" s="67"/>
      <c r="AE85"/>
      <c r="AF85" s="246"/>
      <c r="AG85"/>
      <c r="AH85"/>
      <c r="AI85"/>
      <c r="AJ85"/>
      <c r="AK85"/>
      <c r="AL85"/>
      <c r="AM85"/>
      <c r="AN85"/>
      <c r="AO85"/>
      <c r="AP85"/>
      <c r="AQ85"/>
      <c r="AR85"/>
      <c r="AS85"/>
      <c r="AT85"/>
      <c r="AU85"/>
      <c r="AV85"/>
      <c r="AW85"/>
      <c r="AX85"/>
      <c r="AY85"/>
      <c r="AZ85"/>
      <c r="BA85"/>
    </row>
    <row r="86" spans="1:53" ht="16.5" customHeight="1" thickBot="1" x14ac:dyDescent="0.25">
      <c r="A86" s="15"/>
      <c r="B86" s="2"/>
      <c r="C86" s="10" t="s">
        <v>5755</v>
      </c>
      <c r="D86" s="10"/>
      <c r="E86" s="19"/>
      <c r="F86" s="19"/>
      <c r="G86" s="807">
        <v>0</v>
      </c>
      <c r="H86" s="73"/>
      <c r="I86" s="19"/>
      <c r="J86" s="807">
        <v>0</v>
      </c>
      <c r="K86" s="73"/>
      <c r="L86" s="172"/>
      <c r="M86" s="809">
        <f>+G86+J86</f>
        <v>0</v>
      </c>
      <c r="N86" s="177"/>
      <c r="O86" s="459"/>
      <c r="P86" s="459"/>
      <c r="Q86" s="423"/>
      <c r="R86" s="19"/>
      <c r="S86" s="807">
        <v>0</v>
      </c>
      <c r="T86" s="73"/>
      <c r="U86" s="19"/>
      <c r="V86" s="807">
        <v>0</v>
      </c>
      <c r="W86" s="73"/>
      <c r="X86" s="172"/>
      <c r="Y86" s="809">
        <f>+S86+V86</f>
        <v>0</v>
      </c>
      <c r="Z86" s="177"/>
      <c r="AA86" s="177"/>
      <c r="AB86" s="809">
        <f>Y86+M86</f>
        <v>0</v>
      </c>
      <c r="AC86" s="177"/>
      <c r="AD86" s="67"/>
      <c r="AE86"/>
      <c r="AF86" s="245">
        <f>IF(+G86+J86+S86+V86-AB86=0,0,1)</f>
        <v>0</v>
      </c>
      <c r="AG86"/>
      <c r="AH86" s="137"/>
      <c r="AI86" s="231"/>
      <c r="AJ86"/>
      <c r="AK86"/>
      <c r="AL86"/>
      <c r="AM86"/>
      <c r="AN86"/>
      <c r="AO86"/>
      <c r="AP86"/>
      <c r="AQ86"/>
      <c r="AR86"/>
      <c r="AS86"/>
      <c r="AT86"/>
      <c r="AU86"/>
      <c r="AV86"/>
      <c r="AW86"/>
      <c r="AX86"/>
      <c r="AY86"/>
      <c r="AZ86"/>
      <c r="BA86"/>
    </row>
    <row r="87" spans="1:53" ht="16.5" thickBot="1" x14ac:dyDescent="0.25">
      <c r="A87" s="15"/>
      <c r="B87" s="2"/>
      <c r="C87" s="10"/>
      <c r="D87" s="10"/>
      <c r="E87" s="19"/>
      <c r="F87" s="19"/>
      <c r="G87" s="74"/>
      <c r="H87" s="74"/>
      <c r="I87" s="74"/>
      <c r="J87" s="74"/>
      <c r="K87" s="74"/>
      <c r="L87" s="172"/>
      <c r="M87" s="173"/>
      <c r="N87" s="177"/>
      <c r="O87" s="459"/>
      <c r="P87" s="459"/>
      <c r="Q87" s="423"/>
      <c r="R87" s="19"/>
      <c r="S87" s="74"/>
      <c r="T87" s="74"/>
      <c r="U87" s="74"/>
      <c r="V87" s="74"/>
      <c r="W87" s="74"/>
      <c r="X87" s="172"/>
      <c r="Y87" s="173"/>
      <c r="Z87" s="177"/>
      <c r="AA87" s="177"/>
      <c r="AB87" s="177"/>
      <c r="AC87" s="177"/>
      <c r="AD87" s="67"/>
      <c r="AE87"/>
      <c r="AF87" s="246"/>
      <c r="AG87"/>
      <c r="AH87"/>
      <c r="AI87"/>
      <c r="AJ87"/>
      <c r="AK87"/>
      <c r="AL87"/>
      <c r="AM87"/>
      <c r="AN87"/>
      <c r="AO87"/>
      <c r="AP87"/>
      <c r="AQ87"/>
      <c r="AR87"/>
      <c r="AS87"/>
      <c r="AT87"/>
      <c r="AU87"/>
      <c r="AV87"/>
      <c r="AW87"/>
      <c r="AX87"/>
      <c r="AY87"/>
      <c r="AZ87"/>
      <c r="BA87"/>
    </row>
    <row r="88" spans="1:53" ht="16.5" thickBot="1" x14ac:dyDescent="0.25">
      <c r="A88" s="15"/>
      <c r="B88" s="4"/>
      <c r="C88" s="342"/>
      <c r="D88" s="342"/>
      <c r="E88" s="69"/>
      <c r="F88" s="69"/>
      <c r="G88" s="76"/>
      <c r="H88" s="76"/>
      <c r="I88" s="621"/>
      <c r="J88" s="76"/>
      <c r="K88" s="76"/>
      <c r="L88" s="179"/>
      <c r="M88" s="178"/>
      <c r="N88" s="194"/>
      <c r="O88" s="825"/>
      <c r="P88" s="825"/>
      <c r="Q88" s="822"/>
      <c r="R88" s="69"/>
      <c r="S88" s="76"/>
      <c r="T88" s="76"/>
      <c r="U88" s="621"/>
      <c r="V88" s="76"/>
      <c r="W88" s="76"/>
      <c r="X88" s="179"/>
      <c r="Y88" s="178"/>
      <c r="Z88" s="831"/>
      <c r="AA88" s="837"/>
      <c r="AB88" s="831"/>
      <c r="AC88" s="194"/>
      <c r="AD88" s="67"/>
      <c r="AE88"/>
      <c r="AF88" s="246"/>
      <c r="AG88"/>
      <c r="AH88"/>
      <c r="AI88"/>
      <c r="AJ88"/>
      <c r="AK88"/>
      <c r="AL88"/>
      <c r="AM88"/>
      <c r="AN88"/>
      <c r="AO88"/>
      <c r="AP88"/>
      <c r="AQ88"/>
      <c r="AR88"/>
      <c r="AS88"/>
      <c r="AT88"/>
      <c r="AU88"/>
      <c r="AV88"/>
      <c r="AW88"/>
      <c r="AX88"/>
      <c r="AY88"/>
      <c r="AZ88"/>
      <c r="BA88"/>
    </row>
    <row r="89" spans="1:53" ht="16.5" customHeight="1" thickBot="1" x14ac:dyDescent="0.25">
      <c r="A89" s="15"/>
      <c r="B89" s="5"/>
      <c r="C89" s="1722" t="s">
        <v>5795</v>
      </c>
      <c r="D89" s="1722"/>
      <c r="E89" s="19"/>
      <c r="F89" s="19"/>
      <c r="G89" s="808">
        <f>+G83+G86</f>
        <v>0</v>
      </c>
      <c r="H89" s="73"/>
      <c r="I89" s="622"/>
      <c r="J89" s="808">
        <f>+J83+J86</f>
        <v>0</v>
      </c>
      <c r="K89" s="73"/>
      <c r="L89" s="172"/>
      <c r="M89" s="172"/>
      <c r="N89" s="195"/>
      <c r="O89" s="338"/>
      <c r="P89" s="338"/>
      <c r="Q89" s="423"/>
      <c r="R89" s="19"/>
      <c r="S89" s="808">
        <f>+S83+S86</f>
        <v>0</v>
      </c>
      <c r="T89" s="73"/>
      <c r="U89" s="622"/>
      <c r="V89" s="808">
        <f>+V83+V86</f>
        <v>0</v>
      </c>
      <c r="W89" s="73"/>
      <c r="X89" s="172"/>
      <c r="Y89" s="172"/>
      <c r="Z89" s="177"/>
      <c r="AA89" s="838"/>
      <c r="AB89" s="177"/>
      <c r="AC89" s="833"/>
      <c r="AD89" s="67"/>
      <c r="AE89"/>
      <c r="AF89" s="245">
        <f>IF(+G89+G92-G96=0,0,1)</f>
        <v>0</v>
      </c>
      <c r="AG89"/>
      <c r="AH89"/>
      <c r="AI89"/>
      <c r="AJ89"/>
      <c r="AK89"/>
      <c r="AL89"/>
      <c r="AM89"/>
      <c r="AN89"/>
      <c r="AO89"/>
      <c r="AP89"/>
      <c r="AQ89"/>
      <c r="AR89"/>
      <c r="AS89"/>
      <c r="AT89"/>
      <c r="AU89"/>
      <c r="AV89"/>
      <c r="AW89"/>
      <c r="AX89"/>
      <c r="AY89"/>
      <c r="AZ89"/>
      <c r="BA89"/>
    </row>
    <row r="90" spans="1:53" ht="15.75" x14ac:dyDescent="0.2">
      <c r="A90" s="15"/>
      <c r="B90" s="5"/>
      <c r="C90" s="1722"/>
      <c r="D90" s="1722"/>
      <c r="E90" s="19"/>
      <c r="F90" s="19"/>
      <c r="G90" s="74"/>
      <c r="H90" s="73"/>
      <c r="I90" s="623"/>
      <c r="J90" s="74"/>
      <c r="K90" s="73"/>
      <c r="L90" s="172"/>
      <c r="M90" s="172"/>
      <c r="N90" s="195"/>
      <c r="O90" s="338"/>
      <c r="P90" s="338"/>
      <c r="Q90" s="423"/>
      <c r="R90" s="19"/>
      <c r="S90" s="74"/>
      <c r="T90" s="73"/>
      <c r="U90" s="623"/>
      <c r="V90" s="74"/>
      <c r="W90" s="73"/>
      <c r="X90" s="172"/>
      <c r="Y90" s="172"/>
      <c r="Z90" s="177"/>
      <c r="AA90" s="838"/>
      <c r="AB90" s="177"/>
      <c r="AC90" s="833"/>
      <c r="AD90" s="67"/>
      <c r="AE90"/>
      <c r="AF90" s="245">
        <f>IF(+S89+S92-S96=0,0,1)</f>
        <v>0</v>
      </c>
      <c r="AG90"/>
      <c r="AH90"/>
      <c r="AI90"/>
      <c r="AJ90"/>
      <c r="AK90"/>
      <c r="AL90"/>
      <c r="AM90"/>
      <c r="AN90"/>
      <c r="AO90"/>
      <c r="AP90"/>
      <c r="AQ90"/>
      <c r="AR90"/>
      <c r="AS90"/>
      <c r="AT90"/>
      <c r="AU90"/>
      <c r="AV90"/>
      <c r="AW90"/>
      <c r="AX90"/>
      <c r="AY90"/>
      <c r="AZ90"/>
      <c r="BA90"/>
    </row>
    <row r="91" spans="1:53" ht="16.5" thickBot="1" x14ac:dyDescent="0.25">
      <c r="A91" s="15"/>
      <c r="B91" s="5"/>
      <c r="C91" s="340"/>
      <c r="D91" s="340"/>
      <c r="E91" s="19"/>
      <c r="F91" s="19"/>
      <c r="G91" s="74"/>
      <c r="H91" s="73"/>
      <c r="I91" s="623"/>
      <c r="J91" s="74"/>
      <c r="K91" s="73"/>
      <c r="L91" s="172"/>
      <c r="M91" s="172"/>
      <c r="N91" s="195"/>
      <c r="O91" s="821"/>
      <c r="P91" s="821"/>
      <c r="Q91" s="423"/>
      <c r="R91" s="19"/>
      <c r="S91" s="74"/>
      <c r="T91" s="73"/>
      <c r="U91" s="623"/>
      <c r="V91" s="74"/>
      <c r="W91" s="73"/>
      <c r="X91" s="172"/>
      <c r="Y91" s="172"/>
      <c r="Z91" s="177"/>
      <c r="AA91" s="838"/>
      <c r="AB91" s="177"/>
      <c r="AC91" s="833"/>
      <c r="AD91" s="67"/>
      <c r="AE91"/>
      <c r="AF91" s="245">
        <f>IF(+V89+V92-V96=0,0,1)</f>
        <v>0</v>
      </c>
      <c r="AG91"/>
      <c r="AH91"/>
      <c r="AI91" s="231"/>
      <c r="AJ91"/>
      <c r="AK91"/>
      <c r="AL91"/>
      <c r="AM91"/>
      <c r="AN91"/>
      <c r="AO91"/>
      <c r="AP91"/>
      <c r="AQ91"/>
      <c r="AR91"/>
      <c r="AS91"/>
      <c r="AT91"/>
      <c r="AU91"/>
      <c r="AV91"/>
      <c r="AW91"/>
      <c r="AX91"/>
      <c r="AY91"/>
      <c r="AZ91"/>
      <c r="BA91"/>
    </row>
    <row r="92" spans="1:53" ht="15.75" customHeight="1" thickBot="1" x14ac:dyDescent="0.25">
      <c r="A92" s="15"/>
      <c r="B92" s="5"/>
      <c r="C92" s="1701" t="s">
        <v>5756</v>
      </c>
      <c r="D92" s="1701"/>
      <c r="E92" s="19"/>
      <c r="F92" s="19"/>
      <c r="G92" s="807">
        <v>0</v>
      </c>
      <c r="H92" s="73"/>
      <c r="I92" s="622"/>
      <c r="J92" s="807">
        <v>0</v>
      </c>
      <c r="K92" s="73"/>
      <c r="L92" s="172"/>
      <c r="M92" s="172"/>
      <c r="N92" s="195"/>
      <c r="O92" s="338"/>
      <c r="P92" s="338"/>
      <c r="Q92" s="423"/>
      <c r="R92" s="19"/>
      <c r="S92" s="807">
        <v>0</v>
      </c>
      <c r="T92" s="73"/>
      <c r="U92" s="622"/>
      <c r="V92" s="807">
        <v>0</v>
      </c>
      <c r="W92" s="73"/>
      <c r="X92" s="172"/>
      <c r="Y92" s="172"/>
      <c r="Z92" s="177"/>
      <c r="AA92" s="838"/>
      <c r="AB92" s="177"/>
      <c r="AC92" s="833"/>
      <c r="AD92" s="67"/>
      <c r="AE92"/>
      <c r="AF92" s="245">
        <f>IF(+J89+J92-J96=0,0,1)</f>
        <v>0</v>
      </c>
      <c r="AG92"/>
      <c r="AH92"/>
      <c r="AI92" s="231"/>
      <c r="AJ92"/>
      <c r="AK92"/>
      <c r="AL92"/>
      <c r="AM92"/>
      <c r="AN92"/>
      <c r="AO92"/>
      <c r="AP92"/>
      <c r="AQ92"/>
      <c r="AR92"/>
      <c r="AS92"/>
      <c r="AT92"/>
      <c r="AU92"/>
      <c r="AV92"/>
      <c r="AW92"/>
      <c r="AX92"/>
      <c r="AY92"/>
      <c r="AZ92"/>
      <c r="BA92"/>
    </row>
    <row r="93" spans="1:53" ht="15.75" customHeight="1" x14ac:dyDescent="0.2">
      <c r="A93" s="15"/>
      <c r="B93" s="5"/>
      <c r="C93" s="1701"/>
      <c r="D93" s="1701"/>
      <c r="E93" s="19"/>
      <c r="F93" s="19"/>
      <c r="G93" s="74"/>
      <c r="H93" s="73"/>
      <c r="I93" s="622"/>
      <c r="J93" s="74"/>
      <c r="K93" s="73"/>
      <c r="L93" s="172"/>
      <c r="M93" s="173"/>
      <c r="N93" s="195"/>
      <c r="O93" s="338"/>
      <c r="P93" s="338"/>
      <c r="Q93" s="423"/>
      <c r="R93" s="19"/>
      <c r="S93" s="74"/>
      <c r="T93" s="73"/>
      <c r="U93" s="622"/>
      <c r="V93" s="74"/>
      <c r="W93" s="73"/>
      <c r="X93" s="172"/>
      <c r="Y93" s="173"/>
      <c r="Z93" s="177"/>
      <c r="AA93" s="838"/>
      <c r="AB93" s="177"/>
      <c r="AC93" s="833"/>
      <c r="AD93" s="67"/>
      <c r="AE93"/>
      <c r="AF93" s="246"/>
      <c r="AG93"/>
      <c r="AH93"/>
      <c r="AI93"/>
      <c r="AJ93"/>
      <c r="AK93"/>
      <c r="AL93"/>
      <c r="AM93"/>
      <c r="AN93"/>
      <c r="AO93"/>
      <c r="AP93"/>
      <c r="AQ93"/>
      <c r="AR93"/>
      <c r="AS93"/>
      <c r="AT93"/>
      <c r="AU93"/>
      <c r="AV93"/>
      <c r="AW93"/>
      <c r="AX93"/>
      <c r="AY93"/>
      <c r="AZ93"/>
      <c r="BA93"/>
    </row>
    <row r="94" spans="1:53" ht="15.75" customHeight="1" x14ac:dyDescent="0.2">
      <c r="A94" s="827"/>
      <c r="B94" s="5"/>
      <c r="C94" s="1701"/>
      <c r="D94" s="1701"/>
      <c r="E94" s="19"/>
      <c r="F94" s="19"/>
      <c r="G94" s="74"/>
      <c r="H94" s="73"/>
      <c r="I94" s="622"/>
      <c r="J94" s="74"/>
      <c r="K94" s="73"/>
      <c r="L94" s="172"/>
      <c r="M94" s="173"/>
      <c r="N94" s="833"/>
      <c r="O94" s="338"/>
      <c r="P94" s="338"/>
      <c r="Q94" s="423"/>
      <c r="R94" s="19"/>
      <c r="S94" s="74"/>
      <c r="T94" s="73"/>
      <c r="U94" s="622"/>
      <c r="V94" s="74"/>
      <c r="W94" s="73"/>
      <c r="X94" s="172"/>
      <c r="Y94" s="173"/>
      <c r="Z94" s="177"/>
      <c r="AA94" s="838"/>
      <c r="AB94" s="177"/>
      <c r="AC94" s="833"/>
      <c r="AD94" s="867"/>
      <c r="AE94"/>
      <c r="AF94" s="246"/>
      <c r="AG94"/>
      <c r="AH94"/>
      <c r="AI94"/>
      <c r="AJ94"/>
      <c r="AK94"/>
      <c r="AL94"/>
      <c r="AM94"/>
      <c r="AN94"/>
      <c r="AO94"/>
      <c r="AP94"/>
      <c r="AQ94"/>
      <c r="AR94"/>
      <c r="AS94"/>
      <c r="AT94"/>
      <c r="AU94"/>
      <c r="AV94"/>
      <c r="AW94"/>
      <c r="AX94"/>
      <c r="AY94"/>
      <c r="AZ94"/>
      <c r="BA94"/>
    </row>
    <row r="95" spans="1:53" ht="16.5" thickBot="1" x14ac:dyDescent="0.25">
      <c r="A95" s="15"/>
      <c r="B95" s="5"/>
      <c r="C95" s="340"/>
      <c r="D95" s="340"/>
      <c r="E95" s="19"/>
      <c r="F95" s="19"/>
      <c r="G95" s="74"/>
      <c r="H95" s="73"/>
      <c r="I95" s="622"/>
      <c r="J95" s="74"/>
      <c r="K95" s="73"/>
      <c r="L95" s="172"/>
      <c r="M95" s="173"/>
      <c r="N95" s="195"/>
      <c r="O95" s="821"/>
      <c r="P95" s="821"/>
      <c r="Q95" s="423"/>
      <c r="R95" s="19"/>
      <c r="S95" s="74"/>
      <c r="T95" s="73"/>
      <c r="U95" s="622"/>
      <c r="V95" s="74"/>
      <c r="W95" s="73"/>
      <c r="X95" s="172"/>
      <c r="Y95" s="173"/>
      <c r="Z95" s="177"/>
      <c r="AA95" s="838"/>
      <c r="AB95" s="177"/>
      <c r="AC95" s="833"/>
      <c r="AD95" s="67"/>
      <c r="AE95"/>
      <c r="AF95" s="246"/>
      <c r="AG95"/>
      <c r="AH95"/>
      <c r="AI95"/>
      <c r="AJ95"/>
      <c r="AK95"/>
      <c r="AL95"/>
      <c r="AM95"/>
      <c r="AN95"/>
      <c r="AO95"/>
      <c r="AP95"/>
      <c r="AQ95"/>
      <c r="AR95"/>
      <c r="AS95"/>
      <c r="AT95"/>
      <c r="AU95"/>
      <c r="AV95"/>
      <c r="AW95"/>
      <c r="AX95"/>
      <c r="AY95"/>
      <c r="AZ95"/>
      <c r="BA95"/>
    </row>
    <row r="96" spans="1:53" ht="16.5" customHeight="1" thickBot="1" x14ac:dyDescent="0.25">
      <c r="A96" s="15"/>
      <c r="B96" s="5"/>
      <c r="C96" s="1771" t="s">
        <v>5757</v>
      </c>
      <c r="D96" s="1771"/>
      <c r="E96" s="19"/>
      <c r="F96" s="19"/>
      <c r="G96" s="808">
        <f>+G89+G92</f>
        <v>0</v>
      </c>
      <c r="H96" s="73"/>
      <c r="I96" s="622"/>
      <c r="J96" s="808">
        <f>+J89+J92</f>
        <v>0</v>
      </c>
      <c r="K96" s="73"/>
      <c r="L96" s="172"/>
      <c r="M96" s="809">
        <f>+G96+J96</f>
        <v>0</v>
      </c>
      <c r="N96" s="195"/>
      <c r="O96" s="338"/>
      <c r="P96" s="338"/>
      <c r="Q96" s="423"/>
      <c r="R96" s="19"/>
      <c r="S96" s="808">
        <f>+S89+S92</f>
        <v>0</v>
      </c>
      <c r="T96" s="73"/>
      <c r="U96" s="622"/>
      <c r="V96" s="808">
        <f>+V89+V92</f>
        <v>0</v>
      </c>
      <c r="W96" s="73"/>
      <c r="X96" s="172"/>
      <c r="Y96" s="809">
        <f>+S96+V96</f>
        <v>0</v>
      </c>
      <c r="Z96" s="177"/>
      <c r="AA96" s="838"/>
      <c r="AB96" s="809">
        <f>Y96+M96</f>
        <v>0</v>
      </c>
      <c r="AC96" s="833"/>
      <c r="AD96" s="67"/>
      <c r="AE96"/>
      <c r="AF96" s="245">
        <f>IF(+G96+J96+S96+V96-AB96=0,0,1)</f>
        <v>0</v>
      </c>
      <c r="AG96"/>
      <c r="AH96" s="137"/>
      <c r="AI96" s="231"/>
      <c r="AJ96"/>
      <c r="AK96"/>
      <c r="AL96"/>
      <c r="AM96"/>
      <c r="AN96"/>
      <c r="AO96"/>
      <c r="AP96"/>
      <c r="AQ96"/>
      <c r="AR96"/>
      <c r="AS96"/>
      <c r="AT96"/>
      <c r="AU96"/>
      <c r="AV96"/>
      <c r="AW96"/>
      <c r="AX96"/>
      <c r="AY96"/>
      <c r="AZ96"/>
      <c r="BA96"/>
    </row>
    <row r="97" spans="1:53" x14ac:dyDescent="0.2">
      <c r="A97" s="15"/>
      <c r="B97" s="5"/>
      <c r="C97" s="1771"/>
      <c r="D97" s="1771"/>
      <c r="E97" s="19"/>
      <c r="F97" s="19"/>
      <c r="G97" s="19"/>
      <c r="H97" s="19"/>
      <c r="I97" s="622"/>
      <c r="J97" s="19"/>
      <c r="K97" s="73"/>
      <c r="L97" s="184"/>
      <c r="M97" s="184"/>
      <c r="N97" s="195"/>
      <c r="O97" s="338"/>
      <c r="P97" s="338"/>
      <c r="Q97" s="423"/>
      <c r="R97" s="19"/>
      <c r="S97" s="19"/>
      <c r="T97" s="19"/>
      <c r="U97" s="622"/>
      <c r="V97" s="19"/>
      <c r="W97" s="73"/>
      <c r="X97" s="184"/>
      <c r="Y97" s="184"/>
      <c r="Z97" s="177"/>
      <c r="AA97" s="838"/>
      <c r="AB97" s="177"/>
      <c r="AC97" s="833"/>
      <c r="AD97" s="67"/>
      <c r="AE97"/>
      <c r="AF97" s="247"/>
      <c r="AG97"/>
      <c r="AH97"/>
      <c r="AI97"/>
      <c r="AJ97"/>
      <c r="AK97"/>
      <c r="AL97"/>
      <c r="AM97"/>
      <c r="AN97"/>
      <c r="AO97"/>
      <c r="AP97"/>
      <c r="AQ97"/>
      <c r="AR97"/>
      <c r="AS97"/>
      <c r="AT97"/>
      <c r="AU97"/>
      <c r="AV97"/>
      <c r="AW97"/>
      <c r="AX97"/>
      <c r="AY97"/>
      <c r="AZ97"/>
      <c r="BA97"/>
    </row>
    <row r="98" spans="1:53" ht="16.5" thickBot="1" x14ac:dyDescent="0.25">
      <c r="A98" s="15"/>
      <c r="B98" s="7"/>
      <c r="C98" s="70"/>
      <c r="D98" s="70"/>
      <c r="E98" s="70"/>
      <c r="F98" s="70"/>
      <c r="G98" s="78"/>
      <c r="H98" s="79"/>
      <c r="I98" s="624"/>
      <c r="J98" s="79"/>
      <c r="K98" s="79"/>
      <c r="L98" s="181"/>
      <c r="M98" s="180"/>
      <c r="N98" s="196"/>
      <c r="O98" s="823"/>
      <c r="P98" s="823"/>
      <c r="Q98" s="823"/>
      <c r="R98" s="70"/>
      <c r="S98" s="78"/>
      <c r="T98" s="79"/>
      <c r="U98" s="624"/>
      <c r="V98" s="79"/>
      <c r="W98" s="79"/>
      <c r="X98" s="181"/>
      <c r="Y98" s="180"/>
      <c r="Z98" s="832"/>
      <c r="AA98" s="839"/>
      <c r="AB98" s="832"/>
      <c r="AC98" s="196"/>
      <c r="AD98" s="67"/>
      <c r="AE98"/>
      <c r="AF98" s="246"/>
      <c r="AG98"/>
      <c r="AH98"/>
      <c r="AI98"/>
      <c r="AJ98"/>
      <c r="AK98"/>
      <c r="AL98"/>
      <c r="AM98"/>
      <c r="AN98"/>
      <c r="AO98"/>
      <c r="AP98"/>
      <c r="AQ98"/>
      <c r="AR98"/>
      <c r="AS98"/>
      <c r="AT98"/>
      <c r="AU98"/>
      <c r="AV98"/>
      <c r="AW98"/>
      <c r="AX98"/>
      <c r="AY98"/>
      <c r="AZ98"/>
      <c r="BA98"/>
    </row>
    <row r="99" spans="1:53" x14ac:dyDescent="0.2">
      <c r="A99" s="15"/>
      <c r="B99" s="2"/>
      <c r="C99" s="19"/>
      <c r="D99" s="19"/>
      <c r="E99" s="19"/>
      <c r="F99" s="19"/>
      <c r="G99" s="73"/>
      <c r="H99" s="73"/>
      <c r="I99" s="73"/>
      <c r="J99" s="73"/>
      <c r="K99" s="73"/>
      <c r="L99" s="172"/>
      <c r="M99" s="172"/>
      <c r="N99" s="177"/>
      <c r="O99" s="423"/>
      <c r="P99" s="423"/>
      <c r="Q99" s="423"/>
      <c r="R99" s="19"/>
      <c r="S99" s="73"/>
      <c r="T99" s="73"/>
      <c r="U99" s="73"/>
      <c r="V99" s="73"/>
      <c r="W99" s="73"/>
      <c r="X99" s="172"/>
      <c r="Y99" s="172"/>
      <c r="Z99" s="177"/>
      <c r="AA99" s="177"/>
      <c r="AB99" s="177"/>
      <c r="AC99" s="177"/>
      <c r="AD99" s="67"/>
      <c r="AE99"/>
      <c r="AF99" s="246"/>
      <c r="AG99"/>
      <c r="AH99"/>
      <c r="AI99"/>
      <c r="AJ99"/>
      <c r="AK99"/>
      <c r="AL99"/>
      <c r="AM99"/>
      <c r="AN99"/>
      <c r="AO99"/>
      <c r="AP99"/>
      <c r="AQ99"/>
      <c r="AR99"/>
      <c r="AS99"/>
      <c r="AT99"/>
      <c r="AU99"/>
      <c r="AV99"/>
      <c r="AW99"/>
      <c r="AX99"/>
      <c r="AY99"/>
      <c r="AZ99"/>
      <c r="BA99"/>
    </row>
    <row r="100" spans="1:53" ht="15.75" x14ac:dyDescent="0.25">
      <c r="A100" s="15"/>
      <c r="B100" s="2"/>
      <c r="C100" s="12" t="s">
        <v>3079</v>
      </c>
      <c r="D100" s="19"/>
      <c r="E100" s="19"/>
      <c r="F100" s="19"/>
      <c r="G100" s="73"/>
      <c r="H100" s="73"/>
      <c r="I100" s="19"/>
      <c r="J100" s="73"/>
      <c r="K100" s="73"/>
      <c r="L100" s="172"/>
      <c r="M100" s="172"/>
      <c r="N100" s="177"/>
      <c r="O100" s="423"/>
      <c r="P100" s="423"/>
      <c r="Q100" s="423"/>
      <c r="R100" s="19"/>
      <c r="S100" s="73"/>
      <c r="T100" s="73"/>
      <c r="U100" s="19"/>
      <c r="V100" s="73"/>
      <c r="W100" s="73"/>
      <c r="X100" s="172"/>
      <c r="Y100" s="172"/>
      <c r="Z100" s="177"/>
      <c r="AA100" s="177"/>
      <c r="AB100" s="177"/>
      <c r="AC100" s="177"/>
      <c r="AD100" s="67"/>
      <c r="AE100"/>
      <c r="AF100" s="246"/>
      <c r="AG100"/>
      <c r="AH100"/>
      <c r="AI100"/>
      <c r="AJ100"/>
      <c r="AK100"/>
      <c r="AL100"/>
      <c r="AM100"/>
      <c r="AN100"/>
      <c r="AO100"/>
      <c r="AP100"/>
      <c r="AQ100"/>
      <c r="AR100"/>
      <c r="AS100"/>
      <c r="AT100"/>
      <c r="AU100"/>
      <c r="AV100"/>
      <c r="AW100"/>
      <c r="AX100"/>
      <c r="AY100"/>
      <c r="AZ100"/>
      <c r="BA100"/>
    </row>
    <row r="101" spans="1:53" ht="16.5" thickBot="1" x14ac:dyDescent="0.3">
      <c r="A101" s="15"/>
      <c r="B101" s="2"/>
      <c r="C101" s="12" t="s">
        <v>707</v>
      </c>
      <c r="D101" s="19"/>
      <c r="E101" s="19"/>
      <c r="F101" s="19"/>
      <c r="G101" s="73"/>
      <c r="H101" s="73"/>
      <c r="I101" s="19"/>
      <c r="J101" s="73"/>
      <c r="K101" s="73"/>
      <c r="L101" s="172"/>
      <c r="M101" s="172"/>
      <c r="N101" s="177"/>
      <c r="O101" s="423"/>
      <c r="P101" s="423"/>
      <c r="Q101" s="423"/>
      <c r="R101" s="19"/>
      <c r="S101" s="73"/>
      <c r="T101" s="73"/>
      <c r="U101" s="19"/>
      <c r="V101" s="73"/>
      <c r="W101" s="73"/>
      <c r="X101" s="172"/>
      <c r="Y101" s="172"/>
      <c r="Z101" s="177"/>
      <c r="AA101" s="177"/>
      <c r="AB101" s="177"/>
      <c r="AC101" s="177"/>
      <c r="AD101" s="67"/>
      <c r="AE101"/>
      <c r="AF101" s="246"/>
      <c r="AG101"/>
      <c r="AH101"/>
      <c r="AI101"/>
      <c r="AJ101"/>
      <c r="AK101"/>
      <c r="AL101"/>
      <c r="AM101"/>
      <c r="AN101"/>
      <c r="AO101"/>
      <c r="AP101"/>
      <c r="AQ101"/>
      <c r="AR101"/>
      <c r="AS101"/>
      <c r="AT101"/>
      <c r="AU101"/>
      <c r="AV101"/>
      <c r="AW101"/>
      <c r="AX101"/>
      <c r="AY101"/>
      <c r="AZ101"/>
      <c r="BA101"/>
    </row>
    <row r="102" spans="1:53" ht="16.5" thickBot="1" x14ac:dyDescent="0.25">
      <c r="A102" s="15"/>
      <c r="B102" s="2"/>
      <c r="C102" s="10" t="s">
        <v>3104</v>
      </c>
      <c r="D102" s="19"/>
      <c r="E102" s="19"/>
      <c r="F102" s="19"/>
      <c r="G102" s="807">
        <v>0</v>
      </c>
      <c r="H102" s="73"/>
      <c r="I102" s="19"/>
      <c r="J102" s="807">
        <v>0</v>
      </c>
      <c r="K102" s="73"/>
      <c r="L102" s="172"/>
      <c r="M102" s="809">
        <f>+G102+J102</f>
        <v>0</v>
      </c>
      <c r="N102" s="177"/>
      <c r="O102" s="423"/>
      <c r="P102" s="423"/>
      <c r="Q102" s="423"/>
      <c r="R102" s="19"/>
      <c r="S102" s="807">
        <v>0</v>
      </c>
      <c r="T102" s="73"/>
      <c r="U102" s="19"/>
      <c r="V102" s="807">
        <v>0</v>
      </c>
      <c r="W102" s="73"/>
      <c r="X102" s="172"/>
      <c r="Y102" s="809">
        <f>+S102+V102</f>
        <v>0</v>
      </c>
      <c r="Z102" s="177"/>
      <c r="AA102" s="177"/>
      <c r="AB102" s="809">
        <f>Y102+M102</f>
        <v>0</v>
      </c>
      <c r="AC102" s="177"/>
      <c r="AD102" s="67"/>
      <c r="AE102"/>
      <c r="AF102" s="245">
        <f>IF(+G102+J102+S102+V102-AB102=0,0,1)</f>
        <v>0</v>
      </c>
      <c r="AG102"/>
      <c r="AH102" s="137"/>
      <c r="AI102" s="231"/>
      <c r="AJ102"/>
      <c r="AK102"/>
      <c r="AL102"/>
      <c r="AM102"/>
      <c r="AN102"/>
      <c r="AO102"/>
      <c r="AP102"/>
      <c r="AQ102"/>
      <c r="AR102"/>
      <c r="AS102"/>
      <c r="AT102"/>
      <c r="AU102"/>
      <c r="AV102"/>
      <c r="AW102"/>
      <c r="AX102"/>
      <c r="AY102"/>
      <c r="AZ102"/>
      <c r="BA102"/>
    </row>
    <row r="103" spans="1:53" ht="15.75" x14ac:dyDescent="0.25">
      <c r="A103" s="15"/>
      <c r="B103" s="2"/>
      <c r="C103" s="12"/>
      <c r="D103" s="19"/>
      <c r="E103" s="19"/>
      <c r="F103" s="19"/>
      <c r="G103" s="73"/>
      <c r="H103" s="73"/>
      <c r="I103" s="73"/>
      <c r="J103" s="73"/>
      <c r="K103" s="73"/>
      <c r="L103" s="172"/>
      <c r="M103" s="172"/>
      <c r="N103" s="177"/>
      <c r="O103" s="423"/>
      <c r="P103" s="423"/>
      <c r="Q103" s="423"/>
      <c r="R103" s="19"/>
      <c r="S103" s="73"/>
      <c r="T103" s="73"/>
      <c r="U103" s="73"/>
      <c r="V103" s="73"/>
      <c r="W103" s="73"/>
      <c r="X103" s="172"/>
      <c r="Y103" s="172"/>
      <c r="Z103" s="177"/>
      <c r="AA103" s="177"/>
      <c r="AB103" s="177"/>
      <c r="AC103" s="177"/>
      <c r="AD103" s="67"/>
      <c r="AE103"/>
      <c r="AF103" s="246"/>
      <c r="AG103"/>
      <c r="AH103"/>
      <c r="AI103"/>
      <c r="AJ103"/>
      <c r="AK103"/>
      <c r="AL103"/>
      <c r="AM103"/>
      <c r="AN103"/>
      <c r="AO103"/>
      <c r="AP103"/>
      <c r="AQ103"/>
      <c r="AR103"/>
      <c r="AS103"/>
      <c r="AT103"/>
      <c r="AU103"/>
      <c r="AV103"/>
      <c r="AW103"/>
      <c r="AX103"/>
      <c r="AY103"/>
      <c r="AZ103"/>
      <c r="BA103"/>
    </row>
    <row r="104" spans="1:53" ht="16.5" thickBot="1" x14ac:dyDescent="0.3">
      <c r="A104" s="15"/>
      <c r="B104" s="2"/>
      <c r="C104" s="12" t="s">
        <v>692</v>
      </c>
      <c r="D104" s="19"/>
      <c r="E104" s="19"/>
      <c r="F104" s="19"/>
      <c r="G104" s="73"/>
      <c r="H104" s="73"/>
      <c r="I104" s="73"/>
      <c r="J104" s="73"/>
      <c r="K104" s="73"/>
      <c r="L104" s="172"/>
      <c r="M104" s="172"/>
      <c r="N104" s="177"/>
      <c r="O104" s="423"/>
      <c r="P104" s="423"/>
      <c r="Q104" s="423"/>
      <c r="R104" s="19"/>
      <c r="S104" s="73"/>
      <c r="T104" s="73"/>
      <c r="U104" s="73"/>
      <c r="V104" s="73"/>
      <c r="W104" s="73"/>
      <c r="X104" s="172"/>
      <c r="Y104" s="172"/>
      <c r="Z104" s="177"/>
      <c r="AA104" s="177"/>
      <c r="AB104" s="177"/>
      <c r="AC104" s="177"/>
      <c r="AD104" s="67"/>
      <c r="AE104"/>
      <c r="AF104" s="246"/>
      <c r="AG104"/>
      <c r="AH104"/>
      <c r="AI104"/>
      <c r="AJ104"/>
      <c r="AK104"/>
      <c r="AL104"/>
      <c r="AM104"/>
      <c r="AN104"/>
      <c r="AO104"/>
      <c r="AP104"/>
      <c r="AQ104"/>
      <c r="AR104"/>
      <c r="AS104"/>
      <c r="AT104"/>
      <c r="AU104"/>
      <c r="AV104"/>
      <c r="AW104"/>
      <c r="AX104"/>
      <c r="AY104"/>
      <c r="AZ104"/>
      <c r="BA104"/>
    </row>
    <row r="105" spans="1:53" ht="16.5" thickBot="1" x14ac:dyDescent="0.25">
      <c r="A105" s="15"/>
      <c r="B105" s="2"/>
      <c r="C105" s="10" t="s">
        <v>3105</v>
      </c>
      <c r="D105" s="19"/>
      <c r="E105" s="19"/>
      <c r="F105" s="19"/>
      <c r="G105" s="807">
        <v>0</v>
      </c>
      <c r="H105" s="73"/>
      <c r="I105" s="19"/>
      <c r="J105" s="807">
        <v>0</v>
      </c>
      <c r="K105" s="73"/>
      <c r="L105" s="172"/>
      <c r="M105" s="809">
        <f>+G105+J105</f>
        <v>0</v>
      </c>
      <c r="N105" s="177"/>
      <c r="O105" s="423"/>
      <c r="P105" s="423"/>
      <c r="Q105" s="423"/>
      <c r="R105" s="19"/>
      <c r="S105" s="807">
        <v>0</v>
      </c>
      <c r="T105" s="73"/>
      <c r="U105" s="19"/>
      <c r="V105" s="807">
        <v>0</v>
      </c>
      <c r="W105" s="73"/>
      <c r="X105" s="172"/>
      <c r="Y105" s="809">
        <f>+S105+V105</f>
        <v>0</v>
      </c>
      <c r="Z105" s="177"/>
      <c r="AA105" s="177"/>
      <c r="AB105" s="809">
        <f>Y105+M105</f>
        <v>0</v>
      </c>
      <c r="AC105" s="177"/>
      <c r="AD105" s="67"/>
      <c r="AE105"/>
      <c r="AF105" s="245">
        <f>IF(+G105+J105+S105+V105-AB105=0,0,1)</f>
        <v>0</v>
      </c>
      <c r="AG105"/>
      <c r="AH105" s="137"/>
      <c r="AI105" s="231"/>
      <c r="AJ105"/>
      <c r="AK105"/>
      <c r="AL105"/>
      <c r="AM105"/>
      <c r="AN105"/>
      <c r="AO105"/>
      <c r="AP105"/>
      <c r="AQ105"/>
      <c r="AR105"/>
      <c r="AS105"/>
      <c r="AT105"/>
      <c r="AU105"/>
      <c r="AV105"/>
      <c r="AW105"/>
      <c r="AX105"/>
      <c r="AY105"/>
      <c r="AZ105"/>
      <c r="BA105"/>
    </row>
    <row r="106" spans="1:53" x14ac:dyDescent="0.2">
      <c r="A106" s="15"/>
      <c r="B106" s="2"/>
      <c r="C106" s="10"/>
      <c r="D106" s="19"/>
      <c r="E106" s="19"/>
      <c r="F106" s="19"/>
      <c r="G106" s="73"/>
      <c r="H106" s="73"/>
      <c r="I106" s="19"/>
      <c r="J106" s="73"/>
      <c r="K106" s="73"/>
      <c r="L106" s="172"/>
      <c r="M106" s="172"/>
      <c r="N106" s="177"/>
      <c r="O106" s="423"/>
      <c r="P106" s="423"/>
      <c r="Q106" s="423"/>
      <c r="R106" s="19"/>
      <c r="S106" s="73"/>
      <c r="T106" s="73"/>
      <c r="U106" s="19"/>
      <c r="V106" s="73"/>
      <c r="W106" s="73"/>
      <c r="X106" s="172"/>
      <c r="Y106" s="172"/>
      <c r="Z106" s="177"/>
      <c r="AA106" s="177"/>
      <c r="AB106" s="177"/>
      <c r="AC106" s="177"/>
      <c r="AD106" s="67"/>
      <c r="AE106"/>
      <c r="AF106" s="246"/>
      <c r="AG106"/>
      <c r="AH106"/>
      <c r="AI106"/>
      <c r="AJ106"/>
      <c r="AK106"/>
      <c r="AL106"/>
      <c r="AM106"/>
      <c r="AN106"/>
      <c r="AO106"/>
      <c r="AP106"/>
      <c r="AQ106"/>
      <c r="AR106"/>
      <c r="AS106"/>
      <c r="AT106"/>
      <c r="AU106"/>
      <c r="AV106"/>
      <c r="AW106"/>
      <c r="AX106"/>
      <c r="AY106"/>
      <c r="AZ106"/>
      <c r="BA106"/>
    </row>
    <row r="107" spans="1:53" ht="16.5" thickBot="1" x14ac:dyDescent="0.3">
      <c r="A107" s="15"/>
      <c r="B107" s="2"/>
      <c r="C107" s="12" t="s">
        <v>691</v>
      </c>
      <c r="D107" s="19"/>
      <c r="E107" s="19"/>
      <c r="F107" s="19"/>
      <c r="G107" s="73"/>
      <c r="H107" s="73"/>
      <c r="I107" s="19"/>
      <c r="J107" s="73"/>
      <c r="K107" s="73"/>
      <c r="L107" s="172"/>
      <c r="M107" s="172"/>
      <c r="N107" s="177"/>
      <c r="O107" s="423"/>
      <c r="P107" s="423"/>
      <c r="Q107" s="423"/>
      <c r="R107" s="19"/>
      <c r="S107" s="73"/>
      <c r="T107" s="73"/>
      <c r="U107" s="19"/>
      <c r="V107" s="73"/>
      <c r="W107" s="73"/>
      <c r="X107" s="172"/>
      <c r="Y107" s="172"/>
      <c r="Z107" s="177"/>
      <c r="AA107" s="177"/>
      <c r="AB107" s="177"/>
      <c r="AC107" s="177"/>
      <c r="AD107" s="67"/>
      <c r="AE107"/>
      <c r="AF107" s="246"/>
      <c r="AG107"/>
      <c r="AH107"/>
      <c r="AI107"/>
      <c r="AJ107"/>
      <c r="AK107"/>
      <c r="AL107"/>
      <c r="AM107"/>
      <c r="AN107"/>
      <c r="AO107"/>
      <c r="AP107"/>
      <c r="AQ107"/>
      <c r="AR107"/>
      <c r="AS107"/>
      <c r="AT107"/>
      <c r="AU107"/>
      <c r="AV107"/>
      <c r="AW107"/>
      <c r="AX107"/>
      <c r="AY107"/>
      <c r="AZ107"/>
      <c r="BA107"/>
    </row>
    <row r="108" spans="1:53" ht="16.5" thickBot="1" x14ac:dyDescent="0.25">
      <c r="A108" s="15"/>
      <c r="B108" s="2"/>
      <c r="C108" s="10" t="s">
        <v>3106</v>
      </c>
      <c r="D108" s="19"/>
      <c r="E108" s="19"/>
      <c r="F108" s="19"/>
      <c r="G108" s="807">
        <v>0</v>
      </c>
      <c r="H108" s="73"/>
      <c r="I108" s="19"/>
      <c r="J108" s="807">
        <v>0</v>
      </c>
      <c r="K108" s="73"/>
      <c r="L108" s="172"/>
      <c r="M108" s="809">
        <f>+G108+J108</f>
        <v>0</v>
      </c>
      <c r="N108" s="177"/>
      <c r="O108" s="423"/>
      <c r="P108" s="423"/>
      <c r="Q108" s="423"/>
      <c r="R108" s="19"/>
      <c r="S108" s="807">
        <v>0</v>
      </c>
      <c r="T108" s="73"/>
      <c r="U108" s="19"/>
      <c r="V108" s="807">
        <v>0</v>
      </c>
      <c r="W108" s="73"/>
      <c r="X108" s="172"/>
      <c r="Y108" s="809">
        <f>+S108+V108</f>
        <v>0</v>
      </c>
      <c r="Z108" s="177"/>
      <c r="AA108" s="177"/>
      <c r="AB108" s="809">
        <f>Y108+M108</f>
        <v>0</v>
      </c>
      <c r="AC108" s="177"/>
      <c r="AD108" s="67"/>
      <c r="AE108"/>
      <c r="AF108" s="245">
        <f>IF(+G108+J108+S108+V108-AB108=0,0,1)</f>
        <v>0</v>
      </c>
      <c r="AG108"/>
      <c r="AH108" s="137"/>
      <c r="AI108" s="231"/>
      <c r="AJ108"/>
      <c r="AK108"/>
      <c r="AL108"/>
      <c r="AM108"/>
      <c r="AN108"/>
      <c r="AO108"/>
      <c r="AP108"/>
      <c r="AQ108"/>
      <c r="AR108"/>
      <c r="AS108"/>
      <c r="AT108"/>
      <c r="AU108"/>
      <c r="AV108"/>
      <c r="AW108"/>
      <c r="AX108"/>
      <c r="AY108"/>
      <c r="AZ108"/>
      <c r="BA108"/>
    </row>
    <row r="109" spans="1:53" x14ac:dyDescent="0.2">
      <c r="A109" s="15"/>
      <c r="B109" s="2"/>
      <c r="C109" s="10"/>
      <c r="D109" s="19"/>
      <c r="E109" s="19"/>
      <c r="F109" s="19"/>
      <c r="G109" s="73"/>
      <c r="H109" s="73"/>
      <c r="I109" s="73"/>
      <c r="J109" s="73"/>
      <c r="K109" s="73"/>
      <c r="L109" s="172"/>
      <c r="M109" s="172"/>
      <c r="N109" s="177"/>
      <c r="O109" s="423"/>
      <c r="P109" s="423"/>
      <c r="Q109" s="423"/>
      <c r="R109" s="19"/>
      <c r="S109" s="73"/>
      <c r="T109" s="73"/>
      <c r="U109" s="73"/>
      <c r="V109" s="73"/>
      <c r="W109" s="73"/>
      <c r="X109" s="172"/>
      <c r="Y109" s="172"/>
      <c r="Z109" s="177"/>
      <c r="AA109" s="177"/>
      <c r="AB109" s="177"/>
      <c r="AC109" s="177"/>
      <c r="AD109" s="67"/>
      <c r="AE109"/>
      <c r="AF109" s="246"/>
      <c r="AG109"/>
      <c r="AH109"/>
      <c r="AI109"/>
      <c r="AJ109"/>
      <c r="AK109"/>
      <c r="AL109"/>
      <c r="AM109"/>
      <c r="AN109"/>
      <c r="AO109"/>
      <c r="AP109"/>
      <c r="AQ109"/>
      <c r="AR109"/>
      <c r="AS109"/>
      <c r="AT109"/>
      <c r="AU109"/>
      <c r="AV109"/>
      <c r="AW109"/>
      <c r="AX109"/>
      <c r="AY109"/>
      <c r="AZ109"/>
      <c r="BA109"/>
    </row>
    <row r="110" spans="1:53" ht="16.5" thickBot="1" x14ac:dyDescent="0.3">
      <c r="A110" s="15"/>
      <c r="B110" s="2"/>
      <c r="C110" s="12" t="s">
        <v>693</v>
      </c>
      <c r="D110" s="19"/>
      <c r="E110" s="19"/>
      <c r="F110" s="19"/>
      <c r="G110" s="73"/>
      <c r="H110" s="73"/>
      <c r="I110" s="19"/>
      <c r="J110" s="73"/>
      <c r="K110" s="73"/>
      <c r="L110" s="172"/>
      <c r="M110" s="172"/>
      <c r="N110" s="177"/>
      <c r="O110" s="423"/>
      <c r="P110" s="423"/>
      <c r="Q110" s="423"/>
      <c r="R110" s="19"/>
      <c r="S110" s="73"/>
      <c r="T110" s="73"/>
      <c r="U110" s="19"/>
      <c r="V110" s="73"/>
      <c r="W110" s="73"/>
      <c r="X110" s="172"/>
      <c r="Y110" s="172"/>
      <c r="Z110" s="177"/>
      <c r="AA110" s="177"/>
      <c r="AB110" s="177"/>
      <c r="AC110" s="177"/>
      <c r="AD110" s="67"/>
      <c r="AE110"/>
      <c r="AF110" s="246"/>
      <c r="AG110"/>
      <c r="AH110"/>
      <c r="AI110"/>
      <c r="AJ110"/>
      <c r="AK110"/>
      <c r="AL110"/>
      <c r="AM110"/>
      <c r="AN110"/>
      <c r="AO110"/>
      <c r="AP110"/>
      <c r="AQ110"/>
      <c r="AR110"/>
      <c r="AS110"/>
      <c r="AT110"/>
      <c r="AU110"/>
      <c r="AV110"/>
      <c r="AW110"/>
      <c r="AX110"/>
      <c r="AY110"/>
      <c r="AZ110"/>
      <c r="BA110"/>
    </row>
    <row r="111" spans="1:53" ht="16.5" thickBot="1" x14ac:dyDescent="0.25">
      <c r="A111" s="15"/>
      <c r="B111" s="2"/>
      <c r="C111" s="10" t="s">
        <v>3107</v>
      </c>
      <c r="D111" s="19"/>
      <c r="E111" s="19"/>
      <c r="F111" s="19"/>
      <c r="G111" s="807">
        <v>0</v>
      </c>
      <c r="H111" s="73"/>
      <c r="I111" s="19"/>
      <c r="J111" s="807">
        <v>0</v>
      </c>
      <c r="K111" s="73"/>
      <c r="L111" s="172"/>
      <c r="M111" s="809">
        <f>+G111+J111</f>
        <v>0</v>
      </c>
      <c r="N111" s="177"/>
      <c r="O111" s="423"/>
      <c r="P111" s="423"/>
      <c r="Q111" s="423"/>
      <c r="R111" s="19"/>
      <c r="S111" s="828">
        <v>0</v>
      </c>
      <c r="T111" s="73"/>
      <c r="U111" s="19"/>
      <c r="V111" s="828">
        <v>0</v>
      </c>
      <c r="W111" s="73"/>
      <c r="X111" s="172"/>
      <c r="Y111" s="829">
        <f>+S111+V111</f>
        <v>0</v>
      </c>
      <c r="Z111" s="177"/>
      <c r="AA111" s="177"/>
      <c r="AB111" s="809">
        <f>Y111+M111</f>
        <v>0</v>
      </c>
      <c r="AC111" s="177"/>
      <c r="AD111" s="67"/>
      <c r="AE111"/>
      <c r="AF111" s="245">
        <f>IF(+G111+J111-M111=0,0,1)</f>
        <v>0</v>
      </c>
      <c r="AG111"/>
      <c r="AH111" s="137"/>
      <c r="AI111" s="231"/>
      <c r="AJ111"/>
      <c r="AK111"/>
      <c r="AL111"/>
      <c r="AM111"/>
      <c r="AN111"/>
      <c r="AO111"/>
      <c r="AP111"/>
      <c r="AQ111"/>
      <c r="AR111"/>
      <c r="AS111"/>
      <c r="AT111"/>
      <c r="AU111"/>
      <c r="AV111"/>
      <c r="AW111"/>
      <c r="AX111"/>
      <c r="AY111"/>
      <c r="AZ111"/>
      <c r="BA111"/>
    </row>
    <row r="112" spans="1:53" x14ac:dyDescent="0.2">
      <c r="A112" s="15"/>
      <c r="B112" s="2"/>
      <c r="C112" s="10"/>
      <c r="D112" s="19"/>
      <c r="E112" s="19"/>
      <c r="F112" s="19"/>
      <c r="G112" s="73"/>
      <c r="H112" s="73"/>
      <c r="I112" s="73"/>
      <c r="J112" s="73"/>
      <c r="K112" s="73"/>
      <c r="L112" s="172"/>
      <c r="M112" s="172"/>
      <c r="N112" s="177"/>
      <c r="O112" s="423"/>
      <c r="P112" s="423"/>
      <c r="Q112" s="423"/>
      <c r="R112" s="19"/>
      <c r="S112" s="73"/>
      <c r="T112" s="73"/>
      <c r="U112" s="73"/>
      <c r="V112" s="73"/>
      <c r="W112" s="73"/>
      <c r="X112" s="172"/>
      <c r="Y112" s="172"/>
      <c r="Z112" s="177"/>
      <c r="AA112" s="177"/>
      <c r="AB112" s="177"/>
      <c r="AC112" s="177"/>
      <c r="AD112" s="67"/>
      <c r="AE112"/>
      <c r="AF112" s="246"/>
      <c r="AG112"/>
      <c r="AH112"/>
      <c r="AI112"/>
      <c r="AJ112"/>
      <c r="AK112"/>
      <c r="AL112"/>
      <c r="AM112"/>
      <c r="AN112"/>
      <c r="AO112"/>
      <c r="AP112"/>
      <c r="AQ112"/>
      <c r="AR112"/>
      <c r="AS112"/>
      <c r="AT112"/>
      <c r="AU112"/>
      <c r="AV112"/>
      <c r="AW112"/>
      <c r="AX112"/>
      <c r="AY112"/>
      <c r="AZ112"/>
      <c r="BA112"/>
    </row>
    <row r="113" spans="1:53" ht="16.5" thickBot="1" x14ac:dyDescent="0.3">
      <c r="A113" s="15"/>
      <c r="B113" s="2"/>
      <c r="C113" s="12" t="s">
        <v>1284</v>
      </c>
      <c r="D113" s="19"/>
      <c r="E113" s="19"/>
      <c r="F113" s="19"/>
      <c r="G113" s="73"/>
      <c r="H113" s="73"/>
      <c r="I113" s="73"/>
      <c r="J113" s="73"/>
      <c r="K113" s="73"/>
      <c r="L113" s="172"/>
      <c r="M113" s="172"/>
      <c r="N113" s="177"/>
      <c r="O113" s="423"/>
      <c r="P113" s="423"/>
      <c r="Q113" s="423"/>
      <c r="R113" s="19"/>
      <c r="S113" s="73"/>
      <c r="T113" s="73"/>
      <c r="U113" s="73"/>
      <c r="V113" s="73"/>
      <c r="W113" s="73"/>
      <c r="X113" s="172"/>
      <c r="Y113" s="172"/>
      <c r="Z113" s="177"/>
      <c r="AA113" s="177"/>
      <c r="AB113" s="177"/>
      <c r="AC113" s="177"/>
      <c r="AD113" s="67"/>
      <c r="AE113"/>
      <c r="AF113" s="246"/>
      <c r="AG113"/>
      <c r="AH113"/>
      <c r="AI113"/>
      <c r="AJ113"/>
      <c r="AK113"/>
      <c r="AL113"/>
      <c r="AM113"/>
      <c r="AN113"/>
      <c r="AO113"/>
      <c r="AP113"/>
      <c r="AQ113"/>
      <c r="AR113"/>
      <c r="AS113"/>
      <c r="AT113"/>
      <c r="AU113"/>
      <c r="AV113"/>
      <c r="AW113"/>
      <c r="AX113"/>
      <c r="AY113"/>
      <c r="AZ113"/>
      <c r="BA113"/>
    </row>
    <row r="114" spans="1:53" ht="16.5" thickBot="1" x14ac:dyDescent="0.25">
      <c r="A114" s="15"/>
      <c r="B114" s="2"/>
      <c r="C114" s="10" t="s">
        <v>5758</v>
      </c>
      <c r="D114" s="19"/>
      <c r="E114" s="19"/>
      <c r="F114" s="19"/>
      <c r="G114" s="807">
        <v>0</v>
      </c>
      <c r="H114" s="73"/>
      <c r="I114" s="19"/>
      <c r="J114" s="807">
        <v>0</v>
      </c>
      <c r="K114" s="73"/>
      <c r="L114" s="172"/>
      <c r="M114" s="809">
        <f>+G114+J114</f>
        <v>0</v>
      </c>
      <c r="N114" s="177"/>
      <c r="O114" s="423"/>
      <c r="P114" s="423"/>
      <c r="Q114" s="423"/>
      <c r="R114" s="19"/>
      <c r="S114" s="807">
        <v>0</v>
      </c>
      <c r="T114" s="73"/>
      <c r="U114" s="19"/>
      <c r="V114" s="807">
        <v>0</v>
      </c>
      <c r="W114" s="73"/>
      <c r="X114" s="172"/>
      <c r="Y114" s="809">
        <f>+S114+V114</f>
        <v>0</v>
      </c>
      <c r="Z114" s="177"/>
      <c r="AA114" s="177"/>
      <c r="AB114" s="809">
        <f>Y114+M114</f>
        <v>0</v>
      </c>
      <c r="AC114" s="177"/>
      <c r="AD114" s="67"/>
      <c r="AE114"/>
      <c r="AF114" s="245">
        <f>IF(+G114+J114+S114+V114-AB114=0,0,1)</f>
        <v>0</v>
      </c>
      <c r="AG114"/>
      <c r="AH114" s="137"/>
      <c r="AI114" s="231"/>
      <c r="AJ114"/>
      <c r="AK114"/>
      <c r="AL114"/>
      <c r="AM114"/>
      <c r="AN114"/>
      <c r="AO114"/>
      <c r="AP114"/>
      <c r="AQ114"/>
      <c r="AR114"/>
      <c r="AS114"/>
      <c r="AT114"/>
      <c r="AU114"/>
      <c r="AV114"/>
      <c r="AW114"/>
      <c r="AX114"/>
      <c r="AY114"/>
      <c r="AZ114"/>
      <c r="BA114"/>
    </row>
    <row r="115" spans="1:53" ht="15.75" customHeight="1" x14ac:dyDescent="0.25">
      <c r="A115" s="15"/>
      <c r="B115" s="2"/>
      <c r="C115" s="185"/>
      <c r="D115" s="19"/>
      <c r="E115" s="19"/>
      <c r="F115" s="19"/>
      <c r="G115" s="19"/>
      <c r="H115" s="19"/>
      <c r="I115" s="19"/>
      <c r="J115" s="19"/>
      <c r="K115" s="73"/>
      <c r="L115" s="172"/>
      <c r="M115" s="173"/>
      <c r="N115" s="177"/>
      <c r="O115" s="423"/>
      <c r="P115" s="423"/>
      <c r="Q115" s="423"/>
      <c r="R115" s="19"/>
      <c r="S115" s="19"/>
      <c r="T115" s="19"/>
      <c r="U115" s="19"/>
      <c r="V115" s="19"/>
      <c r="W115" s="73"/>
      <c r="X115" s="172"/>
      <c r="Y115" s="939"/>
      <c r="Z115" s="896"/>
      <c r="AA115" s="896"/>
      <c r="AB115" s="896"/>
      <c r="AC115" s="177"/>
      <c r="AD115" s="67"/>
      <c r="AE115"/>
      <c r="AF115" s="245"/>
      <c r="AG115"/>
      <c r="AH115"/>
      <c r="AI115" s="231"/>
      <c r="AJ115"/>
      <c r="AK115"/>
      <c r="AL115"/>
      <c r="AM115"/>
      <c r="AN115"/>
      <c r="AO115"/>
      <c r="AP115"/>
      <c r="AQ115"/>
      <c r="AR115"/>
      <c r="AS115"/>
      <c r="AT115"/>
      <c r="AU115"/>
      <c r="AV115"/>
      <c r="AW115"/>
      <c r="AX115"/>
      <c r="AY115"/>
      <c r="AZ115"/>
      <c r="BA115"/>
    </row>
    <row r="116" spans="1:53" ht="16.5" customHeight="1" thickBot="1" x14ac:dyDescent="0.25">
      <c r="A116" s="15"/>
      <c r="B116" s="2"/>
      <c r="C116" s="753" t="s">
        <v>709</v>
      </c>
      <c r="D116" s="738"/>
      <c r="E116" s="738"/>
      <c r="F116" s="738"/>
      <c r="G116" s="748" t="s">
        <v>709</v>
      </c>
      <c r="H116" s="740"/>
      <c r="I116" s="738"/>
      <c r="J116" s="748" t="s">
        <v>709</v>
      </c>
      <c r="K116" s="740"/>
      <c r="L116" s="172"/>
      <c r="M116" s="173"/>
      <c r="N116" s="177"/>
      <c r="O116" s="423"/>
      <c r="P116" s="423"/>
      <c r="Q116" s="423"/>
      <c r="R116" s="738"/>
      <c r="S116" s="748" t="s">
        <v>709</v>
      </c>
      <c r="T116" s="740"/>
      <c r="U116" s="738"/>
      <c r="V116" s="748" t="s">
        <v>709</v>
      </c>
      <c r="W116" s="740"/>
      <c r="X116" s="1772" t="str">
        <f>IF('Part 3 DA summary'!W6=('Part 2'!J117+'Part 2'!V117)*-1,"","Case A amounts should total the amount in the Case A column in the DA Summary")</f>
        <v/>
      </c>
      <c r="Y116" s="1772"/>
      <c r="Z116" s="1772"/>
      <c r="AA116" s="1772"/>
      <c r="AB116" s="1772"/>
      <c r="AC116" s="1772"/>
      <c r="AD116" s="67"/>
      <c r="AE116"/>
      <c r="AF116" s="246"/>
      <c r="AG116"/>
      <c r="AH116"/>
      <c r="AI116"/>
      <c r="AJ116"/>
      <c r="AK116"/>
      <c r="AL116"/>
      <c r="AM116"/>
      <c r="AN116"/>
      <c r="AO116"/>
      <c r="AP116"/>
      <c r="AQ116"/>
      <c r="AR116"/>
      <c r="AS116"/>
      <c r="AT116"/>
      <c r="AU116"/>
      <c r="AV116"/>
      <c r="AW116"/>
      <c r="AX116"/>
      <c r="AY116"/>
      <c r="AZ116"/>
      <c r="BA116"/>
    </row>
    <row r="117" spans="1:53" ht="16.5" customHeight="1" thickBot="1" x14ac:dyDescent="0.25">
      <c r="A117" s="15"/>
      <c r="B117" s="2"/>
      <c r="C117" s="746" t="s">
        <v>5759</v>
      </c>
      <c r="D117" s="738"/>
      <c r="E117" s="738"/>
      <c r="F117" s="738"/>
      <c r="G117" s="740"/>
      <c r="H117" s="740"/>
      <c r="I117" s="738"/>
      <c r="J117" s="812">
        <v>0</v>
      </c>
      <c r="K117" s="740"/>
      <c r="L117" s="172"/>
      <c r="M117" s="172"/>
      <c r="N117" s="177"/>
      <c r="O117" s="423"/>
      <c r="P117" s="423"/>
      <c r="Q117" s="423"/>
      <c r="R117" s="738"/>
      <c r="S117" s="740"/>
      <c r="T117" s="740"/>
      <c r="U117" s="738"/>
      <c r="V117" s="812">
        <v>0</v>
      </c>
      <c r="W117" s="740"/>
      <c r="X117" s="1772"/>
      <c r="Y117" s="1772"/>
      <c r="Z117" s="1772"/>
      <c r="AA117" s="1772"/>
      <c r="AB117" s="1772"/>
      <c r="AC117" s="1772"/>
      <c r="AD117" s="67"/>
      <c r="AE117"/>
      <c r="AF117" s="245">
        <f>IF((ABS(J117)+ABS(V117))&gt;ABS(AB114),1,0)</f>
        <v>0</v>
      </c>
      <c r="AG117" s="954"/>
      <c r="AH117"/>
      <c r="AI117" s="231"/>
      <c r="AJ117"/>
      <c r="AK117"/>
      <c r="AL117"/>
      <c r="AM117"/>
      <c r="AN117"/>
      <c r="AO117"/>
      <c r="AP117"/>
      <c r="AQ117"/>
      <c r="AR117"/>
      <c r="AS117"/>
      <c r="AT117"/>
      <c r="AU117"/>
      <c r="AV117"/>
      <c r="AW117"/>
      <c r="AX117"/>
      <c r="AY117"/>
      <c r="AZ117"/>
      <c r="BA117"/>
    </row>
    <row r="118" spans="1:53" ht="15.75" customHeight="1" thickBot="1" x14ac:dyDescent="0.3">
      <c r="A118" s="15"/>
      <c r="B118" s="2"/>
      <c r="C118" s="1030" t="str">
        <f>IF($AF$117&lt;&gt;0,"Total relief given to case A hereditaments (Line 30) is greater than total relief in Line 29. Please check the figures.","")</f>
        <v/>
      </c>
      <c r="D118" s="738"/>
      <c r="E118" s="738"/>
      <c r="F118" s="738"/>
      <c r="G118" s="749"/>
      <c r="H118" s="961"/>
      <c r="I118" s="740"/>
      <c r="J118" s="751"/>
      <c r="K118" s="751"/>
      <c r="L118" s="172"/>
      <c r="M118" s="762"/>
      <c r="N118" s="177"/>
      <c r="O118" s="423"/>
      <c r="P118" s="423"/>
      <c r="Q118" s="423"/>
      <c r="R118" s="738"/>
      <c r="S118" s="740"/>
      <c r="T118" s="740"/>
      <c r="U118" s="740"/>
      <c r="V118" s="740"/>
      <c r="W118" s="751"/>
      <c r="X118" s="1772"/>
      <c r="Y118" s="1772"/>
      <c r="Z118" s="1772"/>
      <c r="AA118" s="1772"/>
      <c r="AB118" s="1772"/>
      <c r="AC118" s="1772"/>
      <c r="AD118" s="578"/>
      <c r="AE118"/>
      <c r="AF118" s="245"/>
      <c r="AG118" s="956"/>
      <c r="AH118"/>
      <c r="AI118" s="231"/>
      <c r="AJ118"/>
      <c r="AK118"/>
      <c r="AL118"/>
      <c r="AM118"/>
      <c r="AN118"/>
      <c r="AO118"/>
      <c r="AP118"/>
      <c r="AQ118"/>
      <c r="AR118"/>
      <c r="AS118"/>
      <c r="AT118"/>
      <c r="AU118"/>
      <c r="AV118"/>
      <c r="AW118"/>
      <c r="AX118"/>
      <c r="AY118"/>
      <c r="AZ118"/>
      <c r="BA118"/>
    </row>
    <row r="119" spans="1:53" ht="16.5" thickBot="1" x14ac:dyDescent="0.25">
      <c r="A119" s="15"/>
      <c r="B119" s="2"/>
      <c r="C119" s="746" t="s">
        <v>5760</v>
      </c>
      <c r="D119" s="738"/>
      <c r="E119" s="738"/>
      <c r="F119" s="738"/>
      <c r="G119" s="807">
        <v>0</v>
      </c>
      <c r="H119" s="740"/>
      <c r="I119" s="738"/>
      <c r="J119" s="749"/>
      <c r="K119" s="740"/>
      <c r="L119" s="172"/>
      <c r="M119" s="762"/>
      <c r="N119" s="177"/>
      <c r="O119" s="423"/>
      <c r="P119" s="423"/>
      <c r="Q119" s="423"/>
      <c r="R119" s="738"/>
      <c r="S119" s="807">
        <v>0</v>
      </c>
      <c r="T119" s="740"/>
      <c r="U119" s="738"/>
      <c r="V119" s="749"/>
      <c r="W119" s="740"/>
      <c r="X119" s="172"/>
      <c r="Y119" s="1774"/>
      <c r="Z119" s="1774"/>
      <c r="AA119" s="1774"/>
      <c r="AB119" s="1774"/>
      <c r="AC119" s="1774"/>
      <c r="AD119" s="67"/>
      <c r="AE119"/>
      <c r="AF119" s="245">
        <f>IF((ABS(G119)+ABS(S119))&gt;ABS(AB114),1,0)</f>
        <v>0</v>
      </c>
      <c r="AG119" s="957" t="s">
        <v>1308</v>
      </c>
      <c r="AH119"/>
      <c r="AI119" s="231"/>
      <c r="AJ119"/>
      <c r="AK119"/>
      <c r="AL119"/>
      <c r="AM119"/>
      <c r="AN119"/>
      <c r="AO119"/>
      <c r="AP119"/>
      <c r="AQ119"/>
      <c r="AR119"/>
      <c r="AS119"/>
      <c r="AT119"/>
      <c r="AU119"/>
      <c r="AV119"/>
      <c r="AW119"/>
      <c r="AX119"/>
      <c r="AY119"/>
      <c r="AZ119"/>
      <c r="BA119"/>
    </row>
    <row r="120" spans="1:53" ht="16.5" customHeight="1" thickBot="1" x14ac:dyDescent="0.3">
      <c r="A120" s="15"/>
      <c r="B120" s="2"/>
      <c r="C120" s="1030" t="str">
        <f>IF($AF$119&lt;&gt;0,"Total relief given to case B hereditaments (Line 31) is greater than total relief in Line 29. Please check the figures.","")</f>
        <v/>
      </c>
      <c r="D120" s="738"/>
      <c r="E120" s="738"/>
      <c r="F120" s="738"/>
      <c r="G120" s="740"/>
      <c r="H120" s="747"/>
      <c r="I120" s="740"/>
      <c r="J120" s="740"/>
      <c r="K120" s="740"/>
      <c r="L120" s="172"/>
      <c r="M120" s="172"/>
      <c r="N120" s="177"/>
      <c r="O120" s="423"/>
      <c r="P120" s="423"/>
      <c r="Q120" s="423"/>
      <c r="R120" s="738"/>
      <c r="S120" s="740"/>
      <c r="T120" s="747"/>
      <c r="U120" s="740"/>
      <c r="V120" s="740"/>
      <c r="W120" s="740"/>
      <c r="X120" s="1773" t="str">
        <f>IF($AF$124&lt;&gt;0,"Line 29 should be greater than (line 30 + line 31 + line 32+ line 33) please check the figures","")</f>
        <v/>
      </c>
      <c r="Y120" s="1773"/>
      <c r="Z120" s="1773"/>
      <c r="AA120" s="1773"/>
      <c r="AB120" s="1773"/>
      <c r="AC120" s="1773"/>
      <c r="AD120" s="67"/>
      <c r="AE120"/>
      <c r="AF120" s="245"/>
      <c r="AG120" s="953">
        <f>IF(OR('Part 1'!$K16="E2234",'Part 1'!$K16="E4603",'Part 1'!$K16="E2001",'Part 1'!$K16="E0601",'Part 1'!$K16="E0704"),1,0)</f>
        <v>0</v>
      </c>
      <c r="AH120"/>
      <c r="AI120"/>
      <c r="AJ120"/>
      <c r="AK120"/>
      <c r="AL120"/>
      <c r="AM120"/>
      <c r="AN120"/>
      <c r="AO120"/>
      <c r="AP120"/>
      <c r="AQ120"/>
      <c r="AR120"/>
      <c r="AS120"/>
      <c r="AT120"/>
      <c r="AU120"/>
      <c r="AV120"/>
      <c r="AW120"/>
      <c r="AX120"/>
      <c r="AY120"/>
      <c r="AZ120"/>
      <c r="BA120"/>
    </row>
    <row r="121" spans="1:53" ht="16.5" thickBot="1" x14ac:dyDescent="0.25">
      <c r="A121" s="15"/>
      <c r="B121" s="2"/>
      <c r="C121" s="737" t="s">
        <v>5761</v>
      </c>
      <c r="D121" s="738"/>
      <c r="E121" s="738"/>
      <c r="F121" s="738"/>
      <c r="G121" s="740"/>
      <c r="H121" s="740"/>
      <c r="I121" s="740"/>
      <c r="J121" s="807">
        <v>0</v>
      </c>
      <c r="K121" s="740"/>
      <c r="L121" s="172"/>
      <c r="M121" s="172"/>
      <c r="N121" s="177"/>
      <c r="O121" s="423"/>
      <c r="P121" s="423"/>
      <c r="Q121" s="423"/>
      <c r="R121" s="738"/>
      <c r="S121" s="740"/>
      <c r="T121" s="740"/>
      <c r="U121" s="740"/>
      <c r="V121" s="807">
        <v>0</v>
      </c>
      <c r="W121" s="740"/>
      <c r="X121" s="1773"/>
      <c r="Y121" s="1773"/>
      <c r="Z121" s="1773"/>
      <c r="AA121" s="1773"/>
      <c r="AB121" s="1773"/>
      <c r="AC121" s="1773"/>
      <c r="AD121" s="67"/>
      <c r="AE121"/>
      <c r="AF121" s="245">
        <f>IF((ABS(J121)+ABS(V121))&gt;ABS(AB114),1,0)</f>
        <v>0</v>
      </c>
      <c r="AG121" s="958" t="s">
        <v>2251</v>
      </c>
      <c r="AH121"/>
      <c r="AI121"/>
      <c r="AJ121"/>
      <c r="AK121"/>
      <c r="AL121"/>
      <c r="AM121"/>
      <c r="AN121"/>
      <c r="AO121"/>
      <c r="AP121"/>
      <c r="AQ121"/>
      <c r="AR121"/>
      <c r="AS121"/>
      <c r="AT121"/>
      <c r="AU121"/>
      <c r="AV121"/>
      <c r="AW121"/>
      <c r="AX121"/>
      <c r="AY121"/>
      <c r="AZ121"/>
      <c r="BA121"/>
    </row>
    <row r="122" spans="1:53" ht="16.5" thickBot="1" x14ac:dyDescent="0.25">
      <c r="A122" s="15"/>
      <c r="B122" s="2"/>
      <c r="C122" s="1031" t="str">
        <f>IF($AF$121&lt;&gt;0,"Total relief given to Freeports (Line 32) is greater than total relief in Line 29. Please check the figures.","")</f>
        <v/>
      </c>
      <c r="D122" s="738"/>
      <c r="E122" s="738"/>
      <c r="F122" s="738"/>
      <c r="G122" s="740"/>
      <c r="H122" s="740"/>
      <c r="I122" s="740"/>
      <c r="J122" s="740"/>
      <c r="K122" s="740"/>
      <c r="L122" s="172"/>
      <c r="M122" s="172"/>
      <c r="N122" s="177"/>
      <c r="O122" s="423"/>
      <c r="P122" s="423"/>
      <c r="Q122" s="423"/>
      <c r="R122" s="738"/>
      <c r="S122" s="740"/>
      <c r="T122" s="740"/>
      <c r="U122" s="740"/>
      <c r="V122" s="751" t="str">
        <f>IF(AND($AF$120&lt;&gt;0,$AF$117=0,$AF$121=0),"Relief given to Case A Hereditaments and Freeports greater than total relief. Please check the figures.","")</f>
        <v/>
      </c>
      <c r="W122" s="740"/>
      <c r="X122" s="1773"/>
      <c r="Y122" s="1773"/>
      <c r="Z122" s="1773"/>
      <c r="AA122" s="1773"/>
      <c r="AB122" s="1773"/>
      <c r="AC122" s="1773"/>
      <c r="AD122" s="867"/>
      <c r="AE122"/>
      <c r="AF122" s="245"/>
      <c r="AG122" s="955">
        <f>IF(INDEX(TierSplit!CG:CG,MATCH(Import_LA_Code,Ref_LA_Codes2,0))="Yes",1,0)</f>
        <v>1</v>
      </c>
      <c r="AH122"/>
      <c r="AI122"/>
      <c r="AJ122"/>
      <c r="AK122"/>
      <c r="AL122"/>
      <c r="AM122"/>
      <c r="AN122"/>
      <c r="AO122"/>
      <c r="AP122"/>
      <c r="AQ122"/>
      <c r="AR122"/>
      <c r="AS122"/>
      <c r="AT122"/>
      <c r="AU122"/>
      <c r="AV122"/>
      <c r="AW122"/>
      <c r="AX122"/>
      <c r="AY122"/>
      <c r="AZ122"/>
      <c r="BA122"/>
    </row>
    <row r="123" spans="1:53" ht="16.5" thickBot="1" x14ac:dyDescent="0.25">
      <c r="A123" s="15"/>
      <c r="B123" s="2"/>
      <c r="C123" s="737" t="s">
        <v>5762</v>
      </c>
      <c r="D123" s="738"/>
      <c r="E123" s="738"/>
      <c r="F123" s="738"/>
      <c r="G123" s="812">
        <v>0</v>
      </c>
      <c r="H123" s="740"/>
      <c r="I123" s="740"/>
      <c r="J123" s="812">
        <v>0</v>
      </c>
      <c r="K123" s="740"/>
      <c r="L123" s="172"/>
      <c r="M123" s="935">
        <f>+G123+J123</f>
        <v>0</v>
      </c>
      <c r="N123" s="177"/>
      <c r="O123" s="423"/>
      <c r="P123" s="423"/>
      <c r="Q123" s="423"/>
      <c r="R123" s="738"/>
      <c r="S123" s="812">
        <v>0</v>
      </c>
      <c r="T123" s="740"/>
      <c r="U123" s="740"/>
      <c r="V123" s="812">
        <v>0</v>
      </c>
      <c r="W123" s="740"/>
      <c r="X123" s="172"/>
      <c r="Y123" s="936">
        <f>+S123+V123</f>
        <v>0</v>
      </c>
      <c r="Z123" s="177"/>
      <c r="AA123" s="936">
        <f>Y123+M123</f>
        <v>0</v>
      </c>
      <c r="AB123" s="936"/>
      <c r="AC123" s="177"/>
      <c r="AD123" s="867"/>
      <c r="AE123"/>
      <c r="AF123" s="245">
        <f>IF((ABS(G123)+ABS(J123)+ABS(S123)+ABS(V123))&gt;ABS(AB114),1,0)</f>
        <v>0</v>
      </c>
      <c r="AG123" s="958" t="s">
        <v>3059</v>
      </c>
      <c r="AH123"/>
      <c r="AI123"/>
      <c r="AJ123"/>
      <c r="AK123"/>
      <c r="AL123"/>
      <c r="AM123"/>
      <c r="AN123"/>
      <c r="AO123"/>
      <c r="AP123"/>
      <c r="AQ123"/>
      <c r="AR123"/>
      <c r="AS123"/>
      <c r="AT123"/>
      <c r="AU123"/>
      <c r="AV123"/>
      <c r="AW123"/>
      <c r="AX123"/>
      <c r="AY123"/>
      <c r="AZ123"/>
      <c r="BA123"/>
    </row>
    <row r="124" spans="1:53" ht="16.5" thickBot="1" x14ac:dyDescent="0.3">
      <c r="A124" s="15"/>
      <c r="B124" s="2"/>
      <c r="C124" s="1030" t="str">
        <f>IF($AF$123&lt;&gt;0,"Total relief given to Investment Zones (Line 33) is greater than total relief in Line 29. Please check the figures.","")</f>
        <v/>
      </c>
      <c r="D124" s="738"/>
      <c r="E124" s="738"/>
      <c r="F124" s="738"/>
      <c r="G124" s="751"/>
      <c r="H124" s="751"/>
      <c r="I124" s="751"/>
      <c r="J124" s="751"/>
      <c r="K124" s="747"/>
      <c r="L124" s="172"/>
      <c r="M124" s="172"/>
      <c r="N124" s="177"/>
      <c r="O124" s="423"/>
      <c r="P124" s="423"/>
      <c r="Q124" s="423"/>
      <c r="R124" s="738"/>
      <c r="S124" s="751"/>
      <c r="T124" s="740"/>
      <c r="U124" s="740"/>
      <c r="V124" s="747"/>
      <c r="W124" s="747"/>
      <c r="X124" s="172"/>
      <c r="Y124" s="172"/>
      <c r="Z124" s="177"/>
      <c r="AA124" s="177"/>
      <c r="AB124" s="177"/>
      <c r="AC124" s="177"/>
      <c r="AD124" s="67"/>
      <c r="AE124"/>
      <c r="AF124" s="252">
        <f>IF((ABS(J117)+ABS(V117)+ABS(G119)+ABS(S119)+ABS(J121)+ABS(V121)+ABS(G123)+ABS(J123)+ABS(S123)+ABS(V123))&gt;(ABS(G114)+ABS(J114)+ABS(S114)+ABS(V114)),1,0)</f>
        <v>0</v>
      </c>
      <c r="AG124" s="959">
        <f>IF(INDEX(TierSplit!CH:CH,MATCH(Import_LA_Code,Ref_LA_Codes2,0))="Yes",1,0)</f>
        <v>0</v>
      </c>
      <c r="AH124"/>
      <c r="AI124"/>
      <c r="AJ124"/>
      <c r="AK124"/>
      <c r="AL124"/>
      <c r="AM124"/>
      <c r="AN124"/>
      <c r="AO124"/>
      <c r="AP124"/>
      <c r="AQ124"/>
      <c r="AR124"/>
      <c r="AS124"/>
      <c r="AT124"/>
      <c r="AU124"/>
      <c r="AV124"/>
      <c r="AW124"/>
      <c r="AX124"/>
      <c r="AY124"/>
      <c r="AZ124"/>
      <c r="BA124"/>
    </row>
    <row r="125" spans="1:53" ht="15.75" thickBot="1" x14ac:dyDescent="0.25">
      <c r="A125" s="15"/>
      <c r="B125" s="4"/>
      <c r="C125" s="69"/>
      <c r="D125" s="69"/>
      <c r="E125" s="69"/>
      <c r="F125" s="69"/>
      <c r="G125" s="77"/>
      <c r="H125" s="77"/>
      <c r="I125" s="77"/>
      <c r="J125" s="77"/>
      <c r="K125" s="77"/>
      <c r="L125" s="179"/>
      <c r="M125" s="179"/>
      <c r="N125" s="194"/>
      <c r="O125" s="822"/>
      <c r="P125" s="822"/>
      <c r="Q125" s="822"/>
      <c r="R125" s="69"/>
      <c r="S125" s="77"/>
      <c r="T125" s="77"/>
      <c r="U125" s="77"/>
      <c r="V125" s="77"/>
      <c r="W125" s="77"/>
      <c r="X125" s="179"/>
      <c r="Y125" s="179"/>
      <c r="Z125" s="831"/>
      <c r="AA125" s="837"/>
      <c r="AB125" s="831"/>
      <c r="AC125" s="194"/>
      <c r="AD125" s="67"/>
      <c r="AE125"/>
      <c r="AF125" s="246"/>
      <c r="AG125"/>
      <c r="AH125"/>
      <c r="AI125"/>
      <c r="AJ125"/>
      <c r="AK125"/>
      <c r="AL125"/>
      <c r="AM125"/>
      <c r="AN125"/>
      <c r="AO125"/>
      <c r="AP125"/>
      <c r="AQ125"/>
      <c r="AR125"/>
      <c r="AS125"/>
      <c r="AT125"/>
      <c r="AU125"/>
      <c r="AV125"/>
      <c r="AW125"/>
      <c r="AX125"/>
      <c r="AY125"/>
      <c r="AZ125"/>
      <c r="BA125"/>
    </row>
    <row r="126" spans="1:53" ht="15.75" thickBot="1" x14ac:dyDescent="0.25">
      <c r="A126" s="15"/>
      <c r="B126" s="5"/>
      <c r="C126" s="19"/>
      <c r="D126" s="19"/>
      <c r="E126" s="19"/>
      <c r="F126" s="213"/>
      <c r="G126" s="214"/>
      <c r="H126" s="215"/>
      <c r="I126" s="214"/>
      <c r="J126" s="214"/>
      <c r="K126" s="215"/>
      <c r="L126" s="216"/>
      <c r="M126" s="216"/>
      <c r="N126" s="217"/>
      <c r="O126" s="423"/>
      <c r="P126" s="423"/>
      <c r="Q126" s="423"/>
      <c r="R126" s="213"/>
      <c r="S126" s="214"/>
      <c r="T126" s="215"/>
      <c r="U126" s="214"/>
      <c r="V126" s="214"/>
      <c r="W126" s="215"/>
      <c r="X126" s="216"/>
      <c r="Y126" s="216"/>
      <c r="Z126" s="843"/>
      <c r="AA126" s="845"/>
      <c r="AB126" s="843"/>
      <c r="AC126" s="217"/>
      <c r="AD126" s="67"/>
      <c r="AE126"/>
      <c r="AF126" s="246"/>
      <c r="AG126"/>
      <c r="AH126"/>
      <c r="AI126"/>
      <c r="AJ126"/>
      <c r="AK126"/>
      <c r="AL126"/>
      <c r="AM126"/>
      <c r="AN126"/>
      <c r="AO126"/>
      <c r="AP126"/>
      <c r="AQ126"/>
      <c r="AR126"/>
      <c r="AS126"/>
      <c r="AT126"/>
      <c r="AU126"/>
      <c r="AV126"/>
      <c r="AW126"/>
      <c r="AX126"/>
      <c r="AY126"/>
      <c r="AZ126"/>
      <c r="BA126"/>
    </row>
    <row r="127" spans="1:53" ht="16.5" customHeight="1" thickBot="1" x14ac:dyDescent="0.25">
      <c r="A127" s="15"/>
      <c r="B127" s="5"/>
      <c r="C127" s="1722" t="s">
        <v>5800</v>
      </c>
      <c r="D127" s="1722"/>
      <c r="E127" s="19"/>
      <c r="F127" s="218"/>
      <c r="G127" s="808">
        <f>+G102+G105+G108+G111+G114</f>
        <v>0</v>
      </c>
      <c r="H127" s="75"/>
      <c r="I127" s="19"/>
      <c r="J127" s="808">
        <f>+J102+J105+J108+J111+J114</f>
        <v>0</v>
      </c>
      <c r="K127" s="75"/>
      <c r="L127" s="172"/>
      <c r="M127" s="172"/>
      <c r="N127" s="219"/>
      <c r="O127" s="338"/>
      <c r="P127" s="338"/>
      <c r="Q127" s="423"/>
      <c r="R127" s="218"/>
      <c r="S127" s="808">
        <f>+S102+S105+S108+S111+S114</f>
        <v>0</v>
      </c>
      <c r="T127" s="75"/>
      <c r="U127" s="19"/>
      <c r="V127" s="808">
        <f>+V102+V105+V108+V111+V114</f>
        <v>0</v>
      </c>
      <c r="W127" s="75"/>
      <c r="X127" s="172"/>
      <c r="Y127" s="172"/>
      <c r="Z127" s="177"/>
      <c r="AA127" s="846"/>
      <c r="AB127" s="177"/>
      <c r="AC127" s="219"/>
      <c r="AD127" s="67"/>
      <c r="AE127"/>
      <c r="AF127" s="245">
        <f>IF(+G127+G130-G134=0,0,1)</f>
        <v>0</v>
      </c>
      <c r="AG127"/>
      <c r="AH127"/>
      <c r="AI127"/>
      <c r="AJ127"/>
      <c r="AK127"/>
      <c r="AL127"/>
      <c r="AM127"/>
      <c r="AN127"/>
      <c r="AO127"/>
      <c r="AP127"/>
      <c r="AQ127"/>
      <c r="AR127"/>
      <c r="AS127"/>
      <c r="AT127"/>
      <c r="AU127"/>
      <c r="AV127"/>
      <c r="AW127"/>
      <c r="AX127"/>
      <c r="AY127"/>
      <c r="AZ127"/>
      <c r="BA127"/>
    </row>
    <row r="128" spans="1:53" ht="15.75" x14ac:dyDescent="0.2">
      <c r="A128" s="15"/>
      <c r="B128" s="5"/>
      <c r="C128" s="1722"/>
      <c r="D128" s="1722"/>
      <c r="E128" s="19"/>
      <c r="F128" s="218"/>
      <c r="G128" s="74"/>
      <c r="H128" s="75"/>
      <c r="I128" s="19"/>
      <c r="J128" s="74"/>
      <c r="K128" s="75"/>
      <c r="L128" s="172"/>
      <c r="M128" s="172"/>
      <c r="N128" s="219"/>
      <c r="O128" s="338"/>
      <c r="P128" s="338"/>
      <c r="Q128" s="423"/>
      <c r="R128" s="218"/>
      <c r="S128" s="74"/>
      <c r="T128" s="75"/>
      <c r="U128" s="19"/>
      <c r="V128" s="74"/>
      <c r="W128" s="75"/>
      <c r="X128" s="172"/>
      <c r="Y128" s="172"/>
      <c r="Z128" s="177"/>
      <c r="AA128" s="846"/>
      <c r="AB128" s="177"/>
      <c r="AC128" s="219"/>
      <c r="AD128" s="67"/>
      <c r="AE128"/>
      <c r="AF128" s="245">
        <f>IF(+S127+S130-S134=0,0,1)</f>
        <v>0</v>
      </c>
      <c r="AG128"/>
      <c r="AH128"/>
      <c r="AI128"/>
      <c r="AJ128"/>
      <c r="AK128"/>
      <c r="AL128"/>
      <c r="AM128"/>
      <c r="AN128"/>
      <c r="AO128"/>
      <c r="AP128"/>
      <c r="AQ128"/>
      <c r="AR128"/>
      <c r="AS128"/>
      <c r="AT128"/>
      <c r="AU128"/>
      <c r="AV128"/>
      <c r="AW128"/>
      <c r="AX128"/>
      <c r="AY128"/>
      <c r="AZ128"/>
      <c r="BA128"/>
    </row>
    <row r="129" spans="1:53" ht="16.5" customHeight="1" thickBot="1" x14ac:dyDescent="0.25">
      <c r="A129" s="15"/>
      <c r="B129" s="5"/>
      <c r="C129" s="340"/>
      <c r="D129" s="340"/>
      <c r="E129" s="19"/>
      <c r="F129" s="218"/>
      <c r="G129" s="74"/>
      <c r="H129" s="75"/>
      <c r="I129" s="19"/>
      <c r="J129" s="74"/>
      <c r="K129" s="75"/>
      <c r="L129" s="172"/>
      <c r="M129" s="172"/>
      <c r="N129" s="219"/>
      <c r="O129" s="821"/>
      <c r="P129" s="821"/>
      <c r="Q129" s="423"/>
      <c r="R129" s="218"/>
      <c r="S129" s="74"/>
      <c r="T129" s="75"/>
      <c r="U129" s="19"/>
      <c r="V129" s="74"/>
      <c r="W129" s="75"/>
      <c r="X129" s="172"/>
      <c r="Y129" s="172"/>
      <c r="Z129" s="177"/>
      <c r="AA129" s="846"/>
      <c r="AB129" s="177"/>
      <c r="AC129" s="219"/>
      <c r="AD129" s="67"/>
      <c r="AE129"/>
      <c r="AF129" s="245">
        <f>IF(+V127+V130-V134=0,0,1)</f>
        <v>0</v>
      </c>
      <c r="AG129"/>
      <c r="AH129"/>
      <c r="AI129"/>
      <c r="AJ129"/>
      <c r="AK129"/>
      <c r="AL129"/>
      <c r="AM129"/>
      <c r="AN129"/>
      <c r="AO129"/>
      <c r="AP129"/>
      <c r="AQ129"/>
      <c r="AR129"/>
      <c r="AS129"/>
      <c r="AT129"/>
      <c r="AU129"/>
      <c r="AV129"/>
      <c r="AW129"/>
      <c r="AX129"/>
      <c r="AY129"/>
      <c r="AZ129"/>
      <c r="BA129"/>
    </row>
    <row r="130" spans="1:53" ht="16.5" customHeight="1" thickBot="1" x14ac:dyDescent="0.25">
      <c r="A130" s="15"/>
      <c r="B130" s="5"/>
      <c r="C130" s="1701" t="s">
        <v>5763</v>
      </c>
      <c r="D130" s="1701"/>
      <c r="E130" s="19"/>
      <c r="F130" s="218"/>
      <c r="G130" s="807">
        <v>0</v>
      </c>
      <c r="H130" s="73"/>
      <c r="I130" s="620"/>
      <c r="J130" s="807">
        <v>0</v>
      </c>
      <c r="K130" s="75"/>
      <c r="L130" s="172"/>
      <c r="M130" s="172"/>
      <c r="N130" s="219"/>
      <c r="O130" s="338"/>
      <c r="P130" s="338"/>
      <c r="Q130" s="423"/>
      <c r="R130" s="218"/>
      <c r="S130" s="807">
        <v>0</v>
      </c>
      <c r="T130" s="73"/>
      <c r="U130" s="620"/>
      <c r="V130" s="807">
        <v>0</v>
      </c>
      <c r="W130" s="75"/>
      <c r="X130" s="172"/>
      <c r="Y130" s="172"/>
      <c r="Z130" s="177"/>
      <c r="AA130" s="846"/>
      <c r="AB130" s="177"/>
      <c r="AC130" s="219"/>
      <c r="AD130" s="67"/>
      <c r="AE130"/>
      <c r="AF130" s="245">
        <f>IF(+J127+J130-J134=0,0,1)</f>
        <v>0</v>
      </c>
      <c r="AG130"/>
      <c r="AH130"/>
      <c r="AI130" s="231"/>
      <c r="AJ130"/>
      <c r="AK130"/>
      <c r="AL130"/>
      <c r="AM130"/>
      <c r="AN130"/>
      <c r="AO130"/>
      <c r="AP130"/>
      <c r="AQ130"/>
      <c r="AR130"/>
      <c r="AS130"/>
      <c r="AT130"/>
      <c r="AU130"/>
      <c r="AV130"/>
      <c r="AW130"/>
      <c r="AX130"/>
      <c r="AY130"/>
      <c r="AZ130"/>
      <c r="BA130"/>
    </row>
    <row r="131" spans="1:53" ht="15.75" customHeight="1" x14ac:dyDescent="0.2">
      <c r="A131" s="15"/>
      <c r="B131" s="5"/>
      <c r="C131" s="1701"/>
      <c r="D131" s="1701"/>
      <c r="E131" s="19"/>
      <c r="F131" s="218"/>
      <c r="G131" s="74"/>
      <c r="H131" s="75"/>
      <c r="I131" s="19"/>
      <c r="J131" s="74"/>
      <c r="K131" s="75"/>
      <c r="L131" s="172"/>
      <c r="M131" s="173"/>
      <c r="N131" s="219"/>
      <c r="O131" s="338"/>
      <c r="P131" s="338"/>
      <c r="Q131" s="423"/>
      <c r="R131" s="218"/>
      <c r="S131" s="74"/>
      <c r="T131" s="75"/>
      <c r="U131" s="19"/>
      <c r="V131" s="74"/>
      <c r="W131" s="75"/>
      <c r="X131" s="172"/>
      <c r="Y131" s="173"/>
      <c r="Z131" s="177"/>
      <c r="AA131" s="846"/>
      <c r="AB131" s="177"/>
      <c r="AC131" s="219"/>
      <c r="AD131" s="67"/>
      <c r="AE131"/>
      <c r="AF131" s="246"/>
      <c r="AG131"/>
      <c r="AH131"/>
      <c r="AI131"/>
      <c r="AJ131"/>
      <c r="AK131"/>
      <c r="AL131"/>
      <c r="AM131"/>
      <c r="AN131"/>
      <c r="AO131"/>
      <c r="AP131"/>
      <c r="AQ131"/>
      <c r="AR131"/>
      <c r="AS131"/>
      <c r="AT131"/>
      <c r="AU131"/>
      <c r="AV131"/>
      <c r="AW131"/>
      <c r="AX131"/>
      <c r="AY131"/>
      <c r="AZ131"/>
      <c r="BA131"/>
    </row>
    <row r="132" spans="1:53" ht="15.75" customHeight="1" x14ac:dyDescent="0.2">
      <c r="A132" s="15"/>
      <c r="B132" s="5"/>
      <c r="C132" s="1701"/>
      <c r="D132" s="1701"/>
      <c r="E132" s="19"/>
      <c r="F132" s="218"/>
      <c r="G132" s="74"/>
      <c r="H132" s="868"/>
      <c r="I132" s="19"/>
      <c r="J132" s="74"/>
      <c r="K132" s="868"/>
      <c r="L132" s="172"/>
      <c r="M132" s="173"/>
      <c r="N132" s="219"/>
      <c r="O132" s="338"/>
      <c r="P132" s="338"/>
      <c r="Q132" s="423"/>
      <c r="R132" s="218"/>
      <c r="S132" s="74"/>
      <c r="T132" s="868"/>
      <c r="U132" s="19"/>
      <c r="V132" s="74"/>
      <c r="W132" s="868"/>
      <c r="X132" s="172"/>
      <c r="Y132" s="173"/>
      <c r="Z132" s="177"/>
      <c r="AA132" s="846"/>
      <c r="AB132" s="177"/>
      <c r="AC132" s="219"/>
      <c r="AD132" s="867"/>
      <c r="AE132"/>
      <c r="AF132" s="246"/>
      <c r="AG132"/>
      <c r="AH132"/>
      <c r="AI132"/>
      <c r="AJ132"/>
      <c r="AK132"/>
      <c r="AL132"/>
      <c r="AM132"/>
      <c r="AN132"/>
      <c r="AO132"/>
      <c r="AP132"/>
      <c r="AQ132"/>
      <c r="AR132"/>
      <c r="AS132"/>
      <c r="AT132"/>
      <c r="AU132"/>
      <c r="AV132"/>
      <c r="AW132"/>
      <c r="AX132"/>
      <c r="AY132"/>
      <c r="AZ132"/>
      <c r="BA132"/>
    </row>
    <row r="133" spans="1:53" ht="16.5" thickBot="1" x14ac:dyDescent="0.25">
      <c r="A133" s="15"/>
      <c r="B133" s="5"/>
      <c r="C133" s="340"/>
      <c r="D133" s="340"/>
      <c r="E133" s="19"/>
      <c r="F133" s="218"/>
      <c r="G133" s="74"/>
      <c r="H133" s="75"/>
      <c r="I133" s="19"/>
      <c r="J133" s="74"/>
      <c r="K133" s="75"/>
      <c r="L133" s="172"/>
      <c r="M133" s="173"/>
      <c r="N133" s="219"/>
      <c r="O133" s="821"/>
      <c r="P133" s="821"/>
      <c r="Q133" s="423"/>
      <c r="R133" s="218"/>
      <c r="S133" s="74"/>
      <c r="T133" s="75"/>
      <c r="U133" s="19"/>
      <c r="V133" s="74"/>
      <c r="W133" s="75"/>
      <c r="X133" s="172"/>
      <c r="Y133" s="173"/>
      <c r="Z133" s="177"/>
      <c r="AA133" s="846"/>
      <c r="AB133" s="177"/>
      <c r="AC133" s="219"/>
      <c r="AD133" s="67"/>
      <c r="AE133"/>
      <c r="AF133" s="246"/>
      <c r="AG133"/>
      <c r="AH133"/>
      <c r="AI133"/>
      <c r="AJ133"/>
      <c r="AK133"/>
      <c r="AL133"/>
      <c r="AM133"/>
      <c r="AN133"/>
      <c r="AO133"/>
      <c r="AP133"/>
      <c r="AQ133"/>
      <c r="AR133"/>
      <c r="AS133"/>
      <c r="AT133"/>
      <c r="AU133"/>
      <c r="AV133"/>
      <c r="AW133"/>
      <c r="AX133"/>
      <c r="AY133"/>
      <c r="AZ133"/>
      <c r="BA133"/>
    </row>
    <row r="134" spans="1:53" ht="16.5" customHeight="1" thickBot="1" x14ac:dyDescent="0.25">
      <c r="A134" s="15"/>
      <c r="B134" s="5"/>
      <c r="C134" s="1771" t="s">
        <v>5764</v>
      </c>
      <c r="D134" s="1771"/>
      <c r="E134" s="19"/>
      <c r="F134" s="218"/>
      <c r="G134" s="808">
        <f>+G127+G130</f>
        <v>0</v>
      </c>
      <c r="H134" s="75"/>
      <c r="I134" s="19"/>
      <c r="J134" s="808">
        <f>+J127+J130</f>
        <v>0</v>
      </c>
      <c r="K134" s="75"/>
      <c r="L134" s="172"/>
      <c r="M134" s="809">
        <f>+G134+J134</f>
        <v>0</v>
      </c>
      <c r="N134" s="219"/>
      <c r="O134" s="338"/>
      <c r="P134" s="338"/>
      <c r="Q134" s="423"/>
      <c r="R134" s="218"/>
      <c r="S134" s="808">
        <f>+S127+S130</f>
        <v>0</v>
      </c>
      <c r="T134" s="75"/>
      <c r="U134" s="19"/>
      <c r="V134" s="808">
        <f>+V127+V130</f>
        <v>0</v>
      </c>
      <c r="W134" s="75"/>
      <c r="X134" s="172"/>
      <c r="Y134" s="809">
        <f>+S134+V134</f>
        <v>0</v>
      </c>
      <c r="Z134" s="177"/>
      <c r="AA134" s="846"/>
      <c r="AB134" s="809">
        <f>Y134+M134</f>
        <v>0</v>
      </c>
      <c r="AC134" s="219"/>
      <c r="AD134" s="67"/>
      <c r="AE134"/>
      <c r="AF134" s="245">
        <f>IF(+G134+J134+S134+V134-AB134=0,0,1)</f>
        <v>0</v>
      </c>
      <c r="AG134"/>
      <c r="AH134" s="137"/>
      <c r="AI134"/>
      <c r="AJ134"/>
      <c r="AK134"/>
      <c r="AL134"/>
      <c r="AM134"/>
      <c r="AN134"/>
      <c r="AO134"/>
      <c r="AP134"/>
      <c r="AQ134"/>
      <c r="AR134"/>
      <c r="AS134"/>
      <c r="AT134"/>
      <c r="AU134"/>
      <c r="AV134"/>
      <c r="AW134"/>
      <c r="AX134"/>
      <c r="AY134"/>
      <c r="AZ134"/>
      <c r="BA134"/>
    </row>
    <row r="135" spans="1:53" ht="16.5" thickBot="1" x14ac:dyDescent="0.25">
      <c r="A135" s="15"/>
      <c r="B135" s="5"/>
      <c r="C135" s="1771"/>
      <c r="D135" s="1771"/>
      <c r="E135" s="19"/>
      <c r="F135" s="220"/>
      <c r="G135" s="221"/>
      <c r="H135" s="222"/>
      <c r="I135" s="221"/>
      <c r="J135" s="221"/>
      <c r="K135" s="222"/>
      <c r="L135" s="223"/>
      <c r="M135" s="224"/>
      <c r="N135" s="225"/>
      <c r="O135" s="423"/>
      <c r="P135" s="423"/>
      <c r="Q135" s="423"/>
      <c r="R135" s="220"/>
      <c r="S135" s="221"/>
      <c r="T135" s="222"/>
      <c r="U135" s="221"/>
      <c r="V135" s="221"/>
      <c r="W135" s="222"/>
      <c r="X135" s="223"/>
      <c r="Y135" s="224"/>
      <c r="Z135" s="844"/>
      <c r="AA135" s="847"/>
      <c r="AB135" s="844"/>
      <c r="AC135" s="225"/>
      <c r="AD135" s="67"/>
      <c r="AE135"/>
      <c r="AF135" s="246"/>
      <c r="AG135"/>
      <c r="AH135"/>
      <c r="AI135"/>
      <c r="AJ135"/>
      <c r="AK135"/>
      <c r="AL135"/>
      <c r="AM135"/>
      <c r="AN135"/>
      <c r="AO135"/>
      <c r="AP135"/>
      <c r="AQ135"/>
      <c r="AR135"/>
      <c r="AS135"/>
      <c r="AT135"/>
      <c r="AU135"/>
      <c r="AV135"/>
      <c r="AW135"/>
      <c r="AX135"/>
      <c r="AY135"/>
      <c r="AZ135"/>
      <c r="BA135"/>
    </row>
    <row r="136" spans="1:53" ht="15.75" thickBot="1" x14ac:dyDescent="0.25">
      <c r="A136" s="15"/>
      <c r="B136" s="7"/>
      <c r="C136" s="70"/>
      <c r="D136" s="70"/>
      <c r="E136" s="70"/>
      <c r="F136" s="70"/>
      <c r="G136" s="79"/>
      <c r="H136" s="79"/>
      <c r="I136" s="79"/>
      <c r="J136" s="79"/>
      <c r="K136" s="79"/>
      <c r="L136" s="181"/>
      <c r="M136" s="181"/>
      <c r="N136" s="196"/>
      <c r="O136" s="823"/>
      <c r="P136" s="823"/>
      <c r="Q136" s="823"/>
      <c r="R136" s="70"/>
      <c r="S136" s="79"/>
      <c r="T136" s="79"/>
      <c r="U136" s="79"/>
      <c r="V136" s="79"/>
      <c r="W136" s="79"/>
      <c r="X136" s="181"/>
      <c r="Y136" s="181"/>
      <c r="Z136" s="832"/>
      <c r="AA136" s="839"/>
      <c r="AB136" s="832"/>
      <c r="AC136" s="196"/>
      <c r="AD136" s="67"/>
      <c r="AE136"/>
      <c r="AF136" s="246"/>
      <c r="AG136"/>
      <c r="AH136"/>
      <c r="AI136"/>
      <c r="AJ136"/>
      <c r="AK136"/>
      <c r="AL136"/>
      <c r="AM136"/>
      <c r="AN136"/>
      <c r="AO136"/>
      <c r="AP136"/>
      <c r="AQ136"/>
      <c r="AR136"/>
      <c r="AS136"/>
      <c r="AT136"/>
      <c r="AU136"/>
      <c r="AV136"/>
      <c r="AW136"/>
      <c r="AX136"/>
      <c r="AY136"/>
      <c r="AZ136"/>
      <c r="BA136"/>
    </row>
    <row r="137" spans="1:53" ht="15.75" thickBot="1" x14ac:dyDescent="0.25">
      <c r="A137" s="16"/>
      <c r="B137" s="17"/>
      <c r="C137" s="86"/>
      <c r="D137" s="86"/>
      <c r="E137" s="86"/>
      <c r="F137" s="86"/>
      <c r="G137" s="88"/>
      <c r="H137" s="88"/>
      <c r="I137" s="88"/>
      <c r="J137" s="88"/>
      <c r="K137" s="88"/>
      <c r="L137" s="183"/>
      <c r="M137" s="183"/>
      <c r="N137" s="197"/>
      <c r="O137" s="824"/>
      <c r="P137" s="824"/>
      <c r="Q137" s="824"/>
      <c r="R137" s="86"/>
      <c r="S137" s="88"/>
      <c r="T137" s="88"/>
      <c r="U137" s="88"/>
      <c r="V137" s="88"/>
      <c r="W137" s="88"/>
      <c r="X137" s="183"/>
      <c r="Y137" s="183"/>
      <c r="Z137" s="197"/>
      <c r="AA137" s="197"/>
      <c r="AB137" s="197"/>
      <c r="AC137" s="197"/>
      <c r="AD137" s="68"/>
      <c r="AE137"/>
      <c r="AF137" s="246"/>
      <c r="AG137"/>
      <c r="AH137"/>
      <c r="AI137"/>
      <c r="AJ137"/>
      <c r="AK137"/>
      <c r="AL137"/>
      <c r="AM137"/>
      <c r="AN137"/>
      <c r="AO137"/>
      <c r="AP137"/>
      <c r="AQ137"/>
      <c r="AR137"/>
      <c r="AS137"/>
      <c r="AT137"/>
      <c r="AU137"/>
      <c r="AV137"/>
      <c r="AW137"/>
      <c r="AX137"/>
      <c r="AY137"/>
      <c r="AZ137"/>
      <c r="BA137"/>
    </row>
    <row r="138" spans="1:53" ht="18.75" customHeight="1" x14ac:dyDescent="0.25">
      <c r="A138" s="64"/>
      <c r="B138" s="65"/>
      <c r="C138" s="952" t="s">
        <v>3080</v>
      </c>
      <c r="D138" s="952"/>
      <c r="E138" s="329"/>
      <c r="F138" s="329"/>
      <c r="G138" s="329"/>
      <c r="H138" s="329"/>
      <c r="I138" s="329"/>
      <c r="J138" s="329"/>
      <c r="K138" s="329"/>
      <c r="L138" s="330"/>
      <c r="M138" s="330"/>
      <c r="N138" s="198"/>
      <c r="O138" s="826"/>
      <c r="P138" s="826"/>
      <c r="Q138" s="826"/>
      <c r="R138" s="826"/>
      <c r="S138" s="826"/>
      <c r="T138" s="826"/>
      <c r="U138" s="329"/>
      <c r="V138" s="329"/>
      <c r="W138" s="329"/>
      <c r="X138" s="330"/>
      <c r="Y138" s="330"/>
      <c r="Z138" s="198"/>
      <c r="AA138" s="198"/>
      <c r="AB138" s="198"/>
      <c r="AC138" s="198"/>
      <c r="AD138" s="66"/>
      <c r="AE138"/>
      <c r="AF138" s="246"/>
      <c r="AG138"/>
      <c r="AH138"/>
      <c r="AI138"/>
      <c r="AJ138"/>
      <c r="AK138"/>
      <c r="AL138"/>
      <c r="AM138"/>
      <c r="AN138"/>
      <c r="AO138"/>
      <c r="AP138"/>
      <c r="AQ138"/>
      <c r="AR138"/>
      <c r="AS138"/>
      <c r="AT138"/>
      <c r="AU138"/>
      <c r="AV138"/>
      <c r="AW138"/>
      <c r="AX138"/>
      <c r="AY138"/>
      <c r="AZ138"/>
      <c r="BA138"/>
    </row>
    <row r="139" spans="1:53" ht="15.75" customHeight="1" x14ac:dyDescent="0.25">
      <c r="A139" s="15"/>
      <c r="B139" s="2"/>
      <c r="C139" s="328"/>
      <c r="D139" s="328"/>
      <c r="E139" s="328"/>
      <c r="F139" s="328"/>
      <c r="G139" s="328"/>
      <c r="H139" s="328"/>
      <c r="I139" s="328"/>
      <c r="J139" s="328"/>
      <c r="K139" s="328"/>
      <c r="L139" s="331"/>
      <c r="M139" s="331"/>
      <c r="N139" s="177"/>
      <c r="O139" s="338"/>
      <c r="P139" s="338"/>
      <c r="Q139" s="338"/>
      <c r="R139" s="338"/>
      <c r="S139" s="338"/>
      <c r="T139" s="338"/>
      <c r="U139" s="328"/>
      <c r="V139" s="328"/>
      <c r="W139" s="328"/>
      <c r="X139" s="331"/>
      <c r="Y139" s="331"/>
      <c r="Z139" s="177"/>
      <c r="AA139" s="177"/>
      <c r="AB139" s="177"/>
      <c r="AC139" s="177"/>
      <c r="AD139" s="67"/>
      <c r="AE139"/>
      <c r="AF139" s="246"/>
      <c r="AG139"/>
      <c r="AH139"/>
      <c r="AI139"/>
      <c r="AJ139"/>
      <c r="AK139"/>
      <c r="AL139"/>
      <c r="AM139"/>
      <c r="AN139"/>
      <c r="AO139"/>
      <c r="AP139"/>
      <c r="AQ139"/>
      <c r="AR139"/>
      <c r="AS139"/>
      <c r="AT139"/>
      <c r="AU139"/>
      <c r="AV139"/>
      <c r="AW139"/>
      <c r="AX139"/>
      <c r="AY139"/>
      <c r="AZ139"/>
      <c r="BA139"/>
    </row>
    <row r="140" spans="1:53" ht="16.5" thickBot="1" x14ac:dyDescent="0.3">
      <c r="A140" s="572"/>
      <c r="B140" s="338"/>
      <c r="C140" s="12" t="s">
        <v>2302</v>
      </c>
      <c r="D140" s="459"/>
      <c r="E140" s="423"/>
      <c r="F140" s="423"/>
      <c r="G140" s="459"/>
      <c r="H140" s="423"/>
      <c r="I140" s="423"/>
      <c r="J140" s="423"/>
      <c r="K140" s="423"/>
      <c r="L140" s="172"/>
      <c r="M140" s="172"/>
      <c r="N140" s="177"/>
      <c r="O140" s="459"/>
      <c r="P140" s="459"/>
      <c r="Q140" s="423"/>
      <c r="R140" s="423"/>
      <c r="S140" s="459"/>
      <c r="T140" s="423"/>
      <c r="U140" s="423"/>
      <c r="V140" s="423"/>
      <c r="W140" s="423"/>
      <c r="X140" s="172"/>
      <c r="Y140" s="172"/>
      <c r="Z140" s="177"/>
      <c r="AA140" s="177"/>
      <c r="AB140" s="177"/>
      <c r="AC140" s="177"/>
      <c r="AD140" s="575"/>
      <c r="AE140"/>
      <c r="AF140" s="597"/>
    </row>
    <row r="141" spans="1:53" ht="16.5" customHeight="1" thickBot="1" x14ac:dyDescent="0.25">
      <c r="A141" s="572"/>
      <c r="B141" s="338"/>
      <c r="C141" s="755" t="s">
        <v>3108</v>
      </c>
      <c r="D141" s="854"/>
      <c r="E141" s="574"/>
      <c r="F141" s="423"/>
      <c r="G141" s="813">
        <v>0</v>
      </c>
      <c r="H141" s="573"/>
      <c r="I141" s="423"/>
      <c r="J141" s="814">
        <v>0</v>
      </c>
      <c r="K141" s="459"/>
      <c r="L141" s="172"/>
      <c r="M141" s="809">
        <f>+G141+J141</f>
        <v>0</v>
      </c>
      <c r="N141" s="177"/>
      <c r="O141" s="338"/>
      <c r="P141" s="338"/>
      <c r="Q141" s="574"/>
      <c r="R141" s="423"/>
      <c r="S141" s="830">
        <v>0</v>
      </c>
      <c r="T141" s="573"/>
      <c r="U141" s="423"/>
      <c r="V141" s="828">
        <v>0</v>
      </c>
      <c r="W141" s="459"/>
      <c r="X141" s="172"/>
      <c r="Y141" s="829">
        <f>+S141+V141</f>
        <v>0</v>
      </c>
      <c r="Z141" s="177"/>
      <c r="AA141" s="177"/>
      <c r="AB141" s="809">
        <f>Y141+M141</f>
        <v>0</v>
      </c>
      <c r="AC141" s="177"/>
      <c r="AD141" s="575"/>
      <c r="AE141"/>
      <c r="AF141" s="598">
        <f>IF(+G141+J141-M141=0,0,1)</f>
        <v>0</v>
      </c>
      <c r="AH141" s="509"/>
      <c r="AI141" s="494"/>
    </row>
    <row r="142" spans="1:53" ht="16.5" customHeight="1" x14ac:dyDescent="0.2">
      <c r="A142" s="572"/>
      <c r="B142" s="338"/>
      <c r="C142" s="574"/>
      <c r="D142" s="574"/>
      <c r="E142" s="574"/>
      <c r="F142" s="574"/>
      <c r="G142" s="574"/>
      <c r="H142" s="573"/>
      <c r="I142" s="423"/>
      <c r="J142" s="454"/>
      <c r="K142" s="459"/>
      <c r="L142" s="172"/>
      <c r="M142" s="173"/>
      <c r="N142" s="177"/>
      <c r="O142" s="574"/>
      <c r="P142" s="574"/>
      <c r="Q142" s="574"/>
      <c r="R142" s="574"/>
      <c r="S142" s="574"/>
      <c r="T142" s="573"/>
      <c r="U142" s="423"/>
      <c r="V142" s="454"/>
      <c r="W142" s="459"/>
      <c r="X142" s="172"/>
      <c r="Y142" s="173"/>
      <c r="Z142" s="177"/>
      <c r="AA142" s="177"/>
      <c r="AB142" s="177"/>
      <c r="AC142" s="177"/>
      <c r="AD142" s="575"/>
      <c r="AE142" s="672"/>
      <c r="AF142" s="598"/>
      <c r="AH142" s="509"/>
      <c r="AI142" s="494"/>
    </row>
    <row r="143" spans="1:53" ht="16.5" customHeight="1" thickBot="1" x14ac:dyDescent="0.3">
      <c r="A143" s="572"/>
      <c r="B143" s="338"/>
      <c r="C143" s="453" t="s">
        <v>2236</v>
      </c>
      <c r="D143" s="1489"/>
      <c r="E143" s="574"/>
      <c r="F143" s="423"/>
      <c r="G143" s="706"/>
      <c r="H143" s="573"/>
      <c r="I143" s="423"/>
      <c r="J143" s="454"/>
      <c r="K143" s="459"/>
      <c r="L143" s="172"/>
      <c r="M143" s="173"/>
      <c r="N143" s="177"/>
      <c r="O143" s="706"/>
      <c r="P143" s="706"/>
      <c r="Q143" s="574"/>
      <c r="R143" s="423"/>
      <c r="S143" s="706"/>
      <c r="T143" s="573"/>
      <c r="U143" s="423"/>
      <c r="V143" s="454"/>
      <c r="W143" s="459"/>
      <c r="X143" s="172"/>
      <c r="Y143" s="173"/>
      <c r="Z143" s="177"/>
      <c r="AA143" s="177"/>
      <c r="AB143" s="177"/>
      <c r="AC143" s="177"/>
      <c r="AD143" s="579"/>
      <c r="AE143"/>
      <c r="AF143" s="598"/>
      <c r="AH143" s="509"/>
      <c r="AI143" s="494"/>
    </row>
    <row r="144" spans="1:53" ht="16.5" customHeight="1" thickBot="1" x14ac:dyDescent="0.25">
      <c r="A144" s="572"/>
      <c r="B144" s="338"/>
      <c r="C144" s="755" t="s">
        <v>3109</v>
      </c>
      <c r="D144" s="1490"/>
      <c r="E144" s="574"/>
      <c r="F144" s="423"/>
      <c r="G144" s="807">
        <v>0</v>
      </c>
      <c r="H144" s="573"/>
      <c r="I144" s="423"/>
      <c r="J144" s="807">
        <v>0</v>
      </c>
      <c r="K144" s="459"/>
      <c r="L144" s="172"/>
      <c r="M144" s="809">
        <f>+G144+J144</f>
        <v>0</v>
      </c>
      <c r="N144" s="177"/>
      <c r="O144" s="338"/>
      <c r="P144" s="338"/>
      <c r="Q144" s="574"/>
      <c r="R144" s="423"/>
      <c r="S144" s="951">
        <v>0</v>
      </c>
      <c r="T144" s="573"/>
      <c r="U144" s="423"/>
      <c r="V144" s="807">
        <v>0</v>
      </c>
      <c r="W144" s="459"/>
      <c r="X144" s="172"/>
      <c r="Y144" s="809">
        <f>+S144+V144</f>
        <v>0</v>
      </c>
      <c r="Z144" s="177"/>
      <c r="AA144" s="177"/>
      <c r="AB144" s="809">
        <f>Y144+M144</f>
        <v>0</v>
      </c>
      <c r="AC144" s="177"/>
      <c r="AD144" s="579"/>
      <c r="AE144"/>
      <c r="AF144" s="598">
        <f>IF(+G144+J144+S144+V144-AB144=0,0,1)</f>
        <v>0</v>
      </c>
      <c r="AH144" s="509"/>
      <c r="AI144" s="494"/>
    </row>
    <row r="145" spans="1:53" ht="16.5" customHeight="1" x14ac:dyDescent="0.2">
      <c r="A145" s="1273"/>
      <c r="B145" s="338"/>
      <c r="C145" s="755"/>
      <c r="D145" s="854"/>
      <c r="E145" s="574"/>
      <c r="F145" s="423"/>
      <c r="G145" s="423"/>
      <c r="H145" s="573"/>
      <c r="I145" s="423"/>
      <c r="J145" s="454"/>
      <c r="K145" s="459"/>
      <c r="L145" s="172"/>
      <c r="M145" s="1274"/>
      <c r="N145" s="177"/>
      <c r="O145" s="338"/>
      <c r="P145" s="338"/>
      <c r="Q145" s="574"/>
      <c r="R145" s="423"/>
      <c r="S145" s="423"/>
      <c r="T145" s="573"/>
      <c r="U145" s="423"/>
      <c r="V145" s="454"/>
      <c r="W145" s="459"/>
      <c r="X145" s="172"/>
      <c r="Y145" s="1274"/>
      <c r="Z145" s="177"/>
      <c r="AA145" s="177"/>
      <c r="AB145" s="1274"/>
      <c r="AC145" s="177"/>
      <c r="AD145" s="579"/>
      <c r="AE145"/>
      <c r="AF145" s="598"/>
      <c r="AH145" s="509"/>
      <c r="AI145" s="494"/>
    </row>
    <row r="146" spans="1:53" ht="16.5" customHeight="1" thickBot="1" x14ac:dyDescent="0.3">
      <c r="A146" s="1273"/>
      <c r="B146" s="338"/>
      <c r="C146" s="453" t="s">
        <v>3153</v>
      </c>
      <c r="D146" s="706"/>
      <c r="E146" s="574"/>
      <c r="F146" s="423"/>
      <c r="G146" s="706"/>
      <c r="H146" s="573"/>
      <c r="I146" s="423"/>
      <c r="J146" s="454"/>
      <c r="K146" s="459"/>
      <c r="L146" s="172"/>
      <c r="M146" s="173"/>
      <c r="N146" s="177"/>
      <c r="O146" s="706"/>
      <c r="P146" s="706"/>
      <c r="Q146" s="574"/>
      <c r="R146" s="423"/>
      <c r="S146" s="706"/>
      <c r="T146" s="573"/>
      <c r="U146" s="423"/>
      <c r="V146" s="454"/>
      <c r="W146" s="459"/>
      <c r="X146" s="172"/>
      <c r="Y146" s="173"/>
      <c r="Z146" s="177"/>
      <c r="AA146" s="177"/>
      <c r="AB146" s="177"/>
      <c r="AC146" s="177"/>
      <c r="AD146" s="579"/>
      <c r="AE146"/>
      <c r="AF146" s="598"/>
      <c r="AH146" s="509"/>
      <c r="AI146" s="494"/>
    </row>
    <row r="147" spans="1:53" ht="16.5" customHeight="1" thickBot="1" x14ac:dyDescent="0.25">
      <c r="A147" s="1273"/>
      <c r="B147" s="338"/>
      <c r="C147" s="755" t="s">
        <v>3154</v>
      </c>
      <c r="D147" s="854"/>
      <c r="E147" s="574"/>
      <c r="F147" s="423"/>
      <c r="G147" s="807">
        <v>0</v>
      </c>
      <c r="H147" s="573"/>
      <c r="I147" s="423"/>
      <c r="J147" s="807">
        <v>0</v>
      </c>
      <c r="K147" s="459"/>
      <c r="L147" s="172"/>
      <c r="M147" s="809">
        <f>+G147+J147</f>
        <v>0</v>
      </c>
      <c r="N147" s="177"/>
      <c r="O147" s="338"/>
      <c r="P147" s="338"/>
      <c r="Q147" s="574"/>
      <c r="R147" s="423"/>
      <c r="S147" s="951">
        <v>0</v>
      </c>
      <c r="T147" s="573"/>
      <c r="U147" s="423"/>
      <c r="V147" s="807">
        <v>0</v>
      </c>
      <c r="W147" s="459"/>
      <c r="X147" s="172"/>
      <c r="Y147" s="809">
        <f>+S147+V147</f>
        <v>0</v>
      </c>
      <c r="Z147" s="177"/>
      <c r="AA147" s="177"/>
      <c r="AB147" s="809">
        <f>Y147+M147</f>
        <v>0</v>
      </c>
      <c r="AC147" s="177"/>
      <c r="AD147" s="579"/>
      <c r="AE147"/>
      <c r="AF147" s="598">
        <f>IF(+G147+J147+S147+V147-AB147=0,0,1)</f>
        <v>0</v>
      </c>
      <c r="AH147" s="509"/>
      <c r="AI147" s="494"/>
    </row>
    <row r="148" spans="1:53" ht="16.5" thickBot="1" x14ac:dyDescent="0.25">
      <c r="A148" s="572"/>
      <c r="B148" s="338"/>
      <c r="C148" s="574"/>
      <c r="D148" s="706"/>
      <c r="E148" s="574"/>
      <c r="F148" s="423"/>
      <c r="G148" s="423"/>
      <c r="H148" s="573"/>
      <c r="I148" s="423"/>
      <c r="J148" s="454"/>
      <c r="K148" s="459"/>
      <c r="L148" s="172"/>
      <c r="M148" s="173"/>
      <c r="N148" s="177"/>
      <c r="O148" s="706"/>
      <c r="P148" s="706"/>
      <c r="Q148" s="574"/>
      <c r="R148" s="423"/>
      <c r="S148" s="423"/>
      <c r="T148" s="573"/>
      <c r="U148" s="423"/>
      <c r="V148" s="454"/>
      <c r="W148" s="459"/>
      <c r="X148" s="172"/>
      <c r="Y148" s="173"/>
      <c r="Z148" s="177"/>
      <c r="AA148" s="177"/>
      <c r="AB148" s="177"/>
      <c r="AC148" s="177"/>
      <c r="AD148" s="579"/>
      <c r="AE148"/>
      <c r="AF148" s="598"/>
      <c r="AH148" s="509"/>
      <c r="AI148" s="494"/>
    </row>
    <row r="149" spans="1:53" ht="16.5" thickBot="1" x14ac:dyDescent="0.25">
      <c r="A149" s="15"/>
      <c r="B149" s="4"/>
      <c r="C149" s="69"/>
      <c r="D149" s="69"/>
      <c r="E149" s="69"/>
      <c r="F149" s="69"/>
      <c r="G149" s="76"/>
      <c r="H149" s="77"/>
      <c r="I149" s="77"/>
      <c r="J149" s="77"/>
      <c r="K149" s="77"/>
      <c r="L149" s="179"/>
      <c r="M149" s="178"/>
      <c r="N149" s="194"/>
      <c r="O149" s="822"/>
      <c r="P149" s="822"/>
      <c r="Q149" s="822"/>
      <c r="R149" s="69"/>
      <c r="S149" s="76"/>
      <c r="T149" s="77"/>
      <c r="U149" s="77"/>
      <c r="V149" s="77"/>
      <c r="W149" s="77"/>
      <c r="X149" s="179"/>
      <c r="Y149" s="178"/>
      <c r="Z149" s="831"/>
      <c r="AA149" s="837"/>
      <c r="AB149" s="831"/>
      <c r="AC149" s="194"/>
      <c r="AD149" s="67"/>
      <c r="AE149"/>
      <c r="AF149" s="246"/>
      <c r="AG149"/>
      <c r="AH149"/>
      <c r="AI149"/>
      <c r="AJ149"/>
      <c r="AK149"/>
      <c r="AL149"/>
      <c r="AM149"/>
      <c r="AN149"/>
      <c r="AO149"/>
      <c r="AP149"/>
      <c r="AQ149"/>
      <c r="AR149"/>
      <c r="AS149"/>
      <c r="AT149"/>
      <c r="AU149"/>
      <c r="AV149"/>
      <c r="AW149"/>
      <c r="AX149"/>
      <c r="AY149"/>
      <c r="AZ149"/>
      <c r="BA149"/>
    </row>
    <row r="150" spans="1:53" ht="16.5" customHeight="1" thickBot="1" x14ac:dyDescent="0.25">
      <c r="A150" s="15"/>
      <c r="B150" s="5"/>
      <c r="C150" s="1701" t="s">
        <v>5700</v>
      </c>
      <c r="D150" s="1701"/>
      <c r="E150" s="19"/>
      <c r="F150" s="19"/>
      <c r="G150" s="808">
        <f>+G141+G144+G147</f>
        <v>0</v>
      </c>
      <c r="H150" s="73"/>
      <c r="I150" s="19"/>
      <c r="J150" s="808">
        <f>+J141+J144+J147</f>
        <v>0</v>
      </c>
      <c r="K150" s="73"/>
      <c r="L150" s="172"/>
      <c r="M150" s="172"/>
      <c r="N150" s="195"/>
      <c r="O150" s="338"/>
      <c r="P150" s="338"/>
      <c r="Q150" s="423"/>
      <c r="R150" s="19"/>
      <c r="S150" s="808">
        <f>+S141+S144+S147</f>
        <v>0</v>
      </c>
      <c r="T150" s="73"/>
      <c r="U150" s="19"/>
      <c r="V150" s="808">
        <f>+V141+V144+V147</f>
        <v>0</v>
      </c>
      <c r="W150" s="73"/>
      <c r="X150" s="172"/>
      <c r="Y150" s="172"/>
      <c r="Z150" s="177"/>
      <c r="AA150" s="838"/>
      <c r="AB150" s="177"/>
      <c r="AC150" s="833"/>
      <c r="AD150" s="67"/>
      <c r="AE150"/>
      <c r="AF150" s="245">
        <f>IF(+G150+G154-G158=0,0,1)</f>
        <v>0</v>
      </c>
      <c r="AG150"/>
      <c r="AH150"/>
      <c r="AI150"/>
      <c r="AJ150"/>
      <c r="AK150"/>
      <c r="AL150"/>
      <c r="AM150"/>
      <c r="AN150"/>
      <c r="AO150"/>
      <c r="AP150"/>
      <c r="AQ150"/>
      <c r="AR150"/>
      <c r="AS150"/>
      <c r="AT150"/>
      <c r="AU150"/>
      <c r="AV150"/>
      <c r="AW150"/>
      <c r="AX150"/>
      <c r="AY150"/>
      <c r="AZ150"/>
      <c r="BA150"/>
    </row>
    <row r="151" spans="1:53" ht="15.75" x14ac:dyDescent="0.2">
      <c r="A151" s="15"/>
      <c r="B151" s="5"/>
      <c r="C151" s="1701"/>
      <c r="D151" s="1701"/>
      <c r="E151" s="19"/>
      <c r="F151" s="19"/>
      <c r="G151" s="74"/>
      <c r="H151" s="73"/>
      <c r="I151" s="19"/>
      <c r="J151" s="74"/>
      <c r="K151" s="73"/>
      <c r="L151" s="172"/>
      <c r="M151" s="172"/>
      <c r="N151" s="195"/>
      <c r="O151" s="338"/>
      <c r="P151" s="338"/>
      <c r="Q151" s="423"/>
      <c r="R151" s="19"/>
      <c r="S151" s="74"/>
      <c r="T151" s="73"/>
      <c r="U151" s="19"/>
      <c r="V151" s="74"/>
      <c r="W151" s="73"/>
      <c r="X151" s="172"/>
      <c r="Y151" s="172"/>
      <c r="Z151" s="177"/>
      <c r="AA151" s="838"/>
      <c r="AB151" s="177"/>
      <c r="AC151" s="833"/>
      <c r="AD151" s="67"/>
      <c r="AE151"/>
      <c r="AF151" s="245">
        <f>IF(+S150+S154-S158=0,0,1)</f>
        <v>0</v>
      </c>
      <c r="AG151"/>
      <c r="AH151"/>
      <c r="AI151"/>
      <c r="AJ151"/>
      <c r="AK151"/>
      <c r="AL151"/>
      <c r="AM151"/>
      <c r="AN151"/>
      <c r="AO151"/>
      <c r="AP151"/>
      <c r="AQ151"/>
      <c r="AR151"/>
      <c r="AS151"/>
      <c r="AT151"/>
      <c r="AU151"/>
      <c r="AV151"/>
      <c r="AW151"/>
      <c r="AX151"/>
      <c r="AY151"/>
      <c r="AZ151"/>
      <c r="BA151"/>
    </row>
    <row r="152" spans="1:53" ht="15.75" x14ac:dyDescent="0.2">
      <c r="A152" s="827"/>
      <c r="B152" s="5"/>
      <c r="C152" s="1701"/>
      <c r="D152" s="1701"/>
      <c r="E152" s="19"/>
      <c r="F152" s="19"/>
      <c r="G152" s="74"/>
      <c r="H152" s="73"/>
      <c r="I152" s="19"/>
      <c r="J152" s="74"/>
      <c r="K152" s="73"/>
      <c r="L152" s="172"/>
      <c r="M152" s="172"/>
      <c r="N152" s="833"/>
      <c r="O152" s="338"/>
      <c r="P152" s="338"/>
      <c r="Q152" s="423"/>
      <c r="R152" s="19"/>
      <c r="S152" s="74"/>
      <c r="T152" s="73"/>
      <c r="U152" s="19"/>
      <c r="V152" s="74"/>
      <c r="W152" s="73"/>
      <c r="X152" s="172"/>
      <c r="Y152" s="172"/>
      <c r="Z152" s="177"/>
      <c r="AA152" s="838"/>
      <c r="AB152" s="177"/>
      <c r="AC152" s="833"/>
      <c r="AD152" s="867"/>
      <c r="AE152"/>
      <c r="AF152" s="245">
        <f>IF(+V150+V154-V158=0,0,1)</f>
        <v>0</v>
      </c>
      <c r="AG152"/>
      <c r="AH152"/>
      <c r="AI152"/>
      <c r="AJ152"/>
      <c r="AK152"/>
      <c r="AL152"/>
      <c r="AM152"/>
      <c r="AN152"/>
      <c r="AO152"/>
      <c r="AP152"/>
      <c r="AQ152"/>
      <c r="AR152"/>
      <c r="AS152"/>
      <c r="AT152"/>
      <c r="AU152"/>
      <c r="AV152"/>
      <c r="AW152"/>
      <c r="AX152"/>
      <c r="AY152"/>
      <c r="AZ152"/>
      <c r="BA152"/>
    </row>
    <row r="153" spans="1:53" ht="16.5" thickBot="1" x14ac:dyDescent="0.25">
      <c r="A153" s="15"/>
      <c r="B153" s="5"/>
      <c r="C153" s="340"/>
      <c r="D153" s="340"/>
      <c r="E153" s="19"/>
      <c r="F153" s="19"/>
      <c r="G153" s="74"/>
      <c r="H153" s="73"/>
      <c r="I153" s="19"/>
      <c r="J153" s="74"/>
      <c r="K153" s="73"/>
      <c r="L153" s="172"/>
      <c r="M153" s="172"/>
      <c r="N153" s="195"/>
      <c r="O153" s="821"/>
      <c r="P153" s="821"/>
      <c r="Q153" s="423"/>
      <c r="R153" s="19"/>
      <c r="S153" s="74"/>
      <c r="T153" s="73"/>
      <c r="U153" s="19"/>
      <c r="V153" s="74"/>
      <c r="W153" s="73"/>
      <c r="X153" s="172"/>
      <c r="Y153" s="172"/>
      <c r="Z153" s="177"/>
      <c r="AA153" s="838"/>
      <c r="AB153" s="177"/>
      <c r="AC153" s="833"/>
      <c r="AD153" s="67"/>
      <c r="AE153"/>
      <c r="AF153" s="245"/>
      <c r="AG153"/>
      <c r="AH153"/>
      <c r="AI153"/>
      <c r="AJ153"/>
      <c r="AK153"/>
      <c r="AL153"/>
      <c r="AM153"/>
      <c r="AN153"/>
      <c r="AO153"/>
      <c r="AP153"/>
      <c r="AQ153"/>
      <c r="AR153"/>
      <c r="AS153"/>
      <c r="AT153"/>
      <c r="AU153"/>
      <c r="AV153"/>
      <c r="AW153"/>
      <c r="AX153"/>
      <c r="AY153"/>
      <c r="AZ153"/>
      <c r="BA153"/>
    </row>
    <row r="154" spans="1:53" ht="16.5" customHeight="1" thickBot="1" x14ac:dyDescent="0.25">
      <c r="A154" s="15"/>
      <c r="B154" s="5"/>
      <c r="C154" s="1701" t="s">
        <v>5701</v>
      </c>
      <c r="D154" s="1701"/>
      <c r="E154" s="19"/>
      <c r="F154" s="19"/>
      <c r="G154" s="807">
        <v>0</v>
      </c>
      <c r="H154" s="73"/>
      <c r="I154" s="19"/>
      <c r="J154" s="807">
        <v>0</v>
      </c>
      <c r="K154" s="73"/>
      <c r="L154" s="172"/>
      <c r="M154" s="172"/>
      <c r="N154" s="195"/>
      <c r="O154" s="338"/>
      <c r="P154" s="338"/>
      <c r="Q154" s="423"/>
      <c r="R154" s="19"/>
      <c r="S154" s="807">
        <v>0</v>
      </c>
      <c r="T154" s="73"/>
      <c r="U154" s="19"/>
      <c r="V154" s="807">
        <v>0</v>
      </c>
      <c r="W154" s="73"/>
      <c r="X154" s="172"/>
      <c r="Y154" s="172"/>
      <c r="Z154" s="177"/>
      <c r="AA154" s="838"/>
      <c r="AB154" s="177"/>
      <c r="AC154" s="833"/>
      <c r="AD154" s="67"/>
      <c r="AE154"/>
      <c r="AF154" s="245">
        <f>IF(+J150+J154-J158=0,0,1)</f>
        <v>0</v>
      </c>
      <c r="AG154"/>
      <c r="AH154"/>
      <c r="AI154" s="231"/>
      <c r="AJ154"/>
      <c r="AK154"/>
      <c r="AL154"/>
      <c r="AM154"/>
      <c r="AN154"/>
      <c r="AO154"/>
      <c r="AP154"/>
      <c r="AQ154"/>
      <c r="AR154"/>
      <c r="AS154"/>
      <c r="AT154"/>
      <c r="AU154"/>
      <c r="AV154"/>
      <c r="AW154"/>
      <c r="AX154"/>
      <c r="AY154"/>
      <c r="AZ154"/>
      <c r="BA154"/>
    </row>
    <row r="155" spans="1:53" ht="15.75" x14ac:dyDescent="0.2">
      <c r="A155" s="15"/>
      <c r="B155" s="5"/>
      <c r="C155" s="1701"/>
      <c r="D155" s="1701"/>
      <c r="E155" s="19"/>
      <c r="F155" s="19"/>
      <c r="G155" s="74"/>
      <c r="H155" s="73"/>
      <c r="I155" s="19"/>
      <c r="J155" s="74"/>
      <c r="K155" s="73"/>
      <c r="L155" s="172"/>
      <c r="M155" s="173"/>
      <c r="N155" s="195"/>
      <c r="O155" s="338"/>
      <c r="P155" s="338"/>
      <c r="Q155" s="423"/>
      <c r="R155" s="19"/>
      <c r="S155" s="74"/>
      <c r="T155" s="73"/>
      <c r="U155" s="19"/>
      <c r="V155" s="74"/>
      <c r="W155" s="73"/>
      <c r="X155" s="172"/>
      <c r="Y155" s="173"/>
      <c r="Z155" s="177"/>
      <c r="AA155" s="838"/>
      <c r="AB155" s="177"/>
      <c r="AC155" s="833"/>
      <c r="AD155" s="67"/>
      <c r="AE155"/>
      <c r="AF155" s="246"/>
      <c r="AG155"/>
      <c r="AH155"/>
      <c r="AI155"/>
      <c r="AJ155"/>
      <c r="AK155"/>
      <c r="AL155"/>
      <c r="AM155"/>
      <c r="AN155"/>
      <c r="AO155"/>
      <c r="AP155"/>
      <c r="AQ155"/>
      <c r="AR155"/>
      <c r="AS155"/>
      <c r="AT155"/>
      <c r="AU155"/>
      <c r="AV155"/>
      <c r="AW155"/>
      <c r="AX155"/>
      <c r="AY155"/>
      <c r="AZ155"/>
      <c r="BA155"/>
    </row>
    <row r="156" spans="1:53" ht="15.75" x14ac:dyDescent="0.2">
      <c r="A156" s="15"/>
      <c r="B156" s="5"/>
      <c r="C156" s="1701"/>
      <c r="D156" s="1701"/>
      <c r="E156" s="19"/>
      <c r="F156" s="19"/>
      <c r="G156" s="74"/>
      <c r="H156" s="73"/>
      <c r="I156" s="19"/>
      <c r="J156" s="74"/>
      <c r="K156" s="73"/>
      <c r="L156" s="172"/>
      <c r="M156" s="173"/>
      <c r="N156" s="833"/>
      <c r="O156" s="338"/>
      <c r="P156" s="338"/>
      <c r="Q156" s="423"/>
      <c r="R156" s="19"/>
      <c r="S156" s="74"/>
      <c r="T156" s="73"/>
      <c r="U156" s="19"/>
      <c r="V156" s="74"/>
      <c r="W156" s="73"/>
      <c r="X156" s="172"/>
      <c r="Y156" s="173"/>
      <c r="Z156" s="177"/>
      <c r="AA156" s="838"/>
      <c r="AB156" s="177"/>
      <c r="AC156" s="833"/>
      <c r="AD156" s="867"/>
      <c r="AE156"/>
      <c r="AF156" s="246"/>
      <c r="AG156"/>
      <c r="AH156"/>
      <c r="AI156"/>
      <c r="AJ156"/>
      <c r="AK156"/>
      <c r="AL156"/>
      <c r="AM156"/>
      <c r="AN156"/>
      <c r="AO156"/>
      <c r="AP156"/>
      <c r="AQ156"/>
      <c r="AR156"/>
      <c r="AS156"/>
      <c r="AT156"/>
      <c r="AU156"/>
      <c r="AV156"/>
      <c r="AW156"/>
      <c r="AX156"/>
      <c r="AY156"/>
      <c r="AZ156"/>
      <c r="BA156"/>
    </row>
    <row r="157" spans="1:53" ht="16.5" thickBot="1" x14ac:dyDescent="0.25">
      <c r="A157" s="15"/>
      <c r="B157" s="5"/>
      <c r="C157" s="340"/>
      <c r="D157" s="340"/>
      <c r="E157" s="19"/>
      <c r="F157" s="19"/>
      <c r="G157" s="74"/>
      <c r="H157" s="73"/>
      <c r="I157" s="19"/>
      <c r="J157" s="74"/>
      <c r="K157" s="73"/>
      <c r="L157" s="172"/>
      <c r="M157" s="173"/>
      <c r="N157" s="195"/>
      <c r="O157" s="821"/>
      <c r="P157" s="821"/>
      <c r="Q157" s="423"/>
      <c r="R157" s="19"/>
      <c r="S157" s="74"/>
      <c r="T157" s="73"/>
      <c r="U157" s="19"/>
      <c r="V157" s="74"/>
      <c r="W157" s="73"/>
      <c r="X157" s="172"/>
      <c r="Y157" s="173"/>
      <c r="Z157" s="177"/>
      <c r="AA157" s="838"/>
      <c r="AB157" s="177"/>
      <c r="AC157" s="833"/>
      <c r="AD157" s="67"/>
      <c r="AE157"/>
      <c r="AF157" s="246"/>
      <c r="AG157"/>
      <c r="AH157"/>
      <c r="AI157"/>
      <c r="AJ157"/>
      <c r="AK157"/>
      <c r="AL157"/>
      <c r="AM157"/>
      <c r="AN157"/>
      <c r="AO157"/>
      <c r="AP157"/>
      <c r="AQ157"/>
      <c r="AR157"/>
      <c r="AS157"/>
      <c r="AT157"/>
      <c r="AU157"/>
      <c r="AV157"/>
      <c r="AW157"/>
      <c r="AX157"/>
      <c r="AY157"/>
      <c r="AZ157"/>
      <c r="BA157"/>
    </row>
    <row r="158" spans="1:53" ht="16.5" customHeight="1" thickBot="1" x14ac:dyDescent="0.25">
      <c r="A158" s="15"/>
      <c r="B158" s="5"/>
      <c r="C158" s="1771" t="s">
        <v>5702</v>
      </c>
      <c r="D158" s="1771"/>
      <c r="E158" s="19"/>
      <c r="F158" s="19"/>
      <c r="G158" s="808">
        <f>+G150+G154</f>
        <v>0</v>
      </c>
      <c r="H158" s="73"/>
      <c r="I158" s="19"/>
      <c r="J158" s="808">
        <f>+J150+J154</f>
        <v>0</v>
      </c>
      <c r="K158" s="73"/>
      <c r="L158" s="172"/>
      <c r="M158" s="809">
        <f>+G158+J158</f>
        <v>0</v>
      </c>
      <c r="N158" s="195"/>
      <c r="O158" s="338"/>
      <c r="P158" s="338"/>
      <c r="Q158" s="423"/>
      <c r="R158" s="19"/>
      <c r="S158" s="808">
        <f>+S150+S154</f>
        <v>0</v>
      </c>
      <c r="T158" s="73"/>
      <c r="U158" s="19"/>
      <c r="V158" s="808">
        <f>+V150+V154</f>
        <v>0</v>
      </c>
      <c r="W158" s="73"/>
      <c r="X158" s="172"/>
      <c r="Y158" s="809">
        <f>+S158+V158</f>
        <v>0</v>
      </c>
      <c r="Z158" s="177"/>
      <c r="AA158" s="838"/>
      <c r="AB158" s="809">
        <f>Y158+M158</f>
        <v>0</v>
      </c>
      <c r="AC158" s="833"/>
      <c r="AD158" s="67"/>
      <c r="AE158"/>
      <c r="AF158" s="245">
        <f>IF(+G158+J158+S158+V158-AB158=0,0,1)</f>
        <v>0</v>
      </c>
      <c r="AG158"/>
      <c r="AH158" s="137"/>
      <c r="AI158"/>
      <c r="AJ158"/>
      <c r="AK158"/>
      <c r="AL158"/>
      <c r="AM158"/>
      <c r="AN158"/>
      <c r="AO158"/>
      <c r="AP158"/>
      <c r="AQ158"/>
      <c r="AR158"/>
      <c r="AS158"/>
      <c r="AT158"/>
      <c r="AU158"/>
      <c r="AV158"/>
      <c r="AW158"/>
      <c r="AX158"/>
      <c r="AY158"/>
      <c r="AZ158"/>
      <c r="BA158"/>
    </row>
    <row r="159" spans="1:53" ht="15" customHeight="1" x14ac:dyDescent="0.2">
      <c r="A159" s="15"/>
      <c r="B159" s="5"/>
      <c r="C159" s="1771"/>
      <c r="D159" s="1771"/>
      <c r="E159" s="19"/>
      <c r="F159" s="19"/>
      <c r="G159" s="19"/>
      <c r="H159" s="19"/>
      <c r="I159" s="19"/>
      <c r="J159" s="19"/>
      <c r="K159" s="73"/>
      <c r="L159" s="184"/>
      <c r="M159" s="184"/>
      <c r="N159" s="195"/>
      <c r="O159" s="338"/>
      <c r="P159" s="338"/>
      <c r="Q159" s="423"/>
      <c r="R159" s="19"/>
      <c r="S159" s="19"/>
      <c r="T159" s="19"/>
      <c r="U159" s="19"/>
      <c r="V159" s="19"/>
      <c r="W159" s="73"/>
      <c r="X159" s="184"/>
      <c r="Y159" s="184"/>
      <c r="Z159" s="177"/>
      <c r="AA159" s="838"/>
      <c r="AB159" s="177"/>
      <c r="AC159" s="833"/>
      <c r="AD159" s="67"/>
      <c r="AE159"/>
      <c r="AF159" s="247"/>
      <c r="AG159"/>
      <c r="AH159"/>
      <c r="AI159"/>
      <c r="AJ159"/>
      <c r="AK159"/>
      <c r="AL159"/>
      <c r="AM159"/>
      <c r="AN159"/>
      <c r="AO159"/>
      <c r="AP159"/>
      <c r="AQ159"/>
      <c r="AR159"/>
      <c r="AS159"/>
      <c r="AT159"/>
      <c r="AU159"/>
      <c r="AV159"/>
      <c r="AW159"/>
      <c r="AX159"/>
      <c r="AY159"/>
      <c r="AZ159"/>
      <c r="BA159"/>
    </row>
    <row r="160" spans="1:53" ht="15.75" customHeight="1" x14ac:dyDescent="0.25">
      <c r="A160" s="827"/>
      <c r="B160" s="5"/>
      <c r="C160" s="1771"/>
      <c r="D160" s="1771"/>
      <c r="E160" s="19"/>
      <c r="F160" s="19"/>
      <c r="G160" s="185"/>
      <c r="H160" s="19"/>
      <c r="I160" s="19"/>
      <c r="J160" s="19"/>
      <c r="K160" s="73"/>
      <c r="L160" s="184"/>
      <c r="M160" s="184"/>
      <c r="N160" s="833"/>
      <c r="O160" s="338"/>
      <c r="P160" s="338"/>
      <c r="Q160" s="423"/>
      <c r="R160" s="19"/>
      <c r="S160" s="19"/>
      <c r="T160" s="19"/>
      <c r="U160" s="19"/>
      <c r="V160" s="19"/>
      <c r="W160" s="73"/>
      <c r="X160" s="184"/>
      <c r="Y160" s="184"/>
      <c r="Z160" s="177"/>
      <c r="AA160" s="838"/>
      <c r="AB160" s="177"/>
      <c r="AC160" s="833"/>
      <c r="AD160" s="867"/>
      <c r="AE160"/>
      <c r="AF160" s="247"/>
      <c r="AG160"/>
      <c r="AH160"/>
      <c r="AI160"/>
      <c r="AJ160"/>
      <c r="AK160"/>
      <c r="AL160"/>
      <c r="AM160"/>
      <c r="AN160"/>
      <c r="AO160"/>
      <c r="AP160"/>
      <c r="AQ160"/>
      <c r="AR160"/>
      <c r="AS160"/>
      <c r="AT160"/>
      <c r="AU160"/>
      <c r="AV160"/>
      <c r="AW160"/>
      <c r="AX160"/>
      <c r="AY160"/>
      <c r="AZ160"/>
      <c r="BA160"/>
    </row>
    <row r="161" spans="1:53" ht="16.5" thickBot="1" x14ac:dyDescent="0.25">
      <c r="A161" s="15"/>
      <c r="B161" s="7"/>
      <c r="C161" s="70"/>
      <c r="D161" s="70"/>
      <c r="E161" s="70"/>
      <c r="F161" s="70"/>
      <c r="G161" s="78"/>
      <c r="H161" s="79"/>
      <c r="I161" s="79"/>
      <c r="J161" s="78"/>
      <c r="K161" s="78"/>
      <c r="L161" s="181"/>
      <c r="M161" s="180"/>
      <c r="N161" s="196"/>
      <c r="O161" s="823"/>
      <c r="P161" s="823"/>
      <c r="Q161" s="823"/>
      <c r="R161" s="70"/>
      <c r="S161" s="78"/>
      <c r="T161" s="79"/>
      <c r="U161" s="79"/>
      <c r="V161" s="78"/>
      <c r="W161" s="78"/>
      <c r="X161" s="181"/>
      <c r="Y161" s="180"/>
      <c r="Z161" s="832"/>
      <c r="AA161" s="839"/>
      <c r="AB161" s="832"/>
      <c r="AC161" s="196"/>
      <c r="AD161" s="67"/>
      <c r="AE161"/>
      <c r="AF161" s="246"/>
      <c r="AG161"/>
      <c r="AH161"/>
      <c r="AI161"/>
      <c r="AJ161"/>
      <c r="AK161"/>
      <c r="AL161"/>
      <c r="AM161"/>
      <c r="AN161"/>
      <c r="AO161"/>
      <c r="AP161"/>
      <c r="AQ161"/>
      <c r="AR161"/>
      <c r="AS161"/>
      <c r="AT161"/>
      <c r="AU161"/>
      <c r="AV161"/>
      <c r="AW161"/>
      <c r="AX161"/>
      <c r="AY161"/>
      <c r="AZ161"/>
      <c r="BA161"/>
    </row>
    <row r="162" spans="1:53" ht="15.75" thickBot="1" x14ac:dyDescent="0.25">
      <c r="A162" s="15"/>
      <c r="B162" s="2"/>
      <c r="C162" s="19"/>
      <c r="D162" s="19"/>
      <c r="E162" s="19"/>
      <c r="F162" s="19"/>
      <c r="G162" s="73"/>
      <c r="H162" s="73"/>
      <c r="I162" s="73"/>
      <c r="J162" s="73"/>
      <c r="K162" s="73"/>
      <c r="L162" s="172"/>
      <c r="M162" s="172"/>
      <c r="N162" s="177"/>
      <c r="O162" s="423"/>
      <c r="P162" s="423"/>
      <c r="Q162" s="423"/>
      <c r="R162" s="19"/>
      <c r="S162" s="73"/>
      <c r="T162" s="73"/>
      <c r="U162" s="73"/>
      <c r="V162" s="73"/>
      <c r="W162" s="73"/>
      <c r="X162" s="172"/>
      <c r="Y162" s="172"/>
      <c r="Z162" s="177"/>
      <c r="AA162" s="177"/>
      <c r="AB162" s="177"/>
      <c r="AC162" s="177"/>
      <c r="AD162" s="67"/>
      <c r="AE162"/>
      <c r="AF162" s="246"/>
      <c r="AG162"/>
      <c r="AH162"/>
      <c r="AI162"/>
      <c r="AJ162"/>
      <c r="AK162"/>
      <c r="AL162"/>
      <c r="AM162"/>
      <c r="AN162"/>
      <c r="AO162"/>
      <c r="AP162"/>
      <c r="AQ162"/>
      <c r="AR162"/>
      <c r="AS162"/>
      <c r="AT162"/>
      <c r="AU162"/>
      <c r="AV162"/>
      <c r="AW162"/>
      <c r="AX162"/>
      <c r="AY162"/>
      <c r="AZ162"/>
      <c r="BA162"/>
    </row>
    <row r="163" spans="1:53" x14ac:dyDescent="0.2">
      <c r="A163" s="15"/>
      <c r="B163" s="721"/>
      <c r="C163" s="718"/>
      <c r="D163" s="718"/>
      <c r="E163" s="718"/>
      <c r="F163" s="718"/>
      <c r="G163" s="717"/>
      <c r="H163" s="717"/>
      <c r="I163" s="717"/>
      <c r="J163" s="717"/>
      <c r="K163" s="717"/>
      <c r="L163" s="175"/>
      <c r="M163" s="175"/>
      <c r="N163" s="191"/>
      <c r="O163" s="718"/>
      <c r="P163" s="718"/>
      <c r="Q163" s="718"/>
      <c r="R163" s="718"/>
      <c r="S163" s="717"/>
      <c r="T163" s="717"/>
      <c r="U163" s="717"/>
      <c r="V163" s="717"/>
      <c r="W163" s="717"/>
      <c r="X163" s="175"/>
      <c r="Y163" s="175"/>
      <c r="Z163" s="834"/>
      <c r="AA163" s="840"/>
      <c r="AB163" s="834"/>
      <c r="AC163" s="191"/>
      <c r="AD163" s="67"/>
      <c r="AE163"/>
      <c r="AF163" s="246"/>
      <c r="AG163"/>
      <c r="AH163"/>
      <c r="AI163"/>
      <c r="AJ163"/>
      <c r="AK163"/>
      <c r="AL163"/>
      <c r="AM163"/>
      <c r="AN163"/>
      <c r="AO163"/>
      <c r="AP163"/>
      <c r="AQ163"/>
      <c r="AR163"/>
      <c r="AS163"/>
      <c r="AT163"/>
      <c r="AU163"/>
      <c r="AV163"/>
      <c r="AW163"/>
      <c r="AX163"/>
      <c r="AY163"/>
      <c r="AZ163"/>
      <c r="BA163"/>
    </row>
    <row r="164" spans="1:53" ht="15.75" x14ac:dyDescent="0.25">
      <c r="A164" s="15"/>
      <c r="B164" s="722"/>
      <c r="C164" s="719" t="s">
        <v>701</v>
      </c>
      <c r="D164" s="423"/>
      <c r="E164" s="423"/>
      <c r="F164" s="423"/>
      <c r="G164" s="677"/>
      <c r="H164" s="573"/>
      <c r="I164" s="573"/>
      <c r="J164" s="573"/>
      <c r="K164" s="573"/>
      <c r="L164" s="172"/>
      <c r="M164" s="172"/>
      <c r="N164" s="192"/>
      <c r="O164" s="423"/>
      <c r="P164" s="423"/>
      <c r="Q164" s="423"/>
      <c r="R164" s="423"/>
      <c r="S164" s="573"/>
      <c r="T164" s="573"/>
      <c r="U164" s="573"/>
      <c r="V164" s="573"/>
      <c r="W164" s="573"/>
      <c r="X164" s="172"/>
      <c r="Y164" s="172"/>
      <c r="Z164" s="177"/>
      <c r="AA164" s="841"/>
      <c r="AB164" s="177"/>
      <c r="AC164" s="836"/>
      <c r="AD164" s="67"/>
      <c r="AE164"/>
      <c r="AF164" s="246"/>
      <c r="AG164"/>
      <c r="AH164"/>
      <c r="AI164"/>
      <c r="AJ164"/>
      <c r="AK164"/>
      <c r="AL164"/>
      <c r="AM164"/>
      <c r="AN164"/>
      <c r="AO164"/>
      <c r="AP164"/>
      <c r="AQ164"/>
      <c r="AR164"/>
      <c r="AS164"/>
      <c r="AT164"/>
      <c r="AU164"/>
      <c r="AV164"/>
      <c r="AW164"/>
      <c r="AX164"/>
      <c r="AY164"/>
      <c r="AZ164"/>
      <c r="BA164"/>
    </row>
    <row r="165" spans="1:53" ht="16.5" thickBot="1" x14ac:dyDescent="0.25">
      <c r="A165" s="15"/>
      <c r="B165" s="722"/>
      <c r="C165" s="423"/>
      <c r="D165" s="423"/>
      <c r="E165" s="423"/>
      <c r="F165" s="423"/>
      <c r="G165" s="454" t="s">
        <v>681</v>
      </c>
      <c r="H165" s="573"/>
      <c r="I165" s="573"/>
      <c r="J165" s="454" t="s">
        <v>681</v>
      </c>
      <c r="K165" s="573"/>
      <c r="L165" s="172"/>
      <c r="M165" s="173" t="s">
        <v>681</v>
      </c>
      <c r="N165" s="192"/>
      <c r="O165" s="423"/>
      <c r="P165" s="423"/>
      <c r="Q165" s="423"/>
      <c r="R165" s="423"/>
      <c r="S165" s="454" t="s">
        <v>681</v>
      </c>
      <c r="T165" s="573"/>
      <c r="U165" s="573"/>
      <c r="V165" s="454" t="s">
        <v>681</v>
      </c>
      <c r="W165" s="573"/>
      <c r="X165" s="172"/>
      <c r="Y165" s="173" t="s">
        <v>681</v>
      </c>
      <c r="Z165" s="177"/>
      <c r="AA165" s="841"/>
      <c r="AB165" s="173" t="s">
        <v>681</v>
      </c>
      <c r="AC165" s="836"/>
      <c r="AD165" s="67"/>
      <c r="AE165"/>
      <c r="AF165" s="246"/>
      <c r="AG165"/>
      <c r="AH165"/>
      <c r="AI165"/>
      <c r="AJ165"/>
      <c r="AK165"/>
      <c r="AL165"/>
      <c r="AM165"/>
      <c r="AN165"/>
      <c r="AO165"/>
      <c r="AP165"/>
      <c r="AQ165"/>
      <c r="AR165"/>
      <c r="AS165"/>
      <c r="AT165"/>
      <c r="AU165"/>
      <c r="AV165"/>
      <c r="AW165"/>
      <c r="AX165"/>
      <c r="AY165"/>
      <c r="AZ165"/>
      <c r="BA165"/>
    </row>
    <row r="166" spans="1:53" ht="16.5" customHeight="1" thickBot="1" x14ac:dyDescent="0.25">
      <c r="A166" s="15"/>
      <c r="B166" s="722"/>
      <c r="C166" s="1769" t="s">
        <v>5703</v>
      </c>
      <c r="D166" s="1769"/>
      <c r="E166" s="853"/>
      <c r="F166" s="423"/>
      <c r="G166" s="808">
        <f>+G25-G38+G75+G96+G134+G158</f>
        <v>0</v>
      </c>
      <c r="H166" s="573"/>
      <c r="I166" s="573"/>
      <c r="J166" s="808">
        <f>+J25-J38+J75+J96+J134+J158</f>
        <v>0</v>
      </c>
      <c r="K166" s="573"/>
      <c r="L166" s="172"/>
      <c r="M166" s="809">
        <f>+M25-M38+M75+M96+M134+M158</f>
        <v>0</v>
      </c>
      <c r="N166" s="192"/>
      <c r="O166" s="338"/>
      <c r="P166" s="338"/>
      <c r="Q166" s="338"/>
      <c r="R166" s="423"/>
      <c r="S166" s="808">
        <f>+S25-S38+S75+S96+S134+S158</f>
        <v>0</v>
      </c>
      <c r="T166" s="573"/>
      <c r="U166" s="573"/>
      <c r="V166" s="808">
        <f>+V25-V38+V75+V96+V134+V158</f>
        <v>0</v>
      </c>
      <c r="W166" s="573"/>
      <c r="X166" s="172"/>
      <c r="Y166" s="809">
        <f>+Y25-Y38+Y75+Y96+Y134+Y158</f>
        <v>0</v>
      </c>
      <c r="Z166" s="177"/>
      <c r="AA166" s="841"/>
      <c r="AB166" s="809">
        <f>Y166+M166</f>
        <v>0</v>
      </c>
      <c r="AC166" s="836"/>
      <c r="AD166" s="67"/>
      <c r="AE166"/>
      <c r="AF166" s="245">
        <f>IF(+G166+J166+S166+V166-AB166=0,0,1)</f>
        <v>0</v>
      </c>
      <c r="AG166"/>
      <c r="AH166" s="137"/>
      <c r="AI166"/>
      <c r="AJ166"/>
      <c r="AK166"/>
      <c r="AL166"/>
      <c r="AM166"/>
      <c r="AN166"/>
      <c r="AO166"/>
      <c r="AP166"/>
      <c r="AQ166"/>
      <c r="AR166"/>
      <c r="AS166"/>
      <c r="AT166"/>
      <c r="AU166"/>
      <c r="AV166"/>
      <c r="AW166"/>
      <c r="AX166"/>
      <c r="AY166"/>
      <c r="AZ166"/>
      <c r="BA166"/>
    </row>
    <row r="167" spans="1:53" ht="15.75" customHeight="1" x14ac:dyDescent="0.2">
      <c r="A167" s="15"/>
      <c r="B167" s="722"/>
      <c r="C167" s="1769"/>
      <c r="D167" s="1769"/>
      <c r="E167" s="853"/>
      <c r="F167" s="423"/>
      <c r="G167" s="677"/>
      <c r="H167" s="573"/>
      <c r="I167" s="573"/>
      <c r="J167" s="573"/>
      <c r="K167" s="573"/>
      <c r="L167" s="172"/>
      <c r="M167" s="173"/>
      <c r="N167" s="192"/>
      <c r="O167" s="338"/>
      <c r="P167" s="338"/>
      <c r="Q167" s="338"/>
      <c r="R167" s="423"/>
      <c r="S167" s="454"/>
      <c r="T167" s="573"/>
      <c r="U167" s="573"/>
      <c r="V167" s="573"/>
      <c r="W167" s="573"/>
      <c r="X167" s="172"/>
      <c r="Y167" s="173"/>
      <c r="Z167" s="177"/>
      <c r="AA167" s="841"/>
      <c r="AB167" s="908"/>
      <c r="AC167" s="836"/>
      <c r="AD167" s="67"/>
      <c r="AE167"/>
      <c r="AF167" s="246"/>
      <c r="AG167"/>
      <c r="AH167"/>
      <c r="AI167"/>
      <c r="AJ167"/>
      <c r="AK167"/>
      <c r="AL167"/>
      <c r="AM167"/>
      <c r="AN167"/>
      <c r="AO167"/>
      <c r="AP167"/>
      <c r="AQ167"/>
      <c r="AR167"/>
      <c r="AS167"/>
      <c r="AT167"/>
      <c r="AU167"/>
      <c r="AV167"/>
      <c r="AW167"/>
      <c r="AX167"/>
      <c r="AY167"/>
      <c r="AZ167"/>
      <c r="BA167"/>
    </row>
    <row r="168" spans="1:53" ht="15.75" x14ac:dyDescent="0.25">
      <c r="A168" s="15"/>
      <c r="B168" s="722"/>
      <c r="C168" s="1769"/>
      <c r="D168" s="1769"/>
      <c r="E168" s="853"/>
      <c r="F168" s="423"/>
      <c r="G168" s="964" t="str">
        <f>IF(J166+V166='Part 3 DA summary'!E6,"",_xlfn.CONCAT("The sum of columns 2 and 5 in Line 43 do not equal cell E6 in Part 3 DA Summary (which has a value of ",'Part 3 DA summary'!E6, "). Please correct this."))</f>
        <v/>
      </c>
      <c r="H168" s="716"/>
      <c r="I168" s="716"/>
      <c r="J168" s="724"/>
      <c r="K168" s="716"/>
      <c r="L168" s="184"/>
      <c r="M168" s="326"/>
      <c r="N168" s="836"/>
      <c r="O168" s="338"/>
      <c r="P168" s="338"/>
      <c r="Q168" s="338"/>
      <c r="R168" s="423"/>
      <c r="S168" s="796"/>
      <c r="T168" s="716"/>
      <c r="U168" s="716"/>
      <c r="V168" s="724"/>
      <c r="W168" s="716"/>
      <c r="X168" s="184"/>
      <c r="Y168" s="326"/>
      <c r="Z168" s="177"/>
      <c r="AA168" s="841"/>
      <c r="AB168" s="177"/>
      <c r="AC168" s="836"/>
      <c r="AD168" s="867"/>
      <c r="AE168"/>
      <c r="AF168" s="869"/>
      <c r="AG168"/>
      <c r="AH168"/>
      <c r="AI168"/>
      <c r="AJ168"/>
      <c r="AK168"/>
      <c r="AL168"/>
      <c r="AM168"/>
      <c r="AN168"/>
      <c r="AO168"/>
      <c r="AP168"/>
      <c r="AQ168"/>
      <c r="AR168"/>
      <c r="AS168"/>
      <c r="AT168"/>
      <c r="AU168"/>
      <c r="AV168"/>
      <c r="AW168"/>
      <c r="AX168"/>
      <c r="AY168"/>
      <c r="AZ168"/>
      <c r="BA168"/>
    </row>
    <row r="169" spans="1:53" ht="15.75" thickBot="1" x14ac:dyDescent="0.25">
      <c r="A169" s="15"/>
      <c r="B169" s="723"/>
      <c r="C169" s="1770"/>
      <c r="D169" s="1770"/>
      <c r="E169" s="720"/>
      <c r="F169" s="502"/>
      <c r="G169" s="502"/>
      <c r="H169" s="502"/>
      <c r="I169" s="502"/>
      <c r="J169" s="502"/>
      <c r="K169" s="502"/>
      <c r="L169" s="199"/>
      <c r="M169" s="199"/>
      <c r="N169" s="193"/>
      <c r="O169" s="720"/>
      <c r="P169" s="720"/>
      <c r="Q169" s="720"/>
      <c r="R169" s="502"/>
      <c r="S169" s="502"/>
      <c r="T169" s="502"/>
      <c r="U169" s="502"/>
      <c r="V169" s="502"/>
      <c r="W169" s="502"/>
      <c r="X169" s="199"/>
      <c r="Y169" s="199"/>
      <c r="Z169" s="835"/>
      <c r="AA169" s="842"/>
      <c r="AB169" s="835"/>
      <c r="AC169" s="193"/>
      <c r="AD169" s="67"/>
      <c r="AE169"/>
      <c r="AF169" s="9"/>
      <c r="AG169"/>
      <c r="AH169"/>
      <c r="AI169"/>
      <c r="AJ169"/>
      <c r="AK169"/>
      <c r="AL169"/>
      <c r="AM169"/>
      <c r="AN169"/>
      <c r="AO169"/>
      <c r="AP169"/>
      <c r="AQ169"/>
      <c r="AR169"/>
      <c r="AS169"/>
      <c r="AT169"/>
      <c r="AU169"/>
      <c r="AV169"/>
      <c r="AW169"/>
      <c r="AX169"/>
      <c r="AY169"/>
      <c r="AZ169"/>
      <c r="BA169"/>
    </row>
    <row r="170" spans="1:53" ht="33.75" customHeight="1" thickBot="1" x14ac:dyDescent="0.25">
      <c r="A170" s="15"/>
      <c r="B170" s="2"/>
      <c r="C170" s="2"/>
      <c r="D170" s="2"/>
      <c r="E170" s="2"/>
      <c r="F170" s="2"/>
      <c r="G170" s="2"/>
      <c r="H170" s="2"/>
      <c r="I170" s="2"/>
      <c r="J170" s="338"/>
      <c r="K170" s="338"/>
      <c r="L170" s="2"/>
      <c r="M170" s="2"/>
      <c r="N170" s="2"/>
      <c r="O170" s="2"/>
      <c r="P170" s="2"/>
      <c r="Q170" s="2"/>
      <c r="R170" s="2"/>
      <c r="S170" s="2"/>
      <c r="T170" s="2"/>
      <c r="U170" s="2"/>
      <c r="V170" s="946"/>
      <c r="W170" s="338"/>
      <c r="X170" s="2"/>
      <c r="Y170" s="2"/>
      <c r="Z170" s="2"/>
      <c r="AA170" s="2"/>
      <c r="AB170" s="2"/>
      <c r="AC170" s="2"/>
      <c r="AD170" s="67"/>
      <c r="AE170"/>
      <c r="AF170" s="243" t="s">
        <v>25</v>
      </c>
      <c r="AG170"/>
      <c r="AH170"/>
      <c r="AI170"/>
      <c r="AJ170"/>
      <c r="AK170"/>
      <c r="AL170"/>
      <c r="AM170"/>
      <c r="AN170"/>
      <c r="AO170"/>
      <c r="AP170"/>
      <c r="AQ170"/>
      <c r="AR170"/>
      <c r="AS170"/>
      <c r="AT170"/>
      <c r="AU170"/>
      <c r="AV170"/>
      <c r="AW170"/>
      <c r="AX170"/>
      <c r="AY170"/>
      <c r="AZ170"/>
      <c r="BA170"/>
    </row>
    <row r="171" spans="1:53" x14ac:dyDescent="0.2">
      <c r="A171" s="64"/>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6"/>
      <c r="AE171"/>
      <c r="AF171" s="243"/>
      <c r="AG171"/>
      <c r="AH171"/>
      <c r="AI171"/>
      <c r="AJ171"/>
      <c r="AK171"/>
      <c r="AL171"/>
      <c r="AM171"/>
      <c r="AN171"/>
      <c r="AO171"/>
      <c r="AP171"/>
      <c r="AQ171"/>
      <c r="AR171"/>
      <c r="AS171"/>
      <c r="AT171"/>
      <c r="AU171"/>
      <c r="AV171"/>
      <c r="AW171"/>
      <c r="AX171"/>
      <c r="AY171"/>
      <c r="AZ171"/>
      <c r="BA171"/>
    </row>
    <row r="172" spans="1:53" ht="18" x14ac:dyDescent="0.25">
      <c r="A172" s="1262">
        <v>1</v>
      </c>
      <c r="B172" s="2"/>
      <c r="C172" s="962" t="str">
        <f>+IF(AF172&gt;0,"There are `errors in the calculations in this form.  Have you over written some of the pre-filled calculations? Please check.","")</f>
        <v/>
      </c>
      <c r="D172" s="962"/>
      <c r="E172" s="962"/>
      <c r="F172" s="962"/>
      <c r="G172" s="962"/>
      <c r="H172" s="962"/>
      <c r="I172" s="962"/>
      <c r="J172" s="962"/>
      <c r="K172" s="962"/>
      <c r="L172" s="962"/>
      <c r="M172" s="962"/>
      <c r="N172" s="2"/>
      <c r="O172" s="2"/>
      <c r="P172" s="2"/>
      <c r="Q172" s="2"/>
      <c r="R172" s="2"/>
      <c r="S172" s="2"/>
      <c r="T172" s="2"/>
      <c r="U172" s="2"/>
      <c r="V172" s="945"/>
      <c r="W172" s="2"/>
      <c r="X172" s="2"/>
      <c r="Y172" s="2"/>
      <c r="Z172" s="2"/>
      <c r="AA172" s="2"/>
      <c r="AB172" s="2"/>
      <c r="AC172" s="2"/>
      <c r="AD172" s="67"/>
      <c r="AE172"/>
      <c r="AF172" s="248">
        <f>SUM(AF10:AF167)</f>
        <v>0</v>
      </c>
      <c r="AG172"/>
      <c r="AH172"/>
      <c r="AI172"/>
      <c r="AJ172"/>
      <c r="AK172"/>
      <c r="AL172"/>
      <c r="AM172"/>
      <c r="AN172"/>
      <c r="AO172"/>
      <c r="AP172"/>
      <c r="AQ172"/>
      <c r="AR172"/>
      <c r="AS172"/>
      <c r="AT172"/>
      <c r="AU172"/>
      <c r="AV172"/>
      <c r="AW172"/>
      <c r="AX172"/>
      <c r="AY172"/>
      <c r="AZ172"/>
      <c r="BA172"/>
    </row>
    <row r="173" spans="1:53" ht="15.75" thickBot="1" x14ac:dyDescent="0.25">
      <c r="A173" s="16"/>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68"/>
      <c r="AE173"/>
      <c r="AF173" s="9"/>
      <c r="AG173"/>
      <c r="AH173"/>
      <c r="AI173"/>
      <c r="AJ173"/>
      <c r="AK173"/>
      <c r="AL173"/>
      <c r="AM173"/>
      <c r="AN173"/>
      <c r="AO173"/>
      <c r="AP173"/>
      <c r="AQ173"/>
      <c r="AR173"/>
      <c r="AS173"/>
      <c r="AT173"/>
      <c r="AU173"/>
      <c r="AV173"/>
      <c r="AW173"/>
      <c r="AX173"/>
      <c r="AY173"/>
      <c r="AZ173"/>
      <c r="BA173"/>
    </row>
    <row r="175" spans="1:53" x14ac:dyDescent="0.2">
      <c r="A175" s="255"/>
      <c r="B175" s="255"/>
      <c r="C175" s="255" t="s">
        <v>908</v>
      </c>
      <c r="D175" s="422"/>
      <c r="E175" s="422"/>
      <c r="F175" s="422"/>
      <c r="G175" s="422"/>
      <c r="H175" s="422"/>
      <c r="I175" s="422"/>
      <c r="J175" s="422"/>
      <c r="K175" s="422"/>
      <c r="L175" s="422"/>
      <c r="M175" s="422"/>
      <c r="N175" s="422"/>
      <c r="O175" s="422"/>
      <c r="P175" s="422"/>
      <c r="Q175" s="422"/>
      <c r="R175" s="422"/>
      <c r="S175" s="422"/>
      <c r="T175" s="422"/>
      <c r="U175" s="422"/>
      <c r="V175" s="422"/>
      <c r="W175" s="422"/>
      <c r="X175" s="422"/>
      <c r="Y175" s="422"/>
      <c r="Z175" s="422"/>
      <c r="AA175" s="422"/>
      <c r="AB175" s="422"/>
      <c r="AC175" s="422"/>
      <c r="AD175" s="422"/>
    </row>
    <row r="176" spans="1:53" x14ac:dyDescent="0.2">
      <c r="A176" s="255"/>
      <c r="B176" s="255"/>
      <c r="C176" s="255" t="str">
        <f>+'Part 1'!O279</f>
        <v>No</v>
      </c>
      <c r="D176" s="422"/>
      <c r="E176" s="422"/>
      <c r="F176" s="422"/>
      <c r="G176" s="422"/>
      <c r="H176" s="422"/>
      <c r="I176" s="422"/>
      <c r="J176" s="422"/>
      <c r="K176" s="422"/>
      <c r="L176" s="422"/>
      <c r="M176" s="422"/>
      <c r="N176" s="422"/>
      <c r="O176" s="422"/>
      <c r="P176" s="422"/>
      <c r="Q176" s="422"/>
      <c r="R176" s="422"/>
      <c r="S176" s="422"/>
      <c r="T176" s="422"/>
      <c r="U176" s="422"/>
      <c r="V176" s="422"/>
      <c r="W176" s="422"/>
      <c r="X176" s="422"/>
      <c r="Y176" s="422"/>
      <c r="Z176" s="422"/>
      <c r="AA176" s="422"/>
      <c r="AB176" s="422"/>
      <c r="AC176" s="422"/>
      <c r="AD176" s="422"/>
    </row>
    <row r="177" spans="1:30" x14ac:dyDescent="0.2">
      <c r="A177" s="255"/>
      <c r="B177" s="255"/>
      <c r="C177" s="255"/>
      <c r="D177" s="422"/>
      <c r="E177" s="422"/>
      <c r="F177" s="422"/>
      <c r="G177" s="422"/>
      <c r="H177" s="422"/>
      <c r="I177" s="422"/>
      <c r="J177" s="422"/>
      <c r="K177" s="422"/>
      <c r="L177" s="422"/>
      <c r="M177" s="422"/>
      <c r="N177" s="422"/>
      <c r="O177" s="422"/>
      <c r="P177" s="422"/>
      <c r="Q177" s="422"/>
      <c r="R177" s="422"/>
      <c r="S177" s="422"/>
      <c r="T177" s="422"/>
      <c r="U177" s="422"/>
      <c r="V177" s="422"/>
      <c r="W177" s="422"/>
      <c r="X177" s="422"/>
      <c r="Y177" s="422"/>
      <c r="Z177" s="422"/>
      <c r="AA177" s="422"/>
      <c r="AB177" s="422"/>
      <c r="AC177" s="422"/>
      <c r="AD177" s="422"/>
    </row>
    <row r="178" spans="1:30" x14ac:dyDescent="0.2">
      <c r="B178" s="422"/>
      <c r="C178" s="422"/>
      <c r="D178" s="422"/>
      <c r="E178" s="422"/>
      <c r="F178" s="422"/>
      <c r="G178" s="422"/>
      <c r="H178" s="422"/>
      <c r="I178" s="422"/>
      <c r="J178" s="422"/>
      <c r="K178" s="422"/>
      <c r="L178" s="422"/>
      <c r="M178" s="422"/>
      <c r="N178" s="422"/>
      <c r="O178" s="422"/>
      <c r="P178" s="422"/>
      <c r="Q178" s="422"/>
      <c r="R178" s="422"/>
      <c r="S178" s="422"/>
      <c r="T178" s="422"/>
      <c r="U178" s="422"/>
      <c r="V178" s="422"/>
      <c r="W178" s="422"/>
      <c r="X178" s="422"/>
      <c r="Y178" s="422"/>
      <c r="Z178" s="422"/>
      <c r="AA178" s="422"/>
      <c r="AB178" s="422"/>
      <c r="AC178" s="422"/>
      <c r="AD178" s="422"/>
    </row>
    <row r="179" spans="1:30" x14ac:dyDescent="0.2">
      <c r="B179" s="422"/>
      <c r="C179" s="422"/>
      <c r="D179" s="422"/>
      <c r="E179" s="422"/>
      <c r="F179" s="422"/>
      <c r="G179" s="422"/>
      <c r="H179" s="422"/>
      <c r="I179" s="422"/>
      <c r="J179" s="422"/>
      <c r="K179" s="422"/>
      <c r="L179" s="422"/>
      <c r="M179" s="422"/>
      <c r="N179" s="422"/>
      <c r="O179" s="422"/>
      <c r="P179" s="422"/>
      <c r="Q179" s="422"/>
      <c r="R179" s="422"/>
      <c r="S179" s="422"/>
      <c r="T179" s="422"/>
      <c r="U179" s="422"/>
      <c r="V179" s="422"/>
      <c r="W179" s="422"/>
      <c r="X179" s="422"/>
      <c r="Y179" s="422"/>
      <c r="Z179" s="422"/>
      <c r="AA179" s="422"/>
      <c r="AB179" s="422"/>
      <c r="AC179" s="422"/>
      <c r="AD179" s="422"/>
    </row>
    <row r="180" spans="1:30" x14ac:dyDescent="0.2">
      <c r="B180" s="422"/>
      <c r="C180" s="422"/>
      <c r="D180" s="422"/>
      <c r="E180" s="422"/>
      <c r="F180" s="422"/>
      <c r="G180" s="422"/>
      <c r="H180" s="422"/>
      <c r="I180" s="422"/>
      <c r="J180" s="422"/>
      <c r="K180" s="422"/>
      <c r="L180" s="422"/>
      <c r="M180" s="422"/>
      <c r="N180" s="422"/>
      <c r="O180" s="422"/>
      <c r="P180" s="422"/>
      <c r="Q180" s="422"/>
      <c r="R180" s="422"/>
      <c r="S180" s="422"/>
      <c r="T180" s="422"/>
      <c r="U180" s="422"/>
      <c r="V180" s="422"/>
      <c r="W180" s="422"/>
      <c r="X180" s="422"/>
      <c r="Y180" s="422"/>
      <c r="Z180" s="422"/>
      <c r="AA180" s="422"/>
      <c r="AB180" s="422"/>
      <c r="AC180" s="422"/>
      <c r="AD180" s="422"/>
    </row>
  </sheetData>
  <sheetProtection sheet="1" objects="1" scenarios="1"/>
  <dataConsolidate/>
  <mergeCells count="31">
    <mergeCell ref="C1:E1"/>
    <mergeCell ref="C33:D34"/>
    <mergeCell ref="C46:D47"/>
    <mergeCell ref="C5:S5"/>
    <mergeCell ref="AI10:AK10"/>
    <mergeCell ref="AF11:AF12"/>
    <mergeCell ref="AJ31:AP32"/>
    <mergeCell ref="C22:D23"/>
    <mergeCell ref="C18:D18"/>
    <mergeCell ref="C25:D25"/>
    <mergeCell ref="C44:D44"/>
    <mergeCell ref="C75:D76"/>
    <mergeCell ref="AF3:AF4"/>
    <mergeCell ref="C11:E12"/>
    <mergeCell ref="C29:D30"/>
    <mergeCell ref="C89:D90"/>
    <mergeCell ref="C69:D70"/>
    <mergeCell ref="C72:D73"/>
    <mergeCell ref="C50:D50"/>
    <mergeCell ref="C96:D97"/>
    <mergeCell ref="C127:D128"/>
    <mergeCell ref="C92:D94"/>
    <mergeCell ref="C130:D132"/>
    <mergeCell ref="X116:AC118"/>
    <mergeCell ref="X120:AC122"/>
    <mergeCell ref="Y119:AC119"/>
    <mergeCell ref="C166:D169"/>
    <mergeCell ref="C134:D135"/>
    <mergeCell ref="C154:D156"/>
    <mergeCell ref="C150:D152"/>
    <mergeCell ref="C158:D160"/>
  </mergeCells>
  <phoneticPr fontId="7" type="noConversion"/>
  <conditionalFormatting sqref="D13">
    <cfRule type="cellIs" dxfId="126" priority="131" operator="notBetween">
      <formula>45260</formula>
      <formula>45322</formula>
    </cfRule>
  </conditionalFormatting>
  <conditionalFormatting sqref="G29 S144:S145 G145 S147:S148 G148">
    <cfRule type="cellIs" dxfId="125" priority="398" stopIfTrue="1" operator="greaterThan">
      <formula>0</formula>
    </cfRule>
  </conditionalFormatting>
  <conditionalFormatting sqref="G44">
    <cfRule type="cellIs" dxfId="124" priority="389" stopIfTrue="1" operator="greaterThan">
      <formula>0</formula>
    </cfRule>
  </conditionalFormatting>
  <conditionalFormatting sqref="G46">
    <cfRule type="cellIs" dxfId="123" priority="218" stopIfTrue="1" operator="greaterThan">
      <formula>0</formula>
    </cfRule>
  </conditionalFormatting>
  <conditionalFormatting sqref="G50">
    <cfRule type="cellIs" dxfId="122" priority="217" stopIfTrue="1" operator="greaterThan">
      <formula>0</formula>
    </cfRule>
  </conditionalFormatting>
  <conditionalFormatting sqref="G53">
    <cfRule type="cellIs" dxfId="121" priority="216" stopIfTrue="1" operator="greaterThan">
      <formula>0</formula>
    </cfRule>
  </conditionalFormatting>
  <conditionalFormatting sqref="G56:G59">
    <cfRule type="cellIs" dxfId="120" priority="120" stopIfTrue="1" operator="greaterThan">
      <formula>0</formula>
    </cfRule>
  </conditionalFormatting>
  <conditionalFormatting sqref="G61:G65 H63">
    <cfRule type="cellIs" dxfId="119" priority="68" stopIfTrue="1" operator="greaterThan">
      <formula>0</formula>
    </cfRule>
  </conditionalFormatting>
  <conditionalFormatting sqref="G83">
    <cfRule type="cellIs" dxfId="118" priority="208" stopIfTrue="1" operator="greaterThan">
      <formula>0</formula>
    </cfRule>
  </conditionalFormatting>
  <conditionalFormatting sqref="G86">
    <cfRule type="cellIs" dxfId="117" priority="207" stopIfTrue="1" operator="greaterThan">
      <formula>0</formula>
    </cfRule>
  </conditionalFormatting>
  <conditionalFormatting sqref="G102">
    <cfRule type="cellIs" dxfId="116" priority="203" stopIfTrue="1" operator="greaterThan">
      <formula>0</formula>
    </cfRule>
  </conditionalFormatting>
  <conditionalFormatting sqref="G105">
    <cfRule type="cellIs" dxfId="115" priority="200" stopIfTrue="1" operator="greaterThan">
      <formula>0</formula>
    </cfRule>
  </conditionalFormatting>
  <conditionalFormatting sqref="G108">
    <cfRule type="cellIs" dxfId="114" priority="197" stopIfTrue="1" operator="greaterThan">
      <formula>0</formula>
    </cfRule>
  </conditionalFormatting>
  <conditionalFormatting sqref="G111">
    <cfRule type="cellIs" dxfId="113" priority="191" stopIfTrue="1" operator="greaterThan">
      <formula>0</formula>
    </cfRule>
  </conditionalFormatting>
  <conditionalFormatting sqref="G114">
    <cfRule type="cellIs" dxfId="112" priority="188" stopIfTrue="1" operator="greaterThan">
      <formula>0</formula>
    </cfRule>
  </conditionalFormatting>
  <conditionalFormatting sqref="G119 S119">
    <cfRule type="expression" dxfId="111" priority="582">
      <formula>$AG$120=0</formula>
    </cfRule>
    <cfRule type="cellIs" dxfId="110" priority="583" stopIfTrue="1" operator="greaterThan">
      <formula>0</formula>
    </cfRule>
  </conditionalFormatting>
  <conditionalFormatting sqref="G123 J123 S123 V123">
    <cfRule type="expression" dxfId="109" priority="15">
      <formula>$AG$124=0</formula>
    </cfRule>
  </conditionalFormatting>
  <conditionalFormatting sqref="G141">
    <cfRule type="cellIs" dxfId="108" priority="163" stopIfTrue="1" operator="greaterThan">
      <formula>0</formula>
    </cfRule>
  </conditionalFormatting>
  <conditionalFormatting sqref="J121">
    <cfRule type="cellIs" dxfId="105" priority="100" stopIfTrue="1" operator="greaterThan">
      <formula>0</formula>
    </cfRule>
    <cfRule type="expression" dxfId="104" priority="99">
      <formula>$AG$122=0</formula>
    </cfRule>
  </conditionalFormatting>
  <conditionalFormatting sqref="S29">
    <cfRule type="cellIs" dxfId="102" priority="97" stopIfTrue="1" operator="greaterThan">
      <formula>0</formula>
    </cfRule>
  </conditionalFormatting>
  <conditionalFormatting sqref="S50">
    <cfRule type="cellIs" dxfId="101" priority="93" stopIfTrue="1" operator="greaterThan">
      <formula>0</formula>
    </cfRule>
  </conditionalFormatting>
  <conditionalFormatting sqref="S53">
    <cfRule type="cellIs" dxfId="100" priority="92" stopIfTrue="1" operator="greaterThan">
      <formula>0</formula>
    </cfRule>
  </conditionalFormatting>
  <conditionalFormatting sqref="S56:S59">
    <cfRule type="cellIs" dxfId="99" priority="78" stopIfTrue="1" operator="greaterThan">
      <formula>0</formula>
    </cfRule>
  </conditionalFormatting>
  <conditionalFormatting sqref="S61:S65">
    <cfRule type="cellIs" dxfId="98" priority="67" stopIfTrue="1" operator="greaterThan">
      <formula>0</formula>
    </cfRule>
  </conditionalFormatting>
  <conditionalFormatting sqref="S83">
    <cfRule type="cellIs" dxfId="97" priority="91" stopIfTrue="1" operator="greaterThan">
      <formula>0</formula>
    </cfRule>
  </conditionalFormatting>
  <conditionalFormatting sqref="S86">
    <cfRule type="cellIs" dxfId="96" priority="90" stopIfTrue="1" operator="greaterThan">
      <formula>0</formula>
    </cfRule>
  </conditionalFormatting>
  <conditionalFormatting sqref="S102">
    <cfRule type="cellIs" dxfId="95" priority="89" stopIfTrue="1" operator="greaterThan">
      <formula>0</formula>
    </cfRule>
  </conditionalFormatting>
  <conditionalFormatting sqref="S105">
    <cfRule type="cellIs" dxfId="94" priority="88" stopIfTrue="1" operator="greaterThan">
      <formula>0</formula>
    </cfRule>
  </conditionalFormatting>
  <conditionalFormatting sqref="S108">
    <cfRule type="cellIs" dxfId="93" priority="87" stopIfTrue="1" operator="greaterThan">
      <formula>0</formula>
    </cfRule>
  </conditionalFormatting>
  <conditionalFormatting sqref="S114">
    <cfRule type="cellIs" dxfId="92" priority="84" stopIfTrue="1" operator="greaterThan">
      <formula>0</formula>
    </cfRule>
  </conditionalFormatting>
  <conditionalFormatting sqref="V44 S44 Y44 S46 V46 Y46 V56 Y56 S111 V111 Y111 S141 V141 Y141">
    <cfRule type="cellIs" dxfId="89" priority="82" stopIfTrue="1" operator="greaterThan">
      <formula>0</formula>
    </cfRule>
  </conditionalFormatting>
  <conditionalFormatting sqref="V46 V56 V111 V141 S44 V44 Y44 S46 Y46 S56 Y56 S111 Y111 S141 Y141">
    <cfRule type="cellIs" dxfId="87" priority="7" stopIfTrue="1" operator="lessThan">
      <formula>0</formula>
    </cfRule>
  </conditionalFormatting>
  <conditionalFormatting sqref="V121">
    <cfRule type="cellIs" dxfId="85" priority="73" stopIfTrue="1" operator="greaterThan">
      <formula>0</formula>
    </cfRule>
    <cfRule type="expression" dxfId="84" priority="72">
      <formula>$AG$122=0</formula>
    </cfRule>
  </conditionalFormatting>
  <conditionalFormatting sqref="AD13 AD56:AD59 AD64:AD65 AD141:AD148">
    <cfRule type="expression" dxfId="80" priority="250">
      <formula>AND($AF13=0)=FALSE</formula>
    </cfRule>
  </conditionalFormatting>
  <conditionalFormatting sqref="AD25">
    <cfRule type="expression" dxfId="79" priority="433">
      <formula>AND($AF18+AF22+AF25=0)=FALSE</formula>
    </cfRule>
  </conditionalFormatting>
  <conditionalFormatting sqref="AD29">
    <cfRule type="expression" dxfId="78" priority="249">
      <formula>AND($AF29=0)=FALSE</formula>
    </cfRule>
  </conditionalFormatting>
  <conditionalFormatting sqref="AD38">
    <cfRule type="expression" dxfId="77" priority="247">
      <formula>AND($AF38=0)=FALSE</formula>
    </cfRule>
  </conditionalFormatting>
  <conditionalFormatting sqref="AD44">
    <cfRule type="expression" dxfId="76" priority="246">
      <formula>AND($AF44=0)=FALSE</formula>
    </cfRule>
  </conditionalFormatting>
  <conditionalFormatting sqref="AD46">
    <cfRule type="expression" dxfId="75" priority="245">
      <formula>AND($AF46=0)=FALSE</formula>
    </cfRule>
  </conditionalFormatting>
  <conditionalFormatting sqref="AD50">
    <cfRule type="expression" dxfId="74" priority="242">
      <formula>AND($AF50=0)=FALSE</formula>
    </cfRule>
  </conditionalFormatting>
  <conditionalFormatting sqref="AD53">
    <cfRule type="expression" dxfId="73" priority="241">
      <formula>AND($AF53=0)=FALSE</formula>
    </cfRule>
  </conditionalFormatting>
  <conditionalFormatting sqref="AD75">
    <cfRule type="expression" dxfId="72" priority="414">
      <formula>AND($AF69+AF72+AF75=0)=FALSE</formula>
    </cfRule>
  </conditionalFormatting>
  <conditionalFormatting sqref="AD83">
    <cfRule type="expression" dxfId="71" priority="239">
      <formula>AND($AF83=0)=FALSE</formula>
    </cfRule>
  </conditionalFormatting>
  <conditionalFormatting sqref="AD86">
    <cfRule type="expression" dxfId="70" priority="238">
      <formula>AND($AF86=0)=FALSE</formula>
    </cfRule>
  </conditionalFormatting>
  <conditionalFormatting sqref="AD96 AD134">
    <cfRule type="expression" dxfId="69" priority="415">
      <formula>AND($AF89+AF92+AF96=0)=FALSE</formula>
    </cfRule>
  </conditionalFormatting>
  <conditionalFormatting sqref="AD102">
    <cfRule type="expression" dxfId="68" priority="237">
      <formula>AND($AF102=0)=FALSE</formula>
    </cfRule>
  </conditionalFormatting>
  <conditionalFormatting sqref="AD105">
    <cfRule type="expression" dxfId="67" priority="236">
      <formula>AND($AF105=0)=FALSE</formula>
    </cfRule>
  </conditionalFormatting>
  <conditionalFormatting sqref="AD108">
    <cfRule type="expression" dxfId="66" priority="235">
      <formula>AND($AF108=0)=FALSE</formula>
    </cfRule>
  </conditionalFormatting>
  <conditionalFormatting sqref="AD111">
    <cfRule type="expression" dxfId="65" priority="233">
      <formula>AND($AF111=0)=FALSE</formula>
    </cfRule>
  </conditionalFormatting>
  <conditionalFormatting sqref="AD114">
    <cfRule type="expression" dxfId="64" priority="232">
      <formula>AND($AF114=0)=FALSE</formula>
    </cfRule>
  </conditionalFormatting>
  <conditionalFormatting sqref="AD158">
    <cfRule type="expression" dxfId="63" priority="416">
      <formula>AND($AF150+AF154+AF158=0)=FALSE</formula>
    </cfRule>
  </conditionalFormatting>
  <conditionalFormatting sqref="AD166">
    <cfRule type="expression" dxfId="62" priority="228">
      <formula>AND($AF166=0)=FALSE</formula>
    </cfRule>
  </conditionalFormatting>
  <dataValidations xWindow="1160" yWindow="426" count="59">
    <dataValidation type="whole" operator="greaterThanOrEqual" allowBlank="1" showInputMessage="1" showErrorMessage="1" errorTitle="Positive whole number required" error="This MUST be a whole positive number" sqref="V13 G13 J13 S13" xr:uid="{00000000-0002-0000-0200-000000000000}">
      <formula1>0</formula1>
    </dataValidation>
    <dataValidation type="whole" operator="lessThanOrEqual" allowBlank="1" showInputMessage="1" showErrorMessage="1" errorTitle="Negative number required here" error="This number MUST be negative" sqref="G119 S119 J121 V121 J123 S123 V123 G123" xr:uid="{00000000-0002-0000-0200-000001000000}">
      <formula1>0</formula1>
    </dataValidation>
    <dataValidation type="whole" operator="lessThanOrEqual" allowBlank="1" showInputMessage="1" showErrorMessage="1" errorTitle="Negative whole number required" error="This  MUST be negative whole number" sqref="G44 G46 G50 J53 J44 J46 J50 G83 G86 J83 J86 G102 J102 G105 J105 G108 J108 G111 J111 G114 J114 G141 G53 J56:J59 G56:G59 S57:S59 V114 S50 V53 V50 S83 S86 V83 V86 S102 V102 S105 V105 S108 V108 V57:V59 S53 S114 S61:S65 S145 V145:V146 H63:I63 G61:G65 G144:G145 J61:J65 V61:V62 V64:V65 V142:V143 J141:J148 V148 G147:G148 S148" xr:uid="{00000000-0002-0000-0200-000004000000}">
      <formula1>0</formula1>
    </dataValidation>
    <dataValidation type="whole" allowBlank="1" showInputMessage="1" showErrorMessage="1" errorTitle="Whole numbers allowed" error="Please enter a whole number - no pence allowed" sqref="G22 J22 J154 G154 G72 J72 G92 J92 G130 J130 V130 V22 V154 S154 S72 V72 S92 V92 S130" xr:uid="{00000000-0002-0000-0200-00000A000000}">
      <formula1>-100000000000000</formula1>
      <formula2>100000000000000</formula2>
    </dataValidation>
    <dataValidation type="custom" allowBlank="1" showInputMessage="1" showErrorMessage="1" error="Data entry not allowed" sqref="AF172" xr:uid="{00000000-0002-0000-0200-00000B000000}">
      <formula1>"if(az1=""n/a"")"</formula1>
    </dataValidation>
    <dataValidation type="date" allowBlank="1" showInputMessage="1" showErrorMessage="1" errorTitle="Invalid date." error="Input a valid date between 01 December 2024 and 31 January 2025" sqref="D13" xr:uid="{00000000-0002-0000-0200-000013000000}">
      <formula1>45627</formula1>
      <formula2>45688</formula2>
    </dataValidation>
    <dataValidation type="custom" allowBlank="1" showInputMessage="1" showErrorMessage="1" error="Data entry is not allowed in this cell" sqref="J18 G18 G25 J25 M25 M29 V127 AB114 M38 AB141 M44 V69 M50 M53 M56 M59 G38 Y13 J75 M75 M83 M86 G89 J89 G96 J96 M96 M102 M105 M108 M111 M114 AB158 G134 J134 M134 M141 G75 M158 Y144:Y145 AB147 AB111 M13 AB108 S25 V25 Y25 Y29 S38 Y38 AB134 Y44 Y46 Y50 Y53 Y56 Y59 V38 S75 V75 Y75 Y83 Y86 S89 V89 S96 V96 Y96 Y102 Y105 Y108 Y111 Y114 S134 V134 Y134 Y141 Y158 Y62:Y65 G69 J38 AB25 AB29 AB38 AB44 AB46 AB166 AB50 AB53 AB56 AB59 AB75 AB83 AB86 AB96 AB102 AB105 G127 J127 S127 S69 J69 M46 G47 AB13 AB22 M123 Y123 AA123 V18 S18 AB62:AB65 AB18 AB144:AB145 Y147:Y148 M147:M148 M62:M65 M144:M145 V150 S150 J150 G150 G158 J158 S158 V158" xr:uid="{E5FC2C03-7BEB-48BB-8240-4E26FBBF3EAB}">
      <formula1>"az1=""NA"""</formula1>
    </dataValidation>
    <dataValidation type="custom" allowBlank="1" showInputMessage="1" showErrorMessage="1" error="Please do not edit this cell" sqref="S47" xr:uid="{B7E46690-16D6-457F-98B3-96F9296433E9}">
      <formula1>"az1=""NA"""</formula1>
    </dataValidation>
    <dataValidation allowBlank="1" showErrorMessage="1" sqref="J33 G33 V33 S33" xr:uid="{7B28D897-6CEB-428A-BB94-5B41002D20E5}"/>
    <dataValidation type="whole" operator="lessThanOrEqual" allowBlank="1" showErrorMessage="1" error="This must be a negative whole number" sqref="G29 J29 S29 V29" xr:uid="{4537AB83-C613-4C2B-A87D-E57D2AEF0525}">
      <formula1>0</formula1>
    </dataValidation>
    <dataValidation type="custom" allowBlank="1" showInputMessage="1" showErrorMessage="1" error="Data entry is not allowed in this cell" sqref="D15 P15" xr:uid="{B7182ED8-F632-466E-B43E-ACD64550381B}">
      <formula1>"AZ1=""n/a"""</formula1>
    </dataValidation>
    <dataValidation allowBlank="1" showInputMessage="1" showErrorMessage="1" prompt="This was line 8 in the 2024-25 form, this data is being used in 'Part 2 - line 43'" sqref="C38" xr:uid="{0D791DD5-B6A3-4E79-BFA7-2A36F2772A38}"/>
    <dataValidation allowBlank="1" showInputMessage="1" showErrorMessage="1" prompt="This was line 12 in the 2024-25 form, this data is being used in 'Part 2 - line 16'" sqref="C53" xr:uid="{2372E12A-C53E-42B2-A101-72ADB2524B4F}"/>
    <dataValidation allowBlank="1" showInputMessage="1" showErrorMessage="1" prompt="This was line 13 in the 2024-25 form, this data is being used in 'Part 1 - line 30' and 'Part 2 - line 17'" sqref="C56" xr:uid="{5ADFCDEC-32E6-4122-9956-746A34A3BC87}"/>
    <dataValidation allowBlank="1" showInputMessage="1" showErrorMessage="1" prompt="This was line 19 in the 2024-25 form._x000a_This data is being used in 'Part 2 - line 22'." sqref="C83" xr:uid="{3A82C581-930C-4D03-AF10-75DB15267C4A}"/>
    <dataValidation allowBlank="1" showInputMessage="1" showErrorMessage="1" prompt="This was line 20 in the 2024-25 form._x000a_This data is being used in 'Part 2 - line 22'." sqref="C86" xr:uid="{3695E2DF-F4AC-49DA-9451-CB6D6060EC98}"/>
    <dataValidation allowBlank="1" showInputMessage="1" showErrorMessage="1" prompt="This was line 24 in the 2024-25 form._x000a_This data is being used in 'Part 2 - line 34'." sqref="C102" xr:uid="{7EA3D6C5-C234-4D27-ADB8-F094051898AF}"/>
    <dataValidation allowBlank="1" showInputMessage="1" showErrorMessage="1" prompt="This was line 25 in the 2024-25 form._x000a_This data is being used in 'Part 2 - line 34'." sqref="C105" xr:uid="{7F8149F5-5C23-45CE-8A38-367C26356FDD}"/>
    <dataValidation allowBlank="1" showInputMessage="1" showErrorMessage="1" prompt="This was line 26 in the 2024-25 form._x000a_This data is being used in 'Part 2 - line 34'." sqref="C108" xr:uid="{67528627-B8DC-4D51-AC72-BEF69477E177}"/>
    <dataValidation allowBlank="1" showInputMessage="1" showErrorMessage="1" prompt="This was line 27 in the 2024-25 form._x000a_This data is being used in 'Part 2 - line 34'." sqref="C111" xr:uid="{8A5E5AC2-0673-470D-9E4A-EBB36A94DE33}"/>
    <dataValidation allowBlank="1" showInputMessage="1" showErrorMessage="1" prompt="This was line 28 in the 2024-25 form._x000a_This data is being used in 'Part 2 - line 34'." sqref="C114" xr:uid="{A5660E8B-3CB2-4E9F-8165-33578C7059A0}"/>
    <dataValidation allowBlank="1" showInputMessage="1" showErrorMessage="1" prompt="This was line 29 in the 2024-25 form._x000a_This data is being used in 'Part 3 - line 10/11'" sqref="C117" xr:uid="{7702B568-34CB-4E0C-B2E5-C573174F6AB9}"/>
    <dataValidation allowBlank="1" showInputMessage="1" showErrorMessage="1" prompt="This was line 30 in the 2024-25 form._x000a_This data is being used in 'Part 3 - line 10/11'" sqref="C119" xr:uid="{F5D7B93B-257A-478B-AF1E-4F9929DCAA2E}"/>
    <dataValidation allowBlank="1" showInputMessage="1" showErrorMessage="1" prompt="This was line 31 in the 2024-25 form. It is now in column 2 because Freeports are now included in the Designated Area summary._x000a_This data is being used in 'Part 1 - line 35'." sqref="C121" xr:uid="{82FD39E1-39AB-4AC9-955E-DD021708D3F3}"/>
    <dataValidation allowBlank="1" showInputMessage="1" showErrorMessage="1" error="Data entry is not allowed in this cell" sqref="J166 V166 J117 V117 G166 M166 S166 Y166" xr:uid="{E577F895-B943-4ABB-8BDB-4E496D266534}"/>
    <dataValidation allowBlank="1" showInputMessage="1" showErrorMessage="1" prompt="This was line 19 in the 2022-23 form" sqref="D59 D62:D65" xr:uid="{6A445F69-EF2D-4D78-A6C3-E50CED735E9F}"/>
    <dataValidation allowBlank="1" showInputMessage="1" showErrorMessage="1" prompt="This data is being used in 'Part 1 - line 28' and 'Part 1 - line 29'." sqref="C46:D47" xr:uid="{9154E709-93C4-4B79-AC56-57A41A9A8C47}"/>
    <dataValidation allowBlank="1" showInputMessage="1" showErrorMessage="1" prompt="This was line 14 in the 2024-25 form._x000a_This data is being used in ' Part 1 - line 33' and 'Part 2 - line 17'" sqref="C59" xr:uid="{00233F04-F38A-41E2-A038-62E456E72A84}"/>
    <dataValidation allowBlank="1" showInputMessage="1" showErrorMessage="1" prompt="This was line 16 in the 2024-25 form._x000a_This data is being used in 'Part 2 - line 19'." sqref="C69:D70" xr:uid="{C8804163-C754-424A-A90E-95C4B441F60C}"/>
    <dataValidation allowBlank="1" showInputMessage="1" showErrorMessage="1" prompt="This was line 17 in the 2024-25 form._x000a_This data is being used in 'Part 2 - line 19'." sqref="C72:D73" xr:uid="{41837614-C685-468C-B136-F2CA05F315E6}"/>
    <dataValidation allowBlank="1" showInputMessage="1" showErrorMessage="1" prompt="This was line 18 in the 2024-25 form._x000a_This data is being used in 'Part 1 - line 1' and 'Part 2 - line 43'." sqref="C75:D76" xr:uid="{D4DDA22D-6C3B-49B0-9E1D-C657506B5BD8}"/>
    <dataValidation allowBlank="1" showInputMessage="1" showErrorMessage="1" prompt="This was line 21 in the 2024-25 form._x000a_This data is being used in 'Part 2 - line 24'." sqref="C89:D90" xr:uid="{7CC623BB-3B71-42D7-BE57-022FE114E292}"/>
    <dataValidation allowBlank="1" showInputMessage="1" showErrorMessage="1" prompt="This was line 22 in the 2024-25 form._x000a_This data is being used in 'Part 2 - line 24'." sqref="C92:D94" xr:uid="{6A94B369-8DB4-4F68-A888-6296E5B03D3B}"/>
    <dataValidation allowBlank="1" showInputMessage="1" showErrorMessage="1" prompt="This was line 23 in the 2024-25 form._x000a_This data is being used in 'Part 1 - line 1' and 'Part 2 - Line 43'." sqref="C96:D97" xr:uid="{4E008DC0-4AD2-46C3-87BE-4D6DA2C2030F}"/>
    <dataValidation allowBlank="1" showInputMessage="1" showErrorMessage="1" prompt="This was line 33 in the 2024-25 form._x000a_This data is being used in 'Part 2 - line 36'." sqref="C127:D128" xr:uid="{9A91BE6D-7455-4A29-83BC-DCFF6B4C3D51}"/>
    <dataValidation allowBlank="1" showInputMessage="1" showErrorMessage="1" prompt="This was line 34 in the 2024-25 form._x000a_This data is being used in 'Part 2 - line 36'." sqref="C130:D132" xr:uid="{8F6CFA8D-B69E-465D-A4B9-7931F4F83CB6}"/>
    <dataValidation allowBlank="1" showInputMessage="1" showErrorMessage="1" prompt="This was line 35 in the 2024-25 form._x000a_This data is being used in 'Part 1 - line 1' and 'Part 2 - line 43'." sqref="C134:D135" xr:uid="{2DF2FAFB-68DD-4889-847C-A684F2A402F9}"/>
    <dataValidation allowBlank="1" showInputMessage="1" showErrorMessage="1" prompt="This was line 36 in the 2024-25 form._x000a_This data is being used in 'Part 1 - line 31' and 'Part 2 - line 39'." sqref="C141" xr:uid="{78B63AC2-CC09-414E-B942-7B3C950BA174}"/>
    <dataValidation allowBlank="1" showInputMessage="1" showErrorMessage="1" prompt="This was line 38 in the 2024-25 form._x000a_This data is being used in 'Part 1 - line 35' and 'Part 2 - line 40'." sqref="C144" xr:uid="{206D5397-2A3C-4336-A520-594FA47A1530}"/>
    <dataValidation allowBlank="1" showInputMessage="1" showErrorMessage="1" prompt="This was line 42 in the 2023-24 form._x000a_This data is being used in 'Part 1 - line 37' and 'Part 2 - line 16'." sqref="C63:C64" xr:uid="{05A2E195-610C-4E96-917D-0096EB1EB885}"/>
    <dataValidation allowBlank="1" showInputMessage="1" showErrorMessage="1" prompt="This was line 39 in the 2024-25 form._x000a_This data is being used in 'Part 2 - line 42'." sqref="C150:D152" xr:uid="{C70655F8-B506-405A-B964-4D907BFF95CA}"/>
    <dataValidation allowBlank="1" showInputMessage="1" showErrorMessage="1" prompt="This was line 40 in the 2024-25 form._x000a_This data is being used in 'Part 2 - line 42'." sqref="C154:D156" xr:uid="{3AC1C54E-EDFD-4DD8-9FB2-D2099B94163A}"/>
    <dataValidation allowBlank="1" showInputMessage="1" showErrorMessage="1" prompt="This was line 41 in the 2024-25 form._x000a_This data is being used in 'Part 1 - line 1' and 'Part 2 - line 43'." sqref="C158:D160" xr:uid="{1B846F94-B379-4CF6-BE4E-9E6FBD3AD712}"/>
    <dataValidation allowBlank="1" showInputMessage="1" showErrorMessage="1" prompt="This data is being used in 'Part 2 - line 3'" sqref="C13 C15" xr:uid="{38656B5C-2F0E-4919-A197-D432CB793C0E}"/>
    <dataValidation type="custom" allowBlank="1" showInputMessage="1" showErrorMessage="1" errorTitle="Whole numbers allowed" error="Please enter a whole number - no pence allowed" sqref="S22" xr:uid="{2FDB1636-418F-43FB-B026-350F3FCB3EC3}">
      <formula1>AZ1="No"</formula1>
    </dataValidation>
    <dataValidation type="whole" operator="lessThanOrEqual" allowBlank="1" showInputMessage="1" showErrorMessage="1" errorTitle="Negative whole number required" error="This MUST be negative whole number" sqref="S144 V144 S65 V65 S147 V147" xr:uid="{AEA355AA-EBDE-4719-B653-95674FA600BF}">
      <formula1>0</formula1>
    </dataValidation>
    <dataValidation allowBlank="1" showInputMessage="1" showErrorMessage="1" prompt="This data is being used in 'Part 2 - line 5'" sqref="C18:D18 C22:D23" xr:uid="{C4BC031A-8D04-409D-949C-20C02A2F7FB1}"/>
    <dataValidation allowBlank="1" showInputMessage="1" showErrorMessage="1" prompt="This data is being used in 'Part 2 - Line 43'" sqref="C25:D25" xr:uid="{6B0DB28B-1DB5-4EA7-AC29-85A6D84D0ED5}"/>
    <dataValidation allowBlank="1" showInputMessage="1" showErrorMessage="1" prompt="This data is being used in 'Part 2 - Line 8'" sqref="C29:D30" xr:uid="{A643647F-9D96-4E76-B1A1-A5BC013FCDFF}"/>
    <dataValidation allowBlank="1" showInputMessage="1" showErrorMessage="1" prompt="This data is being used in 'Part 2 - line 8'" sqref="C33:D34" xr:uid="{0DA6F9A1-B840-4EDD-81EF-CBEE25A1C30C}"/>
    <dataValidation allowBlank="1" showInputMessage="1" showErrorMessage="1" prompt="This data is being used in 'Part 1 - line 28, 'Part 2 - line 17' and  'Supplementary Information - Part 2 - b'" sqref="C44:D44" xr:uid="{D8DDCD00-0127-49EF-A533-EFA3ACED15D2}"/>
    <dataValidation allowBlank="1" showInputMessage="1" showErrorMessage="1" prompt="This was line 11 in the 2024-25 form, this data is being used in 'Part 2 - line 17'" sqref="C50:D50" xr:uid="{0414BFD0-7E9A-4E0B-892C-9C85E5509A7F}"/>
    <dataValidation allowBlank="1" showInputMessage="1" showErrorMessage="1" prompt="This was line 32 in the 2024/25 form. This data is being used in 'Part 1 - line 36'." sqref="C123" xr:uid="{A47A0584-28CF-4358-8430-5A01C6CDF7D1}"/>
    <dataValidation type="whole" operator="lessThanOrEqual" allowBlank="1" showInputMessage="1" showErrorMessage="1" errorTitle="Negative whole number required" error="This MUST be negative whole number" prompt="This relief should not apply to businesses on the supplementary multiplier, please double check before entering figures" sqref="S44 V44 S46 V46 S56 V56 S111 V111 S141 V141" xr:uid="{FC56900F-1860-43D8-BA65-8A99332C4642}">
      <formula1>0</formula1>
    </dataValidation>
    <dataValidation allowBlank="1" showInputMessage="1" showErrorMessage="1" prompt="This was line 47 in the 2022-23 form" sqref="E166:E168" xr:uid="{F02CE81D-D58E-495A-9797-0812B376E33E}"/>
    <dataValidation allowBlank="1" showInputMessage="1" showErrorMessage="1" prompt="This was line 15 in the 2024-25 form._x000a_This data is being used in 'Part 1 - line 37' and 'Part 2 - line 17'." sqref="C62" xr:uid="{3C65FE8B-36A2-483C-9F67-A99C6918A6C4}"/>
    <dataValidation allowBlank="1" showInputMessage="1" showErrorMessage="1" prompt="This is a new relief added to this years form. This data is being used in 'Part 1 - line 38' and 'Part 2 - line 17'." sqref="C65" xr:uid="{5290D7E0-917E-486C-8EFB-5F333BCDF405}"/>
    <dataValidation allowBlank="1" showInputMessage="1" showErrorMessage="1" prompt="This is a new relief added to this years form. This data is being used in 'Part 1 - line 35' and 'Part 2 - line 40'." sqref="C147" xr:uid="{84C211EF-5D36-4092-B6F8-D21B237F3A94}"/>
    <dataValidation allowBlank="1" showInputMessage="1" showErrorMessage="1" prompt="This was line 42 in the 2024-25 form. _x000a_This data is used in 'Part 3 - Line 1'." sqref="C166:D169" xr:uid="{E25689C8-61A1-4C29-A548-1C5C8DA51A14}"/>
  </dataValidations>
  <printOptions horizontalCentered="1"/>
  <pageMargins left="0.39370078740157483" right="0.39370078740157483" top="0.39370078740157483" bottom="0.39370078740157483" header="0.31496062992125984" footer="0.31496062992125984"/>
  <pageSetup paperSize="9" scale="66" fitToHeight="0" orientation="portrait" r:id="rId1"/>
  <headerFooter alignWithMargins="0">
    <oddHeader>&amp;C&amp;"Calibri"&amp;10&amp;K000000 OFFICIAL&amp;1#_x000D_</oddHeader>
    <oddFooter>&amp;C_x000D_&amp;1#&amp;"Calibri"&amp;10&amp;K000000 OFFICIAL</oddFooter>
  </headerFooter>
  <rowBreaks count="3" manualBreakCount="3">
    <brk id="40" max="20" man="1"/>
    <brk id="99" max="16383" man="1"/>
    <brk id="137" max="20" man="1"/>
  </rowBreaks>
  <extLst>
    <ext xmlns:x14="http://schemas.microsoft.com/office/spreadsheetml/2009/9/main" uri="{78C0D931-6437-407d-A8EE-F0AAD7539E65}">
      <x14:conditionalFormattings>
        <x14:conditionalFormatting xmlns:xm="http://schemas.microsoft.com/office/excel/2006/main">
          <x14:cfRule type="expression" priority="11" id="{1C1392D5-9EF2-4D9A-878B-84A6D4F7E7D7}">
            <xm:f>AND('Part 1'!$O$279&lt;&gt;"Yes")=TRUE</xm:f>
            <x14:dxf>
              <fill>
                <patternFill>
                  <bgColor theme="0" tint="-0.14996795556505021"/>
                </patternFill>
              </fill>
            </x14:dxf>
          </x14:cfRule>
          <xm:sqref>I12:K169 V28</xm:sqref>
        </x14:conditionalFormatting>
        <x14:conditionalFormatting xmlns:xm="http://schemas.microsoft.com/office/excel/2006/main">
          <x14:cfRule type="expression" priority="5" id="{E7BC3F31-D385-4C50-9C24-6157A7748419}">
            <xm:f>AND('Part 1'!$O$279&lt;&gt;"Yes")=TRUE</xm:f>
            <x14:dxf>
              <font>
                <color theme="0" tint="-0.14996795556505021"/>
              </font>
              <fill>
                <patternFill>
                  <bgColor theme="0" tint="-0.14996795556505021"/>
                </patternFill>
              </fill>
              <border>
                <left/>
                <right/>
                <top/>
                <bottom/>
              </border>
            </x14:dxf>
          </x14:cfRule>
          <xm:sqref>J13 V13 J18 V18 J22 V22 J25 V25 J29 V29 J33 V33 J38 V38 J44 J46 V46 J50 V50 J53 V53 J56 V56 J59 V59 J62:J65 V62:V65 J69 V69 J72 V72 J75 V75 J83 V83 J86 V86 J89 V89 J92 V92 J96 V96 J102 V102 J105 V105 V107:V108 J108 J111 V111 J114 V114 J117 V117 J121 V121 J123 V123 J127 V127 J130 V130 J134 V134 J141 V141 J144 V144 V147 J150 V150 J154 V154 J158 V158 J166 V166</xm:sqref>
        </x14:conditionalFormatting>
        <x14:conditionalFormatting xmlns:xm="http://schemas.microsoft.com/office/excel/2006/main">
          <x14:cfRule type="expression" priority="3" id="{A8341924-1BEC-48E6-AD85-ECE3B1724A40}">
            <xm:f>AND('Part 1'!$O$279&lt;&gt;"Yes")=TRUE</xm:f>
            <x14:dxf>
              <font>
                <color theme="0" tint="-0.14996795556505021"/>
              </font>
              <fill>
                <patternFill>
                  <bgColor theme="0" tint="-0.14996795556505021"/>
                </patternFill>
              </fill>
              <border>
                <left/>
                <right/>
                <top/>
                <bottom/>
              </border>
            </x14:dxf>
          </x14:cfRule>
          <xm:sqref>J147</xm:sqref>
        </x14:conditionalFormatting>
        <x14:conditionalFormatting xmlns:xm="http://schemas.microsoft.com/office/excel/2006/main">
          <x14:cfRule type="expression" priority="16" id="{BC78687D-E1E8-4C58-9C50-A426F6A733E6}">
            <xm:f>AND('Part 1'!$O$279&lt;&gt;"Yes")=TRUE</xm:f>
            <x14:dxf>
              <font>
                <color rgb="FFFF0000"/>
              </font>
              <fill>
                <patternFill>
                  <bgColor theme="0" tint="-0.14996795556505021"/>
                </patternFill>
              </fill>
            </x14:dxf>
          </x14:cfRule>
          <xm:sqref>U28:W28</xm:sqref>
        </x14:conditionalFormatting>
        <x14:conditionalFormatting xmlns:xm="http://schemas.microsoft.com/office/excel/2006/main">
          <x14:cfRule type="expression" priority="118" id="{ABB6CB1A-7720-4F70-9A20-E28308A386D1}">
            <xm:f>AND('Part 1'!$O$279&lt;&gt;"Yes")=TRUE</xm:f>
            <x14:dxf>
              <font>
                <color theme="0" tint="-0.14996795556505021"/>
              </font>
              <fill>
                <patternFill>
                  <bgColor theme="0" tint="-0.14996795556505021"/>
                </patternFill>
              </fill>
            </x14:dxf>
          </x14:cfRule>
          <xm:sqref>U29:W169 J12 U12:W27 J45 J63:J64 J116 J143 J146 J165:J166</xm:sqref>
        </x14:conditionalFormatting>
        <x14:conditionalFormatting xmlns:xm="http://schemas.microsoft.com/office/excel/2006/main">
          <x14:cfRule type="expression" priority="21" id="{908F1BDB-BBA9-4DF6-8946-5635B3610518}">
            <xm:f>AND('Part 1'!$O$279&lt;&gt;"Yes")=TRUE</xm:f>
            <x14:dxf>
              <font>
                <color theme="0" tint="-0.14996795556505021"/>
              </font>
              <fill>
                <patternFill>
                  <bgColor theme="0" tint="-0.14996795556505021"/>
                </patternFill>
              </fill>
              <border>
                <left/>
                <right/>
                <top/>
                <bottom/>
              </border>
            </x14:dxf>
          </x14:cfRule>
          <xm:sqref>V44</xm:sqref>
        </x14:conditionalFormatting>
        <x14:conditionalFormatting xmlns:xm="http://schemas.microsoft.com/office/excel/2006/main">
          <x14:cfRule type="expression" priority="6" id="{7699CACD-C54C-4C4C-8D2A-3A229DB3D9B9}">
            <xm:f>AND('Part 1'!$O$279&lt;&gt;"Yes")=TRUE</xm:f>
            <x14:dxf>
              <font>
                <color theme="0" tint="-0.14996795556505021"/>
              </font>
              <fill>
                <patternFill>
                  <bgColor theme="0" tint="-0.14996795556505021"/>
                </patternFill>
              </fill>
            </x14:dxf>
          </x14:cfRule>
          <xm:sqref>V63:V64</xm:sqref>
        </x14:conditionalFormatting>
        <x14:conditionalFormatting xmlns:xm="http://schemas.microsoft.com/office/excel/2006/main">
          <x14:cfRule type="expression" priority="52" id="{2BE33CE4-F92E-49B9-960B-01744F3A1E14}">
            <xm:f>AND('Part 1'!$O$279&lt;&gt;"Yes")=TRUE</xm:f>
            <x14:dxf>
              <font>
                <color theme="0" tint="-0.14996795556505021"/>
              </font>
              <fill>
                <patternFill>
                  <bgColor theme="0" tint="-0.14996795556505021"/>
                </patternFill>
              </fill>
            </x14:dxf>
          </x14:cfRule>
          <xm:sqref>V123</xm:sqref>
        </x14:conditionalFormatting>
        <x14:conditionalFormatting xmlns:xm="http://schemas.microsoft.com/office/excel/2006/main">
          <x14:cfRule type="expression" priority="77" id="{B791113D-8787-4B0F-A57F-0D0C4435DE32}">
            <xm:f>AND('Part 1'!$O$279&lt;&gt;"Yes")=TRUE</xm:f>
            <x14:dxf>
              <font>
                <color theme="0" tint="-0.14996795556505021"/>
              </font>
              <fill>
                <patternFill>
                  <bgColor theme="0" tint="-0.14996795556505021"/>
                </patternFill>
              </fill>
            </x14:dxf>
          </x14:cfRule>
          <xm:sqref>V143</xm:sqref>
        </x14:conditionalFormatting>
        <x14:conditionalFormatting xmlns:xm="http://schemas.microsoft.com/office/excel/2006/main">
          <x14:cfRule type="expression" priority="4" id="{0012A078-3FE6-4853-BA40-3B918FD63AB4}">
            <xm:f>AND('Part 1'!$O$279&lt;&gt;"Yes")=TRUE</xm:f>
            <x14:dxf>
              <font>
                <color theme="0" tint="-0.14996795556505021"/>
              </font>
              <fill>
                <patternFill>
                  <bgColor theme="0" tint="-0.14996795556505021"/>
                </patternFill>
              </fill>
            </x14:dxf>
          </x14:cfRule>
          <xm:sqref>V146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1:BA73"/>
  <sheetViews>
    <sheetView workbookViewId="0"/>
  </sheetViews>
  <sheetFormatPr defaultColWidth="9.140625" defaultRowHeight="15" x14ac:dyDescent="0.2"/>
  <cols>
    <col min="1" max="2" width="1.7109375" style="232" customWidth="1"/>
    <col min="3" max="3" width="21.42578125" style="232" customWidth="1"/>
    <col min="4" max="4" width="11" style="232" customWidth="1"/>
    <col min="5" max="5" width="22.85546875" style="232" customWidth="1"/>
    <col min="6" max="6" width="5.7109375" style="232" customWidth="1"/>
    <col min="7" max="7" width="17.140625" style="232" customWidth="1"/>
    <col min="8" max="8" width="2.7109375" style="232" customWidth="1"/>
    <col min="9" max="9" width="3.7109375" style="232" customWidth="1"/>
    <col min="10" max="10" width="17.140625" style="232" customWidth="1"/>
    <col min="11" max="12" width="2.7109375" style="232" customWidth="1"/>
    <col min="13" max="13" width="17.140625" style="232" customWidth="1"/>
    <col min="14" max="14" width="1.7109375" style="232" customWidth="1"/>
    <col min="15" max="15" width="2.85546875" style="232" customWidth="1"/>
    <col min="16" max="16" width="9.140625" style="232" hidden="1" customWidth="1"/>
    <col min="17" max="17" width="10.85546875" style="232" hidden="1" customWidth="1"/>
    <col min="18" max="18" width="15.7109375" style="1244" hidden="1" customWidth="1"/>
    <col min="19" max="19" width="17.28515625" style="493" hidden="1" customWidth="1"/>
    <col min="20" max="20" width="11.140625" style="232" hidden="1" customWidth="1"/>
    <col min="21" max="21" width="8.7109375" style="232" hidden="1" customWidth="1"/>
    <col min="22" max="22" width="6.42578125" style="232" hidden="1" customWidth="1"/>
    <col min="23" max="53" width="9.140625" style="232" hidden="1" customWidth="1"/>
    <col min="54" max="73" width="9.140625" style="232" customWidth="1"/>
    <col min="74" max="16384" width="9.140625" style="232"/>
  </cols>
  <sheetData>
    <row r="1" spans="1:53" x14ac:dyDescent="0.2">
      <c r="A1" s="15"/>
      <c r="B1" s="2"/>
      <c r="C1" s="1801"/>
      <c r="D1" s="1801"/>
      <c r="E1" s="1801"/>
      <c r="F1" s="1801"/>
      <c r="G1" s="1801"/>
      <c r="H1" s="2"/>
      <c r="I1" s="2"/>
      <c r="J1" s="2"/>
      <c r="K1" s="2"/>
      <c r="L1" s="2"/>
      <c r="M1" s="2"/>
      <c r="N1" s="2"/>
      <c r="O1" s="67"/>
      <c r="P1" s="26"/>
      <c r="Q1" s="26"/>
      <c r="R1" s="241"/>
      <c r="S1" s="244"/>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row>
    <row r="2" spans="1:53" ht="18" x14ac:dyDescent="0.25">
      <c r="A2" s="31"/>
      <c r="B2" s="19"/>
      <c r="C2" s="83" t="str">
        <f>+CONCATENATE("Local Authority : ",+'Part 1'!K15)</f>
        <v>Local Authority : ZZZZ</v>
      </c>
      <c r="D2" s="83"/>
      <c r="E2" s="306"/>
      <c r="F2" s="306"/>
      <c r="G2" s="306"/>
      <c r="H2" s="19"/>
      <c r="I2" s="19"/>
      <c r="J2" s="19"/>
      <c r="K2" s="19"/>
      <c r="L2" s="19"/>
      <c r="M2" s="19"/>
      <c r="N2" s="19"/>
      <c r="O2" s="20"/>
      <c r="P2" s="26"/>
      <c r="Q2" s="26"/>
      <c r="R2" s="241"/>
      <c r="S2" s="244"/>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row>
    <row r="3" spans="1:53" ht="15.75" x14ac:dyDescent="0.25">
      <c r="A3" s="30"/>
      <c r="B3" s="306"/>
      <c r="C3" s="306"/>
      <c r="D3" s="306"/>
      <c r="E3" s="19"/>
      <c r="F3" s="18"/>
      <c r="G3" s="18"/>
      <c r="H3" s="18"/>
      <c r="I3" s="19"/>
      <c r="J3" s="19"/>
      <c r="K3" s="19"/>
      <c r="L3" s="19"/>
      <c r="M3" s="19"/>
      <c r="N3" s="19"/>
      <c r="O3" s="20"/>
      <c r="P3" s="26"/>
      <c r="Q3" s="26"/>
      <c r="R3" s="241"/>
      <c r="S3" s="244"/>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row>
    <row r="4" spans="1:53" ht="18" x14ac:dyDescent="0.25">
      <c r="A4" s="30"/>
      <c r="B4" s="306"/>
      <c r="C4" s="83" t="s">
        <v>903</v>
      </c>
      <c r="D4" s="306"/>
      <c r="E4" s="19"/>
      <c r="F4" s="18"/>
      <c r="G4" s="18"/>
      <c r="H4" s="18"/>
      <c r="I4" s="19"/>
      <c r="J4" s="1802"/>
      <c r="K4" s="1802"/>
      <c r="L4" s="19"/>
      <c r="M4" s="19"/>
      <c r="N4" s="19"/>
      <c r="O4" s="20"/>
      <c r="P4" s="26"/>
      <c r="Q4" s="26"/>
      <c r="R4" s="241"/>
      <c r="S4" s="244"/>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row>
    <row r="5" spans="1:53" ht="29.25" customHeight="1" x14ac:dyDescent="0.25">
      <c r="A5" s="30"/>
      <c r="B5" s="306"/>
      <c r="C5" s="1053" t="s">
        <v>5432</v>
      </c>
      <c r="D5" s="10"/>
      <c r="E5" s="10"/>
      <c r="F5" s="10"/>
      <c r="G5" s="10"/>
      <c r="H5" s="10"/>
      <c r="I5" s="10"/>
      <c r="J5" s="10"/>
      <c r="K5" s="10"/>
      <c r="L5" s="10"/>
      <c r="M5" s="10"/>
      <c r="N5" s="19"/>
      <c r="O5" s="870"/>
      <c r="P5" s="26"/>
      <c r="Q5" s="26"/>
      <c r="R5" s="241"/>
      <c r="S5" s="244"/>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row>
    <row r="6" spans="1:53" ht="15.75" customHeight="1" x14ac:dyDescent="0.25">
      <c r="A6" s="31"/>
      <c r="B6" s="19"/>
      <c r="C6" s="1794" t="str">
        <f>+IF('Part 1'!O279="No","You should complete column 1 only","You should complete columns 1 and 2")</f>
        <v>You should complete column 1 only</v>
      </c>
      <c r="D6" s="1794"/>
      <c r="E6" s="1794"/>
      <c r="F6" s="384"/>
      <c r="G6" s="72" t="s">
        <v>686</v>
      </c>
      <c r="H6" s="18"/>
      <c r="I6" s="72"/>
      <c r="J6" s="72" t="s">
        <v>687</v>
      </c>
      <c r="K6" s="72"/>
      <c r="L6" s="72"/>
      <c r="M6" s="799" t="s">
        <v>688</v>
      </c>
      <c r="N6" s="72"/>
      <c r="O6" s="20"/>
      <c r="P6" s="26"/>
      <c r="Q6" s="26"/>
      <c r="R6" s="1784" t="s">
        <v>910</v>
      </c>
      <c r="S6" s="244"/>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row>
    <row r="7" spans="1:53" ht="15.75" customHeight="1" x14ac:dyDescent="0.25">
      <c r="A7" s="31"/>
      <c r="B7" s="19"/>
      <c r="C7" s="384"/>
      <c r="D7" s="384"/>
      <c r="E7" s="384"/>
      <c r="F7" s="92"/>
      <c r="G7" s="910"/>
      <c r="H7" s="920"/>
      <c r="I7" s="916"/>
      <c r="J7" s="916"/>
      <c r="K7" s="916"/>
      <c r="L7" s="916"/>
      <c r="M7" s="921"/>
      <c r="N7" s="72"/>
      <c r="O7" s="870"/>
      <c r="P7" s="26"/>
      <c r="Q7" s="26"/>
      <c r="R7" s="1785"/>
      <c r="S7" s="244"/>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row>
    <row r="8" spans="1:53" ht="15.75" customHeight="1" x14ac:dyDescent="0.25">
      <c r="A8" s="31"/>
      <c r="B8" s="19"/>
      <c r="C8" s="19"/>
      <c r="D8" s="19"/>
      <c r="E8" s="19"/>
      <c r="F8" s="19"/>
      <c r="G8" s="1790" t="s">
        <v>825</v>
      </c>
      <c r="H8" s="673"/>
      <c r="I8" s="228"/>
      <c r="J8" s="1721" t="s">
        <v>944</v>
      </c>
      <c r="K8" s="674"/>
      <c r="L8" s="228"/>
      <c r="M8" s="1793" t="s">
        <v>26</v>
      </c>
      <c r="N8" s="307"/>
      <c r="O8" s="20"/>
      <c r="P8" s="26"/>
      <c r="Q8" s="26"/>
      <c r="R8" s="1786"/>
      <c r="S8" s="244"/>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row>
    <row r="9" spans="1:53" ht="34.5" customHeight="1" x14ac:dyDescent="0.2">
      <c r="A9" s="31"/>
      <c r="B9" s="19"/>
      <c r="C9" s="19"/>
      <c r="D9" s="19"/>
      <c r="E9" s="19"/>
      <c r="F9" s="19"/>
      <c r="G9" s="1791"/>
      <c r="H9" s="673"/>
      <c r="I9" s="228"/>
      <c r="J9" s="1792"/>
      <c r="K9" s="674"/>
      <c r="L9" s="228"/>
      <c r="M9" s="1791"/>
      <c r="N9" s="19"/>
      <c r="O9" s="20"/>
      <c r="P9" s="26"/>
      <c r="Q9" s="26"/>
      <c r="R9" s="241"/>
      <c r="S9" s="244"/>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row>
    <row r="10" spans="1:53" ht="63" customHeight="1" x14ac:dyDescent="0.2">
      <c r="A10" s="31"/>
      <c r="B10" s="19"/>
      <c r="C10" s="19"/>
      <c r="D10" s="19"/>
      <c r="E10" s="19"/>
      <c r="F10" s="19"/>
      <c r="G10" s="865" t="s">
        <v>831</v>
      </c>
      <c r="H10" s="917"/>
      <c r="I10" s="911"/>
      <c r="J10" s="918" t="str">
        <f>+IF('Part 1'!O279="Yes", "Complete Parts 2 and '3 DA summary' to fill this column","Do not complete this column")</f>
        <v>Do not complete this column</v>
      </c>
      <c r="K10" s="919"/>
      <c r="L10" s="911"/>
      <c r="M10" s="865" t="s">
        <v>832</v>
      </c>
      <c r="N10" s="912"/>
      <c r="O10" s="20"/>
      <c r="P10" s="26"/>
      <c r="Q10" s="26"/>
      <c r="R10" s="337" t="s">
        <v>826</v>
      </c>
      <c r="S10" s="244"/>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row>
    <row r="11" spans="1:53" ht="16.5" thickBot="1" x14ac:dyDescent="0.3">
      <c r="A11" s="31"/>
      <c r="B11" s="306"/>
      <c r="C11" s="306" t="s">
        <v>701</v>
      </c>
      <c r="D11" s="306"/>
      <c r="E11" s="19"/>
      <c r="F11" s="19"/>
      <c r="G11" s="307" t="s">
        <v>681</v>
      </c>
      <c r="H11" s="18"/>
      <c r="I11" s="19"/>
      <c r="J11" s="801" t="s">
        <v>681</v>
      </c>
      <c r="K11" s="387"/>
      <c r="L11" s="184"/>
      <c r="M11" s="326" t="s">
        <v>681</v>
      </c>
      <c r="N11" s="184"/>
      <c r="O11" s="20"/>
      <c r="P11" s="26"/>
      <c r="Q11" s="26"/>
      <c r="R11" s="379"/>
      <c r="S11" s="244"/>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row>
    <row r="12" spans="1:53" ht="16.5" thickBot="1" x14ac:dyDescent="0.3">
      <c r="A12" s="31"/>
      <c r="B12" s="19"/>
      <c r="C12" s="1700" t="s">
        <v>2709</v>
      </c>
      <c r="D12" s="1788"/>
      <c r="E12" s="1788"/>
      <c r="F12" s="19"/>
      <c r="G12" s="815">
        <f>'Part 2'!G166+'Part 2'!S166</f>
        <v>0</v>
      </c>
      <c r="H12" s="18"/>
      <c r="I12" s="73"/>
      <c r="J12" s="805">
        <f>'Part 2'!J166+'Part 2'!V166</f>
        <v>0</v>
      </c>
      <c r="K12" s="387"/>
      <c r="L12" s="172"/>
      <c r="M12" s="816">
        <f>'Part 2'!AB166</f>
        <v>0</v>
      </c>
      <c r="N12" s="186"/>
      <c r="O12" s="67"/>
      <c r="P12" s="26"/>
      <c r="Q12" s="26"/>
      <c r="R12" s="245">
        <f>IF(+G12+J12-M12=0,0,1)</f>
        <v>0</v>
      </c>
      <c r="S12" s="244"/>
      <c r="T12" s="91"/>
      <c r="U12" s="26"/>
      <c r="V12" s="26"/>
      <c r="W12" s="26"/>
      <c r="X12" s="9"/>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row>
    <row r="13" spans="1:53" ht="15.75" x14ac:dyDescent="0.25">
      <c r="A13" s="31"/>
      <c r="B13" s="19"/>
      <c r="C13" s="1788"/>
      <c r="D13" s="1788"/>
      <c r="E13" s="1788"/>
      <c r="F13" s="19"/>
      <c r="G13" s="93"/>
      <c r="H13" s="18"/>
      <c r="I13" s="378"/>
      <c r="J13" s="375"/>
      <c r="K13" s="378"/>
      <c r="L13" s="172"/>
      <c r="M13" s="172"/>
      <c r="N13" s="184"/>
      <c r="O13" s="20"/>
      <c r="P13" s="26"/>
      <c r="Q13" s="26"/>
      <c r="R13" s="245"/>
      <c r="S13" s="244"/>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row>
    <row r="14" spans="1:53" ht="15.75" customHeight="1" x14ac:dyDescent="0.25">
      <c r="A14" s="31"/>
      <c r="B14" s="19"/>
      <c r="C14" s="1789"/>
      <c r="D14" s="1789"/>
      <c r="E14" s="1789"/>
      <c r="F14" s="19"/>
      <c r="G14" s="377"/>
      <c r="H14" s="18"/>
      <c r="I14" s="378"/>
      <c r="J14" s="378"/>
      <c r="K14" s="378"/>
      <c r="L14" s="172"/>
      <c r="M14" s="172"/>
      <c r="N14" s="184"/>
      <c r="O14" s="20"/>
      <c r="P14" s="26"/>
      <c r="Q14" s="26"/>
      <c r="R14" s="245">
        <f>IF(+G12+J12-'Part 2'!AB166=0,0,1)</f>
        <v>0</v>
      </c>
      <c r="S14" s="244"/>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row>
    <row r="15" spans="1:53" ht="15.75" x14ac:dyDescent="0.25">
      <c r="A15" s="31"/>
      <c r="B15" s="19"/>
      <c r="C15" s="185"/>
      <c r="D15" s="19"/>
      <c r="E15" s="19"/>
      <c r="F15" s="19"/>
      <c r="G15" s="377"/>
      <c r="H15" s="18"/>
      <c r="I15" s="378"/>
      <c r="J15" s="378"/>
      <c r="K15" s="378"/>
      <c r="L15" s="172"/>
      <c r="M15" s="172"/>
      <c r="N15" s="184"/>
      <c r="O15" s="20"/>
      <c r="P15" s="26"/>
      <c r="Q15" s="26"/>
      <c r="R15" s="245"/>
      <c r="S15" s="244"/>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row>
    <row r="16" spans="1:53" ht="16.5" thickBot="1" x14ac:dyDescent="0.3">
      <c r="A16" s="31"/>
      <c r="B16" s="18"/>
      <c r="C16" s="12" t="s">
        <v>2667</v>
      </c>
      <c r="D16" s="19"/>
      <c r="E16" s="19"/>
      <c r="F16" s="19"/>
      <c r="G16" s="73"/>
      <c r="H16" s="18"/>
      <c r="I16" s="73"/>
      <c r="J16" s="73"/>
      <c r="K16" s="387"/>
      <c r="L16" s="172"/>
      <c r="M16" s="172"/>
      <c r="N16" s="184"/>
      <c r="O16" s="20"/>
      <c r="P16" s="26"/>
      <c r="Q16" s="26"/>
      <c r="R16" s="245"/>
      <c r="S16" s="244"/>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row>
    <row r="17" spans="1:53" ht="16.5" thickBot="1" x14ac:dyDescent="0.3">
      <c r="A17" s="31"/>
      <c r="B17" s="19"/>
      <c r="C17" s="1787" t="s">
        <v>3110</v>
      </c>
      <c r="D17" s="1787"/>
      <c r="E17" s="1787"/>
      <c r="F17" s="19"/>
      <c r="G17" s="807">
        <v>0</v>
      </c>
      <c r="H17" s="18"/>
      <c r="I17" s="73"/>
      <c r="J17" s="808">
        <f>'Part 3 DA summary'!G6</f>
        <v>0</v>
      </c>
      <c r="K17" s="387"/>
      <c r="L17" s="172"/>
      <c r="M17" s="816">
        <f>+G17+J17</f>
        <v>0</v>
      </c>
      <c r="N17" s="186"/>
      <c r="O17" s="67"/>
      <c r="P17" s="26"/>
      <c r="Q17" s="26"/>
      <c r="R17" s="245">
        <f>IF(+G17+J17-M17=0,0,1)</f>
        <v>0</v>
      </c>
      <c r="S17" s="244"/>
      <c r="T17" s="9"/>
      <c r="U17" s="231"/>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row>
    <row r="18" spans="1:53" ht="15.75" x14ac:dyDescent="0.25">
      <c r="A18" s="31"/>
      <c r="B18" s="19"/>
      <c r="C18" s="1787"/>
      <c r="D18" s="1787"/>
      <c r="E18" s="1787"/>
      <c r="F18" s="19"/>
      <c r="G18" s="73"/>
      <c r="H18" s="18"/>
      <c r="I18" s="73"/>
      <c r="J18" s="73"/>
      <c r="K18" s="387"/>
      <c r="L18" s="172"/>
      <c r="M18" s="172"/>
      <c r="N18" s="184"/>
      <c r="O18" s="20"/>
      <c r="P18" s="26"/>
      <c r="Q18" s="26"/>
      <c r="R18" s="245"/>
      <c r="S18" s="244"/>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row>
    <row r="19" spans="1:53" ht="16.5" thickBot="1" x14ac:dyDescent="0.3">
      <c r="A19" s="31"/>
      <c r="B19" s="19"/>
      <c r="C19" s="872"/>
      <c r="D19" s="340"/>
      <c r="E19" s="340"/>
      <c r="F19" s="19"/>
      <c r="G19" s="73"/>
      <c r="H19" s="18"/>
      <c r="I19" s="73"/>
      <c r="J19" s="73"/>
      <c r="K19" s="387"/>
      <c r="L19" s="172"/>
      <c r="M19" s="172"/>
      <c r="N19" s="184"/>
      <c r="O19" s="20"/>
      <c r="P19" s="26"/>
      <c r="Q19" s="26"/>
      <c r="R19" s="245"/>
      <c r="S19" s="244"/>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row>
    <row r="20" spans="1:53" ht="16.5" customHeight="1" thickBot="1" x14ac:dyDescent="0.3">
      <c r="A20" s="31"/>
      <c r="B20" s="19"/>
      <c r="C20" s="1787" t="s">
        <v>3111</v>
      </c>
      <c r="D20" s="1787"/>
      <c r="E20" s="1787"/>
      <c r="F20" s="19"/>
      <c r="G20" s="807">
        <v>0</v>
      </c>
      <c r="H20" s="18"/>
      <c r="I20" s="73"/>
      <c r="J20" s="808">
        <f>'Part 3 DA summary'!I6</f>
        <v>0</v>
      </c>
      <c r="K20" s="387"/>
      <c r="L20" s="172"/>
      <c r="M20" s="816">
        <f>G20+J20</f>
        <v>0</v>
      </c>
      <c r="N20" s="186"/>
      <c r="O20" s="67"/>
      <c r="P20" s="26"/>
      <c r="Q20" s="26"/>
      <c r="R20" s="245">
        <f>IF(+G20+J20-M20=0,0,1)</f>
        <v>0</v>
      </c>
      <c r="S20" s="905" t="s">
        <v>3003</v>
      </c>
      <c r="T20" s="9"/>
      <c r="U20" s="231"/>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row>
    <row r="21" spans="1:53" ht="15.75" x14ac:dyDescent="0.25">
      <c r="A21" s="31"/>
      <c r="B21" s="19"/>
      <c r="C21" s="1787"/>
      <c r="D21" s="1787"/>
      <c r="E21" s="1787"/>
      <c r="F21" s="19"/>
      <c r="G21" s="74"/>
      <c r="H21" s="18"/>
      <c r="I21" s="73"/>
      <c r="J21" s="74"/>
      <c r="K21" s="387"/>
      <c r="L21" s="172"/>
      <c r="M21" s="173"/>
      <c r="N21" s="186"/>
      <c r="O21" s="20"/>
      <c r="P21" s="26"/>
      <c r="Q21" s="26"/>
      <c r="R21" s="245"/>
      <c r="T21" s="382" t="s">
        <v>3004</v>
      </c>
      <c r="U21" s="382" t="s">
        <v>3006</v>
      </c>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row>
    <row r="22" spans="1:53" ht="16.5" thickBot="1" x14ac:dyDescent="0.25">
      <c r="A22" s="31"/>
      <c r="B22" s="19"/>
      <c r="C22" s="383"/>
      <c r="D22" s="383"/>
      <c r="E22" s="383"/>
      <c r="F22" s="19"/>
      <c r="G22" s="74"/>
      <c r="H22" s="497"/>
      <c r="I22" s="497"/>
      <c r="J22" s="74"/>
      <c r="K22" s="74"/>
      <c r="L22" s="172"/>
      <c r="M22" s="173"/>
      <c r="N22" s="186"/>
      <c r="O22" s="20"/>
      <c r="P22" s="26"/>
      <c r="Q22" s="26"/>
      <c r="R22" s="245"/>
      <c r="S22" s="382" t="s">
        <v>3005</v>
      </c>
      <c r="T22" s="907">
        <f>IFERROR('Part 2'!G166/('Part 2'!G166+'Part 2'!S166),0)</f>
        <v>0</v>
      </c>
      <c r="U22" s="907">
        <f>IFERROR('Part 2'!S166/('Part 2'!G166+'Part 2'!S166),0)</f>
        <v>0</v>
      </c>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row>
    <row r="23" spans="1:53" ht="15.75" x14ac:dyDescent="0.2">
      <c r="A23" s="31"/>
      <c r="B23" s="165"/>
      <c r="C23" s="166"/>
      <c r="D23" s="166"/>
      <c r="E23" s="166"/>
      <c r="F23" s="166"/>
      <c r="G23" s="924"/>
      <c r="H23" s="498"/>
      <c r="I23" s="325"/>
      <c r="J23" s="167"/>
      <c r="K23" s="167"/>
      <c r="L23" s="321"/>
      <c r="M23" s="174"/>
      <c r="N23" s="187"/>
      <c r="O23" s="20"/>
      <c r="P23" s="26"/>
      <c r="Q23" s="26"/>
      <c r="R23" s="245"/>
      <c r="S23" s="382" t="s">
        <v>1177</v>
      </c>
      <c r="T23" s="907">
        <f>IFERROR('Part 2'!J166/('Part 2'!J166+'Part 2'!V166),0)</f>
        <v>0</v>
      </c>
      <c r="U23" s="907">
        <f>IFERROR('Part 2'!V166/('Part 2'!J166+'Part 2'!V166),0)</f>
        <v>0</v>
      </c>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row>
    <row r="24" spans="1:53" ht="16.5" thickBot="1" x14ac:dyDescent="0.3">
      <c r="A24" s="31"/>
      <c r="B24" s="168"/>
      <c r="C24" s="18" t="s">
        <v>552</v>
      </c>
      <c r="D24" s="19"/>
      <c r="E24" s="19"/>
      <c r="F24" s="19"/>
      <c r="G24" s="73"/>
      <c r="H24" s="18"/>
      <c r="I24" s="504"/>
      <c r="J24" s="73"/>
      <c r="K24" s="387"/>
      <c r="L24" s="322"/>
      <c r="M24" s="172"/>
      <c r="N24" s="188"/>
      <c r="O24" s="20"/>
      <c r="P24" s="26"/>
      <c r="Q24" s="26"/>
      <c r="R24" s="245"/>
      <c r="S24" s="382" t="s">
        <v>698</v>
      </c>
      <c r="T24" s="907">
        <f>IFERROR('Part 2'!M166/'Part 2'!AB166,0)</f>
        <v>0</v>
      </c>
      <c r="U24" s="907">
        <f>IFERROR('Part 2'!Y166/'Part 2'!AB166,0)</f>
        <v>0</v>
      </c>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row>
    <row r="25" spans="1:53" ht="16.5" thickBot="1" x14ac:dyDescent="0.3">
      <c r="A25" s="31"/>
      <c r="B25" s="169"/>
      <c r="C25" s="1703" t="s">
        <v>2708</v>
      </c>
      <c r="D25" s="1703"/>
      <c r="E25" s="1703"/>
      <c r="F25" s="19"/>
      <c r="G25" s="808">
        <f>+G12+G17+G20</f>
        <v>0</v>
      </c>
      <c r="H25" s="18"/>
      <c r="I25" s="504"/>
      <c r="J25" s="808">
        <f>+J12+J17+J20</f>
        <v>0</v>
      </c>
      <c r="K25" s="387"/>
      <c r="L25" s="322"/>
      <c r="M25" s="816">
        <f>+G25+J25</f>
        <v>0</v>
      </c>
      <c r="N25" s="188"/>
      <c r="O25" s="67"/>
      <c r="P25" s="26"/>
      <c r="Q25" s="26"/>
      <c r="R25" s="245">
        <f>IF(+G25+J25-M25=0,0,1)</f>
        <v>0</v>
      </c>
      <c r="S25" s="9"/>
      <c r="T25" s="9"/>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row>
    <row r="26" spans="1:53" ht="16.5" thickBot="1" x14ac:dyDescent="0.3">
      <c r="A26" s="31"/>
      <c r="B26" s="923"/>
      <c r="C26" s="170"/>
      <c r="D26" s="170"/>
      <c r="E26" s="170"/>
      <c r="F26" s="170"/>
      <c r="G26" s="922"/>
      <c r="H26" s="497"/>
      <c r="I26" s="324"/>
      <c r="J26" s="171"/>
      <c r="K26" s="171"/>
      <c r="L26" s="323"/>
      <c r="M26" s="176"/>
      <c r="N26" s="189"/>
      <c r="O26" s="20"/>
      <c r="P26" s="26"/>
      <c r="Q26" s="26"/>
      <c r="R26" s="245"/>
      <c r="S26" s="244"/>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row>
    <row r="27" spans="1:53" ht="15.75" x14ac:dyDescent="0.25">
      <c r="A27" s="31"/>
      <c r="B27" s="19"/>
      <c r="C27" s="19"/>
      <c r="D27" s="19"/>
      <c r="E27" s="19"/>
      <c r="F27" s="19"/>
      <c r="G27" s="73"/>
      <c r="H27" s="498"/>
      <c r="I27" s="498"/>
      <c r="J27" s="73"/>
      <c r="K27" s="387"/>
      <c r="L27" s="19"/>
      <c r="M27" s="19"/>
      <c r="N27" s="19"/>
      <c r="O27" s="20"/>
      <c r="P27" s="26"/>
      <c r="Q27" s="26"/>
      <c r="R27" s="245">
        <f>+IF(G$12+G$17+G$20-G$25=0,0,1)</f>
        <v>0</v>
      </c>
      <c r="S27" s="244"/>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row>
    <row r="28" spans="1:53" ht="15" customHeight="1" x14ac:dyDescent="0.25">
      <c r="A28" s="31"/>
      <c r="B28" s="19"/>
      <c r="C28" s="18"/>
      <c r="D28" s="19"/>
      <c r="E28" s="754"/>
      <c r="F28" s="19"/>
      <c r="G28" s="72" t="s">
        <v>686</v>
      </c>
      <c r="H28" s="18"/>
      <c r="I28" s="72"/>
      <c r="J28" s="72" t="s">
        <v>687</v>
      </c>
      <c r="K28" s="72"/>
      <c r="L28" s="72"/>
      <c r="M28" s="799" t="s">
        <v>688</v>
      </c>
      <c r="N28" s="19"/>
      <c r="O28" s="20"/>
      <c r="P28" s="26"/>
      <c r="Q28" s="26"/>
      <c r="R28" s="245">
        <f>+IF(J$12+J$17+J$20-J$25=0,0,1)</f>
        <v>0</v>
      </c>
      <c r="S28" s="244"/>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row>
    <row r="29" spans="1:53" ht="21.75" customHeight="1" x14ac:dyDescent="0.25">
      <c r="A29" s="31"/>
      <c r="B29" s="19"/>
      <c r="C29" s="18"/>
      <c r="D29" s="19"/>
      <c r="E29" s="754"/>
      <c r="F29" s="19"/>
      <c r="G29" s="1790" t="s">
        <v>825</v>
      </c>
      <c r="H29" s="673"/>
      <c r="I29" s="228"/>
      <c r="J29" s="1721" t="s">
        <v>944</v>
      </c>
      <c r="K29" s="674"/>
      <c r="L29" s="228"/>
      <c r="M29" s="1793" t="s">
        <v>26</v>
      </c>
      <c r="N29" s="19"/>
      <c r="O29" s="870"/>
      <c r="P29" s="26"/>
      <c r="Q29" s="26"/>
      <c r="R29" s="245"/>
      <c r="S29" s="244"/>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row>
    <row r="30" spans="1:53" ht="29.25" customHeight="1" x14ac:dyDescent="0.25">
      <c r="A30" s="31"/>
      <c r="B30" s="19"/>
      <c r="C30" s="18"/>
      <c r="D30" s="19"/>
      <c r="E30" s="754"/>
      <c r="F30" s="19"/>
      <c r="G30" s="1791"/>
      <c r="H30" s="673"/>
      <c r="I30" s="228"/>
      <c r="J30" s="1792"/>
      <c r="K30" s="674"/>
      <c r="L30" s="228"/>
      <c r="M30" s="1791"/>
      <c r="N30" s="19"/>
      <c r="O30" s="870"/>
      <c r="P30" s="26"/>
      <c r="Q30" s="26"/>
      <c r="R30" s="245"/>
      <c r="S30" s="244"/>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row>
    <row r="31" spans="1:53" ht="62.25" customHeight="1" x14ac:dyDescent="0.25">
      <c r="A31" s="31"/>
      <c r="B31" s="19"/>
      <c r="C31" s="18"/>
      <c r="D31" s="19"/>
      <c r="E31" s="754"/>
      <c r="F31" s="19"/>
      <c r="G31" s="794" t="s">
        <v>831</v>
      </c>
      <c r="H31" s="18"/>
      <c r="I31" s="228"/>
      <c r="J31" s="871" t="str">
        <f>+IF('Part 1'!O279="Yes", "Complete 'Part 3 DA summary' to fill this column","Do not complete this column")</f>
        <v>Do not complete this column</v>
      </c>
      <c r="K31" s="387"/>
      <c r="L31" s="228"/>
      <c r="M31" s="795" t="s">
        <v>832</v>
      </c>
      <c r="N31" s="19"/>
      <c r="O31" s="870"/>
      <c r="P31" s="26"/>
      <c r="Q31" s="26"/>
      <c r="R31" s="245"/>
      <c r="S31" s="244"/>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row>
    <row r="32" spans="1:53" ht="15" customHeight="1" thickBot="1" x14ac:dyDescent="0.3">
      <c r="A32" s="31"/>
      <c r="B32" s="19"/>
      <c r="C32" s="11" t="s">
        <v>2668</v>
      </c>
      <c r="D32" s="19"/>
      <c r="E32" s="754"/>
      <c r="F32" s="19"/>
      <c r="G32" s="73"/>
      <c r="H32" s="18"/>
      <c r="I32" s="73"/>
      <c r="J32" s="73"/>
      <c r="K32" s="387"/>
      <c r="L32" s="172"/>
      <c r="M32" s="800"/>
      <c r="N32" s="184"/>
      <c r="O32" s="20"/>
      <c r="P32" s="26"/>
      <c r="Q32" s="26"/>
      <c r="R32" s="245">
        <f>+IF(M$12+M$17+M$20-M$25=0,0,1)</f>
        <v>0</v>
      </c>
      <c r="S32" s="244"/>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row>
    <row r="33" spans="1:53" ht="16.5" thickBot="1" x14ac:dyDescent="0.3">
      <c r="A33" s="31"/>
      <c r="B33" s="19"/>
      <c r="C33" s="1703" t="s">
        <v>2707</v>
      </c>
      <c r="D33" s="1703"/>
      <c r="E33" s="1703"/>
      <c r="F33" s="19"/>
      <c r="G33" s="807">
        <v>0</v>
      </c>
      <c r="H33" s="18"/>
      <c r="I33" s="73"/>
      <c r="J33" s="805">
        <f>'Part 3 DA summary'!M6</f>
        <v>0</v>
      </c>
      <c r="K33" s="387"/>
      <c r="L33" s="172"/>
      <c r="M33" s="816">
        <f>+G33+J33</f>
        <v>0</v>
      </c>
      <c r="N33" s="186"/>
      <c r="O33" s="67"/>
      <c r="P33" s="26"/>
      <c r="Q33" s="26"/>
      <c r="R33" s="245">
        <f>IF(+G33+J33-M33=0,0,1)</f>
        <v>0</v>
      </c>
      <c r="S33" s="244"/>
      <c r="T33" s="9"/>
      <c r="U33" s="231"/>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row>
    <row r="34" spans="1:53" ht="16.5" thickBot="1" x14ac:dyDescent="0.3">
      <c r="A34" s="31"/>
      <c r="B34" s="19"/>
      <c r="C34" s="19"/>
      <c r="D34" s="19"/>
      <c r="E34" s="754"/>
      <c r="F34" s="19"/>
      <c r="G34" s="19"/>
      <c r="H34" s="18"/>
      <c r="I34" s="73"/>
      <c r="J34" s="73"/>
      <c r="K34" s="387"/>
      <c r="L34" s="172"/>
      <c r="M34" s="172"/>
      <c r="N34" s="184"/>
      <c r="O34" s="20"/>
      <c r="P34" s="26"/>
      <c r="Q34" s="26"/>
      <c r="R34" s="245"/>
      <c r="S34" s="9" t="s">
        <v>2214</v>
      </c>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row>
    <row r="35" spans="1:53" ht="16.5" thickBot="1" x14ac:dyDescent="0.3">
      <c r="A35" s="31"/>
      <c r="B35" s="19"/>
      <c r="C35" s="1703" t="s">
        <v>2706</v>
      </c>
      <c r="D35" s="1703"/>
      <c r="E35" s="1703"/>
      <c r="F35" s="19"/>
      <c r="G35" s="807">
        <v>0</v>
      </c>
      <c r="H35" s="18"/>
      <c r="I35" s="73"/>
      <c r="J35" s="805">
        <f>'Part 3 DA summary'!O6</f>
        <v>0</v>
      </c>
      <c r="K35" s="387"/>
      <c r="L35" s="172"/>
      <c r="M35" s="816">
        <f>+G35+J35</f>
        <v>0</v>
      </c>
      <c r="N35" s="184"/>
      <c r="O35" s="589"/>
      <c r="P35" s="26"/>
      <c r="Q35" s="26"/>
      <c r="R35" s="245">
        <f>IF(+G35+J35-M35=0,0,1)</f>
        <v>0</v>
      </c>
      <c r="S35" s="9">
        <f>INDEX(TierSplit!CK:CK,MATCH(Import_LA_Code,Ref_LA_Codes2,0))</f>
        <v>0</v>
      </c>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row>
    <row r="36" spans="1:53" ht="16.5" thickBot="1" x14ac:dyDescent="0.3">
      <c r="A36" s="31"/>
      <c r="B36" s="19"/>
      <c r="C36" s="19"/>
      <c r="D36" s="19"/>
      <c r="E36" s="19"/>
      <c r="F36" s="19"/>
      <c r="G36" s="19"/>
      <c r="H36" s="18"/>
      <c r="I36" s="73"/>
      <c r="J36" s="73"/>
      <c r="K36" s="387"/>
      <c r="L36" s="172"/>
      <c r="M36" s="172"/>
      <c r="N36" s="184"/>
      <c r="O36" s="589"/>
      <c r="P36" s="26"/>
      <c r="Q36" s="26"/>
      <c r="R36" s="245"/>
      <c r="S36" s="244"/>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row>
    <row r="37" spans="1:53" ht="16.5" thickBot="1" x14ac:dyDescent="0.3">
      <c r="A37" s="31"/>
      <c r="B37" s="19"/>
      <c r="C37" s="1715" t="s">
        <v>2705</v>
      </c>
      <c r="D37" s="1715"/>
      <c r="E37" s="1715"/>
      <c r="F37" s="19"/>
      <c r="G37" s="19"/>
      <c r="H37" s="18"/>
      <c r="I37" s="73"/>
      <c r="J37" s="817">
        <f>'Part 3 DA summary'!Q6</f>
        <v>0</v>
      </c>
      <c r="K37" s="387"/>
      <c r="L37" s="172"/>
      <c r="M37" s="800"/>
      <c r="N37" s="184"/>
      <c r="O37" s="20"/>
      <c r="P37" s="26"/>
      <c r="Q37" s="26"/>
      <c r="R37" s="245"/>
      <c r="S37" s="244"/>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row>
    <row r="38" spans="1:53" ht="15.75" customHeight="1" thickBot="1" x14ac:dyDescent="0.3">
      <c r="A38" s="31"/>
      <c r="B38" s="19"/>
      <c r="C38" s="185"/>
      <c r="D38" s="185"/>
      <c r="E38" s="385"/>
      <c r="F38" s="185"/>
      <c r="G38" s="19"/>
      <c r="H38" s="18"/>
      <c r="I38" s="185"/>
      <c r="J38" s="185" t="str">
        <f>IF(J37='Part 2'!J38+'Part 2'!V38,"","This should be the same as Part 2 Line 8, column 2")</f>
        <v/>
      </c>
      <c r="K38" s="387"/>
      <c r="L38" s="172"/>
      <c r="M38" s="172"/>
      <c r="N38" s="184"/>
      <c r="O38" s="20"/>
      <c r="P38" s="26"/>
      <c r="Q38" s="26"/>
      <c r="R38" s="245"/>
      <c r="S38" s="241"/>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row>
    <row r="39" spans="1:53" ht="16.5" thickBot="1" x14ac:dyDescent="0.3">
      <c r="A39" s="31"/>
      <c r="B39" s="19"/>
      <c r="C39" s="1715" t="s">
        <v>2704</v>
      </c>
      <c r="D39" s="1715"/>
      <c r="E39" s="1715"/>
      <c r="F39" s="19"/>
      <c r="G39" s="19"/>
      <c r="H39" s="19"/>
      <c r="I39" s="73"/>
      <c r="J39" s="819">
        <f>'Part 3 DA summary'!S6</f>
        <v>0</v>
      </c>
      <c r="K39" s="387"/>
      <c r="L39" s="172"/>
      <c r="M39" s="172"/>
      <c r="N39" s="184"/>
      <c r="O39" s="20"/>
      <c r="P39" s="26"/>
      <c r="Q39" s="244"/>
      <c r="R39" s="245"/>
      <c r="S39" s="241"/>
      <c r="T39" s="244"/>
      <c r="U39" s="244"/>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row>
    <row r="40" spans="1:53" ht="15.75" thickBot="1" x14ac:dyDescent="0.25">
      <c r="A40" s="31"/>
      <c r="B40" s="19"/>
      <c r="C40" s="19"/>
      <c r="D40" s="19"/>
      <c r="E40" s="19"/>
      <c r="F40" s="19"/>
      <c r="G40" s="73"/>
      <c r="H40" s="73"/>
      <c r="I40" s="73"/>
      <c r="J40" s="790"/>
      <c r="K40" s="73"/>
      <c r="L40" s="172"/>
      <c r="M40" s="172"/>
      <c r="N40" s="184"/>
      <c r="O40" s="20"/>
      <c r="P40" s="26"/>
      <c r="Q40" s="26"/>
      <c r="R40" s="245"/>
      <c r="S40" s="244"/>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row>
    <row r="41" spans="1:53" x14ac:dyDescent="0.2">
      <c r="A41" s="31"/>
      <c r="B41" s="27"/>
      <c r="C41" s="22"/>
      <c r="D41" s="22"/>
      <c r="E41" s="22"/>
      <c r="F41" s="22"/>
      <c r="G41" s="80"/>
      <c r="H41" s="499"/>
      <c r="I41" s="503"/>
      <c r="J41" s="80"/>
      <c r="K41" s="80"/>
      <c r="L41" s="175"/>
      <c r="M41" s="1798"/>
      <c r="N41" s="190"/>
      <c r="O41" s="20"/>
      <c r="P41" s="26"/>
      <c r="Q41" s="26"/>
      <c r="R41" s="245"/>
      <c r="S41" s="244"/>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row>
    <row r="42" spans="1:53" ht="16.5" thickBot="1" x14ac:dyDescent="0.3">
      <c r="A42" s="31"/>
      <c r="B42" s="28"/>
      <c r="C42" s="23" t="s">
        <v>713</v>
      </c>
      <c r="D42" s="24"/>
      <c r="E42" s="24"/>
      <c r="F42" s="24"/>
      <c r="G42" s="386"/>
      <c r="H42" s="386"/>
      <c r="I42" s="319"/>
      <c r="J42" s="386"/>
      <c r="K42" s="386"/>
      <c r="L42" s="315"/>
      <c r="M42" s="1799"/>
      <c r="N42" s="188"/>
      <c r="O42" s="20"/>
      <c r="P42" s="26"/>
      <c r="Q42" s="26"/>
      <c r="R42" s="245"/>
      <c r="S42" s="244"/>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row>
    <row r="43" spans="1:53" ht="16.5" thickBot="1" x14ac:dyDescent="0.25">
      <c r="A43" s="31"/>
      <c r="B43" s="28"/>
      <c r="C43" s="1800" t="s">
        <v>1195</v>
      </c>
      <c r="D43" s="1800"/>
      <c r="E43" s="1800"/>
      <c r="F43" s="1800"/>
      <c r="G43" s="1800"/>
      <c r="H43" s="26"/>
      <c r="I43" s="320"/>
      <c r="J43" s="808">
        <f>'Part 3 DA summary'!U6</f>
        <v>0</v>
      </c>
      <c r="K43" s="81"/>
      <c r="L43" s="172"/>
      <c r="M43" s="818">
        <f>+J43</f>
        <v>0</v>
      </c>
      <c r="N43" s="188"/>
      <c r="O43" s="67"/>
      <c r="P43" s="26"/>
      <c r="Q43" s="26"/>
      <c r="R43" s="245">
        <f>IF(+J43-M43=0,0,1)</f>
        <v>0</v>
      </c>
      <c r="S43" s="244"/>
      <c r="T43" s="9"/>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row>
    <row r="44" spans="1:53" ht="15.75" thickBot="1" x14ac:dyDescent="0.25">
      <c r="A44" s="31"/>
      <c r="B44" s="29"/>
      <c r="C44" s="25"/>
      <c r="D44" s="25"/>
      <c r="E44" s="25"/>
      <c r="F44" s="25"/>
      <c r="G44" s="25"/>
      <c r="H44" s="25"/>
      <c r="I44" s="29"/>
      <c r="J44" s="25"/>
      <c r="K44" s="25"/>
      <c r="L44" s="199"/>
      <c r="M44" s="199"/>
      <c r="N44" s="189"/>
      <c r="O44" s="20"/>
      <c r="P44" s="26"/>
      <c r="Q44" s="26"/>
      <c r="R44" s="245"/>
      <c r="S44" s="244"/>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row>
    <row r="45" spans="1:53" x14ac:dyDescent="0.2">
      <c r="A45" s="31"/>
      <c r="B45" s="423"/>
      <c r="C45" s="423"/>
      <c r="D45" s="423"/>
      <c r="E45" s="423"/>
      <c r="F45" s="423"/>
      <c r="G45" s="423"/>
      <c r="H45" s="500"/>
      <c r="I45" s="423"/>
      <c r="J45" s="423"/>
      <c r="K45" s="423"/>
      <c r="L45" s="505"/>
      <c r="M45" s="184"/>
      <c r="N45" s="184"/>
      <c r="O45" s="20"/>
      <c r="P45" s="26"/>
      <c r="Q45" s="26"/>
      <c r="R45" s="245"/>
      <c r="S45" s="244"/>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row>
    <row r="46" spans="1:53" ht="15.75" x14ac:dyDescent="0.25">
      <c r="A46" s="31"/>
      <c r="B46" s="423"/>
      <c r="C46" s="453" t="s">
        <v>1309</v>
      </c>
      <c r="D46" s="423"/>
      <c r="E46" s="423"/>
      <c r="F46" s="423"/>
      <c r="G46" s="423"/>
      <c r="H46" s="423"/>
      <c r="I46" s="423"/>
      <c r="J46" s="423"/>
      <c r="K46" s="423"/>
      <c r="L46" s="184"/>
      <c r="M46" s="184"/>
      <c r="N46" s="184"/>
      <c r="O46" s="20"/>
      <c r="P46" s="26"/>
      <c r="Q46" s="26"/>
      <c r="R46" s="245"/>
      <c r="S46" s="244"/>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row>
    <row r="47" spans="1:53" ht="15.75" thickBot="1" x14ac:dyDescent="0.25">
      <c r="A47" s="31"/>
      <c r="B47" s="423"/>
      <c r="C47" s="423"/>
      <c r="D47" s="423"/>
      <c r="E47" s="423"/>
      <c r="F47" s="423"/>
      <c r="G47" s="423"/>
      <c r="H47" s="423"/>
      <c r="I47" s="423"/>
      <c r="J47" s="423"/>
      <c r="K47" s="423"/>
      <c r="L47" s="184"/>
      <c r="M47" s="184"/>
      <c r="N47" s="184"/>
      <c r="O47" s="20"/>
      <c r="P47" s="26"/>
      <c r="Q47" s="26"/>
      <c r="R47" s="245"/>
      <c r="S47" s="244"/>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row>
    <row r="48" spans="1:53" ht="16.5" thickBot="1" x14ac:dyDescent="0.3">
      <c r="A48" s="31"/>
      <c r="B48" s="423"/>
      <c r="C48" s="1715" t="str">
        <f>IF(Local_Share_Total=1,"10. Designated Areas Qualifying Relief","10. Designated Areas Qualifying Relief: Not applicable")</f>
        <v>10. Designated Areas Qualifying Relief: Not applicable</v>
      </c>
      <c r="D48" s="1715"/>
      <c r="E48" s="1715"/>
      <c r="F48" s="423"/>
      <c r="G48" s="815">
        <f>IF(Local_Share_Total=1,(+'Part 2'!G119+'Part 2'!S119)*-1,0)</f>
        <v>0</v>
      </c>
      <c r="H48" s="18"/>
      <c r="I48" s="423"/>
      <c r="J48" s="815">
        <f>IF(Local_Share_Total=1,('Part 2'!J117+'Part 2'!V117)*-1,0)</f>
        <v>0</v>
      </c>
      <c r="K48" s="423"/>
      <c r="L48" s="172"/>
      <c r="M48" s="906">
        <f>+G48+J48</f>
        <v>0</v>
      </c>
      <c r="N48" s="184"/>
      <c r="O48" s="67"/>
      <c r="P48" s="26"/>
      <c r="Q48" s="241"/>
      <c r="R48" s="245">
        <f>IF(+G48+J48+-M48=0,0,1)</f>
        <v>0</v>
      </c>
      <c r="S48" s="244"/>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row>
    <row r="49" spans="1:53" ht="15.75" x14ac:dyDescent="0.25">
      <c r="A49" s="31"/>
      <c r="B49" s="423"/>
      <c r="C49" s="185"/>
      <c r="D49" s="423"/>
      <c r="E49" s="423"/>
      <c r="F49" s="423"/>
      <c r="G49" s="423"/>
      <c r="H49" s="18"/>
      <c r="I49" s="423"/>
      <c r="J49" s="423"/>
      <c r="K49" s="423"/>
      <c r="L49" s="172"/>
      <c r="M49" s="173"/>
      <c r="N49" s="184"/>
      <c r="O49" s="20"/>
      <c r="P49" s="26"/>
      <c r="Q49" s="241"/>
      <c r="R49" s="245"/>
      <c r="S49" s="244"/>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row>
    <row r="50" spans="1:53" x14ac:dyDescent="0.2">
      <c r="A50" s="31"/>
      <c r="B50" s="423"/>
      <c r="C50" s="423"/>
      <c r="D50" s="423"/>
      <c r="E50" s="423"/>
      <c r="F50" s="423"/>
      <c r="G50" s="423"/>
      <c r="H50" s="423"/>
      <c r="I50" s="423"/>
      <c r="J50" s="423"/>
      <c r="K50" s="423"/>
      <c r="L50" s="184"/>
      <c r="M50" s="184"/>
      <c r="N50" s="184"/>
      <c r="O50" s="20"/>
      <c r="P50" s="26"/>
      <c r="Q50" s="26"/>
      <c r="R50" s="245"/>
      <c r="S50" s="244"/>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row>
    <row r="51" spans="1:53" ht="15.75" x14ac:dyDescent="0.25">
      <c r="A51" s="31"/>
      <c r="B51" s="423"/>
      <c r="C51" s="453" t="s">
        <v>927</v>
      </c>
      <c r="D51" s="423"/>
      <c r="E51" s="423"/>
      <c r="F51" s="423"/>
      <c r="G51" s="423"/>
      <c r="H51" s="423"/>
      <c r="I51" s="423"/>
      <c r="J51" s="423"/>
      <c r="K51" s="423"/>
      <c r="L51" s="184"/>
      <c r="M51" s="184"/>
      <c r="N51" s="184"/>
      <c r="O51" s="20"/>
      <c r="P51" s="26"/>
      <c r="Q51" s="26"/>
      <c r="R51" s="245"/>
      <c r="S51" s="244"/>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row>
    <row r="52" spans="1:53" ht="16.5" thickBot="1" x14ac:dyDescent="0.3">
      <c r="A52" s="31"/>
      <c r="B52" s="423"/>
      <c r="C52" s="453"/>
      <c r="D52" s="423"/>
      <c r="E52" s="423"/>
      <c r="F52" s="423"/>
      <c r="G52" s="423"/>
      <c r="H52" s="423"/>
      <c r="I52" s="423"/>
      <c r="J52" s="423"/>
      <c r="K52" s="423"/>
      <c r="L52" s="184"/>
      <c r="M52" s="184"/>
      <c r="N52" s="184"/>
      <c r="O52" s="20"/>
      <c r="P52" s="26"/>
      <c r="Q52" s="26"/>
      <c r="R52" s="245"/>
      <c r="S52" s="244"/>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row>
    <row r="53" spans="1:53" ht="16.5" thickBot="1" x14ac:dyDescent="0.3">
      <c r="A53" s="31"/>
      <c r="B53" s="423"/>
      <c r="C53" s="13" t="str">
        <f>IF(Local_Share_Total&lt;1,"11. Designated Areas Qualifying Relief", "11. Designated Areas Qualifying Relief: Not applicable")</f>
        <v>11. Designated Areas Qualifying Relief</v>
      </c>
      <c r="D53" s="13"/>
      <c r="E53" s="13"/>
      <c r="F53" s="1032"/>
      <c r="G53" s="804">
        <f>IF(Local_Share_Total&lt;1,ROUND(('Part 2'!G119+'Part 2'!S119)*Local_Share_Total*-1,0),0)</f>
        <v>0</v>
      </c>
      <c r="H53" s="501"/>
      <c r="I53" s="423"/>
      <c r="J53" s="894">
        <f>IF(Local_Share_Total&lt;1,ROUND(('Part 2'!J117+'Part 2'!V117)*-1,0),0)</f>
        <v>0</v>
      </c>
      <c r="K53" s="423"/>
      <c r="L53" s="184"/>
      <c r="M53" s="895">
        <f>+G53+J53</f>
        <v>0</v>
      </c>
      <c r="N53" s="184"/>
      <c r="O53" s="20"/>
      <c r="P53" s="26"/>
      <c r="Q53" s="9"/>
      <c r="R53" s="245">
        <f>IF(+G53+J53-M53=0,0,1)</f>
        <v>0</v>
      </c>
      <c r="S53" s="244"/>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row>
    <row r="54" spans="1:53" x14ac:dyDescent="0.2">
      <c r="A54" s="31"/>
      <c r="B54" s="423"/>
      <c r="C54" s="423"/>
      <c r="D54" s="423"/>
      <c r="E54" s="423"/>
      <c r="F54" s="423"/>
      <c r="G54" s="423"/>
      <c r="H54" s="423"/>
      <c r="I54" s="423"/>
      <c r="J54" s="423"/>
      <c r="K54" s="423"/>
      <c r="L54" s="184"/>
      <c r="M54" s="184"/>
      <c r="N54" s="184"/>
      <c r="O54" s="20"/>
      <c r="P54" s="26"/>
      <c r="Q54" s="26"/>
      <c r="R54" s="245"/>
      <c r="S54" s="244"/>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row>
    <row r="55" spans="1:53" ht="16.5" thickBot="1" x14ac:dyDescent="0.3">
      <c r="A55" s="31"/>
      <c r="B55" s="423"/>
      <c r="C55" s="453" t="s">
        <v>937</v>
      </c>
      <c r="D55" s="423"/>
      <c r="E55" s="423"/>
      <c r="F55" s="423"/>
      <c r="G55" s="423"/>
      <c r="H55" s="423"/>
      <c r="I55" s="423"/>
      <c r="J55" s="423"/>
      <c r="K55" s="423"/>
      <c r="L55" s="184"/>
      <c r="M55" s="184"/>
      <c r="N55" s="184"/>
      <c r="O55" s="618"/>
      <c r="P55" s="9"/>
      <c r="Q55" s="26"/>
      <c r="R55" s="245"/>
      <c r="S55" s="244"/>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row>
    <row r="56" spans="1:53" ht="16.5" thickBot="1" x14ac:dyDescent="0.25">
      <c r="A56" s="31"/>
      <c r="B56" s="423"/>
      <c r="C56" s="1797" t="str">
        <f>IF('Part 1'!K16="E0104","12. In respect of Port of Bristol","12. In respect of Port of Bristol: Not applicable")</f>
        <v>12. In respect of Port of Bristol: Not applicable</v>
      </c>
      <c r="D56" s="1797"/>
      <c r="E56" s="1797"/>
      <c r="F56" s="423"/>
      <c r="G56" s="814">
        <v>0</v>
      </c>
      <c r="H56" s="423"/>
      <c r="I56" s="423"/>
      <c r="J56" s="423"/>
      <c r="K56" s="423"/>
      <c r="L56" s="184"/>
      <c r="M56" s="816">
        <f>+ROUND(G56*0.51,0)</f>
        <v>0</v>
      </c>
      <c r="N56" s="184"/>
      <c r="O56" s="618"/>
      <c r="P56" s="26"/>
      <c r="Q56" s="26"/>
      <c r="R56" s="598">
        <f>IF('Part 1'!K16="E0104",IF(M56=G56*0.51,0,1),IF(G56=0,0,1))</f>
        <v>0</v>
      </c>
      <c r="S56" s="244">
        <f>IF('Part 1'!$K15="North Somerset UA",1,0)</f>
        <v>0</v>
      </c>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row>
    <row r="57" spans="1:53" ht="15.75" thickBot="1" x14ac:dyDescent="0.25">
      <c r="A57" s="31"/>
      <c r="B57" s="423"/>
      <c r="C57" s="873"/>
      <c r="D57" s="423"/>
      <c r="E57" s="423"/>
      <c r="F57" s="423"/>
      <c r="G57" s="423"/>
      <c r="H57" s="423"/>
      <c r="I57" s="502"/>
      <c r="J57" s="423"/>
      <c r="K57" s="423"/>
      <c r="L57" s="184"/>
      <c r="M57" s="184"/>
      <c r="N57" s="184"/>
      <c r="O57" s="618"/>
      <c r="P57" s="26"/>
      <c r="Q57" s="26"/>
      <c r="R57" s="598"/>
      <c r="S57" s="244"/>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row>
    <row r="58" spans="1:53" x14ac:dyDescent="0.2">
      <c r="A58" s="31"/>
      <c r="B58" s="27"/>
      <c r="C58" s="22"/>
      <c r="D58" s="22"/>
      <c r="E58" s="22"/>
      <c r="F58" s="22"/>
      <c r="G58" s="80"/>
      <c r="H58" s="80"/>
      <c r="I58" s="318"/>
      <c r="J58" s="80"/>
      <c r="K58" s="80"/>
      <c r="L58" s="175"/>
      <c r="M58" s="1798"/>
      <c r="N58" s="190"/>
      <c r="O58" s="20"/>
      <c r="P58" s="26"/>
      <c r="Q58" s="26"/>
      <c r="R58" s="245"/>
      <c r="S58" s="244"/>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row>
    <row r="59" spans="1:53" ht="16.5" thickBot="1" x14ac:dyDescent="0.3">
      <c r="A59" s="31"/>
      <c r="B59" s="28"/>
      <c r="C59" s="14" t="s">
        <v>927</v>
      </c>
      <c r="D59" s="24"/>
      <c r="E59" s="24"/>
      <c r="F59" s="24"/>
      <c r="G59" s="386"/>
      <c r="H59" s="386"/>
      <c r="I59" s="319"/>
      <c r="J59" s="386"/>
      <c r="K59" s="386"/>
      <c r="L59" s="315"/>
      <c r="M59" s="1799"/>
      <c r="N59" s="188"/>
      <c r="O59" s="20"/>
      <c r="P59" s="26"/>
      <c r="Q59" s="26"/>
      <c r="R59" s="245"/>
      <c r="S59" s="244"/>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row>
    <row r="60" spans="1:53" ht="16.5" thickBot="1" x14ac:dyDescent="0.25">
      <c r="A60" s="31"/>
      <c r="B60" s="28"/>
      <c r="C60" s="8" t="s">
        <v>2215</v>
      </c>
      <c r="D60" s="24"/>
      <c r="E60" s="24"/>
      <c r="F60" s="24"/>
      <c r="G60" s="805">
        <f>G53+ROUND(0.51*G56,0)</f>
        <v>0</v>
      </c>
      <c r="H60" s="26"/>
      <c r="I60" s="320"/>
      <c r="J60" s="805">
        <f>J53</f>
        <v>0</v>
      </c>
      <c r="K60" s="81"/>
      <c r="L60" s="172"/>
      <c r="M60" s="818">
        <f>+G60+J60</f>
        <v>0</v>
      </c>
      <c r="N60" s="188"/>
      <c r="O60" s="67"/>
      <c r="P60" s="26"/>
      <c r="Q60" s="26"/>
      <c r="R60" s="245">
        <f>IF(+G60+J60-M60=0,0,1)</f>
        <v>0</v>
      </c>
      <c r="S60" s="244"/>
      <c r="T60" s="9"/>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row>
    <row r="61" spans="1:53" ht="15.75" thickBot="1" x14ac:dyDescent="0.25">
      <c r="A61" s="31"/>
      <c r="B61" s="29"/>
      <c r="C61" s="25"/>
      <c r="D61" s="25"/>
      <c r="E61" s="25"/>
      <c r="F61" s="25"/>
      <c r="G61" s="25"/>
      <c r="H61" s="25"/>
      <c r="I61" s="29"/>
      <c r="J61" s="25"/>
      <c r="K61" s="25"/>
      <c r="L61" s="199"/>
      <c r="M61" s="199"/>
      <c r="N61" s="189"/>
      <c r="O61" s="20"/>
      <c r="P61" s="26"/>
      <c r="Q61" s="26"/>
      <c r="R61" s="249"/>
      <c r="S61" s="244"/>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row>
    <row r="62" spans="1:53" ht="15.75" thickBot="1" x14ac:dyDescent="0.25">
      <c r="A62" s="146"/>
      <c r="B62" s="86"/>
      <c r="C62" s="86"/>
      <c r="D62" s="86"/>
      <c r="E62" s="86"/>
      <c r="F62" s="86"/>
      <c r="G62" s="86"/>
      <c r="H62" s="86"/>
      <c r="I62" s="86"/>
      <c r="J62" s="86"/>
      <c r="K62" s="86"/>
      <c r="L62" s="86"/>
      <c r="M62" s="86"/>
      <c r="N62" s="86"/>
      <c r="O62" s="147"/>
      <c r="P62" s="26"/>
      <c r="Q62" s="26"/>
      <c r="R62" s="243"/>
      <c r="S62" s="244"/>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row>
    <row r="63" spans="1:53" x14ac:dyDescent="0.2">
      <c r="A63" s="64"/>
      <c r="B63" s="65"/>
      <c r="C63" s="65"/>
      <c r="D63" s="65"/>
      <c r="E63" s="65"/>
      <c r="F63" s="65"/>
      <c r="G63" s="65"/>
      <c r="H63" s="65"/>
      <c r="I63" s="65"/>
      <c r="J63" s="65"/>
      <c r="K63" s="65"/>
      <c r="L63" s="65"/>
      <c r="M63" s="65"/>
      <c r="N63" s="65"/>
      <c r="O63" s="66"/>
      <c r="P63" s="26"/>
      <c r="Q63" s="26"/>
      <c r="R63" s="379" t="s">
        <v>25</v>
      </c>
      <c r="S63" s="244"/>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row>
    <row r="64" spans="1:53" ht="15.75" x14ac:dyDescent="0.25">
      <c r="A64" s="827"/>
      <c r="B64" s="1795" t="str">
        <f>+IF(R64&gt;0,"There are errors in the calculations in this form.  Have you over written some of the pre-filled calculations? Please check.","")</f>
        <v/>
      </c>
      <c r="C64" s="1795"/>
      <c r="D64" s="1795"/>
      <c r="E64" s="1795"/>
      <c r="F64" s="1795"/>
      <c r="G64" s="1795"/>
      <c r="H64" s="1795"/>
      <c r="I64" s="1795"/>
      <c r="J64" s="1795"/>
      <c r="K64" s="1795"/>
      <c r="L64" s="1795"/>
      <c r="M64" s="1795"/>
      <c r="N64" s="82"/>
      <c r="O64" s="1259"/>
      <c r="P64" s="26"/>
      <c r="Q64" s="26"/>
      <c r="R64" s="249">
        <f>SUM(R11:R37,R43:R60)</f>
        <v>0</v>
      </c>
      <c r="S64" s="244"/>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row>
    <row r="65" spans="1:53" ht="16.5" thickBot="1" x14ac:dyDescent="0.3">
      <c r="A65" s="16"/>
      <c r="B65" s="1796"/>
      <c r="C65" s="1796"/>
      <c r="D65" s="1796"/>
      <c r="E65" s="1796"/>
      <c r="F65" s="1796"/>
      <c r="G65" s="1796"/>
      <c r="H65" s="1796"/>
      <c r="I65" s="1796"/>
      <c r="J65" s="1796"/>
      <c r="K65" s="1796"/>
      <c r="L65" s="1796"/>
      <c r="M65" s="1796"/>
      <c r="N65" s="1260"/>
      <c r="O65" s="1258"/>
      <c r="P65" s="26"/>
      <c r="Q65" s="26"/>
      <c r="R65" s="241"/>
      <c r="S65" s="244"/>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row>
    <row r="66" spans="1:53" x14ac:dyDescent="0.2">
      <c r="C66" s="1244"/>
      <c r="D66" s="1244"/>
      <c r="E66" s="1244"/>
      <c r="F66" s="1244"/>
      <c r="G66" s="1244"/>
      <c r="H66" s="1244"/>
      <c r="I66" s="1244"/>
      <c r="J66" s="1244"/>
      <c r="K66" s="1244"/>
      <c r="L66" s="1244"/>
      <c r="M66" s="1244"/>
      <c r="N66" s="1244"/>
      <c r="O66" s="1244"/>
      <c r="P66" s="1244"/>
      <c r="Q66" s="1244"/>
    </row>
    <row r="67" spans="1:53" s="1244" customFormat="1" x14ac:dyDescent="0.2">
      <c r="S67" s="493"/>
    </row>
    <row r="68" spans="1:53" s="1244" customFormat="1" x14ac:dyDescent="0.2">
      <c r="J68" s="424"/>
      <c r="S68" s="493"/>
    </row>
    <row r="69" spans="1:53" s="1244" customFormat="1" x14ac:dyDescent="0.2">
      <c r="J69" s="798"/>
      <c r="S69" s="493"/>
    </row>
    <row r="70" spans="1:53" s="1244" customFormat="1" x14ac:dyDescent="0.2">
      <c r="S70" s="493"/>
    </row>
    <row r="71" spans="1:53" s="1244" customFormat="1" x14ac:dyDescent="0.2">
      <c r="S71" s="493"/>
    </row>
    <row r="72" spans="1:53" s="1244" customFormat="1" x14ac:dyDescent="0.2">
      <c r="S72" s="493"/>
    </row>
    <row r="73" spans="1:53" s="1244" customFormat="1" x14ac:dyDescent="0.2">
      <c r="S73" s="493"/>
    </row>
  </sheetData>
  <sheetProtection sheet="1" objects="1" scenarios="1"/>
  <mergeCells count="24">
    <mergeCell ref="C1:G1"/>
    <mergeCell ref="J4:K4"/>
    <mergeCell ref="G29:G30"/>
    <mergeCell ref="J29:J30"/>
    <mergeCell ref="M29:M30"/>
    <mergeCell ref="C25:E25"/>
    <mergeCell ref="B64:M65"/>
    <mergeCell ref="C48:E48"/>
    <mergeCell ref="C56:E56"/>
    <mergeCell ref="M58:M59"/>
    <mergeCell ref="M41:M42"/>
    <mergeCell ref="C43:G43"/>
    <mergeCell ref="C35:E35"/>
    <mergeCell ref="C33:E33"/>
    <mergeCell ref="C37:E37"/>
    <mergeCell ref="C39:E39"/>
    <mergeCell ref="R6:R8"/>
    <mergeCell ref="C17:E18"/>
    <mergeCell ref="C12:E14"/>
    <mergeCell ref="C20:E21"/>
    <mergeCell ref="G8:G9"/>
    <mergeCell ref="J8:J9"/>
    <mergeCell ref="M8:M9"/>
    <mergeCell ref="C6:E6"/>
  </mergeCells>
  <conditionalFormatting sqref="G35 J35 M35">
    <cfRule type="expression" dxfId="61" priority="19">
      <formula>$S$35="No"</formula>
    </cfRule>
  </conditionalFormatting>
  <conditionalFormatting sqref="G56">
    <cfRule type="expression" dxfId="59" priority="292">
      <formula>AND($S$56=1)=FALSE</formula>
    </cfRule>
  </conditionalFormatting>
  <conditionalFormatting sqref="M56">
    <cfRule type="expression" dxfId="53" priority="37">
      <formula>AND($S$56=1)=FALSE</formula>
    </cfRule>
  </conditionalFormatting>
  <conditionalFormatting sqref="O25">
    <cfRule type="expression" dxfId="52" priority="30">
      <formula>AND($R25=0)=FALSE</formula>
    </cfRule>
  </conditionalFormatting>
  <conditionalFormatting sqref="O48">
    <cfRule type="expression" dxfId="51" priority="28">
      <formula>AND($R48=0)=FALSE</formula>
    </cfRule>
  </conditionalFormatting>
  <dataValidations count="18">
    <dataValidation type="whole" operator="greaterThanOrEqual" allowBlank="1" showInputMessage="1" showErrorMessage="1" errorTitle="Positive whole number required" error="This number MUST be a positive whole number" sqref="G33 G35 G56" xr:uid="{00000000-0002-0000-0300-000000000000}">
      <formula1>0</formula1>
    </dataValidation>
    <dataValidation type="whole" operator="lessThanOrEqual" allowBlank="1" showInputMessage="1" showErrorMessage="1" errorTitle="Negative whole number required" error="This number MUST be a negative whole number" sqref="G17 G20" xr:uid="{00000000-0002-0000-0300-000001000000}">
      <formula1>0</formula1>
    </dataValidation>
    <dataValidation type="custom" allowBlank="1" showInputMessage="1" showErrorMessage="1" error="Do not try to enter data here_x000a_" sqref="J68" xr:uid="{00000000-0002-0000-0300-000004000000}">
      <formula1>"if(z217=""n/a"")"</formula1>
    </dataValidation>
    <dataValidation type="custom" allowBlank="1" showInputMessage="1" showErrorMessage="1" error="Data entry is not allowed in this cell" sqref="J60 M56 G60 G53 M20 M25 J53 M17 M33 M35 J48 G48 M43 M48 M60 M53 J25 G12 J12 M12 G25" xr:uid="{B9FBB173-A2FC-429F-A090-25254BDE12E8}">
      <formula1>"az1=""na"""</formula1>
    </dataValidation>
    <dataValidation allowBlank="1" showInputMessage="1" showErrorMessage="1" prompt="This data is from 'Part 2 - Line 43' and is being used in 'Part 3 - line 4'." sqref="C12:E14" xr:uid="{97ABA3D6-78CE-4FC1-B119-DDE9D254EC08}"/>
    <dataValidation type="custom" allowBlank="1" showInputMessage="1" showErrorMessage="1" error="Data entry is not allowed in this cell" prompt="This data is being taken from the disregarded amount totals in 'Part 3 DA summary'" sqref="J33 J35 J37 J39 J43" xr:uid="{97411C44-0FE0-4400-A2F3-5BBC8237E3AA}">
      <formula1>"az1=""na"""</formula1>
    </dataValidation>
    <dataValidation allowBlank="1" showInputMessage="1" showErrorMessage="1" prompt="This is the total of 'Part 3 - lines 1, 2 &amp; 3'" sqref="C25:E25" xr:uid="{976B408A-79B6-4420-9ACB-90B5E9241A6F}"/>
    <dataValidation allowBlank="1" showInputMessage="1" showErrorMessage="1" prompt="This data is being used in 'Part 1 - Line 1', 'Part 1 - Line 25' and 'Part 3 - line 4'." sqref="C17:E18" xr:uid="{BDEF05A5-8065-4DFF-9F16-232976A29448}"/>
    <dataValidation allowBlank="1" showInputMessage="1" showErrorMessage="1" prompt="This data is being used in 'Part 1 - line 1', 'Part 1 - line 25' and 'Part 3 - line 4'." sqref="C20:E21" xr:uid="{220BB650-7B93-4BD0-9B27-F6214ED116A2}"/>
    <dataValidation allowBlank="1" showInputMessage="1" showErrorMessage="1" prompt="This data is being used in 'Part 1 - line 9' and 'Part 1 - line 25'." sqref="C33:E33" xr:uid="{69214120-D7C0-403D-A542-4DB5C3412D9C}"/>
    <dataValidation allowBlank="1" showInputMessage="1" showErrorMessage="1" prompt="This data is being used in 'Part 1 - line 10' and 'Part 1 - line 25'." sqref="C35:E35" xr:uid="{3A8F18BB-0101-4C28-BCA3-96FC1B233B03}"/>
    <dataValidation allowBlank="1" showInputMessage="1" showErrorMessage="1" prompt="This data is being used in 'Part 1 - line 8' and 'Part 1 - line 25'." sqref="C43:G43" xr:uid="{750FF8E6-21F1-46D9-8492-BE0224AD7C09}"/>
    <dataValidation allowBlank="1" showInputMessage="1" showErrorMessage="1" prompt="This data is pulled from 'Part 3 DA summary - column 7'." sqref="C37:E37" xr:uid="{CD9E00CB-ABCC-4E03-97E0-DD34CE9F2AE9}"/>
    <dataValidation allowBlank="1" showInputMessage="1" showErrorMessage="1" prompt="This data is pulled from 'Part 3 DA summary - column 8'." sqref="C39:E39" xr:uid="{A057AF25-85C1-4C02-9FD1-98687620BC77}"/>
    <dataValidation type="custom" allowBlank="1" showInputMessage="1" showErrorMessage="1" error="Data entry is not allowed in this cell" prompt="This data is being taken from the collectable rate totals in 'Part 3 DA summary'" sqref="J20" xr:uid="{BDA785DF-873F-440C-9268-7FD934374BE1}">
      <formula1>"az1=""na"""</formula1>
    </dataValidation>
    <dataValidation type="custom" allowBlank="1" showInputMessage="1" showErrorMessage="1" error="Data entry is not allowed in this cell" prompt="This data is being taken from the collectable rates totals in 'Part 3 DA summary'" sqref="J17" xr:uid="{1690B260-CEE5-4C83-9146-A3C79B880284}">
      <formula1>"az1=""na"""</formula1>
    </dataValidation>
    <dataValidation allowBlank="1" showInputMessage="1" showErrorMessage="1" prompt="This data is being taken from 'Part 2 - line 29' and 'Part 2 - line 30', this data is then being used in 'Part 1 - line 31'." sqref="C48:E48" xr:uid="{B88714D1-C32B-4E76-9D3E-30D0A781C518}"/>
    <dataValidation allowBlank="1" showInputMessage="1" showErrorMessage="1" prompt="This data is being used in 'Part 3 - line 13'" sqref="C53 C56:E56" xr:uid="{5102B3D9-4257-4FC6-B7DA-A773809D013E}"/>
  </dataValidations>
  <printOptions horizontalCentered="1" verticalCentered="1"/>
  <pageMargins left="0.39370078740157483" right="0.39370078740157483" top="0.59055118110236227" bottom="0.59055118110236227" header="0.51181102362204722" footer="0.51181102362204722"/>
  <pageSetup paperSize="9" scale="66" orientation="portrait" r:id="rId1"/>
  <headerFooter alignWithMargins="0">
    <oddHeader>&amp;C&amp;"Calibri"&amp;10&amp;K000000 OFFICIAL&amp;1#_x000D_</oddHeader>
    <oddFooter>&amp;C_x000D_&amp;1#&amp;"Calibri"&amp;10&amp;K000000 OFFICIAL</oddFooter>
  </headerFooter>
  <extLst>
    <ext xmlns:x14="http://schemas.microsoft.com/office/spreadsheetml/2009/9/main" uri="{78C0D931-6437-407d-A8EE-F0AAD7539E65}">
      <x14:conditionalFormattings>
        <x14:conditionalFormatting xmlns:xm="http://schemas.microsoft.com/office/excel/2006/main">
          <x14:cfRule type="expression" priority="335" id="{6644699C-99BB-40FB-B1F1-DDC605457CCB}">
            <xm:f>AND(VLOOKUP('Part 1'!$K16,TierSplit!$A$6:$CI$302,10,FALSE)&lt;1)=TRUE</xm:f>
            <x14:dxf>
              <fill>
                <patternFill>
                  <bgColor theme="0" tint="-0.14996795556505021"/>
                </patternFill>
              </fill>
            </x14:dxf>
          </x14:cfRule>
          <xm:sqref>G48 J48 M48</xm:sqref>
        </x14:conditionalFormatting>
        <x14:conditionalFormatting xmlns:xm="http://schemas.microsoft.com/office/excel/2006/main">
          <x14:cfRule type="expression" priority="2" id="{96D1767E-036F-4CA4-8F81-A700ECA5AD5D}">
            <xm:f>AND('Part 1'!$O$279&lt;&gt;"Yes")=TRUE</xm:f>
            <x14:dxf>
              <fill>
                <patternFill>
                  <bgColor theme="0" tint="-0.14996795556505021"/>
                </patternFill>
              </fill>
            </x14:dxf>
          </x14:cfRule>
          <xm:sqref>I11:K61</xm:sqref>
        </x14:conditionalFormatting>
        <x14:conditionalFormatting xmlns:xm="http://schemas.microsoft.com/office/excel/2006/main">
          <x14:cfRule type="expression" priority="11" id="{78ECD3CE-3901-46C3-84AC-CDE1DC9D4AEB}">
            <xm:f>'Part 1'!$O$279=0</xm:f>
            <x14:dxf>
              <font>
                <color theme="0" tint="-0.14996795556505021"/>
              </font>
              <fill>
                <patternFill>
                  <bgColor theme="0" tint="-0.14996795556505021"/>
                </patternFill>
              </fill>
            </x14:dxf>
          </x14:cfRule>
          <xm:sqref>I32:K61</xm:sqref>
        </x14:conditionalFormatting>
        <x14:conditionalFormatting xmlns:xm="http://schemas.microsoft.com/office/excel/2006/main">
          <x14:cfRule type="expression" priority="1" id="{F8E7BB70-ED9B-456C-BFD7-364B1E98A92A}">
            <xm:f>AND('Part 1'!$O$279&lt;&gt;"Yes")=TRUE</xm:f>
            <x14:dxf>
              <font>
                <strike val="0"/>
                <color theme="0" tint="-0.14996795556505021"/>
              </font>
              <fill>
                <patternFill>
                  <bgColor theme="0" tint="-0.14996795556505021"/>
                </patternFill>
              </fill>
              <border>
                <left/>
                <right/>
                <top/>
                <bottom/>
              </border>
            </x14:dxf>
          </x14:cfRule>
          <xm:sqref>J11:J20 J25 J33:J39 J43 J48 J53 J60</xm:sqref>
        </x14:conditionalFormatting>
        <x14:conditionalFormatting xmlns:xm="http://schemas.microsoft.com/office/excel/2006/main">
          <x14:cfRule type="expression" priority="332" id="{8783E2F7-2139-411C-962D-CA323F00108F}">
            <xm:f>AND(VLOOKUP('Part 1'!$K16,TierSplit!$A$6:$CI$302,10,FALSE)&gt;0.75)=TRUE</xm:f>
            <x14:dxf>
              <fill>
                <patternFill>
                  <bgColor theme="0" tint="-0.24994659260841701"/>
                </patternFill>
              </fill>
            </x14:dxf>
          </x14:cfRule>
          <xm:sqref>J53 G53 M53</xm:sqref>
        </x14:conditionalFormatting>
        <x14:conditionalFormatting xmlns:xm="http://schemas.microsoft.com/office/excel/2006/main">
          <x14:cfRule type="expression" priority="338" id="{9AA75E75-0765-47B7-9F03-CB71BEA658C1}">
            <xm:f>AND(VLOOKUP('Part 1'!$K16,TierSplit!$A$6:$CI$302,10,FALSE)&lt;1)=FALSE</xm:f>
            <x14:dxf>
              <fill>
                <patternFill>
                  <bgColor theme="0" tint="-0.24994659260841701"/>
                </patternFill>
              </fill>
            </x14:dxf>
          </x14:cfRule>
          <xm:sqref>J60 G60 M60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fitToPage="1"/>
  </sheetPr>
  <dimension ref="A1:BA60"/>
  <sheetViews>
    <sheetView topLeftCell="A4" zoomScaleNormal="100" workbookViewId="0">
      <selection activeCell="A5" sqref="A5"/>
    </sheetView>
  </sheetViews>
  <sheetFormatPr defaultColWidth="9.140625" defaultRowHeight="15" x14ac:dyDescent="0.2"/>
  <cols>
    <col min="1" max="1" width="6.85546875" style="1660" customWidth="1"/>
    <col min="2" max="2" width="11" style="1660" hidden="1" customWidth="1"/>
    <col min="3" max="3" width="107.140625" style="1660" customWidth="1"/>
    <col min="4" max="4" width="3.7109375" style="1660" customWidth="1"/>
    <col min="5" max="5" width="32.7109375" style="1660" customWidth="1"/>
    <col min="6" max="6" width="3.5703125" style="1660" customWidth="1"/>
    <col min="7" max="7" width="20.7109375" style="1660" customWidth="1"/>
    <col min="8" max="8" width="3.7109375" style="1660" customWidth="1"/>
    <col min="9" max="9" width="20.7109375" style="1660" customWidth="1"/>
    <col min="10" max="10" width="3.7109375" style="1660" customWidth="1"/>
    <col min="11" max="11" width="25.5703125" style="1660" customWidth="1"/>
    <col min="12" max="12" width="3.7109375" style="1660" customWidth="1"/>
    <col min="13" max="13" width="26.42578125" style="1660" customWidth="1"/>
    <col min="14" max="14" width="3.5703125" style="1660" customWidth="1"/>
    <col min="15" max="15" width="26.42578125" style="1660" customWidth="1"/>
    <col min="16" max="16" width="3.5703125" style="1660" customWidth="1"/>
    <col min="17" max="17" width="29.7109375" style="1660" customWidth="1"/>
    <col min="18" max="18" width="3.7109375" style="1660" customWidth="1"/>
    <col min="19" max="19" width="24.85546875" style="1660" customWidth="1"/>
    <col min="20" max="20" width="3.5703125" style="1660" customWidth="1"/>
    <col min="21" max="21" width="20.7109375" style="1660" customWidth="1"/>
    <col min="22" max="22" width="3.5703125" style="1660" customWidth="1"/>
    <col min="23" max="23" width="35.7109375" style="1660" customWidth="1"/>
    <col min="24" max="24" width="3.85546875" style="1660" customWidth="1"/>
    <col min="25" max="25" width="34.7109375" style="1660" customWidth="1"/>
    <col min="26" max="26" width="2.28515625" style="1660" customWidth="1"/>
    <col min="27" max="27" width="3" style="1660" customWidth="1"/>
    <col min="28" max="28" width="9.5703125" style="1667" hidden="1" customWidth="1"/>
    <col min="29" max="29" width="12.28515625" style="1668" hidden="1" customWidth="1"/>
    <col min="30" max="30" width="13.28515625" style="1669" hidden="1" customWidth="1"/>
    <col min="31" max="31" width="14.42578125" style="1670" hidden="1" customWidth="1"/>
    <col min="32" max="53" width="9.140625" style="1660" hidden="1" customWidth="1"/>
    <col min="54" max="93" width="9.140625" style="1660" customWidth="1"/>
    <col min="94" max="16384" width="9.140625" style="1660"/>
  </cols>
  <sheetData>
    <row r="1" spans="1:53" ht="23.25" x14ac:dyDescent="0.35">
      <c r="A1" s="1810" t="s">
        <v>944</v>
      </c>
      <c r="B1" s="1811"/>
      <c r="C1" s="1811"/>
      <c r="D1" s="1811"/>
      <c r="E1" s="1811"/>
      <c r="F1" s="1811"/>
      <c r="G1" s="1811"/>
      <c r="H1" s="1811"/>
      <c r="I1" s="1811"/>
      <c r="J1" s="1811"/>
      <c r="K1" s="1811"/>
      <c r="L1" s="1811"/>
      <c r="M1" s="1811"/>
      <c r="N1" s="1811"/>
      <c r="O1" s="1811"/>
      <c r="P1" s="1811"/>
      <c r="Q1" s="1811"/>
      <c r="R1" s="1811"/>
      <c r="S1" s="1811"/>
      <c r="T1" s="1811"/>
      <c r="U1" s="1811"/>
      <c r="V1" s="1811"/>
      <c r="W1" s="1811"/>
      <c r="X1" s="1811"/>
      <c r="Y1" s="1811"/>
      <c r="Z1" s="1811"/>
      <c r="AA1" s="1812"/>
      <c r="AB1" s="465"/>
      <c r="AC1" s="464"/>
      <c r="AD1" s="1263"/>
      <c r="AE1" s="1270"/>
      <c r="AF1" s="462"/>
      <c r="AG1" s="462"/>
      <c r="AH1" s="462"/>
      <c r="AI1" s="462"/>
      <c r="AJ1" s="462"/>
      <c r="AK1" s="462"/>
      <c r="AL1" s="462"/>
      <c r="AM1" s="462"/>
      <c r="AN1" s="462"/>
      <c r="AO1" s="462"/>
      <c r="AP1" s="462"/>
      <c r="AQ1" s="462"/>
      <c r="AR1" s="462"/>
      <c r="AS1" s="462"/>
      <c r="AT1" s="462"/>
      <c r="AU1" s="462"/>
      <c r="AV1" s="462"/>
      <c r="AW1" s="462"/>
      <c r="AX1" s="462"/>
      <c r="AY1" s="462"/>
      <c r="AZ1" s="462"/>
      <c r="BA1" s="462"/>
    </row>
    <row r="2" spans="1:53" ht="21" customHeight="1" x14ac:dyDescent="0.2">
      <c r="A2" s="461"/>
      <c r="B2" s="492"/>
      <c r="C2" s="481"/>
      <c r="D2" s="481"/>
      <c r="E2" s="481"/>
      <c r="F2" s="481"/>
      <c r="G2" s="491"/>
      <c r="H2" s="488"/>
      <c r="I2" s="487"/>
      <c r="J2" s="479"/>
      <c r="K2" s="486"/>
      <c r="L2" s="482"/>
      <c r="M2" s="481"/>
      <c r="N2" s="481"/>
      <c r="O2" s="481"/>
      <c r="P2" s="481"/>
      <c r="Q2" s="491"/>
      <c r="R2" s="488"/>
      <c r="S2" s="487"/>
      <c r="T2" s="486"/>
      <c r="U2" s="486"/>
      <c r="V2" s="486"/>
      <c r="W2" s="481"/>
      <c r="X2" s="481"/>
      <c r="Y2" s="487"/>
      <c r="Z2" s="479"/>
      <c r="AA2" s="478"/>
      <c r="AB2" s="490"/>
      <c r="AC2" s="464"/>
      <c r="AD2" s="1263"/>
      <c r="AE2" s="1270"/>
      <c r="AF2" s="462"/>
      <c r="AG2" s="462"/>
      <c r="AH2" s="462"/>
      <c r="AI2" s="462"/>
      <c r="AJ2" s="462"/>
      <c r="AK2" s="462"/>
      <c r="AL2" s="462"/>
      <c r="AM2" s="462"/>
      <c r="AN2" s="462"/>
      <c r="AO2" s="462"/>
      <c r="AP2" s="462"/>
      <c r="AQ2" s="462"/>
      <c r="AR2" s="462"/>
      <c r="AS2" s="462"/>
      <c r="AT2" s="462"/>
      <c r="AU2" s="462"/>
      <c r="AV2" s="462"/>
      <c r="AW2" s="462"/>
      <c r="AX2" s="462"/>
      <c r="AY2" s="462"/>
      <c r="AZ2" s="462"/>
      <c r="BA2" s="462"/>
    </row>
    <row r="3" spans="1:53" ht="23.25" x14ac:dyDescent="0.2">
      <c r="A3" s="461"/>
      <c r="B3" s="492"/>
      <c r="C3" s="507" t="str">
        <f>IF(ISERROR(INDEX('LA List'!C:C,MATCH(E3,'LA List'!B:B,0))),'Part 1'!K$15,INDEX('LA List'!C:C,MATCH(E3,'LA List'!B:B,0)))</f>
        <v>ZZZZ</v>
      </c>
      <c r="D3" s="489"/>
      <c r="E3" s="904" t="str">
        <f>'Part 1'!K16</f>
        <v>EZZZZ</v>
      </c>
      <c r="F3" s="488"/>
      <c r="G3" s="487"/>
      <c r="H3" s="479"/>
      <c r="I3" s="486"/>
      <c r="J3" s="482"/>
      <c r="K3" s="489"/>
      <c r="L3" s="489"/>
      <c r="M3" s="487"/>
      <c r="N3" s="488"/>
      <c r="O3" s="488"/>
      <c r="P3" s="488"/>
      <c r="Q3" s="487"/>
      <c r="R3" s="479"/>
      <c r="S3" s="486"/>
      <c r="T3" s="489"/>
      <c r="U3" s="489"/>
      <c r="V3" s="489"/>
      <c r="W3" s="487"/>
      <c r="X3" s="488"/>
      <c r="Y3" s="486"/>
      <c r="Z3" s="482"/>
      <c r="AA3" s="478"/>
      <c r="AB3" s="463"/>
      <c r="AC3" s="468"/>
      <c r="AD3" s="1264"/>
      <c r="AE3" s="1264"/>
      <c r="AF3" s="462"/>
      <c r="AG3" s="462"/>
      <c r="AH3" s="462"/>
      <c r="AI3" s="462"/>
      <c r="AJ3" s="462"/>
      <c r="AK3" s="462"/>
      <c r="AL3" s="462"/>
      <c r="AM3" s="462"/>
      <c r="AN3" s="462"/>
      <c r="AO3" s="462"/>
      <c r="AP3" s="462"/>
      <c r="AQ3" s="462"/>
      <c r="AR3" s="462"/>
      <c r="AS3" s="462"/>
      <c r="AT3" s="462"/>
      <c r="AU3" s="462"/>
      <c r="AV3" s="462"/>
      <c r="AW3" s="462"/>
      <c r="AX3" s="462"/>
      <c r="AY3" s="462"/>
      <c r="AZ3" s="462"/>
      <c r="BA3" s="462"/>
    </row>
    <row r="4" spans="1:53" ht="23.25" x14ac:dyDescent="0.2">
      <c r="A4" s="461"/>
      <c r="B4" s="489"/>
      <c r="C4" s="512"/>
      <c r="D4" s="489"/>
      <c r="E4" s="1822" t="s">
        <v>3062</v>
      </c>
      <c r="F4" s="1823"/>
      <c r="G4" s="1823"/>
      <c r="H4" s="1823"/>
      <c r="I4" s="1823"/>
      <c r="J4" s="1823"/>
      <c r="K4" s="1824"/>
      <c r="L4" s="482"/>
      <c r="M4" s="1822" t="s">
        <v>926</v>
      </c>
      <c r="N4" s="1823"/>
      <c r="O4" s="1823"/>
      <c r="P4" s="1823"/>
      <c r="Q4" s="1823"/>
      <c r="R4" s="1823"/>
      <c r="S4" s="1823"/>
      <c r="T4" s="1823"/>
      <c r="U4" s="1824"/>
      <c r="V4" s="486"/>
      <c r="W4" s="1822" t="s">
        <v>5691</v>
      </c>
      <c r="X4" s="1818"/>
      <c r="Y4" s="1818"/>
      <c r="Z4" s="542"/>
      <c r="AA4" s="478"/>
      <c r="AB4" s="465"/>
      <c r="AC4" s="464"/>
      <c r="AD4" s="1263"/>
      <c r="AE4" s="1271"/>
      <c r="AF4" s="462"/>
      <c r="AG4" s="462"/>
      <c r="AH4" s="462"/>
      <c r="AI4" s="462"/>
      <c r="AJ4" s="462"/>
      <c r="AK4" s="462"/>
      <c r="AL4" s="462"/>
      <c r="AM4" s="462"/>
      <c r="AN4" s="462"/>
      <c r="AO4" s="462"/>
      <c r="AP4" s="462"/>
      <c r="AQ4" s="462"/>
      <c r="AR4" s="462"/>
      <c r="AS4" s="462"/>
      <c r="AT4" s="462"/>
      <c r="AU4" s="462"/>
      <c r="AV4" s="462"/>
      <c r="AW4" s="462"/>
      <c r="AX4" s="462"/>
      <c r="AY4" s="462"/>
      <c r="AZ4" s="462"/>
      <c r="BA4" s="462"/>
    </row>
    <row r="5" spans="1:53" ht="17.25" thickBot="1" x14ac:dyDescent="0.25">
      <c r="A5" s="461"/>
      <c r="B5" s="466"/>
      <c r="C5" s="466"/>
      <c r="D5" s="485"/>
      <c r="E5" s="533"/>
      <c r="F5" s="483"/>
      <c r="G5" s="483"/>
      <c r="H5" s="483"/>
      <c r="I5" s="483"/>
      <c r="J5" s="483"/>
      <c r="K5" s="534"/>
      <c r="L5" s="482"/>
      <c r="M5" s="533"/>
      <c r="N5" s="483"/>
      <c r="O5" s="483"/>
      <c r="P5" s="483"/>
      <c r="Q5" s="483"/>
      <c r="R5" s="483"/>
      <c r="S5" s="483"/>
      <c r="T5" s="484"/>
      <c r="U5" s="534"/>
      <c r="V5" s="484"/>
      <c r="W5" s="533"/>
      <c r="X5" s="483"/>
      <c r="Y5" s="483"/>
      <c r="Z5" s="543"/>
      <c r="AA5" s="478"/>
      <c r="AB5" s="465"/>
      <c r="AC5" s="464"/>
      <c r="AD5" s="1263"/>
      <c r="AE5" s="1271"/>
      <c r="AF5" s="462"/>
      <c r="AG5" s="462"/>
      <c r="AH5" s="462"/>
      <c r="AI5" s="462"/>
      <c r="AJ5" s="462"/>
      <c r="AK5" s="462"/>
      <c r="AL5" s="462"/>
      <c r="AM5" s="462"/>
      <c r="AN5" s="462"/>
      <c r="AO5" s="462"/>
      <c r="AP5" s="462"/>
      <c r="AQ5" s="462"/>
      <c r="AR5" s="462"/>
      <c r="AS5" s="462"/>
      <c r="AT5" s="462"/>
      <c r="AU5" s="462"/>
      <c r="AV5" s="462"/>
      <c r="AW5" s="462"/>
      <c r="AX5" s="462"/>
      <c r="AY5" s="462"/>
      <c r="AZ5" s="462"/>
      <c r="BA5" s="462"/>
    </row>
    <row r="6" spans="1:53" ht="21" thickBot="1" x14ac:dyDescent="0.25">
      <c r="A6" s="461"/>
      <c r="B6" s="466"/>
      <c r="C6" s="506" t="s">
        <v>954</v>
      </c>
      <c r="D6" s="485"/>
      <c r="E6" s="535">
        <f>SUM(E13:E53)</f>
        <v>0</v>
      </c>
      <c r="F6" s="472"/>
      <c r="G6" s="522">
        <f>SUM(G13:G53)</f>
        <v>0</v>
      </c>
      <c r="H6" s="471"/>
      <c r="I6" s="522">
        <f>SUM(I13:I53)</f>
        <v>0</v>
      </c>
      <c r="J6" s="471"/>
      <c r="K6" s="536">
        <f>SUM(K13:K53)</f>
        <v>0</v>
      </c>
      <c r="L6" s="473"/>
      <c r="M6" s="535">
        <f>SUM(M13:M53)</f>
        <v>0</v>
      </c>
      <c r="N6" s="472"/>
      <c r="O6" s="522">
        <f>SUM(O13:O53)</f>
        <v>0</v>
      </c>
      <c r="P6" s="472"/>
      <c r="Q6" s="522">
        <f>SUM(Q13:Q53)</f>
        <v>0</v>
      </c>
      <c r="R6" s="471"/>
      <c r="S6" s="522">
        <f>SUM(S13:S53)</f>
        <v>0</v>
      </c>
      <c r="T6" s="471"/>
      <c r="U6" s="536">
        <f>SUM(U13:U53)</f>
        <v>0</v>
      </c>
      <c r="V6" s="471"/>
      <c r="W6" s="535">
        <f>SUM(W13:W53)</f>
        <v>0</v>
      </c>
      <c r="X6" s="472"/>
      <c r="Y6" s="522">
        <f>SUM(Y13:Y53)</f>
        <v>0</v>
      </c>
      <c r="Z6" s="544"/>
      <c r="AA6" s="478"/>
      <c r="AB6" s="465"/>
      <c r="AC6" s="464"/>
      <c r="AD6" s="1263"/>
      <c r="AE6" s="1271"/>
      <c r="AF6" s="462"/>
      <c r="AG6" s="462"/>
      <c r="AH6" s="462"/>
      <c r="AI6" s="462"/>
      <c r="AJ6" s="462"/>
      <c r="AK6" s="462"/>
      <c r="AL6" s="462"/>
      <c r="AM6" s="462"/>
      <c r="AN6" s="462"/>
      <c r="AO6" s="462"/>
      <c r="AP6" s="462"/>
      <c r="AQ6" s="462"/>
      <c r="AR6" s="462"/>
      <c r="AS6" s="462"/>
      <c r="AT6" s="462"/>
      <c r="AU6" s="462"/>
      <c r="AV6" s="462"/>
      <c r="AW6" s="462"/>
      <c r="AX6" s="462"/>
      <c r="AY6" s="462"/>
      <c r="AZ6" s="462"/>
      <c r="BA6" s="462"/>
    </row>
    <row r="7" spans="1:53" s="1661" customFormat="1" ht="41.25" customHeight="1" x14ac:dyDescent="0.2">
      <c r="A7" s="625"/>
      <c r="B7" s="626"/>
      <c r="C7" s="626"/>
      <c r="D7" s="626"/>
      <c r="E7" s="1523" t="str">
        <f>IF(E6='Part 2'!$J$166+'Part 2'!V166,"",_xlfn.CONCAT("Cell E6 is not equal to Part 2 Line 44 column 2+5 (which has a value of ",'Part 2'!J166+'Part 2'!V166,"). Please correct this."))</f>
        <v/>
      </c>
      <c r="F7" s="626"/>
      <c r="G7" s="627" t="str">
        <f>IF(G6='Part 3'!J17,"","Not equal to Part 3 Line 2 column 2")</f>
        <v/>
      </c>
      <c r="H7" s="628"/>
      <c r="I7" s="627" t="str">
        <f>IF(I6='Part 3'!J20,"","Not equal to Part 3 Line 3 column 2")</f>
        <v/>
      </c>
      <c r="J7" s="628"/>
      <c r="K7" s="629" t="str">
        <f>IF(K6=SUM(K13:K53),"","Total does not equal to sum of rows")</f>
        <v/>
      </c>
      <c r="L7" s="630"/>
      <c r="M7" s="631" t="str">
        <f>IF(M6=SUM(M13:M53),"","Total does not equal to sum of rows")</f>
        <v/>
      </c>
      <c r="N7" s="626"/>
      <c r="O7" s="627" t="str">
        <f>IF(O6=SUM(O13:O53),"","Total does not equal to sum of rows")</f>
        <v/>
      </c>
      <c r="P7" s="626"/>
      <c r="Q7" s="628" t="str">
        <f>IF(Q6='Part 2'!J38+'Part 2'!V38,"","Not equal to Part 2 Line 8 columns 2+5")</f>
        <v/>
      </c>
      <c r="R7" s="628"/>
      <c r="S7" s="627" t="str">
        <f>IF(S6=SUM(S13:S53),"","Total does not equal to sum of rows")</f>
        <v/>
      </c>
      <c r="T7" s="632"/>
      <c r="U7" s="629" t="str">
        <f>IF(U6=SUM(U13:U53),"","Total does not equal to sum of rows")</f>
        <v/>
      </c>
      <c r="V7" s="632"/>
      <c r="W7" s="1825" t="str">
        <f>IF(W6=('Part 2'!J117+'Part 2'!V117)*-1,"","Not equal to Part 2 Line 30 multiplied by -1")</f>
        <v/>
      </c>
      <c r="X7" s="626"/>
      <c r="Y7" s="1815"/>
      <c r="Z7" s="1816"/>
      <c r="AA7" s="633"/>
      <c r="AB7" s="634"/>
      <c r="AC7" s="635"/>
      <c r="AD7" s="1265"/>
      <c r="AE7" s="614"/>
      <c r="AF7" s="636"/>
      <c r="AG7" s="636"/>
      <c r="AH7" s="636"/>
      <c r="AI7" s="636"/>
      <c r="AJ7" s="636"/>
      <c r="AK7" s="636"/>
      <c r="AL7" s="636"/>
      <c r="AM7" s="636"/>
      <c r="AN7" s="636"/>
      <c r="AO7" s="636"/>
      <c r="AP7" s="636"/>
      <c r="AQ7" s="636"/>
      <c r="AR7" s="636"/>
      <c r="AS7" s="636"/>
      <c r="AT7" s="636"/>
      <c r="AU7" s="636"/>
      <c r="AV7" s="636"/>
      <c r="AW7" s="636"/>
      <c r="AX7" s="636"/>
      <c r="AY7" s="636"/>
      <c r="AZ7" s="636"/>
      <c r="BA7" s="636"/>
    </row>
    <row r="8" spans="1:53" s="495" customFormat="1" ht="18.75" customHeight="1" x14ac:dyDescent="0.2">
      <c r="A8" s="557"/>
      <c r="B8" s="466"/>
      <c r="C8" s="466"/>
      <c r="D8" s="481"/>
      <c r="E8" s="551"/>
      <c r="F8" s="481"/>
      <c r="G8" s="555"/>
      <c r="H8" s="555"/>
      <c r="I8" s="555"/>
      <c r="J8" s="555"/>
      <c r="K8" s="556"/>
      <c r="L8" s="555"/>
      <c r="M8" s="537"/>
      <c r="N8" s="481"/>
      <c r="O8" s="481"/>
      <c r="P8" s="481"/>
      <c r="Q8" s="555"/>
      <c r="R8" s="555"/>
      <c r="S8" s="555"/>
      <c r="T8" s="555"/>
      <c r="U8" s="556"/>
      <c r="V8" s="555"/>
      <c r="W8" s="1826"/>
      <c r="X8" s="555"/>
      <c r="Y8" s="555"/>
      <c r="Z8" s="556"/>
      <c r="AA8" s="558"/>
      <c r="AB8" s="465"/>
      <c r="AC8" s="559"/>
      <c r="AD8" s="1266"/>
      <c r="AE8" s="1271"/>
      <c r="AF8" s="560"/>
      <c r="AG8" s="560"/>
      <c r="AH8" s="560"/>
      <c r="AI8" s="560"/>
      <c r="AJ8" s="560"/>
      <c r="AK8" s="560"/>
      <c r="AL8" s="560"/>
      <c r="AM8" s="560"/>
      <c r="AN8" s="560"/>
      <c r="AO8" s="560"/>
      <c r="AP8" s="560"/>
      <c r="AQ8" s="560"/>
      <c r="AR8" s="560"/>
      <c r="AS8" s="560"/>
      <c r="AT8" s="560"/>
      <c r="AU8" s="560"/>
      <c r="AV8" s="560"/>
      <c r="AW8" s="560"/>
      <c r="AX8" s="560"/>
      <c r="AY8" s="560"/>
      <c r="AZ8" s="560"/>
      <c r="BA8" s="560"/>
    </row>
    <row r="9" spans="1:53" ht="43.5" customHeight="1" x14ac:dyDescent="0.3">
      <c r="A9" s="461"/>
      <c r="B9" s="466"/>
      <c r="C9" s="527" t="s">
        <v>904</v>
      </c>
      <c r="D9" s="481"/>
      <c r="E9" s="539" t="s">
        <v>946</v>
      </c>
      <c r="F9" s="480"/>
      <c r="G9" s="1817" t="s">
        <v>947</v>
      </c>
      <c r="H9" s="1818"/>
      <c r="I9" s="1819"/>
      <c r="J9" s="514"/>
      <c r="K9" s="529"/>
      <c r="L9" s="514"/>
      <c r="M9" s="1803" t="s">
        <v>926</v>
      </c>
      <c r="N9" s="1804"/>
      <c r="O9" s="1804"/>
      <c r="P9" s="1804"/>
      <c r="Q9" s="1804"/>
      <c r="R9" s="1804"/>
      <c r="S9" s="1804"/>
      <c r="T9" s="1805"/>
      <c r="U9" s="1806"/>
      <c r="V9" s="514"/>
      <c r="W9" s="1807"/>
      <c r="X9" s="1804"/>
      <c r="Y9" s="519"/>
      <c r="Z9" s="538"/>
      <c r="AA9" s="478"/>
      <c r="AB9" s="465"/>
      <c r="AC9" s="464"/>
      <c r="AD9" s="1263"/>
      <c r="AE9" s="1271"/>
      <c r="AF9" s="462"/>
      <c r="AG9" s="462"/>
      <c r="AH9" s="462"/>
      <c r="AI9" s="462"/>
      <c r="AJ9" s="462"/>
      <c r="AK9" s="462"/>
      <c r="AL9" s="462"/>
      <c r="AM9" s="462"/>
      <c r="AN9" s="462"/>
      <c r="AO9" s="462"/>
      <c r="AP9" s="462"/>
      <c r="AQ9" s="462"/>
      <c r="AR9" s="462"/>
      <c r="AS9" s="462"/>
      <c r="AT9" s="462"/>
      <c r="AU9" s="462"/>
      <c r="AV9" s="462"/>
      <c r="AW9" s="462"/>
      <c r="AX9" s="462"/>
      <c r="AY9" s="462"/>
      <c r="AZ9" s="462"/>
      <c r="BA9" s="462"/>
    </row>
    <row r="10" spans="1:53" ht="21" customHeight="1" x14ac:dyDescent="0.3">
      <c r="A10" s="461"/>
      <c r="B10" s="466"/>
      <c r="C10" s="466"/>
      <c r="D10" s="481"/>
      <c r="E10" s="539">
        <v>1</v>
      </c>
      <c r="F10" s="513"/>
      <c r="G10" s="528">
        <v>2</v>
      </c>
      <c r="H10" s="520"/>
      <c r="I10" s="529">
        <v>3</v>
      </c>
      <c r="J10" s="520"/>
      <c r="K10" s="529">
        <v>4</v>
      </c>
      <c r="L10" s="520"/>
      <c r="M10" s="539">
        <v>5</v>
      </c>
      <c r="N10" s="513"/>
      <c r="O10" s="513">
        <v>6</v>
      </c>
      <c r="P10" s="513"/>
      <c r="Q10" s="520">
        <v>7</v>
      </c>
      <c r="R10" s="520"/>
      <c r="S10" s="520">
        <v>8</v>
      </c>
      <c r="T10" s="520"/>
      <c r="U10" s="529">
        <v>9</v>
      </c>
      <c r="V10" s="520"/>
      <c r="W10" s="528" t="s">
        <v>1149</v>
      </c>
      <c r="X10" s="520"/>
      <c r="Y10" s="520" t="s">
        <v>1150</v>
      </c>
      <c r="Z10" s="538"/>
      <c r="AA10" s="478"/>
      <c r="AB10" s="465"/>
      <c r="AC10" s="464"/>
      <c r="AD10" s="1263"/>
      <c r="AE10" s="1271"/>
      <c r="AF10" s="462"/>
      <c r="AG10" s="462"/>
      <c r="AH10" s="462"/>
      <c r="AI10" s="462"/>
      <c r="AJ10" s="462"/>
      <c r="AK10" s="462"/>
      <c r="AL10" s="462"/>
      <c r="AM10" s="462"/>
      <c r="AN10" s="462"/>
      <c r="AO10" s="462"/>
      <c r="AP10" s="462"/>
      <c r="AQ10" s="462"/>
      <c r="AR10" s="462"/>
      <c r="AS10" s="462"/>
      <c r="AT10" s="462"/>
      <c r="AU10" s="462"/>
      <c r="AV10" s="462"/>
      <c r="AW10" s="462"/>
      <c r="AX10" s="462"/>
      <c r="AY10" s="462"/>
      <c r="AZ10" s="462"/>
      <c r="BA10" s="462"/>
    </row>
    <row r="11" spans="1:53" ht="151.5" customHeight="1" x14ac:dyDescent="0.2">
      <c r="A11" s="461"/>
      <c r="B11" s="481"/>
      <c r="C11" s="474" t="s">
        <v>953</v>
      </c>
      <c r="D11" s="481"/>
      <c r="E11" s="530" t="s">
        <v>945</v>
      </c>
      <c r="F11" s="531"/>
      <c r="G11" s="530" t="s">
        <v>3112</v>
      </c>
      <c r="H11" s="531"/>
      <c r="I11" s="532" t="s">
        <v>3113</v>
      </c>
      <c r="J11" s="540"/>
      <c r="K11" s="532" t="s">
        <v>948</v>
      </c>
      <c r="L11" s="482"/>
      <c r="M11" s="530" t="s">
        <v>949</v>
      </c>
      <c r="N11" s="541"/>
      <c r="O11" s="541" t="s">
        <v>1280</v>
      </c>
      <c r="P11" s="541"/>
      <c r="Q11" s="541" t="s">
        <v>1148</v>
      </c>
      <c r="R11" s="541"/>
      <c r="S11" s="541" t="s">
        <v>938</v>
      </c>
      <c r="T11" s="540"/>
      <c r="U11" s="532" t="s">
        <v>950</v>
      </c>
      <c r="V11" s="484"/>
      <c r="W11" s="530" t="s">
        <v>1144</v>
      </c>
      <c r="X11" s="531"/>
      <c r="Y11" s="541" t="s">
        <v>1145</v>
      </c>
      <c r="Z11" s="545"/>
      <c r="AA11" s="478"/>
      <c r="AB11" s="465"/>
      <c r="AC11" s="477"/>
      <c r="AD11" s="1267"/>
      <c r="AE11" s="1271"/>
      <c r="AF11" s="476"/>
      <c r="AG11" s="462"/>
      <c r="AH11" s="462"/>
      <c r="AI11" s="462"/>
      <c r="AJ11" s="462"/>
      <c r="AK11" s="462"/>
      <c r="AL11" s="462"/>
      <c r="AM11" s="462"/>
      <c r="AN11" s="462"/>
      <c r="AO11" s="462"/>
      <c r="AP11" s="462"/>
      <c r="AQ11" s="462"/>
      <c r="AR11" s="462"/>
      <c r="AS11" s="462"/>
      <c r="AT11" s="462"/>
      <c r="AU11" s="462"/>
      <c r="AV11" s="462"/>
      <c r="AW11" s="462"/>
      <c r="AX11" s="462"/>
      <c r="AY11" s="462"/>
      <c r="AZ11" s="462"/>
      <c r="BA11" s="462"/>
    </row>
    <row r="12" spans="1:53" ht="69.75" customHeight="1" thickBot="1" x14ac:dyDescent="0.3">
      <c r="A12" s="461"/>
      <c r="B12" s="1813"/>
      <c r="C12" s="1814"/>
      <c r="D12" s="481"/>
      <c r="E12" s="546" t="s">
        <v>1141</v>
      </c>
      <c r="F12" s="547"/>
      <c r="G12" s="1820" t="s">
        <v>1142</v>
      </c>
      <c r="H12" s="1821"/>
      <c r="I12" s="1821"/>
      <c r="J12" s="548"/>
      <c r="K12" s="546" t="s">
        <v>1143</v>
      </c>
      <c r="L12" s="549"/>
      <c r="M12" s="546" t="s">
        <v>1141</v>
      </c>
      <c r="N12" s="547"/>
      <c r="O12" s="546" t="s">
        <v>1141</v>
      </c>
      <c r="P12" s="547"/>
      <c r="Q12" s="546" t="s">
        <v>5692</v>
      </c>
      <c r="R12" s="550"/>
      <c r="S12" s="546" t="s">
        <v>2722</v>
      </c>
      <c r="T12" s="546"/>
      <c r="U12" s="546" t="s">
        <v>1143</v>
      </c>
      <c r="V12" s="546"/>
      <c r="W12" s="546" t="s">
        <v>1141</v>
      </c>
      <c r="X12" s="547"/>
      <c r="Y12" s="546" t="s">
        <v>1143</v>
      </c>
      <c r="Z12" s="479"/>
      <c r="AA12" s="478"/>
      <c r="AB12" s="465"/>
      <c r="AC12" s="477"/>
      <c r="AD12" s="1267" t="s">
        <v>1197</v>
      </c>
      <c r="AE12" s="1271" t="s">
        <v>2209</v>
      </c>
      <c r="AF12" s="476"/>
      <c r="AG12" s="462"/>
      <c r="AH12" s="462"/>
      <c r="AI12" s="462"/>
      <c r="AJ12" s="462"/>
      <c r="AK12" s="462"/>
      <c r="AL12" s="462"/>
      <c r="AM12" s="462"/>
      <c r="AN12" s="462"/>
      <c r="AO12" s="462"/>
      <c r="AP12" s="462"/>
      <c r="AQ12" s="462"/>
      <c r="AR12" s="462"/>
      <c r="AS12" s="462"/>
      <c r="AT12" s="462"/>
      <c r="AU12" s="462"/>
      <c r="AV12" s="462"/>
      <c r="AW12" s="462"/>
      <c r="AX12" s="462"/>
      <c r="AY12" s="462"/>
      <c r="AZ12" s="462"/>
      <c r="BA12" s="462"/>
    </row>
    <row r="13" spans="1:53" s="1662" customFormat="1" ht="21" customHeight="1" thickBot="1" x14ac:dyDescent="0.25">
      <c r="A13" s="521">
        <v>1</v>
      </c>
      <c r="B13" s="466" t="str">
        <f>CONCATENATE($E$3,"EZ",A13)</f>
        <v>EZZZZEZ1</v>
      </c>
      <c r="C13" s="600" t="str">
        <f>IFERROR(INDEX('EZ list'!E:E,MATCH(B13,'EZ list'!C:C,0)),"")</f>
        <v/>
      </c>
      <c r="D13" s="474"/>
      <c r="E13" s="679">
        <v>0</v>
      </c>
      <c r="F13" s="680"/>
      <c r="G13" s="679"/>
      <c r="H13" s="681"/>
      <c r="I13" s="679"/>
      <c r="J13" s="681"/>
      <c r="K13" s="682" t="str">
        <f>IF(OR(C13="",C13=0),"",+E13+G13+I13)</f>
        <v/>
      </c>
      <c r="L13" s="683"/>
      <c r="M13" s="679"/>
      <c r="N13" s="680"/>
      <c r="O13" s="679"/>
      <c r="P13" s="680"/>
      <c r="Q13" s="777">
        <v>0</v>
      </c>
      <c r="R13" s="681"/>
      <c r="S13" s="928" t="str">
        <f>IFERROR(INDEX('EZ list'!R:R,MATCH(B13,'EZ list'!C:C,0)),"")</f>
        <v/>
      </c>
      <c r="T13" s="681"/>
      <c r="U13" s="682" t="str">
        <f t="shared" ref="U13:U53" si="0">IF(OR(C13=0,C13=""),"",IF(K13-M13-O13+Q13-S13&lt;0,0,+K13-M13-O13+Q13-S13))</f>
        <v/>
      </c>
      <c r="V13" s="681"/>
      <c r="W13" s="679">
        <v>0</v>
      </c>
      <c r="X13" s="680"/>
      <c r="Y13" s="682" t="str">
        <f>IF(OR(C13=0,C13=""),"",W13)</f>
        <v/>
      </c>
      <c r="Z13" s="471"/>
      <c r="AA13" s="470"/>
      <c r="AB13" s="469"/>
      <c r="AC13" s="523"/>
      <c r="AD13" s="1268">
        <f>IF(IFERROR(INDEX('EZ list'!E:E,MATCH(B13,'EZ list'!C:C,0)),"")=C13,0,1)</f>
        <v>0</v>
      </c>
      <c r="AE13" s="1271">
        <f>IF(OR(C13="",C13=0),0,1)</f>
        <v>0</v>
      </c>
      <c r="AF13" s="475"/>
      <c r="AG13" s="467"/>
      <c r="AH13" s="467"/>
      <c r="AI13" s="467"/>
      <c r="AJ13" s="467"/>
      <c r="AK13" s="467"/>
      <c r="AL13" s="467"/>
      <c r="AM13" s="467"/>
      <c r="AN13" s="467"/>
      <c r="AO13" s="467"/>
      <c r="AP13" s="467"/>
      <c r="AQ13" s="467"/>
      <c r="AR13" s="467"/>
      <c r="AS13" s="467"/>
      <c r="AT13" s="467"/>
      <c r="AU13" s="467"/>
      <c r="AV13" s="467"/>
      <c r="AW13" s="467"/>
      <c r="AX13" s="467"/>
      <c r="AY13" s="467"/>
      <c r="AZ13" s="467"/>
      <c r="BA13" s="467"/>
    </row>
    <row r="14" spans="1:53" s="1662" customFormat="1" ht="21" customHeight="1" thickBot="1" x14ac:dyDescent="0.25">
      <c r="A14" s="521">
        <v>2</v>
      </c>
      <c r="B14" s="466" t="str">
        <f t="shared" ref="B14:B53" si="1">CONCATENATE($E$3,"EZ",A14)</f>
        <v>EZZZZEZ2</v>
      </c>
      <c r="C14" s="600" t="str">
        <f>IFERROR(INDEX('EZ list'!E:E,MATCH(B14,'EZ list'!C:C,0)),"")</f>
        <v/>
      </c>
      <c r="D14" s="474"/>
      <c r="E14" s="679"/>
      <c r="F14" s="680"/>
      <c r="G14" s="679"/>
      <c r="H14" s="681"/>
      <c r="I14" s="679"/>
      <c r="J14" s="681"/>
      <c r="K14" s="682" t="str">
        <f t="shared" ref="K14:K53" si="2">IF(C14="","",+E14+G14+I14)</f>
        <v/>
      </c>
      <c r="L14" s="683"/>
      <c r="M14" s="679"/>
      <c r="N14" s="680"/>
      <c r="O14" s="679"/>
      <c r="P14" s="680"/>
      <c r="Q14" s="777"/>
      <c r="R14" s="681"/>
      <c r="S14" s="928" t="str">
        <f>IFERROR(INDEX('EZ list'!R:R,MATCH(B14,'EZ list'!C:C,0)),"")</f>
        <v/>
      </c>
      <c r="T14" s="681"/>
      <c r="U14" s="682" t="str">
        <f t="shared" si="0"/>
        <v/>
      </c>
      <c r="V14" s="681"/>
      <c r="W14" s="679"/>
      <c r="X14" s="680"/>
      <c r="Y14" s="682" t="str">
        <f t="shared" ref="Y14:Y53" si="3">IF(C14="","",W14)</f>
        <v/>
      </c>
      <c r="Z14" s="471"/>
      <c r="AA14" s="470"/>
      <c r="AB14" s="469"/>
      <c r="AC14" s="523"/>
      <c r="AD14" s="1268">
        <f>IF(IFERROR(INDEX('EZ list'!E:E,MATCH(B14,'EZ list'!C:C,0)),"")=C14,0,1)</f>
        <v>0</v>
      </c>
      <c r="AE14" s="1271">
        <f t="shared" ref="AE14:AE53" si="4">IF(C14="",0,1)</f>
        <v>0</v>
      </c>
      <c r="AF14" s="475"/>
      <c r="AG14" s="467"/>
      <c r="AH14" s="467"/>
      <c r="AI14" s="467"/>
      <c r="AJ14" s="467"/>
      <c r="AK14" s="467"/>
      <c r="AL14" s="467"/>
      <c r="AM14" s="467"/>
      <c r="AN14" s="467"/>
      <c r="AO14" s="467"/>
      <c r="AP14" s="467"/>
      <c r="AQ14" s="467"/>
      <c r="AR14" s="467"/>
      <c r="AS14" s="467"/>
      <c r="AT14" s="467"/>
      <c r="AU14" s="467"/>
      <c r="AV14" s="467"/>
      <c r="AW14" s="467"/>
      <c r="AX14" s="467"/>
      <c r="AY14" s="467"/>
      <c r="AZ14" s="467"/>
      <c r="BA14" s="467"/>
    </row>
    <row r="15" spans="1:53" s="1662" customFormat="1" ht="21" customHeight="1" thickBot="1" x14ac:dyDescent="0.25">
      <c r="A15" s="521">
        <v>3</v>
      </c>
      <c r="B15" s="466" t="str">
        <f t="shared" si="1"/>
        <v>EZZZZEZ3</v>
      </c>
      <c r="C15" s="600" t="str">
        <f>IFERROR(INDEX('EZ list'!E:E,MATCH(B15,'EZ list'!C:C,0)),"")</f>
        <v/>
      </c>
      <c r="D15" s="474"/>
      <c r="E15" s="679"/>
      <c r="F15" s="680"/>
      <c r="G15" s="679"/>
      <c r="H15" s="681"/>
      <c r="I15" s="679"/>
      <c r="J15" s="681"/>
      <c r="K15" s="682" t="str">
        <f t="shared" si="2"/>
        <v/>
      </c>
      <c r="L15" s="683"/>
      <c r="M15" s="679"/>
      <c r="N15" s="680"/>
      <c r="O15" s="679"/>
      <c r="P15" s="680"/>
      <c r="Q15" s="777"/>
      <c r="R15" s="681"/>
      <c r="S15" s="928" t="str">
        <f>IFERROR(INDEX('EZ list'!R:R,MATCH(B15,'EZ list'!C:C,0)),"")</f>
        <v/>
      </c>
      <c r="T15" s="681"/>
      <c r="U15" s="682" t="str">
        <f t="shared" si="0"/>
        <v/>
      </c>
      <c r="V15" s="681"/>
      <c r="W15" s="679"/>
      <c r="X15" s="680"/>
      <c r="Y15" s="682" t="str">
        <f t="shared" si="3"/>
        <v/>
      </c>
      <c r="Z15" s="471"/>
      <c r="AA15" s="470"/>
      <c r="AB15" s="469"/>
      <c r="AC15" s="523"/>
      <c r="AD15" s="1268">
        <f>IF(IFERROR(INDEX('EZ list'!E:E,MATCH(B15,'EZ list'!C:C,0)),"")=C15,0,1)</f>
        <v>0</v>
      </c>
      <c r="AE15" s="1271">
        <f t="shared" si="4"/>
        <v>0</v>
      </c>
      <c r="AF15" s="475"/>
      <c r="AG15" s="467"/>
      <c r="AH15" s="467"/>
      <c r="AI15" s="467"/>
      <c r="AJ15" s="467"/>
      <c r="AK15" s="467"/>
      <c r="AL15" s="467"/>
      <c r="AM15" s="467"/>
      <c r="AN15" s="467"/>
      <c r="AO15" s="467"/>
      <c r="AP15" s="467"/>
      <c r="AQ15" s="467"/>
      <c r="AR15" s="467"/>
      <c r="AS15" s="467"/>
      <c r="AT15" s="467"/>
      <c r="AU15" s="467"/>
      <c r="AV15" s="467"/>
      <c r="AW15" s="467"/>
      <c r="AX15" s="467"/>
      <c r="AY15" s="467"/>
      <c r="AZ15" s="467"/>
      <c r="BA15" s="467"/>
    </row>
    <row r="16" spans="1:53" s="1662" customFormat="1" ht="21" customHeight="1" thickBot="1" x14ac:dyDescent="0.25">
      <c r="A16" s="521">
        <v>4</v>
      </c>
      <c r="B16" s="466" t="str">
        <f t="shared" si="1"/>
        <v>EZZZZEZ4</v>
      </c>
      <c r="C16" s="600" t="str">
        <f>IFERROR(INDEX('EZ list'!E:E,MATCH(B16,'EZ list'!C:C,0)),"")</f>
        <v/>
      </c>
      <c r="D16" s="474"/>
      <c r="E16" s="679"/>
      <c r="F16" s="680"/>
      <c r="G16" s="679"/>
      <c r="H16" s="681"/>
      <c r="I16" s="679"/>
      <c r="J16" s="681"/>
      <c r="K16" s="682" t="str">
        <f t="shared" si="2"/>
        <v/>
      </c>
      <c r="L16" s="683"/>
      <c r="M16" s="679"/>
      <c r="N16" s="680"/>
      <c r="O16" s="679"/>
      <c r="P16" s="680"/>
      <c r="Q16" s="777"/>
      <c r="R16" s="681"/>
      <c r="S16" s="928" t="str">
        <f>IFERROR(INDEX('EZ list'!R:R,MATCH(B16,'EZ list'!C:C,0)),"")</f>
        <v/>
      </c>
      <c r="T16" s="681"/>
      <c r="U16" s="682" t="str">
        <f t="shared" si="0"/>
        <v/>
      </c>
      <c r="V16" s="681"/>
      <c r="W16" s="679"/>
      <c r="X16" s="680"/>
      <c r="Y16" s="682" t="str">
        <f t="shared" si="3"/>
        <v/>
      </c>
      <c r="Z16" s="471"/>
      <c r="AA16" s="470"/>
      <c r="AB16" s="469"/>
      <c r="AC16" s="523"/>
      <c r="AD16" s="1268">
        <f>IF(IFERROR(INDEX('EZ list'!E:E,MATCH(B16,'EZ list'!C:C,0)),"")=C16,0,1)</f>
        <v>0</v>
      </c>
      <c r="AE16" s="1271">
        <f t="shared" si="4"/>
        <v>0</v>
      </c>
      <c r="AF16" s="475"/>
      <c r="AG16" s="467"/>
      <c r="AH16" s="467"/>
      <c r="AI16" s="467"/>
      <c r="AJ16" s="467"/>
      <c r="AK16" s="467"/>
      <c r="AL16" s="467"/>
      <c r="AM16" s="467"/>
      <c r="AN16" s="467"/>
      <c r="AO16" s="467"/>
      <c r="AP16" s="467"/>
      <c r="AQ16" s="467"/>
      <c r="AR16" s="467"/>
      <c r="AS16" s="467"/>
      <c r="AT16" s="467"/>
      <c r="AU16" s="467"/>
      <c r="AV16" s="467"/>
      <c r="AW16" s="467"/>
      <c r="AX16" s="467"/>
      <c r="AY16" s="467"/>
      <c r="AZ16" s="467"/>
      <c r="BA16" s="467"/>
    </row>
    <row r="17" spans="1:53" s="1662" customFormat="1" ht="21" customHeight="1" thickBot="1" x14ac:dyDescent="0.25">
      <c r="A17" s="521">
        <v>5</v>
      </c>
      <c r="B17" s="466" t="str">
        <f t="shared" si="1"/>
        <v>EZZZZEZ5</v>
      </c>
      <c r="C17" s="600" t="str">
        <f>IFERROR(INDEX('EZ list'!E:E,MATCH(B17,'EZ list'!C:C,0)),"")</f>
        <v/>
      </c>
      <c r="D17" s="474"/>
      <c r="E17" s="679"/>
      <c r="F17" s="680"/>
      <c r="G17" s="679"/>
      <c r="H17" s="681"/>
      <c r="I17" s="679"/>
      <c r="J17" s="681"/>
      <c r="K17" s="682" t="str">
        <f t="shared" si="2"/>
        <v/>
      </c>
      <c r="L17" s="683"/>
      <c r="M17" s="679"/>
      <c r="N17" s="680"/>
      <c r="O17" s="679"/>
      <c r="P17" s="680"/>
      <c r="Q17" s="777"/>
      <c r="R17" s="681"/>
      <c r="S17" s="928" t="str">
        <f>IFERROR(INDEX('EZ list'!R:R,MATCH(B17,'EZ list'!C:C,0)),"")</f>
        <v/>
      </c>
      <c r="T17" s="681"/>
      <c r="U17" s="682" t="str">
        <f t="shared" si="0"/>
        <v/>
      </c>
      <c r="V17" s="681"/>
      <c r="W17" s="679"/>
      <c r="X17" s="680"/>
      <c r="Y17" s="682" t="str">
        <f t="shared" si="3"/>
        <v/>
      </c>
      <c r="Z17" s="471"/>
      <c r="AA17" s="470"/>
      <c r="AB17" s="469"/>
      <c r="AC17" s="523"/>
      <c r="AD17" s="1268">
        <f>IF(IFERROR(INDEX('EZ list'!E:E,MATCH(B17,'EZ list'!C:C,0)),"")=C17,0,1)</f>
        <v>0</v>
      </c>
      <c r="AE17" s="1271">
        <f t="shared" si="4"/>
        <v>0</v>
      </c>
      <c r="AF17" s="475"/>
      <c r="AG17" s="467"/>
      <c r="AH17" s="467"/>
      <c r="AI17" s="467"/>
      <c r="AJ17" s="467"/>
      <c r="AK17" s="467"/>
      <c r="AL17" s="467"/>
      <c r="AM17" s="467"/>
      <c r="AN17" s="467"/>
      <c r="AO17" s="467"/>
      <c r="AP17" s="467"/>
      <c r="AQ17" s="467"/>
      <c r="AR17" s="467"/>
      <c r="AS17" s="467"/>
      <c r="AT17" s="467"/>
      <c r="AU17" s="467"/>
      <c r="AV17" s="467"/>
      <c r="AW17" s="467"/>
      <c r="AX17" s="467"/>
      <c r="AY17" s="467"/>
      <c r="AZ17" s="467"/>
      <c r="BA17" s="467"/>
    </row>
    <row r="18" spans="1:53" s="1662" customFormat="1" ht="21" customHeight="1" thickBot="1" x14ac:dyDescent="0.25">
      <c r="A18" s="521">
        <v>6</v>
      </c>
      <c r="B18" s="466" t="str">
        <f t="shared" si="1"/>
        <v>EZZZZEZ6</v>
      </c>
      <c r="C18" s="600" t="str">
        <f>IFERROR(INDEX('EZ list'!E:E,MATCH(B18,'EZ list'!C:C,0)),"")</f>
        <v/>
      </c>
      <c r="D18" s="474"/>
      <c r="E18" s="679"/>
      <c r="F18" s="680"/>
      <c r="G18" s="679"/>
      <c r="H18" s="681"/>
      <c r="I18" s="679"/>
      <c r="J18" s="681"/>
      <c r="K18" s="682" t="str">
        <f t="shared" si="2"/>
        <v/>
      </c>
      <c r="L18" s="683"/>
      <c r="M18" s="679"/>
      <c r="N18" s="680"/>
      <c r="O18" s="679"/>
      <c r="P18" s="680"/>
      <c r="Q18" s="777"/>
      <c r="R18" s="681"/>
      <c r="S18" s="928" t="str">
        <f>IFERROR(INDEX('EZ list'!R:R,MATCH(B18,'EZ list'!C:C,0)),"")</f>
        <v/>
      </c>
      <c r="T18" s="681"/>
      <c r="U18" s="682" t="str">
        <f t="shared" si="0"/>
        <v/>
      </c>
      <c r="V18" s="681"/>
      <c r="W18" s="679"/>
      <c r="X18" s="680"/>
      <c r="Y18" s="682" t="str">
        <f t="shared" si="3"/>
        <v/>
      </c>
      <c r="Z18" s="471"/>
      <c r="AA18" s="470"/>
      <c r="AB18" s="469"/>
      <c r="AC18" s="523"/>
      <c r="AD18" s="1268">
        <f>IF(IFERROR(INDEX('EZ list'!E:E,MATCH(B18,'EZ list'!C:C,0)),"")=C18,0,1)</f>
        <v>0</v>
      </c>
      <c r="AE18" s="1271">
        <f t="shared" si="4"/>
        <v>0</v>
      </c>
      <c r="AF18" s="475"/>
      <c r="AG18" s="467"/>
      <c r="AH18" s="467"/>
      <c r="AI18" s="467"/>
      <c r="AJ18" s="467"/>
      <c r="AK18" s="467"/>
      <c r="AL18" s="467"/>
      <c r="AM18" s="467"/>
      <c r="AN18" s="467"/>
      <c r="AO18" s="467"/>
      <c r="AP18" s="467"/>
      <c r="AQ18" s="467"/>
      <c r="AR18" s="467"/>
      <c r="AS18" s="467"/>
      <c r="AT18" s="467"/>
      <c r="AU18" s="467"/>
      <c r="AV18" s="467"/>
      <c r="AW18" s="467"/>
      <c r="AX18" s="467"/>
      <c r="AY18" s="467"/>
      <c r="AZ18" s="467"/>
      <c r="BA18" s="467"/>
    </row>
    <row r="19" spans="1:53" s="1662" customFormat="1" ht="21" customHeight="1" thickBot="1" x14ac:dyDescent="0.25">
      <c r="A19" s="521">
        <v>7</v>
      </c>
      <c r="B19" s="466" t="str">
        <f t="shared" si="1"/>
        <v>EZZZZEZ7</v>
      </c>
      <c r="C19" s="600" t="str">
        <f>IFERROR(INDEX('EZ list'!E:E,MATCH(B19,'EZ list'!C:C,0)),"")</f>
        <v/>
      </c>
      <c r="D19" s="474"/>
      <c r="E19" s="679"/>
      <c r="F19" s="680"/>
      <c r="G19" s="679"/>
      <c r="H19" s="681"/>
      <c r="I19" s="679"/>
      <c r="J19" s="681"/>
      <c r="K19" s="682" t="str">
        <f t="shared" si="2"/>
        <v/>
      </c>
      <c r="L19" s="683"/>
      <c r="M19" s="679"/>
      <c r="N19" s="680"/>
      <c r="O19" s="679"/>
      <c r="P19" s="680"/>
      <c r="Q19" s="777"/>
      <c r="R19" s="681"/>
      <c r="S19" s="928" t="str">
        <f>IFERROR(INDEX('EZ list'!R:R,MATCH(B19,'EZ list'!C:C,0)),"")</f>
        <v/>
      </c>
      <c r="T19" s="681"/>
      <c r="U19" s="682" t="str">
        <f t="shared" si="0"/>
        <v/>
      </c>
      <c r="V19" s="681"/>
      <c r="W19" s="679"/>
      <c r="X19" s="680"/>
      <c r="Y19" s="682" t="str">
        <f t="shared" si="3"/>
        <v/>
      </c>
      <c r="Z19" s="471"/>
      <c r="AA19" s="470"/>
      <c r="AB19" s="469"/>
      <c r="AC19" s="523"/>
      <c r="AD19" s="1268">
        <f>IF(IFERROR(INDEX('EZ list'!E:E,MATCH(B19,'EZ list'!C:C,0)),"")=C19,0,1)</f>
        <v>0</v>
      </c>
      <c r="AE19" s="1271">
        <f t="shared" si="4"/>
        <v>0</v>
      </c>
      <c r="AF19" s="475"/>
      <c r="AG19" s="467"/>
      <c r="AH19" s="467"/>
      <c r="AI19" s="467"/>
      <c r="AJ19" s="467"/>
      <c r="AK19" s="467"/>
      <c r="AL19" s="467"/>
      <c r="AM19" s="467"/>
      <c r="AN19" s="467"/>
      <c r="AO19" s="467"/>
      <c r="AP19" s="467"/>
      <c r="AQ19" s="467"/>
      <c r="AR19" s="467"/>
      <c r="AS19" s="467"/>
      <c r="AT19" s="467"/>
      <c r="AU19" s="467"/>
      <c r="AV19" s="467"/>
      <c r="AW19" s="467"/>
      <c r="AX19" s="467"/>
      <c r="AY19" s="467"/>
      <c r="AZ19" s="467"/>
      <c r="BA19" s="467"/>
    </row>
    <row r="20" spans="1:53" s="1662" customFormat="1" ht="21" customHeight="1" thickBot="1" x14ac:dyDescent="0.25">
      <c r="A20" s="521">
        <v>8</v>
      </c>
      <c r="B20" s="466" t="str">
        <f t="shared" si="1"/>
        <v>EZZZZEZ8</v>
      </c>
      <c r="C20" s="600" t="str">
        <f>IFERROR(INDEX('EZ list'!E:E,MATCH(B20,'EZ list'!C:C,0)),"")</f>
        <v/>
      </c>
      <c r="D20" s="474"/>
      <c r="E20" s="679"/>
      <c r="F20" s="680"/>
      <c r="G20" s="679"/>
      <c r="H20" s="681"/>
      <c r="I20" s="679"/>
      <c r="J20" s="681"/>
      <c r="K20" s="682" t="str">
        <f t="shared" si="2"/>
        <v/>
      </c>
      <c r="L20" s="683"/>
      <c r="M20" s="679"/>
      <c r="N20" s="680"/>
      <c r="O20" s="679"/>
      <c r="P20" s="680"/>
      <c r="Q20" s="777"/>
      <c r="R20" s="681"/>
      <c r="S20" s="928" t="str">
        <f>IFERROR(INDEX('EZ list'!R:R,MATCH(B20,'EZ list'!C:C,0)),"")</f>
        <v/>
      </c>
      <c r="T20" s="681"/>
      <c r="U20" s="682" t="str">
        <f t="shared" si="0"/>
        <v/>
      </c>
      <c r="V20" s="681"/>
      <c r="W20" s="679"/>
      <c r="X20" s="680"/>
      <c r="Y20" s="682" t="str">
        <f t="shared" si="3"/>
        <v/>
      </c>
      <c r="Z20" s="471"/>
      <c r="AA20" s="470"/>
      <c r="AB20" s="469"/>
      <c r="AC20" s="523"/>
      <c r="AD20" s="1268">
        <f>IF(IFERROR(INDEX('EZ list'!E:E,MATCH(B20,'EZ list'!C:C,0)),"")=C20,0,1)</f>
        <v>0</v>
      </c>
      <c r="AE20" s="1271">
        <f t="shared" si="4"/>
        <v>0</v>
      </c>
      <c r="AF20" s="475"/>
      <c r="AG20" s="467"/>
      <c r="AH20" s="467"/>
      <c r="AI20" s="467"/>
      <c r="AJ20" s="467"/>
      <c r="AK20" s="467"/>
      <c r="AL20" s="467"/>
      <c r="AM20" s="467"/>
      <c r="AN20" s="467"/>
      <c r="AO20" s="467"/>
      <c r="AP20" s="467"/>
      <c r="AQ20" s="467"/>
      <c r="AR20" s="467"/>
      <c r="AS20" s="467"/>
      <c r="AT20" s="467"/>
      <c r="AU20" s="467"/>
      <c r="AV20" s="467"/>
      <c r="AW20" s="467"/>
      <c r="AX20" s="467"/>
      <c r="AY20" s="467"/>
      <c r="AZ20" s="467"/>
      <c r="BA20" s="467"/>
    </row>
    <row r="21" spans="1:53" s="1662" customFormat="1" ht="21" customHeight="1" thickBot="1" x14ac:dyDescent="0.25">
      <c r="A21" s="521">
        <v>9</v>
      </c>
      <c r="B21" s="466" t="str">
        <f t="shared" si="1"/>
        <v>EZZZZEZ9</v>
      </c>
      <c r="C21" s="600" t="str">
        <f>IFERROR(INDEX('EZ list'!E:E,MATCH(B21,'EZ list'!C:C,0)),"")</f>
        <v/>
      </c>
      <c r="D21" s="474"/>
      <c r="E21" s="679"/>
      <c r="F21" s="680"/>
      <c r="G21" s="679"/>
      <c r="H21" s="681"/>
      <c r="I21" s="679"/>
      <c r="J21" s="681"/>
      <c r="K21" s="682" t="str">
        <f t="shared" si="2"/>
        <v/>
      </c>
      <c r="L21" s="683"/>
      <c r="M21" s="679"/>
      <c r="N21" s="680"/>
      <c r="O21" s="679"/>
      <c r="P21" s="680"/>
      <c r="Q21" s="777"/>
      <c r="R21" s="681"/>
      <c r="S21" s="928" t="str">
        <f>IFERROR(INDEX('EZ list'!R:R,MATCH(B21,'EZ list'!C:C,0)),"")</f>
        <v/>
      </c>
      <c r="T21" s="681"/>
      <c r="U21" s="682" t="str">
        <f t="shared" si="0"/>
        <v/>
      </c>
      <c r="V21" s="681"/>
      <c r="W21" s="679"/>
      <c r="X21" s="680"/>
      <c r="Y21" s="682" t="str">
        <f t="shared" si="3"/>
        <v/>
      </c>
      <c r="Z21" s="471"/>
      <c r="AA21" s="470"/>
      <c r="AB21" s="469"/>
      <c r="AC21" s="523"/>
      <c r="AD21" s="1268">
        <f>IF(IFERROR(INDEX('EZ list'!E:E,MATCH(B21,'EZ list'!C:C,0)),"")=C21,0,1)</f>
        <v>0</v>
      </c>
      <c r="AE21" s="1271">
        <f t="shared" si="4"/>
        <v>0</v>
      </c>
      <c r="AF21" s="475"/>
      <c r="AG21" s="467"/>
      <c r="AH21" s="467"/>
      <c r="AI21" s="467"/>
      <c r="AJ21" s="467"/>
      <c r="AK21" s="467"/>
      <c r="AL21" s="467"/>
      <c r="AM21" s="467"/>
      <c r="AN21" s="467"/>
      <c r="AO21" s="467"/>
      <c r="AP21" s="467"/>
      <c r="AQ21" s="467"/>
      <c r="AR21" s="467"/>
      <c r="AS21" s="467"/>
      <c r="AT21" s="467"/>
      <c r="AU21" s="467"/>
      <c r="AV21" s="467"/>
      <c r="AW21" s="467"/>
      <c r="AX21" s="467"/>
      <c r="AY21" s="467"/>
      <c r="AZ21" s="467"/>
      <c r="BA21" s="467"/>
    </row>
    <row r="22" spans="1:53" s="1662" customFormat="1" ht="21" customHeight="1" thickBot="1" x14ac:dyDescent="0.25">
      <c r="A22" s="521">
        <v>10</v>
      </c>
      <c r="B22" s="466" t="str">
        <f t="shared" si="1"/>
        <v>EZZZZEZ10</v>
      </c>
      <c r="C22" s="600" t="str">
        <f>IFERROR(INDEX('EZ list'!E:E,MATCH(B22,'EZ list'!C:C,0)),"")</f>
        <v/>
      </c>
      <c r="D22" s="474"/>
      <c r="E22" s="679"/>
      <c r="F22" s="680"/>
      <c r="G22" s="679"/>
      <c r="H22" s="681"/>
      <c r="I22" s="679"/>
      <c r="J22" s="681"/>
      <c r="K22" s="682" t="str">
        <f t="shared" si="2"/>
        <v/>
      </c>
      <c r="L22" s="683"/>
      <c r="M22" s="679"/>
      <c r="N22" s="680"/>
      <c r="O22" s="679"/>
      <c r="P22" s="680"/>
      <c r="Q22" s="777"/>
      <c r="R22" s="681"/>
      <c r="S22" s="928" t="str">
        <f>IFERROR(INDEX('EZ list'!R:R,MATCH(B22,'EZ list'!C:C,0)),"")</f>
        <v/>
      </c>
      <c r="T22" s="681"/>
      <c r="U22" s="682" t="str">
        <f t="shared" si="0"/>
        <v/>
      </c>
      <c r="V22" s="681"/>
      <c r="W22" s="679"/>
      <c r="X22" s="680"/>
      <c r="Y22" s="682" t="str">
        <f t="shared" si="3"/>
        <v/>
      </c>
      <c r="Z22" s="471"/>
      <c r="AA22" s="470"/>
      <c r="AB22" s="469"/>
      <c r="AC22" s="523"/>
      <c r="AD22" s="1268">
        <f>IF(IFERROR(INDEX('EZ list'!E:E,MATCH(B22,'EZ list'!C:C,0)),"")=C22,0,1)</f>
        <v>0</v>
      </c>
      <c r="AE22" s="1271">
        <f t="shared" si="4"/>
        <v>0</v>
      </c>
      <c r="AF22" s="475"/>
      <c r="AG22" s="467"/>
      <c r="AH22" s="467"/>
      <c r="AI22" s="467"/>
      <c r="AJ22" s="467"/>
      <c r="AK22" s="467"/>
      <c r="AL22" s="467"/>
      <c r="AM22" s="467"/>
      <c r="AN22" s="467"/>
      <c r="AO22" s="467"/>
      <c r="AP22" s="467"/>
      <c r="AQ22" s="467"/>
      <c r="AR22" s="467"/>
      <c r="AS22" s="467"/>
      <c r="AT22" s="467"/>
      <c r="AU22" s="467"/>
      <c r="AV22" s="467"/>
      <c r="AW22" s="467"/>
      <c r="AX22" s="467"/>
      <c r="AY22" s="467"/>
      <c r="AZ22" s="467"/>
      <c r="BA22" s="467"/>
    </row>
    <row r="23" spans="1:53" s="1662" customFormat="1" ht="21" customHeight="1" thickBot="1" x14ac:dyDescent="0.25">
      <c r="A23" s="521">
        <v>11</v>
      </c>
      <c r="B23" s="466" t="str">
        <f t="shared" si="1"/>
        <v>EZZZZEZ11</v>
      </c>
      <c r="C23" s="600" t="str">
        <f>IFERROR(INDEX('EZ list'!E:E,MATCH(B23,'EZ list'!C:C,0)),"")</f>
        <v/>
      </c>
      <c r="D23" s="474"/>
      <c r="E23" s="679"/>
      <c r="F23" s="680"/>
      <c r="G23" s="679"/>
      <c r="H23" s="681"/>
      <c r="I23" s="679"/>
      <c r="J23" s="681"/>
      <c r="K23" s="682" t="str">
        <f t="shared" si="2"/>
        <v/>
      </c>
      <c r="L23" s="683"/>
      <c r="M23" s="679"/>
      <c r="N23" s="680"/>
      <c r="O23" s="679"/>
      <c r="P23" s="680"/>
      <c r="Q23" s="777"/>
      <c r="R23" s="681"/>
      <c r="S23" s="928" t="str">
        <f>IFERROR(INDEX('EZ list'!R:R,MATCH(B23,'EZ list'!C:C,0)),"")</f>
        <v/>
      </c>
      <c r="T23" s="681"/>
      <c r="U23" s="682" t="str">
        <f t="shared" si="0"/>
        <v/>
      </c>
      <c r="V23" s="681"/>
      <c r="W23" s="679"/>
      <c r="X23" s="680"/>
      <c r="Y23" s="682" t="str">
        <f t="shared" si="3"/>
        <v/>
      </c>
      <c r="Z23" s="471"/>
      <c r="AA23" s="470"/>
      <c r="AB23" s="469"/>
      <c r="AC23" s="523"/>
      <c r="AD23" s="1268">
        <f>IF(IFERROR(INDEX('EZ list'!E:E,MATCH(B23,'EZ list'!C:C,0)),"")=C23,0,1)</f>
        <v>0</v>
      </c>
      <c r="AE23" s="1271">
        <f t="shared" si="4"/>
        <v>0</v>
      </c>
      <c r="AF23" s="475"/>
      <c r="AG23" s="467"/>
      <c r="AH23" s="467"/>
      <c r="AI23" s="467"/>
      <c r="AJ23" s="467"/>
      <c r="AK23" s="467"/>
      <c r="AL23" s="467"/>
      <c r="AM23" s="467"/>
      <c r="AN23" s="467"/>
      <c r="AO23" s="467"/>
      <c r="AP23" s="467"/>
      <c r="AQ23" s="467"/>
      <c r="AR23" s="467"/>
      <c r="AS23" s="467"/>
      <c r="AT23" s="467"/>
      <c r="AU23" s="467"/>
      <c r="AV23" s="467"/>
      <c r="AW23" s="467"/>
      <c r="AX23" s="467"/>
      <c r="AY23" s="467"/>
      <c r="AZ23" s="467"/>
      <c r="BA23" s="467"/>
    </row>
    <row r="24" spans="1:53" s="1662" customFormat="1" ht="21" customHeight="1" thickBot="1" x14ac:dyDescent="0.25">
      <c r="A24" s="521">
        <v>12</v>
      </c>
      <c r="B24" s="466" t="str">
        <f t="shared" si="1"/>
        <v>EZZZZEZ12</v>
      </c>
      <c r="C24" s="600" t="str">
        <f>IFERROR(INDEX('EZ list'!E:E,MATCH(B24,'EZ list'!C:C,0)),"")</f>
        <v/>
      </c>
      <c r="D24" s="474"/>
      <c r="E24" s="679"/>
      <c r="F24" s="680"/>
      <c r="G24" s="679"/>
      <c r="H24" s="681"/>
      <c r="I24" s="679"/>
      <c r="J24" s="681"/>
      <c r="K24" s="682" t="str">
        <f t="shared" si="2"/>
        <v/>
      </c>
      <c r="L24" s="683"/>
      <c r="M24" s="679"/>
      <c r="N24" s="680"/>
      <c r="O24" s="679"/>
      <c r="P24" s="680"/>
      <c r="Q24" s="777"/>
      <c r="R24" s="681"/>
      <c r="S24" s="928" t="str">
        <f>IFERROR(INDEX('EZ list'!R:R,MATCH(B24,'EZ list'!C:C,0)),"")</f>
        <v/>
      </c>
      <c r="T24" s="681"/>
      <c r="U24" s="682" t="str">
        <f t="shared" si="0"/>
        <v/>
      </c>
      <c r="V24" s="681"/>
      <c r="W24" s="679"/>
      <c r="X24" s="680"/>
      <c r="Y24" s="682" t="str">
        <f t="shared" si="3"/>
        <v/>
      </c>
      <c r="Z24" s="471"/>
      <c r="AA24" s="470"/>
      <c r="AB24" s="469"/>
      <c r="AC24" s="523"/>
      <c r="AD24" s="1268">
        <f>IF(IFERROR(INDEX('EZ list'!E:E,MATCH(B24,'EZ list'!C:C,0)),"")=C24,0,1)</f>
        <v>0</v>
      </c>
      <c r="AE24" s="1271">
        <f t="shared" si="4"/>
        <v>0</v>
      </c>
      <c r="AF24" s="475"/>
      <c r="AG24" s="467"/>
      <c r="AH24" s="467"/>
      <c r="AI24" s="467"/>
      <c r="AJ24" s="467"/>
      <c r="AK24" s="467"/>
      <c r="AL24" s="467"/>
      <c r="AM24" s="467"/>
      <c r="AN24" s="467"/>
      <c r="AO24" s="467"/>
      <c r="AP24" s="467"/>
      <c r="AQ24" s="467"/>
      <c r="AR24" s="467"/>
      <c r="AS24" s="467"/>
      <c r="AT24" s="467"/>
      <c r="AU24" s="467"/>
      <c r="AV24" s="467"/>
      <c r="AW24" s="467"/>
      <c r="AX24" s="467"/>
      <c r="AY24" s="467"/>
      <c r="AZ24" s="467"/>
      <c r="BA24" s="467"/>
    </row>
    <row r="25" spans="1:53" s="1662" customFormat="1" ht="21" customHeight="1" thickBot="1" x14ac:dyDescent="0.25">
      <c r="A25" s="521">
        <v>13</v>
      </c>
      <c r="B25" s="466" t="str">
        <f t="shared" si="1"/>
        <v>EZZZZEZ13</v>
      </c>
      <c r="C25" s="600" t="str">
        <f>IFERROR(INDEX('EZ list'!E:E,MATCH(B25,'EZ list'!C:C,0)),"")</f>
        <v/>
      </c>
      <c r="D25" s="474"/>
      <c r="E25" s="679"/>
      <c r="F25" s="680"/>
      <c r="G25" s="679"/>
      <c r="H25" s="681"/>
      <c r="I25" s="679"/>
      <c r="J25" s="681"/>
      <c r="K25" s="682" t="str">
        <f t="shared" si="2"/>
        <v/>
      </c>
      <c r="L25" s="683"/>
      <c r="M25" s="679"/>
      <c r="N25" s="680"/>
      <c r="O25" s="679"/>
      <c r="P25" s="680"/>
      <c r="Q25" s="777"/>
      <c r="R25" s="681"/>
      <c r="S25" s="928" t="str">
        <f>IFERROR(INDEX('EZ list'!R:R,MATCH(B25,'EZ list'!C:C,0)),"")</f>
        <v/>
      </c>
      <c r="T25" s="681"/>
      <c r="U25" s="682" t="str">
        <f t="shared" si="0"/>
        <v/>
      </c>
      <c r="V25" s="681"/>
      <c r="W25" s="679"/>
      <c r="X25" s="680"/>
      <c r="Y25" s="682" t="str">
        <f t="shared" si="3"/>
        <v/>
      </c>
      <c r="Z25" s="471"/>
      <c r="AA25" s="470"/>
      <c r="AB25" s="469"/>
      <c r="AC25" s="523"/>
      <c r="AD25" s="1268">
        <f>IF(IFERROR(INDEX('EZ list'!E:E,MATCH(B25,'EZ list'!C:C,0)),"")=C25,0,1)</f>
        <v>0</v>
      </c>
      <c r="AE25" s="1271">
        <f t="shared" si="4"/>
        <v>0</v>
      </c>
      <c r="AF25" s="475"/>
      <c r="AG25" s="467"/>
      <c r="AH25" s="467"/>
      <c r="AI25" s="467"/>
      <c r="AJ25" s="467"/>
      <c r="AK25" s="467"/>
      <c r="AL25" s="467"/>
      <c r="AM25" s="467"/>
      <c r="AN25" s="467"/>
      <c r="AO25" s="467"/>
      <c r="AP25" s="467"/>
      <c r="AQ25" s="467"/>
      <c r="AR25" s="467"/>
      <c r="AS25" s="467"/>
      <c r="AT25" s="467"/>
      <c r="AU25" s="467"/>
      <c r="AV25" s="467"/>
      <c r="AW25" s="467"/>
      <c r="AX25" s="467"/>
      <c r="AY25" s="467"/>
      <c r="AZ25" s="467"/>
      <c r="BA25" s="467"/>
    </row>
    <row r="26" spans="1:53" s="1662" customFormat="1" ht="21" customHeight="1" thickBot="1" x14ac:dyDescent="0.25">
      <c r="A26" s="521">
        <v>14</v>
      </c>
      <c r="B26" s="466" t="str">
        <f t="shared" si="1"/>
        <v>EZZZZEZ14</v>
      </c>
      <c r="C26" s="600" t="str">
        <f>IFERROR(INDEX('EZ list'!E:E,MATCH(B26,'EZ list'!C:C,0)),"")</f>
        <v/>
      </c>
      <c r="D26" s="474"/>
      <c r="E26" s="679"/>
      <c r="F26" s="680"/>
      <c r="G26" s="679"/>
      <c r="H26" s="681"/>
      <c r="I26" s="679"/>
      <c r="J26" s="681"/>
      <c r="K26" s="682" t="str">
        <f t="shared" si="2"/>
        <v/>
      </c>
      <c r="L26" s="683"/>
      <c r="M26" s="679"/>
      <c r="N26" s="680"/>
      <c r="O26" s="679"/>
      <c r="P26" s="680"/>
      <c r="Q26" s="777"/>
      <c r="R26" s="681"/>
      <c r="S26" s="928" t="str">
        <f>IFERROR(INDEX('EZ list'!R:R,MATCH(B26,'EZ list'!C:C,0)),"")</f>
        <v/>
      </c>
      <c r="T26" s="681"/>
      <c r="U26" s="682" t="str">
        <f t="shared" si="0"/>
        <v/>
      </c>
      <c r="V26" s="681"/>
      <c r="W26" s="679"/>
      <c r="X26" s="680"/>
      <c r="Y26" s="682" t="str">
        <f t="shared" si="3"/>
        <v/>
      </c>
      <c r="Z26" s="471"/>
      <c r="AA26" s="470"/>
      <c r="AB26" s="469"/>
      <c r="AC26" s="523"/>
      <c r="AD26" s="1268">
        <f>IF(IFERROR(INDEX('EZ list'!E:E,MATCH(B26,'EZ list'!C:C,0)),"")=C26,0,1)</f>
        <v>0</v>
      </c>
      <c r="AE26" s="1271">
        <f t="shared" si="4"/>
        <v>0</v>
      </c>
      <c r="AF26" s="475"/>
      <c r="AG26" s="467"/>
      <c r="AH26" s="467"/>
      <c r="AI26" s="467"/>
      <c r="AJ26" s="467"/>
      <c r="AK26" s="467"/>
      <c r="AL26" s="467"/>
      <c r="AM26" s="467"/>
      <c r="AN26" s="467"/>
      <c r="AO26" s="467"/>
      <c r="AP26" s="467"/>
      <c r="AQ26" s="467"/>
      <c r="AR26" s="467"/>
      <c r="AS26" s="467"/>
      <c r="AT26" s="467"/>
      <c r="AU26" s="467"/>
      <c r="AV26" s="467"/>
      <c r="AW26" s="467"/>
      <c r="AX26" s="467"/>
      <c r="AY26" s="467"/>
      <c r="AZ26" s="467"/>
      <c r="BA26" s="467"/>
    </row>
    <row r="27" spans="1:53" s="1662" customFormat="1" ht="21" customHeight="1" thickBot="1" x14ac:dyDescent="0.25">
      <c r="A27" s="521">
        <v>15</v>
      </c>
      <c r="B27" s="466" t="str">
        <f t="shared" si="1"/>
        <v>EZZZZEZ15</v>
      </c>
      <c r="C27" s="600" t="str">
        <f>IFERROR(INDEX('EZ list'!E:E,MATCH(B27,'EZ list'!C:C,0)),"")</f>
        <v/>
      </c>
      <c r="D27" s="474"/>
      <c r="E27" s="679"/>
      <c r="F27" s="680"/>
      <c r="G27" s="679"/>
      <c r="H27" s="681"/>
      <c r="I27" s="679"/>
      <c r="J27" s="681"/>
      <c r="K27" s="682" t="str">
        <f t="shared" si="2"/>
        <v/>
      </c>
      <c r="L27" s="683"/>
      <c r="M27" s="679"/>
      <c r="N27" s="680"/>
      <c r="O27" s="679"/>
      <c r="P27" s="680"/>
      <c r="Q27" s="777"/>
      <c r="R27" s="681"/>
      <c r="S27" s="928" t="str">
        <f>IFERROR(INDEX('EZ list'!R:R,MATCH(B27,'EZ list'!C:C,0)),"")</f>
        <v/>
      </c>
      <c r="T27" s="681"/>
      <c r="U27" s="682" t="str">
        <f t="shared" si="0"/>
        <v/>
      </c>
      <c r="V27" s="681"/>
      <c r="W27" s="679"/>
      <c r="X27" s="680"/>
      <c r="Y27" s="682" t="str">
        <f t="shared" si="3"/>
        <v/>
      </c>
      <c r="Z27" s="471"/>
      <c r="AA27" s="470"/>
      <c r="AB27" s="469"/>
      <c r="AC27" s="523"/>
      <c r="AD27" s="1268">
        <f>IF(IFERROR(INDEX('EZ list'!E:E,MATCH(B27,'EZ list'!C:C,0)),"")=C27,0,1)</f>
        <v>0</v>
      </c>
      <c r="AE27" s="1271">
        <f t="shared" si="4"/>
        <v>0</v>
      </c>
      <c r="AF27" s="475"/>
      <c r="AG27" s="467"/>
      <c r="AH27" s="467"/>
      <c r="AI27" s="467"/>
      <c r="AJ27" s="467"/>
      <c r="AK27" s="467"/>
      <c r="AL27" s="467"/>
      <c r="AM27" s="467"/>
      <c r="AN27" s="467"/>
      <c r="AO27" s="467"/>
      <c r="AP27" s="467"/>
      <c r="AQ27" s="467"/>
      <c r="AR27" s="467"/>
      <c r="AS27" s="467"/>
      <c r="AT27" s="467"/>
      <c r="AU27" s="467"/>
      <c r="AV27" s="467"/>
      <c r="AW27" s="467"/>
      <c r="AX27" s="467"/>
      <c r="AY27" s="467"/>
      <c r="AZ27" s="467"/>
      <c r="BA27" s="467"/>
    </row>
    <row r="28" spans="1:53" s="1662" customFormat="1" ht="21" customHeight="1" thickBot="1" x14ac:dyDescent="0.25">
      <c r="A28" s="521">
        <v>16</v>
      </c>
      <c r="B28" s="466" t="str">
        <f t="shared" si="1"/>
        <v>EZZZZEZ16</v>
      </c>
      <c r="C28" s="600" t="str">
        <f>IFERROR(INDEX('EZ list'!E:E,MATCH(B28,'EZ list'!C:C,0)),"")</f>
        <v/>
      </c>
      <c r="D28" s="474"/>
      <c r="E28" s="679"/>
      <c r="F28" s="680"/>
      <c r="G28" s="679"/>
      <c r="H28" s="681"/>
      <c r="I28" s="679"/>
      <c r="J28" s="681"/>
      <c r="K28" s="682" t="str">
        <f t="shared" si="2"/>
        <v/>
      </c>
      <c r="L28" s="683"/>
      <c r="M28" s="679"/>
      <c r="N28" s="680"/>
      <c r="O28" s="679"/>
      <c r="P28" s="680"/>
      <c r="Q28" s="777"/>
      <c r="R28" s="681"/>
      <c r="S28" s="928" t="str">
        <f>IFERROR(INDEX('EZ list'!R:R,MATCH(B28,'EZ list'!C:C,0)),"")</f>
        <v/>
      </c>
      <c r="T28" s="681"/>
      <c r="U28" s="682" t="str">
        <f t="shared" si="0"/>
        <v/>
      </c>
      <c r="V28" s="681"/>
      <c r="W28" s="679"/>
      <c r="X28" s="680"/>
      <c r="Y28" s="682" t="str">
        <f t="shared" si="3"/>
        <v/>
      </c>
      <c r="Z28" s="471"/>
      <c r="AA28" s="470"/>
      <c r="AB28" s="469"/>
      <c r="AC28" s="523"/>
      <c r="AD28" s="1268">
        <f>IF(IFERROR(INDEX('EZ list'!E:E,MATCH(B28,'EZ list'!C:C,0)),"")=C28,0,1)</f>
        <v>0</v>
      </c>
      <c r="AE28" s="1271">
        <f t="shared" si="4"/>
        <v>0</v>
      </c>
      <c r="AF28" s="475"/>
      <c r="AG28" s="467"/>
      <c r="AH28" s="467"/>
      <c r="AI28" s="467"/>
      <c r="AJ28" s="467"/>
      <c r="AK28" s="467"/>
      <c r="AL28" s="467"/>
      <c r="AM28" s="467"/>
      <c r="AN28" s="467"/>
      <c r="AO28" s="467"/>
      <c r="AP28" s="467"/>
      <c r="AQ28" s="467"/>
      <c r="AR28" s="467"/>
      <c r="AS28" s="467"/>
      <c r="AT28" s="467"/>
      <c r="AU28" s="467"/>
      <c r="AV28" s="467"/>
      <c r="AW28" s="467"/>
      <c r="AX28" s="467"/>
      <c r="AY28" s="467"/>
      <c r="AZ28" s="467"/>
      <c r="BA28" s="467"/>
    </row>
    <row r="29" spans="1:53" s="1662" customFormat="1" ht="21" customHeight="1" thickBot="1" x14ac:dyDescent="0.25">
      <c r="A29" s="521">
        <v>17</v>
      </c>
      <c r="B29" s="466" t="str">
        <f t="shared" si="1"/>
        <v>EZZZZEZ17</v>
      </c>
      <c r="C29" s="600" t="str">
        <f>IFERROR(INDEX('EZ list'!E:E,MATCH(B29,'EZ list'!C:C,0)),"")</f>
        <v/>
      </c>
      <c r="D29" s="474"/>
      <c r="E29" s="679"/>
      <c r="F29" s="680"/>
      <c r="G29" s="679"/>
      <c r="H29" s="681"/>
      <c r="I29" s="679"/>
      <c r="J29" s="681"/>
      <c r="K29" s="682" t="str">
        <f t="shared" si="2"/>
        <v/>
      </c>
      <c r="L29" s="683"/>
      <c r="M29" s="679"/>
      <c r="N29" s="680"/>
      <c r="O29" s="679"/>
      <c r="P29" s="680"/>
      <c r="Q29" s="777"/>
      <c r="R29" s="681"/>
      <c r="S29" s="928" t="str">
        <f>IFERROR(INDEX('EZ list'!R:R,MATCH(B29,'EZ list'!C:C,0)),"")</f>
        <v/>
      </c>
      <c r="T29" s="681"/>
      <c r="U29" s="682" t="str">
        <f t="shared" si="0"/>
        <v/>
      </c>
      <c r="V29" s="681"/>
      <c r="W29" s="679"/>
      <c r="X29" s="680"/>
      <c r="Y29" s="682" t="str">
        <f t="shared" si="3"/>
        <v/>
      </c>
      <c r="Z29" s="471"/>
      <c r="AA29" s="470"/>
      <c r="AB29" s="469"/>
      <c r="AC29" s="523"/>
      <c r="AD29" s="1268">
        <f>IF(IFERROR(INDEX('EZ list'!E:E,MATCH(B29,'EZ list'!C:C,0)),"")=C29,0,1)</f>
        <v>0</v>
      </c>
      <c r="AE29" s="1271">
        <f t="shared" si="4"/>
        <v>0</v>
      </c>
      <c r="AF29" s="475"/>
      <c r="AG29" s="467"/>
      <c r="AH29" s="467"/>
      <c r="AI29" s="467"/>
      <c r="AJ29" s="467"/>
      <c r="AK29" s="467"/>
      <c r="AL29" s="467"/>
      <c r="AM29" s="467"/>
      <c r="AN29" s="467"/>
      <c r="AO29" s="467"/>
      <c r="AP29" s="467"/>
      <c r="AQ29" s="467"/>
      <c r="AR29" s="467"/>
      <c r="AS29" s="467"/>
      <c r="AT29" s="467"/>
      <c r="AU29" s="467"/>
      <c r="AV29" s="467"/>
      <c r="AW29" s="467"/>
      <c r="AX29" s="467"/>
      <c r="AY29" s="467"/>
      <c r="AZ29" s="467"/>
      <c r="BA29" s="467"/>
    </row>
    <row r="30" spans="1:53" s="1662" customFormat="1" ht="21" customHeight="1" thickBot="1" x14ac:dyDescent="0.25">
      <c r="A30" s="521">
        <v>18</v>
      </c>
      <c r="B30" s="466" t="str">
        <f t="shared" si="1"/>
        <v>EZZZZEZ18</v>
      </c>
      <c r="C30" s="600" t="str">
        <f>IFERROR(INDEX('EZ list'!E:E,MATCH(B30,'EZ list'!C:C,0)),"")</f>
        <v/>
      </c>
      <c r="D30" s="474"/>
      <c r="E30" s="679"/>
      <c r="F30" s="680"/>
      <c r="G30" s="679"/>
      <c r="H30" s="681"/>
      <c r="I30" s="679"/>
      <c r="J30" s="681"/>
      <c r="K30" s="682" t="str">
        <f t="shared" si="2"/>
        <v/>
      </c>
      <c r="L30" s="683"/>
      <c r="M30" s="679"/>
      <c r="N30" s="680"/>
      <c r="O30" s="679"/>
      <c r="P30" s="680"/>
      <c r="Q30" s="777"/>
      <c r="R30" s="681"/>
      <c r="S30" s="928" t="str">
        <f>IFERROR(INDEX('EZ list'!R:R,MATCH(B30,'EZ list'!C:C,0)),"")</f>
        <v/>
      </c>
      <c r="T30" s="681"/>
      <c r="U30" s="682" t="str">
        <f t="shared" si="0"/>
        <v/>
      </c>
      <c r="V30" s="681"/>
      <c r="W30" s="679"/>
      <c r="X30" s="680"/>
      <c r="Y30" s="682" t="str">
        <f t="shared" si="3"/>
        <v/>
      </c>
      <c r="Z30" s="471"/>
      <c r="AA30" s="470"/>
      <c r="AB30" s="469"/>
      <c r="AC30" s="523"/>
      <c r="AD30" s="1268">
        <f>IF(IFERROR(INDEX('EZ list'!E:E,MATCH(B30,'EZ list'!C:C,0)),"")=C30,0,1)</f>
        <v>0</v>
      </c>
      <c r="AE30" s="1271">
        <f t="shared" si="4"/>
        <v>0</v>
      </c>
      <c r="AF30" s="475"/>
      <c r="AG30" s="467"/>
      <c r="AH30" s="467"/>
      <c r="AI30" s="467"/>
      <c r="AJ30" s="467"/>
      <c r="AK30" s="467"/>
      <c r="AL30" s="467"/>
      <c r="AM30" s="467"/>
      <c r="AN30" s="467"/>
      <c r="AO30" s="467"/>
      <c r="AP30" s="467"/>
      <c r="AQ30" s="467"/>
      <c r="AR30" s="467"/>
      <c r="AS30" s="467"/>
      <c r="AT30" s="467"/>
      <c r="AU30" s="467"/>
      <c r="AV30" s="467"/>
      <c r="AW30" s="467"/>
      <c r="AX30" s="467"/>
      <c r="AY30" s="467"/>
      <c r="AZ30" s="467"/>
      <c r="BA30" s="467"/>
    </row>
    <row r="31" spans="1:53" s="1662" customFormat="1" ht="21" customHeight="1" thickBot="1" x14ac:dyDescent="0.25">
      <c r="A31" s="521">
        <v>19</v>
      </c>
      <c r="B31" s="466" t="str">
        <f t="shared" si="1"/>
        <v>EZZZZEZ19</v>
      </c>
      <c r="C31" s="600" t="str">
        <f>IFERROR(INDEX('EZ list'!E:E,MATCH(B31,'EZ list'!C:C,0)),"")</f>
        <v/>
      </c>
      <c r="D31" s="474"/>
      <c r="E31" s="679"/>
      <c r="F31" s="680"/>
      <c r="G31" s="679"/>
      <c r="H31" s="681"/>
      <c r="I31" s="679"/>
      <c r="J31" s="681"/>
      <c r="K31" s="682" t="str">
        <f t="shared" si="2"/>
        <v/>
      </c>
      <c r="L31" s="683"/>
      <c r="M31" s="679"/>
      <c r="N31" s="680"/>
      <c r="O31" s="679"/>
      <c r="P31" s="680"/>
      <c r="Q31" s="777"/>
      <c r="R31" s="681"/>
      <c r="S31" s="928" t="str">
        <f>IFERROR(INDEX('EZ list'!R:R,MATCH(B31,'EZ list'!C:C,0)),"")</f>
        <v/>
      </c>
      <c r="T31" s="681"/>
      <c r="U31" s="682" t="str">
        <f t="shared" si="0"/>
        <v/>
      </c>
      <c r="V31" s="681"/>
      <c r="W31" s="679"/>
      <c r="X31" s="680"/>
      <c r="Y31" s="682" t="str">
        <f t="shared" si="3"/>
        <v/>
      </c>
      <c r="Z31" s="471"/>
      <c r="AA31" s="470"/>
      <c r="AB31" s="469"/>
      <c r="AC31" s="523"/>
      <c r="AD31" s="1268">
        <f>IF(IFERROR(INDEX('EZ list'!E:E,MATCH(B31,'EZ list'!C:C,0)),"")=C31,0,1)</f>
        <v>0</v>
      </c>
      <c r="AE31" s="1271">
        <f t="shared" si="4"/>
        <v>0</v>
      </c>
      <c r="AF31" s="475"/>
      <c r="AG31" s="467"/>
      <c r="AH31" s="467"/>
      <c r="AI31" s="467"/>
      <c r="AJ31" s="467"/>
      <c r="AK31" s="467"/>
      <c r="AL31" s="467"/>
      <c r="AM31" s="467"/>
      <c r="AN31" s="467"/>
      <c r="AO31" s="467"/>
      <c r="AP31" s="467"/>
      <c r="AQ31" s="467"/>
      <c r="AR31" s="467"/>
      <c r="AS31" s="467"/>
      <c r="AT31" s="467"/>
      <c r="AU31" s="467"/>
      <c r="AV31" s="467"/>
      <c r="AW31" s="467"/>
      <c r="AX31" s="467"/>
      <c r="AY31" s="467"/>
      <c r="AZ31" s="467"/>
      <c r="BA31" s="467"/>
    </row>
    <row r="32" spans="1:53" s="1662" customFormat="1" ht="21" customHeight="1" thickBot="1" x14ac:dyDescent="0.25">
      <c r="A32" s="521">
        <v>20</v>
      </c>
      <c r="B32" s="466" t="str">
        <f t="shared" si="1"/>
        <v>EZZZZEZ20</v>
      </c>
      <c r="C32" s="600" t="str">
        <f>IFERROR(INDEX('EZ list'!E:E,MATCH(B32,'EZ list'!C:C,0)),"")</f>
        <v/>
      </c>
      <c r="D32" s="474"/>
      <c r="E32" s="679"/>
      <c r="F32" s="680"/>
      <c r="G32" s="679"/>
      <c r="H32" s="681"/>
      <c r="I32" s="679"/>
      <c r="J32" s="681"/>
      <c r="K32" s="682" t="str">
        <f t="shared" si="2"/>
        <v/>
      </c>
      <c r="L32" s="683"/>
      <c r="M32" s="679"/>
      <c r="N32" s="680"/>
      <c r="O32" s="679"/>
      <c r="P32" s="680"/>
      <c r="Q32" s="777"/>
      <c r="R32" s="681"/>
      <c r="S32" s="928" t="str">
        <f>IFERROR(INDEX('EZ list'!R:R,MATCH(B32,'EZ list'!C:C,0)),"")</f>
        <v/>
      </c>
      <c r="T32" s="681"/>
      <c r="U32" s="682" t="str">
        <f t="shared" si="0"/>
        <v/>
      </c>
      <c r="V32" s="681"/>
      <c r="W32" s="679"/>
      <c r="X32" s="680"/>
      <c r="Y32" s="682" t="str">
        <f t="shared" si="3"/>
        <v/>
      </c>
      <c r="Z32" s="471"/>
      <c r="AA32" s="470"/>
      <c r="AB32" s="469"/>
      <c r="AC32" s="523"/>
      <c r="AD32" s="1268">
        <f>IF(IFERROR(INDEX('EZ list'!E:E,MATCH(B32,'EZ list'!C:C,0)),"")=C32,0,1)</f>
        <v>0</v>
      </c>
      <c r="AE32" s="1271">
        <f t="shared" si="4"/>
        <v>0</v>
      </c>
      <c r="AF32" s="475"/>
      <c r="AG32" s="467"/>
      <c r="AH32" s="467"/>
      <c r="AI32" s="467"/>
      <c r="AJ32" s="467"/>
      <c r="AK32" s="467"/>
      <c r="AL32" s="467"/>
      <c r="AM32" s="467"/>
      <c r="AN32" s="467"/>
      <c r="AO32" s="467"/>
      <c r="AP32" s="467"/>
      <c r="AQ32" s="467"/>
      <c r="AR32" s="467"/>
      <c r="AS32" s="467"/>
      <c r="AT32" s="467"/>
      <c r="AU32" s="467"/>
      <c r="AV32" s="467"/>
      <c r="AW32" s="467"/>
      <c r="AX32" s="467"/>
      <c r="AY32" s="467"/>
      <c r="AZ32" s="467"/>
      <c r="BA32" s="467"/>
    </row>
    <row r="33" spans="1:53" s="1662" customFormat="1" ht="21" customHeight="1" thickBot="1" x14ac:dyDescent="0.25">
      <c r="A33" s="521">
        <v>21</v>
      </c>
      <c r="B33" s="466" t="str">
        <f t="shared" si="1"/>
        <v>EZZZZEZ21</v>
      </c>
      <c r="C33" s="600" t="str">
        <f>IFERROR(INDEX('EZ list'!E:E,MATCH(B33,'EZ list'!C:C,0)),"")</f>
        <v/>
      </c>
      <c r="D33" s="474"/>
      <c r="E33" s="679"/>
      <c r="F33" s="680"/>
      <c r="G33" s="679"/>
      <c r="H33" s="681"/>
      <c r="I33" s="679"/>
      <c r="J33" s="681"/>
      <c r="K33" s="682" t="str">
        <f t="shared" si="2"/>
        <v/>
      </c>
      <c r="L33" s="683"/>
      <c r="M33" s="679"/>
      <c r="N33" s="680"/>
      <c r="O33" s="679"/>
      <c r="P33" s="680"/>
      <c r="Q33" s="777"/>
      <c r="R33" s="681"/>
      <c r="S33" s="928" t="str">
        <f>IFERROR(INDEX('EZ list'!R:R,MATCH(B33,'EZ list'!C:C,0)),"")</f>
        <v/>
      </c>
      <c r="T33" s="681"/>
      <c r="U33" s="682" t="str">
        <f t="shared" si="0"/>
        <v/>
      </c>
      <c r="V33" s="681"/>
      <c r="W33" s="679"/>
      <c r="X33" s="680"/>
      <c r="Y33" s="682" t="str">
        <f t="shared" si="3"/>
        <v/>
      </c>
      <c r="Z33" s="471"/>
      <c r="AA33" s="470"/>
      <c r="AB33" s="469"/>
      <c r="AC33" s="523"/>
      <c r="AD33" s="1268">
        <f>IF(IFERROR(INDEX('EZ list'!E:E,MATCH(B33,'EZ list'!C:C,0)),"")=C33,0,1)</f>
        <v>0</v>
      </c>
      <c r="AE33" s="1271">
        <f t="shared" si="4"/>
        <v>0</v>
      </c>
      <c r="AF33" s="475"/>
      <c r="AG33" s="467"/>
      <c r="AH33" s="467"/>
      <c r="AI33" s="467"/>
      <c r="AJ33" s="467"/>
      <c r="AK33" s="467"/>
      <c r="AL33" s="467"/>
      <c r="AM33" s="467"/>
      <c r="AN33" s="467"/>
      <c r="AO33" s="467"/>
      <c r="AP33" s="467"/>
      <c r="AQ33" s="467"/>
      <c r="AR33" s="467"/>
      <c r="AS33" s="467"/>
      <c r="AT33" s="467"/>
      <c r="AU33" s="467"/>
      <c r="AV33" s="467"/>
      <c r="AW33" s="467"/>
      <c r="AX33" s="467"/>
      <c r="AY33" s="467"/>
      <c r="AZ33" s="467"/>
      <c r="BA33" s="467"/>
    </row>
    <row r="34" spans="1:53" s="1662" customFormat="1" ht="21" customHeight="1" thickBot="1" x14ac:dyDescent="0.25">
      <c r="A34" s="521">
        <v>22</v>
      </c>
      <c r="B34" s="466" t="str">
        <f t="shared" si="1"/>
        <v>EZZZZEZ22</v>
      </c>
      <c r="C34" s="600" t="str">
        <f>IFERROR(INDEX('EZ list'!E:E,MATCH(B34,'EZ list'!C:C,0)),"")</f>
        <v/>
      </c>
      <c r="D34" s="474"/>
      <c r="E34" s="679"/>
      <c r="F34" s="680"/>
      <c r="G34" s="679"/>
      <c r="H34" s="681"/>
      <c r="I34" s="679"/>
      <c r="J34" s="681"/>
      <c r="K34" s="682" t="str">
        <f t="shared" si="2"/>
        <v/>
      </c>
      <c r="L34" s="683"/>
      <c r="M34" s="679"/>
      <c r="N34" s="680"/>
      <c r="O34" s="679"/>
      <c r="P34" s="680"/>
      <c r="Q34" s="777"/>
      <c r="R34" s="681"/>
      <c r="S34" s="928" t="str">
        <f>IFERROR(INDEX('EZ list'!R:R,MATCH(B34,'EZ list'!C:C,0)),"")</f>
        <v/>
      </c>
      <c r="T34" s="681"/>
      <c r="U34" s="682" t="str">
        <f t="shared" si="0"/>
        <v/>
      </c>
      <c r="V34" s="681"/>
      <c r="W34" s="679"/>
      <c r="X34" s="680"/>
      <c r="Y34" s="682" t="str">
        <f t="shared" si="3"/>
        <v/>
      </c>
      <c r="Z34" s="471"/>
      <c r="AA34" s="470"/>
      <c r="AB34" s="469"/>
      <c r="AC34" s="523"/>
      <c r="AD34" s="1268">
        <f>IF(IFERROR(INDEX('EZ list'!E:E,MATCH(B34,'EZ list'!C:C,0)),"")=C34,0,1)</f>
        <v>0</v>
      </c>
      <c r="AE34" s="1271">
        <f t="shared" si="4"/>
        <v>0</v>
      </c>
      <c r="AF34" s="475"/>
      <c r="AG34" s="467"/>
      <c r="AH34" s="467"/>
      <c r="AI34" s="467"/>
      <c r="AJ34" s="467"/>
      <c r="AK34" s="467"/>
      <c r="AL34" s="467"/>
      <c r="AM34" s="467"/>
      <c r="AN34" s="467"/>
      <c r="AO34" s="467"/>
      <c r="AP34" s="467"/>
      <c r="AQ34" s="467"/>
      <c r="AR34" s="467"/>
      <c r="AS34" s="467"/>
      <c r="AT34" s="467"/>
      <c r="AU34" s="467"/>
      <c r="AV34" s="467"/>
      <c r="AW34" s="467"/>
      <c r="AX34" s="467"/>
      <c r="AY34" s="467"/>
      <c r="AZ34" s="467"/>
      <c r="BA34" s="467"/>
    </row>
    <row r="35" spans="1:53" s="1662" customFormat="1" ht="21" customHeight="1" thickBot="1" x14ac:dyDescent="0.25">
      <c r="A35" s="521">
        <v>23</v>
      </c>
      <c r="B35" s="466" t="str">
        <f t="shared" si="1"/>
        <v>EZZZZEZ23</v>
      </c>
      <c r="C35" s="600" t="str">
        <f>IFERROR(INDEX('EZ list'!E:E,MATCH(B35,'EZ list'!C:C,0)),"")</f>
        <v/>
      </c>
      <c r="D35" s="474"/>
      <c r="E35" s="679"/>
      <c r="F35" s="680"/>
      <c r="G35" s="679"/>
      <c r="H35" s="681"/>
      <c r="I35" s="679"/>
      <c r="J35" s="681"/>
      <c r="K35" s="682" t="str">
        <f t="shared" si="2"/>
        <v/>
      </c>
      <c r="L35" s="683"/>
      <c r="M35" s="679"/>
      <c r="N35" s="680"/>
      <c r="O35" s="679"/>
      <c r="P35" s="680"/>
      <c r="Q35" s="777"/>
      <c r="R35" s="681"/>
      <c r="S35" s="928" t="str">
        <f>IFERROR(INDEX('EZ list'!R:R,MATCH(B35,'EZ list'!C:C,0)),"")</f>
        <v/>
      </c>
      <c r="T35" s="681"/>
      <c r="U35" s="682" t="str">
        <f t="shared" si="0"/>
        <v/>
      </c>
      <c r="V35" s="681"/>
      <c r="W35" s="679"/>
      <c r="X35" s="680"/>
      <c r="Y35" s="682" t="str">
        <f t="shared" si="3"/>
        <v/>
      </c>
      <c r="Z35" s="471"/>
      <c r="AA35" s="470"/>
      <c r="AB35" s="469"/>
      <c r="AC35" s="523"/>
      <c r="AD35" s="1268">
        <f>IF(IFERROR(INDEX('EZ list'!E:E,MATCH(B35,'EZ list'!C:C,0)),"")=C35,0,1)</f>
        <v>0</v>
      </c>
      <c r="AE35" s="1271">
        <f t="shared" si="4"/>
        <v>0</v>
      </c>
      <c r="AF35" s="475"/>
      <c r="AG35" s="467"/>
      <c r="AH35" s="467"/>
      <c r="AI35" s="467"/>
      <c r="AJ35" s="467"/>
      <c r="AK35" s="467"/>
      <c r="AL35" s="467"/>
      <c r="AM35" s="467"/>
      <c r="AN35" s="467"/>
      <c r="AO35" s="467"/>
      <c r="AP35" s="467"/>
      <c r="AQ35" s="467"/>
      <c r="AR35" s="467"/>
      <c r="AS35" s="467"/>
      <c r="AT35" s="467"/>
      <c r="AU35" s="467"/>
      <c r="AV35" s="467"/>
      <c r="AW35" s="467"/>
      <c r="AX35" s="467"/>
      <c r="AY35" s="467"/>
      <c r="AZ35" s="467"/>
      <c r="BA35" s="467"/>
    </row>
    <row r="36" spans="1:53" s="1662" customFormat="1" ht="21" customHeight="1" thickBot="1" x14ac:dyDescent="0.25">
      <c r="A36" s="521">
        <v>24</v>
      </c>
      <c r="B36" s="466" t="str">
        <f t="shared" si="1"/>
        <v>EZZZZEZ24</v>
      </c>
      <c r="C36" s="600" t="str">
        <f>IFERROR(INDEX('EZ list'!E:E,MATCH(B36,'EZ list'!C:C,0)),"")</f>
        <v/>
      </c>
      <c r="D36" s="474"/>
      <c r="E36" s="679"/>
      <c r="F36" s="680"/>
      <c r="G36" s="679"/>
      <c r="H36" s="681"/>
      <c r="I36" s="679"/>
      <c r="J36" s="681"/>
      <c r="K36" s="682" t="str">
        <f t="shared" si="2"/>
        <v/>
      </c>
      <c r="L36" s="683"/>
      <c r="M36" s="679"/>
      <c r="N36" s="680"/>
      <c r="O36" s="679"/>
      <c r="P36" s="680"/>
      <c r="Q36" s="777"/>
      <c r="R36" s="681"/>
      <c r="S36" s="928" t="str">
        <f>IFERROR(INDEX('EZ list'!R:R,MATCH(B36,'EZ list'!C:C,0)),"")</f>
        <v/>
      </c>
      <c r="T36" s="681"/>
      <c r="U36" s="682" t="str">
        <f t="shared" si="0"/>
        <v/>
      </c>
      <c r="V36" s="681"/>
      <c r="W36" s="679"/>
      <c r="X36" s="680"/>
      <c r="Y36" s="682" t="str">
        <f t="shared" si="3"/>
        <v/>
      </c>
      <c r="Z36" s="471"/>
      <c r="AA36" s="470"/>
      <c r="AB36" s="469"/>
      <c r="AC36" s="523"/>
      <c r="AD36" s="1268">
        <f>IF(IFERROR(INDEX('EZ list'!E:E,MATCH(B36,'EZ list'!C:C,0)),"")=C36,0,1)</f>
        <v>0</v>
      </c>
      <c r="AE36" s="1271">
        <f t="shared" si="4"/>
        <v>0</v>
      </c>
      <c r="AF36" s="475"/>
      <c r="AG36" s="467"/>
      <c r="AH36" s="467"/>
      <c r="AI36" s="467"/>
      <c r="AJ36" s="467"/>
      <c r="AK36" s="467"/>
      <c r="AL36" s="467"/>
      <c r="AM36" s="467"/>
      <c r="AN36" s="467"/>
      <c r="AO36" s="467"/>
      <c r="AP36" s="467"/>
      <c r="AQ36" s="467"/>
      <c r="AR36" s="467"/>
      <c r="AS36" s="467"/>
      <c r="AT36" s="467"/>
      <c r="AU36" s="467"/>
      <c r="AV36" s="467"/>
      <c r="AW36" s="467"/>
      <c r="AX36" s="467"/>
      <c r="AY36" s="467"/>
      <c r="AZ36" s="467"/>
      <c r="BA36" s="467"/>
    </row>
    <row r="37" spans="1:53" s="1662" customFormat="1" ht="21" customHeight="1" thickBot="1" x14ac:dyDescent="0.25">
      <c r="A37" s="521">
        <v>25</v>
      </c>
      <c r="B37" s="466" t="str">
        <f t="shared" si="1"/>
        <v>EZZZZEZ25</v>
      </c>
      <c r="C37" s="600" t="str">
        <f>IFERROR(INDEX('EZ list'!E:E,MATCH(B37,'EZ list'!C:C,0)),"")</f>
        <v/>
      </c>
      <c r="D37" s="474"/>
      <c r="E37" s="679"/>
      <c r="F37" s="680"/>
      <c r="G37" s="679"/>
      <c r="H37" s="681"/>
      <c r="I37" s="679"/>
      <c r="J37" s="681"/>
      <c r="K37" s="682" t="str">
        <f t="shared" si="2"/>
        <v/>
      </c>
      <c r="L37" s="683"/>
      <c r="M37" s="679"/>
      <c r="N37" s="680"/>
      <c r="O37" s="679"/>
      <c r="P37" s="680"/>
      <c r="Q37" s="777"/>
      <c r="R37" s="681"/>
      <c r="S37" s="928" t="str">
        <f>IFERROR(INDEX('EZ list'!R:R,MATCH(B37,'EZ list'!C:C,0)),"")</f>
        <v/>
      </c>
      <c r="T37" s="681"/>
      <c r="U37" s="682" t="str">
        <f t="shared" si="0"/>
        <v/>
      </c>
      <c r="V37" s="681"/>
      <c r="W37" s="679"/>
      <c r="X37" s="680"/>
      <c r="Y37" s="682" t="str">
        <f t="shared" si="3"/>
        <v/>
      </c>
      <c r="Z37" s="471"/>
      <c r="AA37" s="470"/>
      <c r="AB37" s="469"/>
      <c r="AC37" s="523"/>
      <c r="AD37" s="1268">
        <f>IF(IFERROR(INDEX('EZ list'!E:E,MATCH(B37,'EZ list'!C:C,0)),"")=C37,0,1)</f>
        <v>0</v>
      </c>
      <c r="AE37" s="1271">
        <f t="shared" si="4"/>
        <v>0</v>
      </c>
      <c r="AF37" s="467"/>
      <c r="AG37" s="467"/>
      <c r="AH37" s="467"/>
      <c r="AI37" s="467"/>
      <c r="AJ37" s="467"/>
      <c r="AK37" s="467"/>
      <c r="AL37" s="467"/>
      <c r="AM37" s="467"/>
      <c r="AN37" s="467"/>
      <c r="AO37" s="467"/>
      <c r="AP37" s="467"/>
      <c r="AQ37" s="467"/>
      <c r="AR37" s="467"/>
      <c r="AS37" s="467"/>
      <c r="AT37" s="467"/>
      <c r="AU37" s="467"/>
      <c r="AV37" s="467"/>
      <c r="AW37" s="467"/>
      <c r="AX37" s="467"/>
      <c r="AY37" s="467"/>
      <c r="AZ37" s="467"/>
      <c r="BA37" s="467"/>
    </row>
    <row r="38" spans="1:53" s="1662" customFormat="1" ht="21" customHeight="1" thickBot="1" x14ac:dyDescent="0.25">
      <c r="A38" s="521">
        <v>26</v>
      </c>
      <c r="B38" s="466" t="str">
        <f t="shared" si="1"/>
        <v>EZZZZEZ26</v>
      </c>
      <c r="C38" s="600" t="str">
        <f>IFERROR(INDEX('EZ list'!E:E,MATCH(B38,'EZ list'!C:C,0)),"")</f>
        <v/>
      </c>
      <c r="D38" s="474"/>
      <c r="E38" s="679"/>
      <c r="F38" s="680"/>
      <c r="G38" s="679"/>
      <c r="H38" s="681"/>
      <c r="I38" s="679"/>
      <c r="J38" s="681"/>
      <c r="K38" s="682" t="str">
        <f t="shared" si="2"/>
        <v/>
      </c>
      <c r="L38" s="683"/>
      <c r="M38" s="679"/>
      <c r="N38" s="680"/>
      <c r="O38" s="679"/>
      <c r="P38" s="680"/>
      <c r="Q38" s="777"/>
      <c r="R38" s="681"/>
      <c r="S38" s="928" t="str">
        <f>IFERROR(INDEX('EZ list'!R:R,MATCH(B38,'EZ list'!C:C,0)),"")</f>
        <v/>
      </c>
      <c r="T38" s="681"/>
      <c r="U38" s="682" t="str">
        <f t="shared" si="0"/>
        <v/>
      </c>
      <c r="V38" s="681"/>
      <c r="W38" s="679"/>
      <c r="X38" s="680"/>
      <c r="Y38" s="682" t="str">
        <f t="shared" si="3"/>
        <v/>
      </c>
      <c r="Z38" s="471"/>
      <c r="AA38" s="470"/>
      <c r="AB38" s="469"/>
      <c r="AC38" s="523"/>
      <c r="AD38" s="1268">
        <f>IF(IFERROR(INDEX('EZ list'!E:E,MATCH(B38,'EZ list'!C:C,0)),"")=C38,0,1)</f>
        <v>0</v>
      </c>
      <c r="AE38" s="1271">
        <f t="shared" si="4"/>
        <v>0</v>
      </c>
      <c r="AF38" s="467"/>
      <c r="AG38" s="467"/>
      <c r="AH38" s="467"/>
      <c r="AI38" s="467"/>
      <c r="AJ38" s="467"/>
      <c r="AK38" s="467"/>
      <c r="AL38" s="467"/>
      <c r="AM38" s="467"/>
      <c r="AN38" s="467"/>
      <c r="AO38" s="467"/>
      <c r="AP38" s="467"/>
      <c r="AQ38" s="467"/>
      <c r="AR38" s="467"/>
      <c r="AS38" s="467"/>
      <c r="AT38" s="467"/>
      <c r="AU38" s="467"/>
      <c r="AV38" s="467"/>
      <c r="AW38" s="467"/>
      <c r="AX38" s="467"/>
      <c r="AY38" s="467"/>
      <c r="AZ38" s="467"/>
      <c r="BA38" s="467"/>
    </row>
    <row r="39" spans="1:53" s="1662" customFormat="1" ht="21" customHeight="1" thickBot="1" x14ac:dyDescent="0.25">
      <c r="A39" s="521">
        <v>27</v>
      </c>
      <c r="B39" s="466" t="str">
        <f t="shared" si="1"/>
        <v>EZZZZEZ27</v>
      </c>
      <c r="C39" s="600" t="str">
        <f>IFERROR(INDEX('EZ list'!E:E,MATCH(B39,'EZ list'!C:C,0)),"")</f>
        <v/>
      </c>
      <c r="D39" s="474"/>
      <c r="E39" s="679"/>
      <c r="F39" s="680"/>
      <c r="G39" s="679"/>
      <c r="H39" s="681"/>
      <c r="I39" s="679"/>
      <c r="J39" s="681"/>
      <c r="K39" s="682" t="str">
        <f t="shared" si="2"/>
        <v/>
      </c>
      <c r="L39" s="683"/>
      <c r="M39" s="679"/>
      <c r="N39" s="680"/>
      <c r="O39" s="679"/>
      <c r="P39" s="680"/>
      <c r="Q39" s="777"/>
      <c r="R39" s="681"/>
      <c r="S39" s="928" t="str">
        <f>IFERROR(INDEX('EZ list'!R:R,MATCH(B39,'EZ list'!C:C,0)),"")</f>
        <v/>
      </c>
      <c r="T39" s="681"/>
      <c r="U39" s="682" t="str">
        <f t="shared" si="0"/>
        <v/>
      </c>
      <c r="V39" s="681"/>
      <c r="W39" s="679"/>
      <c r="X39" s="680"/>
      <c r="Y39" s="682" t="str">
        <f t="shared" si="3"/>
        <v/>
      </c>
      <c r="Z39" s="471"/>
      <c r="AA39" s="470"/>
      <c r="AB39" s="469"/>
      <c r="AC39" s="523"/>
      <c r="AD39" s="1268">
        <f>IF(IFERROR(INDEX('EZ list'!E:E,MATCH(B39,'EZ list'!C:C,0)),"")=C39,0,1)</f>
        <v>0</v>
      </c>
      <c r="AE39" s="1271">
        <f t="shared" si="4"/>
        <v>0</v>
      </c>
      <c r="AF39" s="467"/>
      <c r="AG39" s="467"/>
      <c r="AH39" s="467"/>
      <c r="AI39" s="467"/>
      <c r="AJ39" s="467"/>
      <c r="AK39" s="467"/>
      <c r="AL39" s="467"/>
      <c r="AM39" s="467"/>
      <c r="AN39" s="467"/>
      <c r="AO39" s="467"/>
      <c r="AP39" s="467"/>
      <c r="AQ39" s="467"/>
      <c r="AR39" s="467"/>
      <c r="AS39" s="467"/>
      <c r="AT39" s="467"/>
      <c r="AU39" s="467"/>
      <c r="AV39" s="467"/>
      <c r="AW39" s="467"/>
      <c r="AX39" s="467"/>
      <c r="AY39" s="467"/>
      <c r="AZ39" s="467"/>
      <c r="BA39" s="467"/>
    </row>
    <row r="40" spans="1:53" s="1662" customFormat="1" ht="21" customHeight="1" thickBot="1" x14ac:dyDescent="0.25">
      <c r="A40" s="521">
        <v>28</v>
      </c>
      <c r="B40" s="466" t="str">
        <f t="shared" si="1"/>
        <v>EZZZZEZ28</v>
      </c>
      <c r="C40" s="600" t="str">
        <f>IFERROR(INDEX('EZ list'!E:E,MATCH(B40,'EZ list'!C:C,0)),"")</f>
        <v/>
      </c>
      <c r="D40" s="474"/>
      <c r="E40" s="679"/>
      <c r="F40" s="680"/>
      <c r="G40" s="679"/>
      <c r="H40" s="681"/>
      <c r="I40" s="679"/>
      <c r="J40" s="681"/>
      <c r="K40" s="682" t="str">
        <f t="shared" si="2"/>
        <v/>
      </c>
      <c r="L40" s="683"/>
      <c r="M40" s="679"/>
      <c r="N40" s="680"/>
      <c r="O40" s="679"/>
      <c r="P40" s="680"/>
      <c r="Q40" s="777"/>
      <c r="R40" s="681"/>
      <c r="S40" s="928" t="str">
        <f>IFERROR(INDEX('EZ list'!R:R,MATCH(B40,'EZ list'!C:C,0)),"")</f>
        <v/>
      </c>
      <c r="T40" s="681"/>
      <c r="U40" s="682" t="str">
        <f t="shared" si="0"/>
        <v/>
      </c>
      <c r="V40" s="681"/>
      <c r="W40" s="679"/>
      <c r="X40" s="680"/>
      <c r="Y40" s="682" t="str">
        <f t="shared" si="3"/>
        <v/>
      </c>
      <c r="Z40" s="471"/>
      <c r="AA40" s="470"/>
      <c r="AB40" s="469"/>
      <c r="AC40" s="523"/>
      <c r="AD40" s="1268">
        <f>IF(IFERROR(INDEX('EZ list'!E:E,MATCH(B40,'EZ list'!C:C,0)),"")=C40,0,1)</f>
        <v>0</v>
      </c>
      <c r="AE40" s="1271">
        <f t="shared" si="4"/>
        <v>0</v>
      </c>
      <c r="AF40" s="467"/>
      <c r="AG40" s="467"/>
      <c r="AH40" s="467"/>
      <c r="AI40" s="467"/>
      <c r="AJ40" s="467"/>
      <c r="AK40" s="467"/>
      <c r="AL40" s="467"/>
      <c r="AM40" s="467"/>
      <c r="AN40" s="467"/>
      <c r="AO40" s="467"/>
      <c r="AP40" s="467"/>
      <c r="AQ40" s="467"/>
      <c r="AR40" s="467"/>
      <c r="AS40" s="467"/>
      <c r="AT40" s="467"/>
      <c r="AU40" s="467"/>
      <c r="AV40" s="467"/>
      <c r="AW40" s="467"/>
      <c r="AX40" s="467"/>
      <c r="AY40" s="467"/>
      <c r="AZ40" s="467"/>
      <c r="BA40" s="467"/>
    </row>
    <row r="41" spans="1:53" s="1662" customFormat="1" ht="21" customHeight="1" thickBot="1" x14ac:dyDescent="0.25">
      <c r="A41" s="521">
        <v>29</v>
      </c>
      <c r="B41" s="466" t="str">
        <f t="shared" si="1"/>
        <v>EZZZZEZ29</v>
      </c>
      <c r="C41" s="600" t="str">
        <f>IFERROR(INDEX('EZ list'!E:E,MATCH(B41,'EZ list'!C:C,0)),"")</f>
        <v/>
      </c>
      <c r="D41" s="474"/>
      <c r="E41" s="679"/>
      <c r="F41" s="680"/>
      <c r="G41" s="679"/>
      <c r="H41" s="681"/>
      <c r="I41" s="679"/>
      <c r="J41" s="681"/>
      <c r="K41" s="682" t="str">
        <f t="shared" si="2"/>
        <v/>
      </c>
      <c r="L41" s="683"/>
      <c r="M41" s="679"/>
      <c r="N41" s="680"/>
      <c r="O41" s="679"/>
      <c r="P41" s="680"/>
      <c r="Q41" s="777"/>
      <c r="R41" s="681"/>
      <c r="S41" s="928" t="str">
        <f>IFERROR(INDEX('EZ list'!R:R,MATCH(B41,'EZ list'!C:C,0)),"")</f>
        <v/>
      </c>
      <c r="T41" s="681"/>
      <c r="U41" s="682" t="str">
        <f t="shared" si="0"/>
        <v/>
      </c>
      <c r="V41" s="681"/>
      <c r="W41" s="679"/>
      <c r="X41" s="680"/>
      <c r="Y41" s="682" t="str">
        <f t="shared" si="3"/>
        <v/>
      </c>
      <c r="Z41" s="471"/>
      <c r="AA41" s="470"/>
      <c r="AB41" s="469"/>
      <c r="AC41" s="523"/>
      <c r="AD41" s="1268">
        <f>IF(IFERROR(INDEX('EZ list'!E:E,MATCH(B41,'EZ list'!C:C,0)),"")=C41,0,1)</f>
        <v>0</v>
      </c>
      <c r="AE41" s="1271">
        <f t="shared" si="4"/>
        <v>0</v>
      </c>
      <c r="AF41" s="467"/>
      <c r="AG41" s="467"/>
      <c r="AH41" s="467"/>
      <c r="AI41" s="467"/>
      <c r="AJ41" s="467"/>
      <c r="AK41" s="467"/>
      <c r="AL41" s="467"/>
      <c r="AM41" s="467"/>
      <c r="AN41" s="467"/>
      <c r="AO41" s="467"/>
      <c r="AP41" s="467"/>
      <c r="AQ41" s="467"/>
      <c r="AR41" s="467"/>
      <c r="AS41" s="467"/>
      <c r="AT41" s="467"/>
      <c r="AU41" s="467"/>
      <c r="AV41" s="467"/>
      <c r="AW41" s="467"/>
      <c r="AX41" s="467"/>
      <c r="AY41" s="467"/>
      <c r="AZ41" s="467"/>
      <c r="BA41" s="467"/>
    </row>
    <row r="42" spans="1:53" s="1662" customFormat="1" ht="21" customHeight="1" thickBot="1" x14ac:dyDescent="0.25">
      <c r="A42" s="521">
        <v>30</v>
      </c>
      <c r="B42" s="466" t="str">
        <f t="shared" si="1"/>
        <v>EZZZZEZ30</v>
      </c>
      <c r="C42" s="600" t="str">
        <f>IFERROR(INDEX('EZ list'!E:E,MATCH(B42,'EZ list'!C:C,0)),"")</f>
        <v/>
      </c>
      <c r="D42" s="474"/>
      <c r="E42" s="679"/>
      <c r="F42" s="680"/>
      <c r="G42" s="679"/>
      <c r="H42" s="681"/>
      <c r="I42" s="679"/>
      <c r="J42" s="681"/>
      <c r="K42" s="682" t="str">
        <f t="shared" si="2"/>
        <v/>
      </c>
      <c r="L42" s="683"/>
      <c r="M42" s="679"/>
      <c r="N42" s="680"/>
      <c r="O42" s="679"/>
      <c r="P42" s="680"/>
      <c r="Q42" s="777"/>
      <c r="R42" s="681"/>
      <c r="S42" s="928" t="str">
        <f>IFERROR(INDEX('EZ list'!R:R,MATCH(B42,'EZ list'!C:C,0)),"")</f>
        <v/>
      </c>
      <c r="T42" s="681"/>
      <c r="U42" s="682" t="str">
        <f t="shared" si="0"/>
        <v/>
      </c>
      <c r="V42" s="681"/>
      <c r="W42" s="679"/>
      <c r="X42" s="680"/>
      <c r="Y42" s="682" t="str">
        <f t="shared" si="3"/>
        <v/>
      </c>
      <c r="Z42" s="471"/>
      <c r="AA42" s="470"/>
      <c r="AB42" s="469"/>
      <c r="AC42" s="523"/>
      <c r="AD42" s="1268">
        <f>IF(IFERROR(INDEX('EZ list'!E:E,MATCH(B42,'EZ list'!C:C,0)),"")=C42,0,1)</f>
        <v>0</v>
      </c>
      <c r="AE42" s="1271">
        <f t="shared" si="4"/>
        <v>0</v>
      </c>
      <c r="AF42" s="467"/>
      <c r="AG42" s="467"/>
      <c r="AH42" s="467"/>
      <c r="AI42" s="467"/>
      <c r="AJ42" s="467"/>
      <c r="AK42" s="467"/>
      <c r="AL42" s="467"/>
      <c r="AM42" s="467"/>
      <c r="AN42" s="467"/>
      <c r="AO42" s="467"/>
      <c r="AP42" s="467"/>
      <c r="AQ42" s="467"/>
      <c r="AR42" s="467"/>
      <c r="AS42" s="467"/>
      <c r="AT42" s="467"/>
      <c r="AU42" s="467"/>
      <c r="AV42" s="467"/>
      <c r="AW42" s="467"/>
      <c r="AX42" s="467"/>
      <c r="AY42" s="467"/>
      <c r="AZ42" s="467"/>
      <c r="BA42" s="467"/>
    </row>
    <row r="43" spans="1:53" s="1662" customFormat="1" ht="21" customHeight="1" thickBot="1" x14ac:dyDescent="0.25">
      <c r="A43" s="521">
        <v>31</v>
      </c>
      <c r="B43" s="466" t="str">
        <f t="shared" si="1"/>
        <v>EZZZZEZ31</v>
      </c>
      <c r="C43" s="600" t="str">
        <f>IFERROR(INDEX('EZ list'!E:E,MATCH(B43,'EZ list'!C:C,0)),"")</f>
        <v/>
      </c>
      <c r="D43" s="474"/>
      <c r="E43" s="679"/>
      <c r="F43" s="680"/>
      <c r="G43" s="679"/>
      <c r="H43" s="681"/>
      <c r="I43" s="679"/>
      <c r="J43" s="681"/>
      <c r="K43" s="682" t="str">
        <f t="shared" si="2"/>
        <v/>
      </c>
      <c r="L43" s="683"/>
      <c r="M43" s="679"/>
      <c r="N43" s="680"/>
      <c r="O43" s="679"/>
      <c r="P43" s="680"/>
      <c r="Q43" s="777"/>
      <c r="R43" s="681"/>
      <c r="S43" s="928" t="str">
        <f>IFERROR(INDEX('EZ list'!R:R,MATCH(B43,'EZ list'!C:C,0)),"")</f>
        <v/>
      </c>
      <c r="T43" s="681"/>
      <c r="U43" s="682" t="str">
        <f t="shared" si="0"/>
        <v/>
      </c>
      <c r="V43" s="681"/>
      <c r="W43" s="679"/>
      <c r="X43" s="680"/>
      <c r="Y43" s="682" t="str">
        <f t="shared" si="3"/>
        <v/>
      </c>
      <c r="Z43" s="471"/>
      <c r="AA43" s="470"/>
      <c r="AB43" s="469"/>
      <c r="AC43" s="523"/>
      <c r="AD43" s="1268">
        <f>IF(IFERROR(INDEX('EZ list'!E:E,MATCH(B43,'EZ list'!C:C,0)),"")=C43,0,1)</f>
        <v>0</v>
      </c>
      <c r="AE43" s="1271">
        <f t="shared" si="4"/>
        <v>0</v>
      </c>
      <c r="AF43" s="467"/>
      <c r="AG43" s="467"/>
      <c r="AH43" s="467"/>
      <c r="AI43" s="467"/>
      <c r="AJ43" s="467"/>
      <c r="AK43" s="467"/>
      <c r="AL43" s="467"/>
      <c r="AM43" s="467"/>
      <c r="AN43" s="467"/>
      <c r="AO43" s="467"/>
      <c r="AP43" s="467"/>
      <c r="AQ43" s="467"/>
      <c r="AR43" s="467"/>
      <c r="AS43" s="467"/>
      <c r="AT43" s="467"/>
      <c r="AU43" s="467"/>
      <c r="AV43" s="467"/>
      <c r="AW43" s="467"/>
      <c r="AX43" s="467"/>
      <c r="AY43" s="467"/>
      <c r="AZ43" s="467"/>
      <c r="BA43" s="467"/>
    </row>
    <row r="44" spans="1:53" s="1662" customFormat="1" ht="21" customHeight="1" thickBot="1" x14ac:dyDescent="0.25">
      <c r="A44" s="521">
        <v>32</v>
      </c>
      <c r="B44" s="466" t="str">
        <f t="shared" si="1"/>
        <v>EZZZZEZ32</v>
      </c>
      <c r="C44" s="600" t="str">
        <f>IFERROR(INDEX('EZ list'!E:E,MATCH(B44,'EZ list'!C:C,0)),"")</f>
        <v/>
      </c>
      <c r="D44" s="474"/>
      <c r="E44" s="679"/>
      <c r="F44" s="680"/>
      <c r="G44" s="679"/>
      <c r="H44" s="681"/>
      <c r="I44" s="679"/>
      <c r="J44" s="681"/>
      <c r="K44" s="682" t="str">
        <f t="shared" si="2"/>
        <v/>
      </c>
      <c r="L44" s="683"/>
      <c r="M44" s="679"/>
      <c r="N44" s="680"/>
      <c r="O44" s="679"/>
      <c r="P44" s="680"/>
      <c r="Q44" s="777"/>
      <c r="R44" s="681"/>
      <c r="S44" s="928" t="str">
        <f>IFERROR(INDEX('EZ list'!R:R,MATCH(B44,'EZ list'!C:C,0)),"")</f>
        <v/>
      </c>
      <c r="T44" s="681"/>
      <c r="U44" s="682" t="str">
        <f t="shared" si="0"/>
        <v/>
      </c>
      <c r="V44" s="681"/>
      <c r="W44" s="679"/>
      <c r="X44" s="680"/>
      <c r="Y44" s="682" t="str">
        <f t="shared" si="3"/>
        <v/>
      </c>
      <c r="Z44" s="471"/>
      <c r="AA44" s="470"/>
      <c r="AB44" s="469"/>
      <c r="AC44" s="523"/>
      <c r="AD44" s="1268">
        <f>IF(IFERROR(INDEX('EZ list'!E:E,MATCH(B44,'EZ list'!C:C,0)),"")=C44,0,1)</f>
        <v>0</v>
      </c>
      <c r="AE44" s="1271">
        <f t="shared" si="4"/>
        <v>0</v>
      </c>
      <c r="AF44" s="467"/>
      <c r="AG44" s="467"/>
      <c r="AH44" s="467"/>
      <c r="AI44" s="467"/>
      <c r="AJ44" s="467"/>
      <c r="AK44" s="467"/>
      <c r="AL44" s="467"/>
      <c r="AM44" s="467"/>
      <c r="AN44" s="467"/>
      <c r="AO44" s="467"/>
      <c r="AP44" s="467"/>
      <c r="AQ44" s="467"/>
      <c r="AR44" s="467"/>
      <c r="AS44" s="467"/>
      <c r="AT44" s="467"/>
      <c r="AU44" s="467"/>
      <c r="AV44" s="467"/>
      <c r="AW44" s="467"/>
      <c r="AX44" s="467"/>
      <c r="AY44" s="467"/>
      <c r="AZ44" s="467"/>
      <c r="BA44" s="467"/>
    </row>
    <row r="45" spans="1:53" s="1662" customFormat="1" ht="21" customHeight="1" thickBot="1" x14ac:dyDescent="0.25">
      <c r="A45" s="521">
        <v>33</v>
      </c>
      <c r="B45" s="466" t="str">
        <f t="shared" si="1"/>
        <v>EZZZZEZ33</v>
      </c>
      <c r="C45" s="600" t="str">
        <f>IFERROR(INDEX('EZ list'!E:E,MATCH(B45,'EZ list'!C:C,0)),"")</f>
        <v/>
      </c>
      <c r="D45" s="474"/>
      <c r="E45" s="679"/>
      <c r="F45" s="680"/>
      <c r="G45" s="679"/>
      <c r="H45" s="681"/>
      <c r="I45" s="679"/>
      <c r="J45" s="681"/>
      <c r="K45" s="682" t="str">
        <f t="shared" si="2"/>
        <v/>
      </c>
      <c r="L45" s="683"/>
      <c r="M45" s="679"/>
      <c r="N45" s="680"/>
      <c r="O45" s="679"/>
      <c r="P45" s="680"/>
      <c r="Q45" s="777"/>
      <c r="R45" s="681"/>
      <c r="S45" s="928" t="str">
        <f>IFERROR(INDEX('EZ list'!R:R,MATCH(B45,'EZ list'!C:C,0)),"")</f>
        <v/>
      </c>
      <c r="T45" s="681"/>
      <c r="U45" s="682" t="str">
        <f t="shared" si="0"/>
        <v/>
      </c>
      <c r="V45" s="681"/>
      <c r="W45" s="679"/>
      <c r="X45" s="680"/>
      <c r="Y45" s="682" t="str">
        <f t="shared" si="3"/>
        <v/>
      </c>
      <c r="Z45" s="471"/>
      <c r="AA45" s="470"/>
      <c r="AB45" s="469"/>
      <c r="AC45" s="523"/>
      <c r="AD45" s="1268">
        <f>IF(IFERROR(INDEX('EZ list'!E:E,MATCH(B45,'EZ list'!C:C,0)),"")=C45,0,1)</f>
        <v>0</v>
      </c>
      <c r="AE45" s="1271">
        <f t="shared" si="4"/>
        <v>0</v>
      </c>
      <c r="AF45" s="467"/>
      <c r="AG45" s="467"/>
      <c r="AH45" s="467"/>
      <c r="AI45" s="467"/>
      <c r="AJ45" s="467"/>
      <c r="AK45" s="467"/>
      <c r="AL45" s="467"/>
      <c r="AM45" s="467"/>
      <c r="AN45" s="467"/>
      <c r="AO45" s="467"/>
      <c r="AP45" s="467"/>
      <c r="AQ45" s="467"/>
      <c r="AR45" s="467"/>
      <c r="AS45" s="467"/>
      <c r="AT45" s="467"/>
      <c r="AU45" s="467"/>
      <c r="AV45" s="467"/>
      <c r="AW45" s="467"/>
      <c r="AX45" s="467"/>
      <c r="AY45" s="467"/>
      <c r="AZ45" s="467"/>
      <c r="BA45" s="467"/>
    </row>
    <row r="46" spans="1:53" s="1662" customFormat="1" ht="21" customHeight="1" thickBot="1" x14ac:dyDescent="0.25">
      <c r="A46" s="521">
        <v>34</v>
      </c>
      <c r="B46" s="466" t="str">
        <f t="shared" si="1"/>
        <v>EZZZZEZ34</v>
      </c>
      <c r="C46" s="600" t="str">
        <f>IFERROR(INDEX('EZ list'!E:E,MATCH(B46,'EZ list'!C:C,0)),"")</f>
        <v/>
      </c>
      <c r="D46" s="474"/>
      <c r="E46" s="679"/>
      <c r="F46" s="680"/>
      <c r="G46" s="679"/>
      <c r="H46" s="681"/>
      <c r="I46" s="679"/>
      <c r="J46" s="681"/>
      <c r="K46" s="682" t="str">
        <f t="shared" si="2"/>
        <v/>
      </c>
      <c r="L46" s="683"/>
      <c r="M46" s="679"/>
      <c r="N46" s="680"/>
      <c r="O46" s="679"/>
      <c r="P46" s="680"/>
      <c r="Q46" s="777"/>
      <c r="R46" s="681"/>
      <c r="S46" s="928" t="str">
        <f>IFERROR(INDEX('EZ list'!R:R,MATCH(B46,'EZ list'!C:C,0)),"")</f>
        <v/>
      </c>
      <c r="T46" s="681"/>
      <c r="U46" s="682" t="str">
        <f t="shared" si="0"/>
        <v/>
      </c>
      <c r="V46" s="681"/>
      <c r="W46" s="679"/>
      <c r="X46" s="680"/>
      <c r="Y46" s="682" t="str">
        <f t="shared" si="3"/>
        <v/>
      </c>
      <c r="Z46" s="471"/>
      <c r="AA46" s="470"/>
      <c r="AB46" s="469"/>
      <c r="AC46" s="523"/>
      <c r="AD46" s="1268">
        <f>IF(IFERROR(INDEX('EZ list'!E:E,MATCH(B46,'EZ list'!C:C,0)),"")=C46,0,1)</f>
        <v>0</v>
      </c>
      <c r="AE46" s="1271">
        <f t="shared" si="4"/>
        <v>0</v>
      </c>
      <c r="AF46" s="467"/>
      <c r="AG46" s="467"/>
      <c r="AH46" s="467"/>
      <c r="AI46" s="467"/>
      <c r="AJ46" s="467"/>
      <c r="AK46" s="467"/>
      <c r="AL46" s="467"/>
      <c r="AM46" s="467"/>
      <c r="AN46" s="467"/>
      <c r="AO46" s="467"/>
      <c r="AP46" s="467"/>
      <c r="AQ46" s="467"/>
      <c r="AR46" s="467"/>
      <c r="AS46" s="467"/>
      <c r="AT46" s="467"/>
      <c r="AU46" s="467"/>
      <c r="AV46" s="467"/>
      <c r="AW46" s="467"/>
      <c r="AX46" s="467"/>
      <c r="AY46" s="467"/>
      <c r="AZ46" s="467"/>
      <c r="BA46" s="467"/>
    </row>
    <row r="47" spans="1:53" s="1662" customFormat="1" ht="21" customHeight="1" thickBot="1" x14ac:dyDescent="0.25">
      <c r="A47" s="521">
        <v>35</v>
      </c>
      <c r="B47" s="466" t="str">
        <f t="shared" si="1"/>
        <v>EZZZZEZ35</v>
      </c>
      <c r="C47" s="600" t="str">
        <f>IFERROR(INDEX('EZ list'!E:E,MATCH(B47,'EZ list'!C:C,0)),"")</f>
        <v/>
      </c>
      <c r="D47" s="474"/>
      <c r="E47" s="679"/>
      <c r="F47" s="680"/>
      <c r="G47" s="679"/>
      <c r="H47" s="681"/>
      <c r="I47" s="679"/>
      <c r="J47" s="681"/>
      <c r="K47" s="682" t="str">
        <f t="shared" si="2"/>
        <v/>
      </c>
      <c r="L47" s="683"/>
      <c r="M47" s="679"/>
      <c r="N47" s="680"/>
      <c r="O47" s="679"/>
      <c r="P47" s="680"/>
      <c r="Q47" s="777"/>
      <c r="R47" s="681"/>
      <c r="S47" s="928" t="str">
        <f>IFERROR(INDEX('EZ list'!R:R,MATCH(B47,'EZ list'!C:C,0)),"")</f>
        <v/>
      </c>
      <c r="T47" s="681"/>
      <c r="U47" s="682" t="str">
        <f t="shared" si="0"/>
        <v/>
      </c>
      <c r="V47" s="681"/>
      <c r="W47" s="679"/>
      <c r="X47" s="680"/>
      <c r="Y47" s="682" t="str">
        <f t="shared" si="3"/>
        <v/>
      </c>
      <c r="Z47" s="471"/>
      <c r="AA47" s="470"/>
      <c r="AB47" s="469"/>
      <c r="AC47" s="523"/>
      <c r="AD47" s="1268">
        <f>IF(IFERROR(INDEX('EZ list'!E:E,MATCH(B47,'EZ list'!C:C,0)),"")=C47,0,1)</f>
        <v>0</v>
      </c>
      <c r="AE47" s="1271">
        <f t="shared" si="4"/>
        <v>0</v>
      </c>
      <c r="AF47" s="467"/>
      <c r="AG47" s="467"/>
      <c r="AH47" s="467"/>
      <c r="AI47" s="467"/>
      <c r="AJ47" s="467"/>
      <c r="AK47" s="467"/>
      <c r="AL47" s="467"/>
      <c r="AM47" s="467"/>
      <c r="AN47" s="467"/>
      <c r="AO47" s="467"/>
      <c r="AP47" s="467"/>
      <c r="AQ47" s="467"/>
      <c r="AR47" s="467"/>
      <c r="AS47" s="467"/>
      <c r="AT47" s="467"/>
      <c r="AU47" s="467"/>
      <c r="AV47" s="467"/>
      <c r="AW47" s="467"/>
      <c r="AX47" s="467"/>
      <c r="AY47" s="467"/>
      <c r="AZ47" s="467"/>
      <c r="BA47" s="467"/>
    </row>
    <row r="48" spans="1:53" s="1662" customFormat="1" ht="21" customHeight="1" thickBot="1" x14ac:dyDescent="0.25">
      <c r="A48" s="521">
        <v>36</v>
      </c>
      <c r="B48" s="466" t="str">
        <f t="shared" si="1"/>
        <v>EZZZZEZ36</v>
      </c>
      <c r="C48" s="600" t="str">
        <f>IFERROR(INDEX('EZ list'!E:E,MATCH(B48,'EZ list'!C:C,0)),"")</f>
        <v/>
      </c>
      <c r="D48" s="474"/>
      <c r="E48" s="679"/>
      <c r="F48" s="680"/>
      <c r="G48" s="679"/>
      <c r="H48" s="681"/>
      <c r="I48" s="679"/>
      <c r="J48" s="681"/>
      <c r="K48" s="682" t="str">
        <f t="shared" si="2"/>
        <v/>
      </c>
      <c r="L48" s="683"/>
      <c r="M48" s="679"/>
      <c r="N48" s="680"/>
      <c r="O48" s="679"/>
      <c r="P48" s="680"/>
      <c r="Q48" s="777"/>
      <c r="R48" s="681"/>
      <c r="S48" s="928" t="str">
        <f>IFERROR(INDEX('EZ list'!R:R,MATCH(B48,'EZ list'!C:C,0)),"")</f>
        <v/>
      </c>
      <c r="T48" s="681"/>
      <c r="U48" s="682" t="str">
        <f t="shared" si="0"/>
        <v/>
      </c>
      <c r="V48" s="681"/>
      <c r="W48" s="679"/>
      <c r="X48" s="680"/>
      <c r="Y48" s="682" t="str">
        <f t="shared" si="3"/>
        <v/>
      </c>
      <c r="Z48" s="471"/>
      <c r="AA48" s="470"/>
      <c r="AB48" s="469"/>
      <c r="AC48" s="523"/>
      <c r="AD48" s="1268">
        <f>IF(IFERROR(INDEX('EZ list'!E:E,MATCH(B48,'EZ list'!C:C,0)),"")=C48,0,1)</f>
        <v>0</v>
      </c>
      <c r="AE48" s="1271">
        <f t="shared" si="4"/>
        <v>0</v>
      </c>
      <c r="AF48" s="467"/>
      <c r="AG48" s="467"/>
      <c r="AH48" s="467"/>
      <c r="AI48" s="467"/>
      <c r="AJ48" s="467"/>
      <c r="AK48" s="467"/>
      <c r="AL48" s="467"/>
      <c r="AM48" s="467"/>
      <c r="AN48" s="467"/>
      <c r="AO48" s="467"/>
      <c r="AP48" s="467"/>
      <c r="AQ48" s="467"/>
      <c r="AR48" s="467"/>
      <c r="AS48" s="467"/>
      <c r="AT48" s="467"/>
      <c r="AU48" s="467"/>
      <c r="AV48" s="467"/>
      <c r="AW48" s="467"/>
      <c r="AX48" s="467"/>
      <c r="AY48" s="467"/>
      <c r="AZ48" s="467"/>
      <c r="BA48" s="467"/>
    </row>
    <row r="49" spans="1:53" s="1662" customFormat="1" ht="21" customHeight="1" thickBot="1" x14ac:dyDescent="0.25">
      <c r="A49" s="521">
        <v>37</v>
      </c>
      <c r="B49" s="466" t="str">
        <f t="shared" si="1"/>
        <v>EZZZZEZ37</v>
      </c>
      <c r="C49" s="600" t="str">
        <f>IFERROR(INDEX('EZ list'!E:E,MATCH(B49,'EZ list'!C:C,0)),"")</f>
        <v/>
      </c>
      <c r="D49" s="474"/>
      <c r="E49" s="679"/>
      <c r="F49" s="680"/>
      <c r="G49" s="679"/>
      <c r="H49" s="681"/>
      <c r="I49" s="679"/>
      <c r="J49" s="681"/>
      <c r="K49" s="682" t="str">
        <f t="shared" si="2"/>
        <v/>
      </c>
      <c r="L49" s="683"/>
      <c r="M49" s="679"/>
      <c r="N49" s="680"/>
      <c r="O49" s="679"/>
      <c r="P49" s="680"/>
      <c r="Q49" s="777"/>
      <c r="R49" s="681"/>
      <c r="S49" s="928" t="str">
        <f>IFERROR(INDEX('EZ list'!R:R,MATCH(B49,'EZ list'!C:C,0)),"")</f>
        <v/>
      </c>
      <c r="T49" s="681"/>
      <c r="U49" s="682" t="str">
        <f t="shared" si="0"/>
        <v/>
      </c>
      <c r="V49" s="681"/>
      <c r="W49" s="679"/>
      <c r="X49" s="680"/>
      <c r="Y49" s="682" t="str">
        <f t="shared" si="3"/>
        <v/>
      </c>
      <c r="Z49" s="471"/>
      <c r="AA49" s="470"/>
      <c r="AB49" s="469"/>
      <c r="AC49" s="523"/>
      <c r="AD49" s="1268">
        <f>IF(IFERROR(INDEX('EZ list'!E:E,MATCH(B49,'EZ list'!C:C,0)),"")=C49,0,1)</f>
        <v>0</v>
      </c>
      <c r="AE49" s="1271">
        <f t="shared" si="4"/>
        <v>0</v>
      </c>
      <c r="AF49" s="467"/>
      <c r="AG49" s="467"/>
      <c r="AH49" s="467"/>
      <c r="AI49" s="467"/>
      <c r="AJ49" s="467"/>
      <c r="AK49" s="467"/>
      <c r="AL49" s="467"/>
      <c r="AM49" s="467"/>
      <c r="AN49" s="467"/>
      <c r="AO49" s="467"/>
      <c r="AP49" s="467"/>
      <c r="AQ49" s="467"/>
      <c r="AR49" s="467"/>
      <c r="AS49" s="467"/>
      <c r="AT49" s="467"/>
      <c r="AU49" s="467"/>
      <c r="AV49" s="467"/>
      <c r="AW49" s="467"/>
      <c r="AX49" s="467"/>
      <c r="AY49" s="467"/>
      <c r="AZ49" s="467"/>
      <c r="BA49" s="467"/>
    </row>
    <row r="50" spans="1:53" s="1662" customFormat="1" ht="21" customHeight="1" thickBot="1" x14ac:dyDescent="0.25">
      <c r="A50" s="521">
        <v>38</v>
      </c>
      <c r="B50" s="466" t="str">
        <f t="shared" si="1"/>
        <v>EZZZZEZ38</v>
      </c>
      <c r="C50" s="600" t="str">
        <f>IFERROR(INDEX('EZ list'!E:E,MATCH(B50,'EZ list'!C:C,0)),"")</f>
        <v/>
      </c>
      <c r="D50" s="474"/>
      <c r="E50" s="679"/>
      <c r="F50" s="680"/>
      <c r="G50" s="679"/>
      <c r="H50" s="681"/>
      <c r="I50" s="679"/>
      <c r="J50" s="681"/>
      <c r="K50" s="682" t="str">
        <f t="shared" si="2"/>
        <v/>
      </c>
      <c r="L50" s="683"/>
      <c r="M50" s="679"/>
      <c r="N50" s="680"/>
      <c r="O50" s="679"/>
      <c r="P50" s="680"/>
      <c r="Q50" s="777"/>
      <c r="R50" s="681"/>
      <c r="S50" s="928" t="str">
        <f>IFERROR(INDEX('EZ list'!R:R,MATCH(B50,'EZ list'!C:C,0)),"")</f>
        <v/>
      </c>
      <c r="T50" s="681"/>
      <c r="U50" s="682" t="str">
        <f t="shared" si="0"/>
        <v/>
      </c>
      <c r="V50" s="681"/>
      <c r="W50" s="679"/>
      <c r="X50" s="680"/>
      <c r="Y50" s="682" t="str">
        <f t="shared" si="3"/>
        <v/>
      </c>
      <c r="Z50" s="471"/>
      <c r="AA50" s="470"/>
      <c r="AB50" s="469"/>
      <c r="AC50" s="523"/>
      <c r="AD50" s="1268">
        <f>IF(IFERROR(INDEX('EZ list'!E:E,MATCH(B50,'EZ list'!C:C,0)),"")=C50,0,1)</f>
        <v>0</v>
      </c>
      <c r="AE50" s="1271">
        <f t="shared" si="4"/>
        <v>0</v>
      </c>
      <c r="AF50" s="467"/>
      <c r="AG50" s="467"/>
      <c r="AH50" s="467"/>
      <c r="AI50" s="467"/>
      <c r="AJ50" s="467"/>
      <c r="AK50" s="467"/>
      <c r="AL50" s="467"/>
      <c r="AM50" s="467"/>
      <c r="AN50" s="467"/>
      <c r="AO50" s="467"/>
      <c r="AP50" s="467"/>
      <c r="AQ50" s="467"/>
      <c r="AR50" s="467"/>
      <c r="AS50" s="467"/>
      <c r="AT50" s="467"/>
      <c r="AU50" s="467"/>
      <c r="AV50" s="467"/>
      <c r="AW50" s="467"/>
      <c r="AX50" s="467"/>
      <c r="AY50" s="467"/>
      <c r="AZ50" s="467"/>
      <c r="BA50" s="467"/>
    </row>
    <row r="51" spans="1:53" s="1662" customFormat="1" ht="21" customHeight="1" thickBot="1" x14ac:dyDescent="0.25">
      <c r="A51" s="521">
        <v>39</v>
      </c>
      <c r="B51" s="466" t="str">
        <f t="shared" si="1"/>
        <v>EZZZZEZ39</v>
      </c>
      <c r="C51" s="600" t="str">
        <f>IFERROR(INDEX('EZ list'!E:E,MATCH(B51,'EZ list'!C:C,0)),"")</f>
        <v/>
      </c>
      <c r="D51" s="474"/>
      <c r="E51" s="679"/>
      <c r="F51" s="680"/>
      <c r="G51" s="679"/>
      <c r="H51" s="681"/>
      <c r="I51" s="679"/>
      <c r="J51" s="681"/>
      <c r="K51" s="682" t="str">
        <f t="shared" si="2"/>
        <v/>
      </c>
      <c r="L51" s="683"/>
      <c r="M51" s="679"/>
      <c r="N51" s="680"/>
      <c r="O51" s="679"/>
      <c r="P51" s="680"/>
      <c r="Q51" s="777"/>
      <c r="R51" s="681"/>
      <c r="S51" s="928" t="str">
        <f>IFERROR(INDEX('EZ list'!R:R,MATCH(B51,'EZ list'!C:C,0)),"")</f>
        <v/>
      </c>
      <c r="T51" s="681"/>
      <c r="U51" s="682" t="str">
        <f t="shared" si="0"/>
        <v/>
      </c>
      <c r="V51" s="681"/>
      <c r="W51" s="679"/>
      <c r="X51" s="680"/>
      <c r="Y51" s="682" t="str">
        <f t="shared" si="3"/>
        <v/>
      </c>
      <c r="Z51" s="471"/>
      <c r="AA51" s="470"/>
      <c r="AB51" s="469"/>
      <c r="AC51" s="523"/>
      <c r="AD51" s="1268">
        <f>IF(IFERROR(INDEX('EZ list'!E:E,MATCH(B51,'EZ list'!C:C,0)),"")=C51,0,1)</f>
        <v>0</v>
      </c>
      <c r="AE51" s="1271">
        <f t="shared" si="4"/>
        <v>0</v>
      </c>
      <c r="AF51" s="467"/>
      <c r="AG51" s="467"/>
      <c r="AH51" s="467"/>
      <c r="AI51" s="467"/>
      <c r="AJ51" s="467"/>
      <c r="AK51" s="467"/>
      <c r="AL51" s="467"/>
      <c r="AM51" s="467"/>
      <c r="AN51" s="467"/>
      <c r="AO51" s="467"/>
      <c r="AP51" s="467"/>
      <c r="AQ51" s="467"/>
      <c r="AR51" s="467"/>
      <c r="AS51" s="467"/>
      <c r="AT51" s="467"/>
      <c r="AU51" s="467"/>
      <c r="AV51" s="467"/>
      <c r="AW51" s="467"/>
      <c r="AX51" s="467"/>
      <c r="AY51" s="467"/>
      <c r="AZ51" s="467"/>
      <c r="BA51" s="467"/>
    </row>
    <row r="52" spans="1:53" s="1662" customFormat="1" ht="21" customHeight="1" thickBot="1" x14ac:dyDescent="0.25">
      <c r="A52" s="521">
        <v>40</v>
      </c>
      <c r="B52" s="466" t="str">
        <f t="shared" si="1"/>
        <v>EZZZZEZ40</v>
      </c>
      <c r="C52" s="600" t="str">
        <f>IFERROR(INDEX('EZ list'!E:E,MATCH(B52,'EZ list'!C:C,0)),"")</f>
        <v/>
      </c>
      <c r="D52" s="474"/>
      <c r="E52" s="679"/>
      <c r="F52" s="680"/>
      <c r="G52" s="679"/>
      <c r="H52" s="681"/>
      <c r="I52" s="679"/>
      <c r="J52" s="681"/>
      <c r="K52" s="682" t="str">
        <f t="shared" si="2"/>
        <v/>
      </c>
      <c r="L52" s="683"/>
      <c r="M52" s="679"/>
      <c r="N52" s="680"/>
      <c r="O52" s="679"/>
      <c r="P52" s="680"/>
      <c r="Q52" s="777"/>
      <c r="R52" s="681"/>
      <c r="S52" s="928" t="str">
        <f>IFERROR(INDEX('EZ list'!R:R,MATCH(B52,'EZ list'!C:C,0)),"")</f>
        <v/>
      </c>
      <c r="T52" s="681"/>
      <c r="U52" s="682" t="str">
        <f t="shared" si="0"/>
        <v/>
      </c>
      <c r="V52" s="681"/>
      <c r="W52" s="679"/>
      <c r="X52" s="680"/>
      <c r="Y52" s="682" t="str">
        <f t="shared" si="3"/>
        <v/>
      </c>
      <c r="Z52" s="471"/>
      <c r="AA52" s="470"/>
      <c r="AB52" s="469"/>
      <c r="AC52" s="523"/>
      <c r="AD52" s="1268">
        <f>IF(IFERROR(INDEX('EZ list'!E:E,MATCH(B52,'EZ list'!C:C,0)),"")=C52,0,1)</f>
        <v>0</v>
      </c>
      <c r="AE52" s="1271">
        <f t="shared" si="4"/>
        <v>0</v>
      </c>
      <c r="AF52" s="467"/>
      <c r="AG52" s="467"/>
      <c r="AH52" s="467"/>
      <c r="AI52" s="467"/>
      <c r="AJ52" s="467"/>
      <c r="AK52" s="467"/>
      <c r="AL52" s="467"/>
      <c r="AM52" s="467"/>
      <c r="AN52" s="467"/>
      <c r="AO52" s="467"/>
      <c r="AP52" s="467"/>
      <c r="AQ52" s="467"/>
      <c r="AR52" s="467"/>
      <c r="AS52" s="467"/>
      <c r="AT52" s="467"/>
      <c r="AU52" s="467"/>
      <c r="AV52" s="467"/>
      <c r="AW52" s="467"/>
      <c r="AX52" s="467"/>
      <c r="AY52" s="467"/>
      <c r="AZ52" s="467"/>
      <c r="BA52" s="467"/>
    </row>
    <row r="53" spans="1:53" s="1662" customFormat="1" ht="21" customHeight="1" thickBot="1" x14ac:dyDescent="0.25">
      <c r="A53" s="521">
        <v>41</v>
      </c>
      <c r="B53" s="466" t="str">
        <f t="shared" si="1"/>
        <v>EZZZZEZ41</v>
      </c>
      <c r="C53" s="600" t="str">
        <f>IFERROR(INDEX('EZ list'!E:E,MATCH(B53,'EZ list'!C:C,0)),"")</f>
        <v/>
      </c>
      <c r="D53" s="474"/>
      <c r="E53" s="679"/>
      <c r="F53" s="680"/>
      <c r="G53" s="679"/>
      <c r="H53" s="681"/>
      <c r="I53" s="679"/>
      <c r="J53" s="681"/>
      <c r="K53" s="682" t="str">
        <f t="shared" si="2"/>
        <v/>
      </c>
      <c r="L53" s="683"/>
      <c r="M53" s="679"/>
      <c r="N53" s="680"/>
      <c r="O53" s="679"/>
      <c r="P53" s="680"/>
      <c r="Q53" s="777"/>
      <c r="R53" s="681"/>
      <c r="S53" s="928" t="str">
        <f>IFERROR(INDEX('EZ list'!R:R,MATCH(B53,'EZ list'!C:C,0)),"")</f>
        <v/>
      </c>
      <c r="T53" s="681"/>
      <c r="U53" s="682" t="str">
        <f t="shared" si="0"/>
        <v/>
      </c>
      <c r="V53" s="681"/>
      <c r="W53" s="679"/>
      <c r="X53" s="680"/>
      <c r="Y53" s="682" t="str">
        <f t="shared" si="3"/>
        <v/>
      </c>
      <c r="Z53" s="471"/>
      <c r="AA53" s="470"/>
      <c r="AB53" s="469"/>
      <c r="AC53" s="523"/>
      <c r="AD53" s="1268">
        <f>IF(IFERROR(INDEX('EZ list'!E:E,MATCH(B53,'EZ list'!C:C,0)),"")=C53,0,1)</f>
        <v>0</v>
      </c>
      <c r="AE53" s="1271">
        <f t="shared" si="4"/>
        <v>0</v>
      </c>
      <c r="AF53" s="467"/>
      <c r="AG53" s="467"/>
      <c r="AH53" s="467"/>
      <c r="AI53" s="467"/>
      <c r="AJ53" s="467"/>
      <c r="AK53" s="467"/>
      <c r="AL53" s="467"/>
      <c r="AM53" s="467"/>
      <c r="AN53" s="467"/>
      <c r="AO53" s="467"/>
      <c r="AP53" s="467"/>
      <c r="AQ53" s="467"/>
      <c r="AR53" s="467"/>
      <c r="AS53" s="467"/>
      <c r="AT53" s="467"/>
      <c r="AU53" s="467"/>
      <c r="AV53" s="467"/>
      <c r="AW53" s="467"/>
      <c r="AX53" s="467"/>
      <c r="AY53" s="467"/>
      <c r="AZ53" s="467"/>
      <c r="BA53" s="467"/>
    </row>
    <row r="54" spans="1:53" ht="18.75" thickBot="1" x14ac:dyDescent="0.25">
      <c r="A54" s="554"/>
      <c r="B54" s="552"/>
      <c r="C54" s="552"/>
      <c r="D54" s="552"/>
      <c r="E54" s="552"/>
      <c r="F54" s="552"/>
      <c r="G54" s="552"/>
      <c r="H54" s="552"/>
      <c r="I54" s="552"/>
      <c r="J54" s="552"/>
      <c r="K54" s="552"/>
      <c r="L54" s="552"/>
      <c r="M54" s="552"/>
      <c r="N54" s="552"/>
      <c r="O54" s="552"/>
      <c r="P54" s="552"/>
      <c r="Q54" s="552"/>
      <c r="R54" s="552"/>
      <c r="S54" s="552"/>
      <c r="T54" s="552"/>
      <c r="U54" s="552"/>
      <c r="V54" s="552"/>
      <c r="W54" s="552"/>
      <c r="X54" s="552"/>
      <c r="Y54" s="552"/>
      <c r="Z54" s="552"/>
      <c r="AA54" s="553"/>
      <c r="AB54" s="465"/>
      <c r="AC54" s="464"/>
      <c r="AD54" s="1269">
        <f>SUM(AD13:AD53)</f>
        <v>0</v>
      </c>
      <c r="AE54" s="1269">
        <f>SUM(AE13:AE53)</f>
        <v>0</v>
      </c>
      <c r="AF54" s="462"/>
      <c r="AG54" s="462"/>
      <c r="AH54" s="462"/>
      <c r="AI54" s="462"/>
      <c r="AJ54" s="462"/>
      <c r="AK54" s="462"/>
      <c r="AL54" s="462"/>
      <c r="AM54" s="462"/>
      <c r="AN54" s="462"/>
      <c r="AO54" s="462"/>
      <c r="AP54" s="462"/>
      <c r="AQ54" s="462"/>
      <c r="AR54" s="462"/>
      <c r="AS54" s="462"/>
      <c r="AT54" s="462"/>
      <c r="AU54" s="462"/>
      <c r="AV54" s="462"/>
      <c r="AW54" s="462"/>
      <c r="AX54" s="462"/>
      <c r="AY54" s="462"/>
      <c r="AZ54" s="462"/>
      <c r="BA54" s="462"/>
    </row>
    <row r="55" spans="1:53" ht="18" x14ac:dyDescent="0.2">
      <c r="A55" s="1663"/>
      <c r="B55" s="1664"/>
      <c r="C55" s="1664"/>
      <c r="D55" s="1664"/>
      <c r="E55" s="1664"/>
      <c r="F55" s="1664"/>
      <c r="G55" s="1664"/>
      <c r="H55" s="1664"/>
      <c r="I55" s="1664"/>
      <c r="J55" s="1664"/>
      <c r="K55" s="1664"/>
      <c r="L55" s="1664"/>
      <c r="M55" s="1664"/>
      <c r="N55" s="1664"/>
      <c r="O55" s="1664"/>
      <c r="P55" s="1664"/>
      <c r="Q55" s="1664"/>
      <c r="R55" s="1664"/>
      <c r="S55" s="1664"/>
      <c r="T55" s="1664"/>
      <c r="U55" s="1664"/>
      <c r="V55" s="1664"/>
      <c r="W55" s="1664"/>
      <c r="X55" s="1664"/>
      <c r="Y55" s="1664"/>
      <c r="Z55" s="1664"/>
      <c r="AA55" s="1665"/>
      <c r="AB55" s="465"/>
      <c r="AC55" s="464"/>
      <c r="AD55" s="1263"/>
      <c r="AE55" s="1270"/>
      <c r="AF55" s="462"/>
      <c r="AG55" s="462"/>
      <c r="AH55" s="462"/>
      <c r="AI55" s="462"/>
      <c r="AJ55" s="462"/>
      <c r="AK55" s="462"/>
      <c r="AL55" s="462"/>
      <c r="AM55" s="462"/>
      <c r="AN55" s="462"/>
      <c r="AO55" s="462"/>
      <c r="AP55" s="462"/>
      <c r="AQ55" s="462"/>
      <c r="AR55" s="462"/>
      <c r="AS55" s="462"/>
      <c r="AT55" s="462"/>
      <c r="AU55" s="462"/>
      <c r="AV55" s="462"/>
      <c r="AW55" s="462"/>
      <c r="AX55" s="462"/>
      <c r="AY55" s="462"/>
      <c r="AZ55" s="462"/>
      <c r="BA55" s="462"/>
    </row>
    <row r="56" spans="1:53" ht="16.5" thickBot="1" x14ac:dyDescent="0.3">
      <c r="A56" s="554"/>
      <c r="B56" s="552"/>
      <c r="C56" s="552"/>
      <c r="D56" s="552"/>
      <c r="E56" s="552"/>
      <c r="F56" s="552"/>
      <c r="G56" s="552"/>
      <c r="H56" s="552"/>
      <c r="I56" s="1827" t="str">
        <f>+IF(AB58&gt;0,"There are errors in the calculations in this form. Please check warnings on the total row.","")</f>
        <v/>
      </c>
      <c r="J56" s="1828"/>
      <c r="K56" s="1828"/>
      <c r="L56" s="1828"/>
      <c r="M56" s="1828"/>
      <c r="N56" s="1828"/>
      <c r="O56" s="1828"/>
      <c r="P56" s="1828"/>
      <c r="Q56" s="1828"/>
      <c r="R56" s="1828"/>
      <c r="S56" s="1828"/>
      <c r="T56" s="1828"/>
      <c r="U56" s="1828"/>
      <c r="V56" s="1828"/>
      <c r="W56" s="1828"/>
      <c r="X56" s="552"/>
      <c r="Y56" s="552"/>
      <c r="Z56" s="552"/>
      <c r="AA56" s="1666"/>
      <c r="AB56" s="465"/>
      <c r="AC56" s="464"/>
      <c r="AD56" s="1263"/>
      <c r="AE56" s="1270"/>
      <c r="AF56" s="462"/>
      <c r="AG56" s="462"/>
      <c r="AH56" s="462"/>
      <c r="AI56" s="462"/>
      <c r="AJ56" s="462"/>
      <c r="AK56" s="462"/>
      <c r="AL56" s="462"/>
      <c r="AM56" s="462"/>
      <c r="AN56" s="462"/>
      <c r="AO56" s="462"/>
      <c r="AP56" s="462"/>
      <c r="AQ56" s="462"/>
      <c r="AR56" s="462"/>
      <c r="AS56" s="462"/>
      <c r="AT56" s="462"/>
      <c r="AU56" s="462"/>
      <c r="AV56" s="462"/>
      <c r="AW56" s="462"/>
      <c r="AX56" s="462"/>
      <c r="AY56" s="462"/>
      <c r="AZ56" s="462"/>
      <c r="BA56" s="462"/>
    </row>
    <row r="57" spans="1:53" hidden="1" x14ac:dyDescent="0.2">
      <c r="A57" s="462"/>
      <c r="B57" s="524"/>
      <c r="C57" s="525"/>
      <c r="D57" s="525"/>
      <c r="E57" s="525"/>
      <c r="F57" s="525"/>
      <c r="G57" s="525"/>
      <c r="H57" s="525"/>
      <c r="I57" s="526"/>
      <c r="J57" s="462"/>
      <c r="K57" s="462"/>
      <c r="L57" s="462"/>
      <c r="M57" s="525"/>
      <c r="N57" s="525"/>
      <c r="O57" s="525"/>
      <c r="P57" s="525"/>
      <c r="Q57" s="525"/>
      <c r="R57" s="525"/>
      <c r="S57" s="526"/>
      <c r="T57" s="462"/>
      <c r="U57" s="462"/>
      <c r="V57" s="462"/>
      <c r="W57" s="525"/>
      <c r="X57" s="525"/>
      <c r="Y57" s="526"/>
      <c r="Z57" s="462"/>
      <c r="AA57" s="462"/>
      <c r="AB57" s="465"/>
      <c r="AC57" s="464"/>
      <c r="AD57" s="1263"/>
      <c r="AE57" s="1270"/>
      <c r="AF57" s="462"/>
      <c r="AG57" s="462"/>
      <c r="AH57" s="462"/>
      <c r="AI57" s="462"/>
      <c r="AJ57" s="462"/>
      <c r="AK57" s="462"/>
      <c r="AL57" s="462"/>
      <c r="AM57" s="462"/>
      <c r="AN57" s="462"/>
      <c r="AO57" s="462"/>
      <c r="AP57" s="462"/>
      <c r="AQ57" s="462"/>
      <c r="AR57" s="462"/>
      <c r="AS57" s="462"/>
      <c r="AT57" s="462"/>
      <c r="AU57" s="462"/>
      <c r="AV57" s="462"/>
      <c r="AW57" s="462"/>
      <c r="AX57" s="462"/>
      <c r="AY57" s="462"/>
      <c r="AZ57" s="462"/>
      <c r="BA57" s="462"/>
    </row>
    <row r="58" spans="1:53" hidden="1" x14ac:dyDescent="0.2">
      <c r="A58" s="462"/>
      <c r="B58" s="476"/>
      <c r="C58" s="599" t="s">
        <v>25</v>
      </c>
      <c r="D58" s="599"/>
      <c r="E58" s="599">
        <f>IF(E7="",0,1)</f>
        <v>0</v>
      </c>
      <c r="F58" s="599"/>
      <c r="G58" s="599">
        <f>IF(G7="",0,1)</f>
        <v>0</v>
      </c>
      <c r="H58" s="599"/>
      <c r="I58" s="599">
        <f>IF(I7="",0,1)</f>
        <v>0</v>
      </c>
      <c r="J58" s="599"/>
      <c r="K58" s="599">
        <f>IF(K7="",0,1)</f>
        <v>0</v>
      </c>
      <c r="L58" s="599"/>
      <c r="M58" s="599">
        <f>IF(M7="",0,1)</f>
        <v>0</v>
      </c>
      <c r="N58" s="599"/>
      <c r="O58" s="599">
        <f>IF(O7="",0,1)</f>
        <v>0</v>
      </c>
      <c r="P58" s="599"/>
      <c r="Q58" s="599">
        <f>IF(Q7="",0,1)</f>
        <v>0</v>
      </c>
      <c r="R58" s="599"/>
      <c r="S58" s="599">
        <f>IF(S7="",0,1)</f>
        <v>0</v>
      </c>
      <c r="T58" s="599"/>
      <c r="U58" s="599">
        <f>IF(U7="",0,1)</f>
        <v>0</v>
      </c>
      <c r="V58" s="599"/>
      <c r="W58" s="599">
        <f>IF(W7="",0,1)</f>
        <v>0</v>
      </c>
      <c r="X58" s="599"/>
      <c r="Y58" s="599">
        <f>IF(Y7="",0,1)</f>
        <v>0</v>
      </c>
      <c r="Z58" s="599"/>
      <c r="AA58" s="599"/>
      <c r="AB58" s="599">
        <f>SUM(E58:Y58)</f>
        <v>0</v>
      </c>
      <c r="AC58" s="464"/>
      <c r="AD58" s="1263"/>
      <c r="AE58" s="1270"/>
      <c r="AF58" s="462"/>
      <c r="AG58" s="462"/>
      <c r="AH58" s="462"/>
      <c r="AI58" s="462"/>
      <c r="AJ58" s="462"/>
      <c r="AK58" s="462"/>
      <c r="AL58" s="462"/>
      <c r="AM58" s="462"/>
      <c r="AN58" s="462"/>
      <c r="AO58" s="462"/>
      <c r="AP58" s="462"/>
      <c r="AQ58" s="462"/>
      <c r="AR58" s="462"/>
      <c r="AS58" s="462"/>
      <c r="AT58" s="462"/>
      <c r="AU58" s="462"/>
      <c r="AV58" s="462"/>
      <c r="AW58" s="462"/>
      <c r="AX58" s="462"/>
      <c r="AY58" s="462"/>
      <c r="AZ58" s="462"/>
      <c r="BA58" s="462"/>
    </row>
    <row r="59" spans="1:53" hidden="1" x14ac:dyDescent="0.2">
      <c r="A59" s="462"/>
      <c r="B59" s="1808"/>
      <c r="C59" s="1809"/>
      <c r="D59" s="1809"/>
      <c r="E59" s="1809"/>
      <c r="F59" s="1809"/>
      <c r="G59" s="1809"/>
      <c r="H59" s="1809"/>
      <c r="I59" s="1809"/>
      <c r="J59" s="462"/>
      <c r="K59" s="462"/>
      <c r="L59" s="462"/>
      <c r="M59" s="462"/>
      <c r="N59" s="462"/>
      <c r="O59" s="462"/>
      <c r="P59" s="462"/>
      <c r="Q59" s="462"/>
      <c r="R59" s="462"/>
      <c r="S59" s="462"/>
      <c r="T59" s="462"/>
      <c r="U59" s="462"/>
      <c r="V59" s="462"/>
      <c r="W59" s="462"/>
      <c r="X59" s="462"/>
      <c r="Y59" s="462"/>
      <c r="Z59" s="462"/>
      <c r="AA59" s="462"/>
      <c r="AB59" s="465"/>
      <c r="AC59" s="464"/>
      <c r="AD59" s="1263"/>
      <c r="AE59" s="1270"/>
      <c r="AF59" s="462"/>
      <c r="AG59" s="462"/>
      <c r="AH59" s="462"/>
      <c r="AI59" s="462"/>
      <c r="AJ59" s="462"/>
      <c r="AK59" s="462"/>
      <c r="AL59" s="462"/>
      <c r="AM59" s="462"/>
      <c r="AN59" s="462"/>
      <c r="AO59" s="462"/>
      <c r="AP59" s="462"/>
      <c r="AQ59" s="462"/>
      <c r="AR59" s="462"/>
      <c r="AS59" s="462"/>
      <c r="AT59" s="462"/>
      <c r="AU59" s="462"/>
      <c r="AV59" s="462"/>
      <c r="AW59" s="462"/>
      <c r="AX59" s="462"/>
      <c r="AY59" s="462"/>
      <c r="AZ59" s="462"/>
      <c r="BA59" s="462"/>
    </row>
    <row r="60" spans="1:53" hidden="1" x14ac:dyDescent="0.2">
      <c r="A60" s="462"/>
      <c r="B60" s="462"/>
      <c r="C60" s="462"/>
      <c r="D60" s="462"/>
      <c r="E60" s="462"/>
      <c r="F60" s="462"/>
      <c r="G60" s="462"/>
      <c r="H60" s="462"/>
      <c r="I60" s="462"/>
      <c r="J60" s="462"/>
      <c r="K60" s="462"/>
      <c r="L60" s="462"/>
      <c r="M60" s="462"/>
      <c r="N60" s="462"/>
      <c r="O60" s="462"/>
      <c r="P60" s="462"/>
      <c r="Q60" s="462"/>
      <c r="R60" s="462"/>
      <c r="S60" s="462"/>
      <c r="T60" s="462"/>
      <c r="U60" s="462"/>
      <c r="V60" s="462"/>
      <c r="W60" s="462"/>
      <c r="X60" s="462"/>
      <c r="Y60" s="462"/>
      <c r="Z60" s="462"/>
      <c r="AA60" s="462"/>
      <c r="AB60" s="465"/>
      <c r="AC60" s="464"/>
      <c r="AD60" s="1263"/>
      <c r="AE60" s="1270"/>
      <c r="AF60" s="462"/>
      <c r="AG60" s="462"/>
      <c r="AH60" s="462"/>
      <c r="AI60" s="462"/>
      <c r="AJ60" s="462"/>
      <c r="AK60" s="462"/>
      <c r="AL60" s="462"/>
      <c r="AM60" s="462"/>
      <c r="AN60" s="462"/>
      <c r="AO60" s="462"/>
      <c r="AP60" s="462"/>
      <c r="AQ60" s="462"/>
      <c r="AR60" s="462"/>
      <c r="AS60" s="462"/>
      <c r="AT60" s="462"/>
      <c r="AU60" s="462"/>
      <c r="AV60" s="462"/>
      <c r="AW60" s="462"/>
      <c r="AX60" s="462"/>
      <c r="AY60" s="462"/>
      <c r="AZ60" s="462"/>
      <c r="BA60" s="462"/>
    </row>
  </sheetData>
  <sheetProtection sheet="1" objects="1" scenarios="1"/>
  <mergeCells count="13">
    <mergeCell ref="M9:U9"/>
    <mergeCell ref="W9:X9"/>
    <mergeCell ref="B59:I59"/>
    <mergeCell ref="A1:AA1"/>
    <mergeCell ref="B12:C12"/>
    <mergeCell ref="Y7:Z7"/>
    <mergeCell ref="G9:I9"/>
    <mergeCell ref="G12:I12"/>
    <mergeCell ref="E4:K4"/>
    <mergeCell ref="M4:U4"/>
    <mergeCell ref="W4:Y4"/>
    <mergeCell ref="W7:W8"/>
    <mergeCell ref="I56:W56"/>
  </mergeCells>
  <conditionalFormatting sqref="C13:C53 E13:E53 G13:G53 I13:I53 K13:K53 M13:M53 O13:O53 Q13:Q53 S13:S53 U13:U53 W13:W53 Y13:Y53">
    <cfRule type="expression" dxfId="50" priority="1">
      <formula>$AE$54=0</formula>
    </cfRule>
  </conditionalFormatting>
  <dataValidations count="12">
    <dataValidation type="custom" operator="equal" allowBlank="1" showInputMessage="1" showErrorMessage="1" error="The number setting their own council tax precept exceeds the sum of parishes and Charter Trustees" sqref="AA13:AA55" xr:uid="{00000000-0002-0000-0400-000000000000}">
      <formula1>#REF!=0</formula1>
    </dataValidation>
    <dataValidation type="whole" operator="greaterThanOrEqual" allowBlank="1" showInputMessage="1" showErrorMessage="1" error="These values must be a positive whole number" sqref="E13:E53" xr:uid="{00000000-0002-0000-0400-000001000000}">
      <formula1>0</formula1>
    </dataValidation>
    <dataValidation type="whole" operator="lessThanOrEqual" allowBlank="1" showInputMessage="1" showErrorMessage="1" error="This must be a negative whole number" sqref="G13:G53 I13:I53" xr:uid="{00000000-0002-0000-0400-000002000000}">
      <formula1>0</formula1>
    </dataValidation>
    <dataValidation type="whole" allowBlank="1" showErrorMessage="1" sqref="Q13:Q53" xr:uid="{00000000-0002-0000-0400-000004000000}">
      <formula1>-100000000000</formula1>
      <formula2>100000000000</formula2>
    </dataValidation>
    <dataValidation type="custom" allowBlank="1" showInputMessage="1" showErrorMessage="1" errorTitle="Formula cell" error="Data entry is not allowed in this cell" sqref="K13:K53 W6 Y13:Y53 E6 G6 I6 K6 Y6 U13:U53 S13:S53" xr:uid="{674EA48D-ED6F-445C-B82C-F7009F6000F3}">
      <formula1>"az1=""n/a"""</formula1>
    </dataValidation>
    <dataValidation type="custom" allowBlank="1" showInputMessage="1" showErrorMessage="1" error="Data entry is not allowed in this cell" sqref="C13:C53" xr:uid="{F535586F-FBB0-4608-B4B3-6DD9C3D4406B}">
      <formula1>"if(p50=""n/a"")"</formula1>
    </dataValidation>
    <dataValidation type="whole" operator="greaterThanOrEqual" allowBlank="1" showInputMessage="1" showErrorMessage="1" error="This must be a positive whole number" sqref="M13:M53 O13:O53 W13:W53" xr:uid="{AB8DDFD5-6232-4A15-AD93-78FF7A8344E6}">
      <formula1>0</formula1>
    </dataValidation>
    <dataValidation type="custom" allowBlank="1" showInputMessage="1" showErrorMessage="1" errorTitle="Formula cell" error="Data entry is not allowed in this cell" prompt="This data is being used in 'Part 3 - line 5'" sqref="M6" xr:uid="{473728C2-1501-4AC1-B7A7-C9C3F0872301}">
      <formula1>"az1=""n/a"""</formula1>
    </dataValidation>
    <dataValidation type="custom" allowBlank="1" showInputMessage="1" showErrorMessage="1" errorTitle="Formula cell" error="Data entry is not allowed in this cell" prompt="This data is being used in 'Part 3 - line 6'" sqref="O6" xr:uid="{0DDA98CB-EDD9-441E-B4EF-0AE248B4361A}">
      <formula1>"az1=""n/a"""</formula1>
    </dataValidation>
    <dataValidation type="custom" allowBlank="1" showInputMessage="1" showErrorMessage="1" errorTitle="Formula cell" error="Data entry is not allowed in this cell" prompt="This data is being used in 'Part 3 - line 7'" sqref="Q6" xr:uid="{6A2387EF-E3B6-41B5-9355-DC516B892206}">
      <formula1>"az1=""n/a"""</formula1>
    </dataValidation>
    <dataValidation type="custom" allowBlank="1" showInputMessage="1" showErrorMessage="1" errorTitle="Formula cell" error="Data entry is not allowed in this cell" prompt="This data is being used in 'Part 3 - line 8'" sqref="S6" xr:uid="{31BA381D-9A4F-40B6-BE87-DCA2D9EBAD96}">
      <formula1>"az1=""n/a"""</formula1>
    </dataValidation>
    <dataValidation type="custom" allowBlank="1" showInputMessage="1" showErrorMessage="1" errorTitle="Formula cell" error="Data entry is not allowed in this cell" prompt="This data is being used in 'Part 3 - line 9'" sqref="U6" xr:uid="{6B613530-2136-4E4F-842D-0619B934993C}">
      <formula1>"az1=""n/a"""</formula1>
    </dataValidation>
  </dataValidations>
  <printOptions horizontalCentered="1"/>
  <pageMargins left="0.39370078740157483" right="0.39370078740157483" top="0.59055118110236227" bottom="0.59055118110236227" header="0.31496062992125984" footer="0.31496062992125984"/>
  <pageSetup paperSize="9" scale="31" fitToHeight="5" orientation="landscape" r:id="rId1"/>
  <headerFooter alignWithMargins="0">
    <oddHeader>&amp;C&amp;"Calibri"&amp;10&amp;K000000 OFFICIAL&amp;1#_x000D_</oddHeader>
    <oddFooter>&amp;C_x000D_&amp;1#&amp;"Calibri"&amp;10&amp;K000000 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fitToPage="1"/>
  </sheetPr>
  <dimension ref="A1:BA89"/>
  <sheetViews>
    <sheetView zoomScaleNormal="100" workbookViewId="0"/>
  </sheetViews>
  <sheetFormatPr defaultRowHeight="15" x14ac:dyDescent="0.2"/>
  <cols>
    <col min="1" max="2" width="1.7109375" style="261" customWidth="1"/>
    <col min="3" max="4" width="14.28515625" style="261" customWidth="1"/>
    <col min="5" max="5" width="62.7109375" style="261" customWidth="1"/>
    <col min="6" max="6" width="30.7109375" style="261" customWidth="1"/>
    <col min="7" max="7" width="3.7109375" style="261" customWidth="1"/>
    <col min="8" max="8" width="23" style="261" customWidth="1"/>
    <col min="9" max="9" width="5.28515625" style="261" customWidth="1"/>
    <col min="10" max="10" width="23" style="261" customWidth="1"/>
    <col min="11" max="11" width="4" style="261" customWidth="1"/>
    <col min="12" max="12" width="23" style="261" customWidth="1"/>
    <col min="13" max="13" width="5.42578125" style="798" customWidth="1"/>
    <col min="14" max="14" width="23" style="261" customWidth="1"/>
    <col min="15" max="15" width="9.140625" style="261" customWidth="1"/>
    <col min="16" max="16" width="9.140625" style="261" hidden="1" customWidth="1"/>
    <col min="17" max="17" width="12.7109375" style="261" hidden="1" customWidth="1"/>
    <col min="18" max="18" width="10.28515625" style="261" hidden="1" customWidth="1"/>
    <col min="19" max="53" width="9.140625" style="261" hidden="1" customWidth="1"/>
    <col min="54" max="55" width="9.140625" style="261" customWidth="1"/>
    <col min="56" max="16384" width="9.140625" style="261"/>
  </cols>
  <sheetData>
    <row r="1" spans="1:53" x14ac:dyDescent="0.2">
      <c r="A1" s="15"/>
      <c r="B1" s="2"/>
      <c r="C1" s="1801"/>
      <c r="D1" s="1801"/>
      <c r="E1" s="327"/>
      <c r="F1" s="327"/>
      <c r="G1" s="2"/>
      <c r="H1" s="242"/>
      <c r="I1" s="2"/>
      <c r="J1" s="2"/>
      <c r="K1" s="67"/>
      <c r="L1" s="1584"/>
      <c r="M1" s="1574"/>
      <c r="N1" s="826"/>
      <c r="O1" s="1578"/>
      <c r="P1"/>
      <c r="Q1"/>
      <c r="R1"/>
      <c r="S1"/>
      <c r="T1"/>
      <c r="U1"/>
      <c r="V1"/>
      <c r="W1"/>
      <c r="X1"/>
      <c r="Y1"/>
      <c r="Z1"/>
      <c r="AA1"/>
      <c r="AB1"/>
      <c r="AC1"/>
      <c r="AD1"/>
      <c r="AE1"/>
      <c r="AF1"/>
      <c r="AG1"/>
      <c r="AH1"/>
      <c r="AI1"/>
      <c r="AJ1"/>
      <c r="AK1"/>
      <c r="AL1"/>
      <c r="AM1"/>
      <c r="AN1"/>
      <c r="AO1"/>
      <c r="AP1"/>
      <c r="AQ1"/>
      <c r="AR1"/>
      <c r="AS1"/>
      <c r="AT1"/>
      <c r="AU1"/>
      <c r="AV1"/>
      <c r="AW1"/>
      <c r="AX1"/>
      <c r="AY1"/>
      <c r="AZ1"/>
      <c r="BA1"/>
    </row>
    <row r="2" spans="1:53" ht="18" x14ac:dyDescent="0.25">
      <c r="A2" s="31"/>
      <c r="B2" s="19"/>
      <c r="C2" s="83" t="str">
        <f>+CONCATENATE("Local Authority : ",+'Part 1'!K15)</f>
        <v>Local Authority : ZZZZ</v>
      </c>
      <c r="D2" s="83"/>
      <c r="E2" s="83"/>
      <c r="F2" s="83"/>
      <c r="G2" s="19"/>
      <c r="H2" s="19"/>
      <c r="I2" s="19"/>
      <c r="J2" s="19"/>
      <c r="K2" s="20"/>
      <c r="L2" s="572"/>
      <c r="M2" s="1572"/>
      <c r="N2" s="338"/>
      <c r="O2" s="1579"/>
      <c r="P2"/>
      <c r="Q2"/>
      <c r="R2"/>
      <c r="S2"/>
      <c r="T2"/>
      <c r="U2"/>
      <c r="V2"/>
      <c r="W2"/>
      <c r="X2"/>
      <c r="Y2"/>
      <c r="Z2"/>
      <c r="AA2"/>
      <c r="AB2"/>
      <c r="AC2"/>
      <c r="AD2"/>
      <c r="AE2"/>
      <c r="AF2"/>
      <c r="AG2"/>
      <c r="AH2"/>
      <c r="AI2"/>
      <c r="AJ2"/>
      <c r="AK2"/>
      <c r="AL2"/>
      <c r="AM2"/>
      <c r="AN2"/>
      <c r="AO2"/>
      <c r="AP2"/>
      <c r="AQ2"/>
      <c r="AR2"/>
      <c r="AS2"/>
      <c r="AT2"/>
      <c r="AU2"/>
      <c r="AV2"/>
      <c r="AW2"/>
      <c r="AX2"/>
      <c r="AY2"/>
      <c r="AZ2"/>
      <c r="BA2"/>
    </row>
    <row r="3" spans="1:53" ht="15.75" x14ac:dyDescent="0.25">
      <c r="A3" s="30"/>
      <c r="B3" s="306"/>
      <c r="C3" s="306"/>
      <c r="D3" s="306"/>
      <c r="E3" s="306"/>
      <c r="F3" s="306"/>
      <c r="G3" s="19"/>
      <c r="H3" s="19"/>
      <c r="I3" s="19"/>
      <c r="J3" s="19"/>
      <c r="K3" s="20"/>
      <c r="L3" s="572"/>
      <c r="M3" s="1572"/>
      <c r="N3" s="338"/>
      <c r="O3" s="1579"/>
      <c r="P3"/>
      <c r="Q3"/>
      <c r="R3"/>
      <c r="S3"/>
      <c r="T3"/>
      <c r="U3"/>
      <c r="V3"/>
      <c r="W3"/>
      <c r="X3"/>
      <c r="Y3"/>
      <c r="Z3"/>
      <c r="AA3"/>
      <c r="AB3"/>
      <c r="AC3"/>
      <c r="AD3"/>
      <c r="AE3"/>
      <c r="AF3"/>
      <c r="AG3"/>
      <c r="AH3"/>
      <c r="AI3"/>
      <c r="AJ3"/>
      <c r="AK3"/>
      <c r="AL3"/>
      <c r="AM3"/>
      <c r="AN3"/>
      <c r="AO3"/>
      <c r="AP3"/>
      <c r="AQ3"/>
      <c r="AR3"/>
      <c r="AS3"/>
      <c r="AT3"/>
      <c r="AU3"/>
      <c r="AV3"/>
      <c r="AW3"/>
      <c r="AX3"/>
      <c r="AY3"/>
      <c r="AZ3"/>
      <c r="BA3"/>
    </row>
    <row r="4" spans="1:53" ht="64.5" customHeight="1" x14ac:dyDescent="0.2">
      <c r="A4" s="15"/>
      <c r="B4" s="2"/>
      <c r="C4" s="1771" t="s">
        <v>2703</v>
      </c>
      <c r="D4" s="1771"/>
      <c r="E4" s="1771"/>
      <c r="F4" s="1771"/>
      <c r="G4" s="1771"/>
      <c r="H4" s="1771"/>
      <c r="I4" s="1771"/>
      <c r="J4" s="1771"/>
      <c r="K4" s="20"/>
      <c r="L4" s="572"/>
      <c r="M4" s="1572"/>
      <c r="N4" s="338"/>
      <c r="O4" s="1579"/>
      <c r="P4"/>
      <c r="Q4"/>
      <c r="R4"/>
      <c r="S4"/>
      <c r="T4"/>
      <c r="U4"/>
      <c r="V4"/>
      <c r="W4"/>
      <c r="X4"/>
      <c r="Y4"/>
      <c r="Z4"/>
      <c r="AA4"/>
      <c r="AB4"/>
      <c r="AC4"/>
      <c r="AD4"/>
      <c r="AE4"/>
      <c r="AF4"/>
      <c r="AG4"/>
      <c r="AH4"/>
      <c r="AI4"/>
      <c r="AJ4"/>
      <c r="AK4"/>
      <c r="AL4"/>
      <c r="AM4"/>
      <c r="AN4"/>
      <c r="AO4"/>
      <c r="AP4"/>
      <c r="AQ4"/>
      <c r="AR4"/>
      <c r="AS4"/>
      <c r="AT4"/>
      <c r="AU4"/>
      <c r="AV4"/>
      <c r="AW4"/>
      <c r="AX4"/>
      <c r="AY4"/>
      <c r="AZ4"/>
      <c r="BA4"/>
    </row>
    <row r="5" spans="1:53" ht="15.75" x14ac:dyDescent="0.25">
      <c r="A5" s="15"/>
      <c r="B5" s="2"/>
      <c r="C5" s="18"/>
      <c r="D5" s="19"/>
      <c r="E5" s="19"/>
      <c r="F5" s="19"/>
      <c r="G5" s="19"/>
      <c r="H5" s="19"/>
      <c r="I5" s="19"/>
      <c r="J5" s="19"/>
      <c r="K5" s="20"/>
      <c r="L5" s="572"/>
      <c r="M5" s="1572"/>
      <c r="N5" s="338"/>
      <c r="O5" s="1579"/>
      <c r="P5"/>
      <c r="Q5"/>
      <c r="R5"/>
      <c r="S5"/>
      <c r="T5"/>
      <c r="U5"/>
      <c r="V5"/>
      <c r="W5"/>
      <c r="X5"/>
      <c r="Y5"/>
      <c r="Z5"/>
      <c r="AA5"/>
      <c r="AB5"/>
      <c r="AC5"/>
      <c r="AD5"/>
      <c r="AE5"/>
      <c r="AF5"/>
      <c r="AG5"/>
      <c r="AH5"/>
      <c r="AI5"/>
      <c r="AJ5"/>
      <c r="AK5"/>
      <c r="AL5"/>
      <c r="AM5"/>
      <c r="AN5"/>
      <c r="AO5"/>
      <c r="AP5"/>
      <c r="AQ5"/>
      <c r="AR5"/>
      <c r="AS5"/>
      <c r="AT5"/>
      <c r="AU5"/>
      <c r="AV5"/>
      <c r="AW5"/>
      <c r="AX5"/>
      <c r="AY5"/>
      <c r="AZ5"/>
      <c r="BA5"/>
    </row>
    <row r="6" spans="1:53" ht="16.5" thickBot="1" x14ac:dyDescent="0.3">
      <c r="A6" s="15"/>
      <c r="B6" s="2"/>
      <c r="C6" s="18" t="s">
        <v>236</v>
      </c>
      <c r="D6" s="19"/>
      <c r="E6" s="19"/>
      <c r="F6" s="19"/>
      <c r="G6" s="19"/>
      <c r="H6" s="307" t="s">
        <v>681</v>
      </c>
      <c r="I6" s="19"/>
      <c r="J6" s="307" t="s">
        <v>681</v>
      </c>
      <c r="K6" s="20"/>
      <c r="L6" s="572"/>
      <c r="M6" s="1572"/>
      <c r="N6" s="338"/>
      <c r="O6" s="1579"/>
      <c r="P6"/>
      <c r="Q6"/>
      <c r="R6"/>
      <c r="S6"/>
      <c r="T6"/>
      <c r="U6"/>
      <c r="V6"/>
      <c r="W6"/>
      <c r="X6"/>
      <c r="Y6"/>
      <c r="Z6"/>
      <c r="AA6"/>
      <c r="AB6"/>
      <c r="AC6"/>
      <c r="AD6"/>
      <c r="AE6"/>
      <c r="AF6"/>
      <c r="AG6"/>
      <c r="AH6"/>
      <c r="AI6"/>
      <c r="AJ6"/>
      <c r="AK6"/>
      <c r="AL6"/>
      <c r="AM6"/>
      <c r="AN6"/>
      <c r="AO6"/>
      <c r="AP6"/>
      <c r="AQ6"/>
      <c r="AR6"/>
      <c r="AS6"/>
      <c r="AT6"/>
      <c r="AU6"/>
      <c r="AV6"/>
      <c r="AW6"/>
      <c r="AX6"/>
      <c r="AY6"/>
      <c r="AZ6"/>
      <c r="BA6"/>
    </row>
    <row r="7" spans="1:53" ht="16.5" thickBot="1" x14ac:dyDescent="0.25">
      <c r="A7" s="15"/>
      <c r="B7" s="2"/>
      <c r="C7" s="1838" t="s">
        <v>5693</v>
      </c>
      <c r="D7" s="1838"/>
      <c r="E7" s="1838"/>
      <c r="F7" s="423"/>
      <c r="G7" s="423"/>
      <c r="H7" s="573"/>
      <c r="I7" s="573"/>
      <c r="J7" s="1495" t="e">
        <f>INDEX(Data!BK:BK,MATCH(Import_LA_Code,Ref_LA_Codes,0))</f>
        <v>#N/A</v>
      </c>
      <c r="K7" s="20"/>
      <c r="L7" s="572"/>
      <c r="M7" s="1572"/>
      <c r="N7" s="338"/>
      <c r="O7" s="1579"/>
      <c r="P7"/>
      <c r="Q7"/>
      <c r="R7"/>
      <c r="S7"/>
      <c r="T7"/>
      <c r="U7"/>
      <c r="V7"/>
      <c r="W7"/>
      <c r="X7"/>
      <c r="Y7"/>
      <c r="Z7"/>
      <c r="AA7"/>
      <c r="AB7"/>
      <c r="AC7"/>
      <c r="AD7"/>
      <c r="AE7"/>
      <c r="AF7"/>
      <c r="AG7"/>
      <c r="AH7"/>
      <c r="AI7"/>
      <c r="AJ7"/>
      <c r="AK7"/>
      <c r="AL7"/>
      <c r="AM7"/>
      <c r="AN7"/>
      <c r="AO7"/>
      <c r="AP7"/>
      <c r="AQ7"/>
      <c r="AR7"/>
      <c r="AS7"/>
      <c r="AT7"/>
      <c r="AU7"/>
      <c r="AV7"/>
      <c r="AW7"/>
      <c r="AX7"/>
      <c r="AY7"/>
      <c r="AZ7"/>
      <c r="BA7"/>
    </row>
    <row r="8" spans="1:53" ht="16.5" thickBot="1" x14ac:dyDescent="0.25">
      <c r="A8" s="15"/>
      <c r="B8" s="2"/>
      <c r="C8" s="1571"/>
      <c r="D8" s="1571"/>
      <c r="E8" s="1571"/>
      <c r="F8" s="423"/>
      <c r="G8" s="423"/>
      <c r="H8" s="573"/>
      <c r="I8" s="573"/>
      <c r="J8" s="1600"/>
      <c r="K8" s="870"/>
      <c r="L8" s="572"/>
      <c r="M8" s="1572"/>
      <c r="N8" s="338"/>
      <c r="O8" s="1579"/>
      <c r="P8"/>
      <c r="Q8"/>
      <c r="R8"/>
      <c r="S8"/>
      <c r="T8"/>
      <c r="U8"/>
      <c r="V8"/>
      <c r="W8"/>
      <c r="X8"/>
      <c r="Y8"/>
      <c r="Z8"/>
      <c r="AA8"/>
      <c r="AB8"/>
      <c r="AC8"/>
      <c r="AD8"/>
      <c r="AE8"/>
      <c r="AF8"/>
      <c r="AG8"/>
      <c r="AH8"/>
      <c r="AI8"/>
      <c r="AJ8"/>
      <c r="AK8"/>
      <c r="AL8"/>
      <c r="AM8"/>
      <c r="AN8"/>
      <c r="AO8"/>
      <c r="AP8"/>
      <c r="AQ8"/>
      <c r="AR8"/>
      <c r="AS8"/>
      <c r="AT8"/>
      <c r="AU8"/>
      <c r="AV8"/>
      <c r="AW8"/>
      <c r="AX8"/>
      <c r="AY8"/>
      <c r="AZ8"/>
      <c r="BA8"/>
    </row>
    <row r="9" spans="1:53" ht="16.5" thickBot="1" x14ac:dyDescent="0.25">
      <c r="A9" s="15"/>
      <c r="B9" s="2"/>
      <c r="C9" s="1571" t="s">
        <v>5695</v>
      </c>
      <c r="D9" s="1571"/>
      <c r="E9" s="1571"/>
      <c r="F9" s="423"/>
      <c r="G9" s="423"/>
      <c r="H9" s="573"/>
      <c r="I9" s="573"/>
      <c r="J9" s="807">
        <v>0</v>
      </c>
      <c r="K9" s="870"/>
      <c r="L9" s="572"/>
      <c r="M9" s="1572"/>
      <c r="N9" s="338"/>
      <c r="O9" s="1579"/>
      <c r="P9"/>
      <c r="Q9"/>
      <c r="R9"/>
      <c r="S9"/>
      <c r="T9"/>
      <c r="U9"/>
      <c r="V9"/>
      <c r="W9"/>
      <c r="X9"/>
      <c r="Y9"/>
      <c r="Z9"/>
      <c r="AA9"/>
      <c r="AB9"/>
      <c r="AC9"/>
      <c r="AD9"/>
      <c r="AE9"/>
      <c r="AF9"/>
      <c r="AG9"/>
      <c r="AH9"/>
      <c r="AI9"/>
      <c r="AJ9"/>
      <c r="AK9"/>
      <c r="AL9"/>
      <c r="AM9"/>
      <c r="AN9"/>
      <c r="AO9"/>
      <c r="AP9"/>
      <c r="AQ9"/>
      <c r="AR9"/>
      <c r="AS9"/>
      <c r="AT9"/>
      <c r="AU9"/>
      <c r="AV9"/>
      <c r="AW9"/>
      <c r="AX9"/>
      <c r="AY9"/>
      <c r="AZ9"/>
      <c r="BA9"/>
    </row>
    <row r="10" spans="1:53" ht="16.5" thickBot="1" x14ac:dyDescent="0.25">
      <c r="A10" s="15"/>
      <c r="B10" s="2"/>
      <c r="C10" s="1571"/>
      <c r="D10" s="1571"/>
      <c r="E10" s="1571"/>
      <c r="F10" s="423"/>
      <c r="G10" s="423"/>
      <c r="H10" s="573"/>
      <c r="I10" s="573"/>
      <c r="J10" s="1600"/>
      <c r="K10" s="870"/>
      <c r="L10" s="572"/>
      <c r="M10" s="1572"/>
      <c r="N10" s="338"/>
      <c r="O10" s="1579"/>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row>
    <row r="11" spans="1:53" ht="16.5" thickBot="1" x14ac:dyDescent="0.25">
      <c r="A11" s="15"/>
      <c r="B11" s="2"/>
      <c r="C11" s="1571" t="s">
        <v>5694</v>
      </c>
      <c r="D11" s="1571"/>
      <c r="E11" s="1571"/>
      <c r="F11" s="423"/>
      <c r="G11" s="423"/>
      <c r="H11" s="573"/>
      <c r="I11" s="573"/>
      <c r="J11" s="808" t="e">
        <f>+J7+J9</f>
        <v>#N/A</v>
      </c>
      <c r="K11" s="870"/>
      <c r="L11" s="572"/>
      <c r="M11" s="1572"/>
      <c r="N11" s="338"/>
      <c r="O11" s="1579"/>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row>
    <row r="12" spans="1:53" ht="15.75" x14ac:dyDescent="0.25">
      <c r="A12" s="15"/>
      <c r="B12" s="2"/>
      <c r="C12" s="18"/>
      <c r="D12" s="19"/>
      <c r="E12" s="19"/>
      <c r="F12" s="19"/>
      <c r="G12" s="19"/>
      <c r="H12" s="19"/>
      <c r="I12" s="19"/>
      <c r="J12" s="19"/>
      <c r="K12" s="20"/>
      <c r="L12" s="572"/>
      <c r="M12" s="1572"/>
      <c r="N12" s="338"/>
      <c r="O12" s="1579"/>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row>
    <row r="13" spans="1:53" ht="16.5" thickBot="1" x14ac:dyDescent="0.3">
      <c r="A13" s="15"/>
      <c r="B13" s="2"/>
      <c r="C13" s="12" t="s">
        <v>907</v>
      </c>
      <c r="D13" s="19"/>
      <c r="E13" s="19"/>
      <c r="F13" s="19"/>
      <c r="G13" s="19"/>
      <c r="H13" s="19"/>
      <c r="I13" s="19"/>
      <c r="J13" s="19"/>
      <c r="K13" s="20"/>
      <c r="L13" s="572"/>
      <c r="M13" s="1572"/>
      <c r="N13" s="338"/>
      <c r="O13" s="1579"/>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row>
    <row r="14" spans="1:53" ht="16.5" thickBot="1" x14ac:dyDescent="0.25">
      <c r="A14" s="15"/>
      <c r="B14" s="2"/>
      <c r="C14" s="1715" t="s">
        <v>3114</v>
      </c>
      <c r="D14" s="1715"/>
      <c r="E14" s="1715"/>
      <c r="F14" s="19"/>
      <c r="G14" s="19"/>
      <c r="H14" s="807">
        <v>0</v>
      </c>
      <c r="I14" s="19"/>
      <c r="J14" s="19"/>
      <c r="K14" s="20"/>
      <c r="L14" s="572"/>
      <c r="M14" s="1572"/>
      <c r="N14" s="338"/>
      <c r="O14" s="1579"/>
      <c r="P14"/>
      <c r="Q14" s="1829" t="s">
        <v>910</v>
      </c>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row>
    <row r="15" spans="1:53" ht="15.75" customHeight="1" thickBot="1" x14ac:dyDescent="0.3">
      <c r="A15" s="15"/>
      <c r="B15" s="2"/>
      <c r="C15" s="12"/>
      <c r="D15" s="19"/>
      <c r="E15" s="19"/>
      <c r="F15" s="19"/>
      <c r="G15" s="19"/>
      <c r="H15" s="19"/>
      <c r="I15" s="19"/>
      <c r="J15" s="19"/>
      <c r="K15" s="20"/>
      <c r="L15" s="572"/>
      <c r="M15" s="1572"/>
      <c r="N15" s="338"/>
      <c r="O15" s="1579"/>
      <c r="P15"/>
      <c r="Q15" s="1829"/>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row>
    <row r="16" spans="1:53" ht="16.5" thickBot="1" x14ac:dyDescent="0.25">
      <c r="A16" s="15"/>
      <c r="B16" s="2"/>
      <c r="C16" s="1715" t="s">
        <v>2685</v>
      </c>
      <c r="D16" s="1715"/>
      <c r="E16" s="1715"/>
      <c r="F16" s="19"/>
      <c r="G16" s="19"/>
      <c r="H16" s="807">
        <v>0</v>
      </c>
      <c r="I16" s="19"/>
      <c r="J16" s="19"/>
      <c r="K16" s="20"/>
      <c r="L16" s="572"/>
      <c r="M16" s="1572"/>
      <c r="N16" s="338"/>
      <c r="O16" s="1579"/>
      <c r="P16"/>
      <c r="Q16" s="250"/>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row>
    <row r="17" spans="1:53" ht="16.5" thickBot="1" x14ac:dyDescent="0.3">
      <c r="A17" s="15"/>
      <c r="B17" s="2"/>
      <c r="C17" s="12"/>
      <c r="D17" s="19"/>
      <c r="E17" s="19"/>
      <c r="F17" s="19"/>
      <c r="G17" s="19"/>
      <c r="H17" s="19"/>
      <c r="I17" s="19"/>
      <c r="J17" s="19"/>
      <c r="K17" s="20"/>
      <c r="L17" s="572"/>
      <c r="M17" s="1572"/>
      <c r="N17" s="338"/>
      <c r="O17" s="1579"/>
      <c r="P17"/>
      <c r="Q17" s="250"/>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row>
    <row r="18" spans="1:53" ht="16.5" thickBot="1" x14ac:dyDescent="0.25">
      <c r="A18" s="15"/>
      <c r="B18" s="2"/>
      <c r="C18" s="1715" t="s">
        <v>916</v>
      </c>
      <c r="D18" s="1715"/>
      <c r="E18" s="1715"/>
      <c r="F18" s="19"/>
      <c r="G18" s="19"/>
      <c r="H18" s="807">
        <v>0</v>
      </c>
      <c r="I18" s="19"/>
      <c r="J18" s="19"/>
      <c r="K18" s="20"/>
      <c r="L18" s="572"/>
      <c r="M18" s="1572"/>
      <c r="N18" s="338"/>
      <c r="O18" s="1579"/>
      <c r="P18"/>
      <c r="Q18" s="250"/>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row>
    <row r="19" spans="1:53" ht="16.5" thickBot="1" x14ac:dyDescent="0.3">
      <c r="A19" s="15"/>
      <c r="B19" s="2"/>
      <c r="C19" s="12"/>
      <c r="D19" s="19"/>
      <c r="E19" s="19"/>
      <c r="F19" s="19"/>
      <c r="G19" s="19"/>
      <c r="H19" s="19"/>
      <c r="I19" s="19"/>
      <c r="J19" s="19"/>
      <c r="K19" s="20"/>
      <c r="L19" s="572"/>
      <c r="M19" s="1572"/>
      <c r="N19" s="338"/>
      <c r="O19" s="1579"/>
      <c r="P19"/>
      <c r="Q19" s="250"/>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row>
    <row r="20" spans="1:53" ht="16.5" thickBot="1" x14ac:dyDescent="0.25">
      <c r="A20" s="15"/>
      <c r="B20" s="2"/>
      <c r="C20" s="1715" t="s">
        <v>2686</v>
      </c>
      <c r="D20" s="1715"/>
      <c r="E20" s="1715"/>
      <c r="F20" s="1715"/>
      <c r="G20" s="19"/>
      <c r="H20" s="807">
        <v>0</v>
      </c>
      <c r="I20" s="19"/>
      <c r="J20" s="19"/>
      <c r="K20" s="20"/>
      <c r="L20" s="572"/>
      <c r="M20" s="1572"/>
      <c r="N20" s="338"/>
      <c r="O20" s="1579"/>
      <c r="P20"/>
      <c r="Q20" s="25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row>
    <row r="21" spans="1:53" ht="16.5" thickBot="1" x14ac:dyDescent="0.3">
      <c r="A21" s="15"/>
      <c r="B21" s="2"/>
      <c r="C21" s="12"/>
      <c r="D21" s="19"/>
      <c r="E21" s="19"/>
      <c r="F21" s="19"/>
      <c r="G21" s="19"/>
      <c r="H21" s="19"/>
      <c r="I21" s="19"/>
      <c r="J21" s="19"/>
      <c r="K21" s="20"/>
      <c r="L21" s="572"/>
      <c r="M21" s="1572"/>
      <c r="N21" s="338"/>
      <c r="O21" s="1579"/>
      <c r="P21"/>
      <c r="Q21" s="251" t="s">
        <v>53</v>
      </c>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row>
    <row r="22" spans="1:53" ht="16.5" thickBot="1" x14ac:dyDescent="0.25">
      <c r="A22" s="15"/>
      <c r="B22" s="2"/>
      <c r="C22" s="1715" t="s">
        <v>1215</v>
      </c>
      <c r="D22" s="1715"/>
      <c r="E22" s="1715"/>
      <c r="F22" s="19"/>
      <c r="G22" s="19"/>
      <c r="H22" s="807">
        <v>0</v>
      </c>
      <c r="I22" s="19"/>
      <c r="J22" s="19"/>
      <c r="K22" s="20"/>
      <c r="L22" s="572"/>
      <c r="M22" s="1572"/>
      <c r="N22" s="338"/>
      <c r="O22" s="1579"/>
      <c r="P22"/>
      <c r="Q22" s="252" t="s">
        <v>52</v>
      </c>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row>
    <row r="23" spans="1:53" ht="15.75" thickBot="1" x14ac:dyDescent="0.25">
      <c r="A23" s="15"/>
      <c r="B23" s="2"/>
      <c r="C23" s="10"/>
      <c r="D23" s="19"/>
      <c r="E23" s="19"/>
      <c r="F23" s="19"/>
      <c r="G23" s="19"/>
      <c r="H23" s="19"/>
      <c r="I23" s="19"/>
      <c r="J23" s="19"/>
      <c r="K23" s="20"/>
      <c r="L23" s="572"/>
      <c r="M23" s="1572"/>
      <c r="N23" s="338"/>
      <c r="O23" s="1579"/>
      <c r="P23"/>
      <c r="Q23" s="252"/>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row>
    <row r="24" spans="1:53" ht="16.5" thickBot="1" x14ac:dyDescent="0.3">
      <c r="A24" s="15"/>
      <c r="B24" s="2"/>
      <c r="C24" s="1837" t="s">
        <v>917</v>
      </c>
      <c r="D24" s="1837"/>
      <c r="E24" s="1837"/>
      <c r="F24" s="19"/>
      <c r="G24" s="19"/>
      <c r="H24" s="338"/>
      <c r="I24" s="19"/>
      <c r="J24" s="808">
        <f>$H$14+$H$16+$H$18+$H$20+$H$22</f>
        <v>0</v>
      </c>
      <c r="K24" s="67"/>
      <c r="L24" s="572"/>
      <c r="M24" s="1572"/>
      <c r="N24" s="338"/>
      <c r="O24" s="1579"/>
      <c r="P24"/>
      <c r="Q24" s="252">
        <f>IF(+H14+H16+H18+H20+H22-J24=0,0,1)</f>
        <v>0</v>
      </c>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row>
    <row r="25" spans="1:53" ht="15.75" x14ac:dyDescent="0.25">
      <c r="A25" s="15"/>
      <c r="B25" s="2"/>
      <c r="C25" s="12"/>
      <c r="D25" s="19"/>
      <c r="E25" s="19"/>
      <c r="F25" s="19"/>
      <c r="G25" s="19"/>
      <c r="H25" s="19"/>
      <c r="I25" s="19"/>
      <c r="J25" s="10"/>
      <c r="K25" s="20"/>
      <c r="L25" s="572"/>
      <c r="M25" s="1572"/>
      <c r="N25" s="338"/>
      <c r="O25" s="1579"/>
      <c r="P25"/>
      <c r="Q25" s="252"/>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row>
    <row r="26" spans="1:53" ht="16.5" thickBot="1" x14ac:dyDescent="0.3">
      <c r="A26" s="15"/>
      <c r="B26" s="2"/>
      <c r="C26" s="12" t="s">
        <v>1312</v>
      </c>
      <c r="D26" s="19"/>
      <c r="E26" s="19"/>
      <c r="F26" s="19"/>
      <c r="G26" s="19"/>
      <c r="H26" s="73"/>
      <c r="I26" s="73"/>
      <c r="J26" s="73"/>
      <c r="K26" s="20"/>
      <c r="L26" s="572"/>
      <c r="M26" s="1572"/>
      <c r="N26" s="338"/>
      <c r="O26" s="1579"/>
      <c r="P26"/>
      <c r="Q26" s="252"/>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row>
    <row r="27" spans="1:53" ht="16.5" thickBot="1" x14ac:dyDescent="0.25">
      <c r="A27" s="15"/>
      <c r="B27" s="2"/>
      <c r="C27" s="1715" t="s">
        <v>3115</v>
      </c>
      <c r="D27" s="1715"/>
      <c r="E27" s="1715"/>
      <c r="F27" s="19"/>
      <c r="G27" s="19"/>
      <c r="H27" s="812">
        <v>0</v>
      </c>
      <c r="I27" s="73"/>
      <c r="J27" s="73"/>
      <c r="K27" s="20"/>
      <c r="L27" s="572"/>
      <c r="M27" s="1572"/>
      <c r="N27" s="338"/>
      <c r="O27" s="1579"/>
      <c r="P27"/>
      <c r="Q27" s="252"/>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row>
    <row r="28" spans="1:53" ht="15.75" thickBot="1" x14ac:dyDescent="0.25">
      <c r="A28" s="15"/>
      <c r="B28" s="2"/>
      <c r="C28" s="10"/>
      <c r="D28" s="19"/>
      <c r="E28" s="19"/>
      <c r="F28" s="19"/>
      <c r="G28" s="19"/>
      <c r="H28" s="73"/>
      <c r="I28" s="73"/>
      <c r="J28" s="73"/>
      <c r="K28" s="20"/>
      <c r="L28" s="572"/>
      <c r="M28" s="1572"/>
      <c r="N28" s="338"/>
      <c r="O28" s="1579"/>
      <c r="P28"/>
      <c r="Q28" s="252"/>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row>
    <row r="29" spans="1:53" ht="16.5" thickBot="1" x14ac:dyDescent="0.25">
      <c r="A29" s="15"/>
      <c r="B29" s="2"/>
      <c r="C29" s="1715" t="s">
        <v>2981</v>
      </c>
      <c r="D29" s="1715"/>
      <c r="E29" s="1715"/>
      <c r="F29" s="19"/>
      <c r="G29" s="19"/>
      <c r="H29" s="807">
        <v>0</v>
      </c>
      <c r="I29" s="73"/>
      <c r="J29" s="73"/>
      <c r="K29" s="20"/>
      <c r="L29" s="572"/>
      <c r="M29" s="1572"/>
      <c r="N29" s="338"/>
      <c r="O29" s="1579"/>
      <c r="P29"/>
      <c r="Q29" s="252"/>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row>
    <row r="30" spans="1:53" ht="16.5" thickBot="1" x14ac:dyDescent="0.25">
      <c r="A30" s="15"/>
      <c r="B30" s="2"/>
      <c r="C30" s="10"/>
      <c r="D30" s="19"/>
      <c r="E30" s="19"/>
      <c r="F30" s="19"/>
      <c r="G30" s="19"/>
      <c r="H30" s="74"/>
      <c r="I30" s="73"/>
      <c r="J30" s="73"/>
      <c r="K30" s="20"/>
      <c r="L30" s="572"/>
      <c r="M30" s="1572"/>
      <c r="N30" s="338"/>
      <c r="O30" s="1579"/>
      <c r="P30"/>
      <c r="Q30" s="252"/>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1:53" ht="16.5" thickBot="1" x14ac:dyDescent="0.25">
      <c r="A31" s="15"/>
      <c r="B31" s="2"/>
      <c r="C31" s="1715" t="s">
        <v>3116</v>
      </c>
      <c r="D31" s="1715"/>
      <c r="E31" s="1715"/>
      <c r="F31" s="1715"/>
      <c r="G31" s="19"/>
      <c r="H31" s="820" t="e">
        <f>IF(INDEX(Data!$AK:$AK,MATCH(Import_LA_Code,Ref_LA_Codes,0))&lt;0,INDEX(Data!$AK:$AK,MATCH(Import_LA_Code,Ref_LA_Codes,0))*-1,0)</f>
        <v>#N/A</v>
      </c>
      <c r="I31" s="73"/>
      <c r="J31" s="73"/>
      <c r="K31" s="20"/>
      <c r="L31" s="572"/>
      <c r="M31" s="1575"/>
      <c r="N31" s="675"/>
      <c r="O31" s="1580"/>
      <c r="P31"/>
      <c r="Q31" s="252" t="e">
        <f>IF(ROUND(R31,0)-H31=0,0,1)</f>
        <v>#N/A</v>
      </c>
      <c r="R31" s="606" t="e">
        <f>-IF(INDEX(Data!AK:AK,MATCH(Import_LA_Code,Ref_LA_Codes,0))&lt;0,INDEX(Data!AK:AK,MATCH(Import_LA_Code,Ref_LA_Codes,0)),0)</f>
        <v>#N/A</v>
      </c>
      <c r="S31"/>
      <c r="T31"/>
      <c r="U31"/>
      <c r="V31"/>
      <c r="W31"/>
      <c r="X31"/>
      <c r="Y31"/>
      <c r="Z31"/>
      <c r="AA31"/>
      <c r="AB31"/>
      <c r="AC31"/>
      <c r="AD31"/>
      <c r="AE31"/>
      <c r="AF31"/>
      <c r="AG31"/>
      <c r="AH31"/>
      <c r="AI31"/>
      <c r="AJ31"/>
      <c r="AK31"/>
      <c r="AL31"/>
      <c r="AM31"/>
      <c r="AN31"/>
      <c r="AO31"/>
      <c r="AP31"/>
      <c r="AQ31"/>
      <c r="AR31"/>
      <c r="AS31"/>
      <c r="AT31"/>
      <c r="AU31"/>
      <c r="AV31"/>
      <c r="AW31"/>
      <c r="AX31"/>
      <c r="AY31"/>
      <c r="AZ31"/>
      <c r="BA31"/>
    </row>
    <row r="32" spans="1:53" ht="16.5" thickBot="1" x14ac:dyDescent="0.25">
      <c r="A32" s="15"/>
      <c r="B32" s="2"/>
      <c r="C32" s="10"/>
      <c r="D32" s="19"/>
      <c r="E32" s="19"/>
      <c r="F32" s="19"/>
      <c r="G32" s="19"/>
      <c r="H32" s="601" t="e">
        <f>IF(H31=ROUND(R31,0),"","There is a difference between the value in Line 10 and figures previously reported")</f>
        <v>#N/A</v>
      </c>
      <c r="I32" s="375"/>
      <c r="J32" s="375"/>
      <c r="K32" s="604"/>
      <c r="L32" s="572"/>
      <c r="M32" s="1576"/>
      <c r="N32" s="675"/>
      <c r="O32" s="1580"/>
      <c r="P32"/>
      <c r="Q32" s="25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row>
    <row r="33" spans="1:53" ht="16.5" thickBot="1" x14ac:dyDescent="0.3">
      <c r="A33" s="15"/>
      <c r="B33" s="2"/>
      <c r="C33" s="1837" t="s">
        <v>2982</v>
      </c>
      <c r="D33" s="1837"/>
      <c r="E33" s="1837"/>
      <c r="F33" s="19"/>
      <c r="G33" s="19"/>
      <c r="H33" s="73"/>
      <c r="I33" s="73"/>
      <c r="J33" s="808" t="e">
        <f>+H27+H29+H31</f>
        <v>#N/A</v>
      </c>
      <c r="K33" s="67"/>
      <c r="L33" s="572"/>
      <c r="M33" s="1576"/>
      <c r="N33" s="1600"/>
      <c r="O33" s="1580"/>
      <c r="P33"/>
      <c r="Q33" s="252" t="e">
        <f>IF(+H27+H29+H31-J33=0,0,1)</f>
        <v>#N/A</v>
      </c>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row>
    <row r="34" spans="1:53" x14ac:dyDescent="0.2">
      <c r="A34" s="15"/>
      <c r="B34" s="2"/>
      <c r="C34" s="19"/>
      <c r="D34" s="19"/>
      <c r="E34" s="19"/>
      <c r="F34" s="19"/>
      <c r="G34" s="19"/>
      <c r="H34" s="73"/>
      <c r="I34" s="73"/>
      <c r="J34" s="73"/>
      <c r="K34" s="20"/>
      <c r="L34" s="572"/>
      <c r="M34" s="1576"/>
      <c r="N34" s="1577"/>
      <c r="O34" s="1580"/>
      <c r="P34"/>
      <c r="Q34" s="252"/>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row>
    <row r="35" spans="1:53" ht="16.5" thickBot="1" x14ac:dyDescent="0.3">
      <c r="A35" s="15"/>
      <c r="B35" s="2"/>
      <c r="C35" s="12" t="s">
        <v>1311</v>
      </c>
      <c r="D35" s="19"/>
      <c r="E35" s="19"/>
      <c r="F35" s="19"/>
      <c r="G35" s="19"/>
      <c r="H35" s="73"/>
      <c r="I35" s="73"/>
      <c r="J35" s="73"/>
      <c r="K35" s="20"/>
      <c r="L35" s="572"/>
      <c r="M35" s="1576"/>
      <c r="N35" s="1577"/>
      <c r="O35" s="1580"/>
      <c r="P35"/>
      <c r="Q35" s="252"/>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row>
    <row r="36" spans="1:53" ht="16.5" thickBot="1" x14ac:dyDescent="0.25">
      <c r="A36" s="15"/>
      <c r="B36" s="2"/>
      <c r="C36" s="1715" t="s">
        <v>3117</v>
      </c>
      <c r="D36" s="1715"/>
      <c r="E36" s="1715"/>
      <c r="F36" s="10"/>
      <c r="G36" s="19"/>
      <c r="H36" s="812">
        <v>0</v>
      </c>
      <c r="I36" s="73"/>
      <c r="J36" s="73"/>
      <c r="K36" s="20"/>
      <c r="L36" s="572"/>
      <c r="M36" s="1576"/>
      <c r="N36" s="1577"/>
      <c r="O36" s="1580"/>
      <c r="P36"/>
      <c r="Q36" s="252"/>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row>
    <row r="37" spans="1:53" ht="15.75" thickBot="1" x14ac:dyDescent="0.25">
      <c r="A37" s="15"/>
      <c r="B37" s="2"/>
      <c r="C37" s="10"/>
      <c r="D37" s="10"/>
      <c r="E37" s="10"/>
      <c r="F37" s="10"/>
      <c r="G37" s="19"/>
      <c r="H37" s="73"/>
      <c r="I37" s="73"/>
      <c r="J37" s="73"/>
      <c r="K37" s="20"/>
      <c r="L37" s="572"/>
      <c r="M37" s="1576"/>
      <c r="N37" s="1577"/>
      <c r="O37" s="1580"/>
      <c r="P37"/>
      <c r="Q37" s="252"/>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row>
    <row r="38" spans="1:53" ht="16.5" thickBot="1" x14ac:dyDescent="0.25">
      <c r="A38" s="15"/>
      <c r="B38" s="2"/>
      <c r="C38" s="1717" t="s">
        <v>3118</v>
      </c>
      <c r="D38" s="1717"/>
      <c r="E38" s="1717"/>
      <c r="F38" s="1717"/>
      <c r="G38" s="19"/>
      <c r="H38" s="1495">
        <f>-1*INDEX(Data!$Z:$Z,MATCH(Import_LA_Code,Ref_LA_Codes,0))</f>
        <v>0</v>
      </c>
      <c r="I38" s="73"/>
      <c r="J38" s="73"/>
      <c r="K38" s="20"/>
      <c r="L38" s="572"/>
      <c r="M38" s="1572"/>
      <c r="N38" s="338"/>
      <c r="O38" s="1579"/>
      <c r="P38"/>
      <c r="Q38" s="252">
        <f>IF(ROUND(R38,0)-H38=0,0,1)</f>
        <v>0</v>
      </c>
      <c r="R38" s="606">
        <f>-1*INDEX(Data!$Z:$Z,MATCH(Import_LA_Code,Ref_LA_Codes,0))</f>
        <v>0</v>
      </c>
      <c r="S38"/>
      <c r="T38"/>
      <c r="U38"/>
      <c r="V38"/>
      <c r="W38"/>
      <c r="X38"/>
      <c r="Y38"/>
      <c r="Z38"/>
      <c r="AA38"/>
      <c r="AB38"/>
      <c r="AC38"/>
      <c r="AD38"/>
      <c r="AE38"/>
      <c r="AF38"/>
      <c r="AG38"/>
      <c r="AH38"/>
      <c r="AI38"/>
      <c r="AJ38"/>
      <c r="AK38"/>
      <c r="AL38"/>
      <c r="AM38"/>
      <c r="AN38"/>
      <c r="AO38"/>
      <c r="AP38"/>
      <c r="AQ38"/>
      <c r="AR38"/>
      <c r="AS38"/>
      <c r="AT38"/>
      <c r="AU38"/>
      <c r="AV38"/>
      <c r="AW38"/>
      <c r="AX38"/>
      <c r="AY38"/>
      <c r="AZ38"/>
      <c r="BA38"/>
    </row>
    <row r="39" spans="1:53" ht="15.75" x14ac:dyDescent="0.2">
      <c r="A39" s="15"/>
      <c r="B39" s="2"/>
      <c r="C39" s="1717"/>
      <c r="D39" s="1717"/>
      <c r="E39" s="1717"/>
      <c r="F39" s="1717"/>
      <c r="G39" s="19"/>
      <c r="H39" s="601" t="str">
        <f>IF(H38=ROUND(R38,0),"","There is a difference between the value in Line 13 and figures previously reported")</f>
        <v/>
      </c>
      <c r="I39" s="73"/>
      <c r="J39" s="73"/>
      <c r="K39" s="20"/>
      <c r="L39" s="572"/>
      <c r="M39" s="1572"/>
      <c r="N39" s="338"/>
      <c r="O39" s="1579"/>
      <c r="P39"/>
      <c r="Q39" s="252"/>
      <c r="R39" s="606"/>
      <c r="S39"/>
      <c r="T39"/>
      <c r="U39"/>
      <c r="V39"/>
      <c r="W39"/>
      <c r="X39"/>
      <c r="Y39"/>
      <c r="Z39"/>
      <c r="AA39"/>
      <c r="AB39"/>
      <c r="AC39"/>
      <c r="AD39"/>
      <c r="AE39"/>
      <c r="AF39"/>
      <c r="AG39"/>
      <c r="AH39"/>
      <c r="AI39"/>
      <c r="AJ39"/>
      <c r="AK39"/>
      <c r="AL39"/>
      <c r="AM39"/>
      <c r="AN39"/>
      <c r="AO39"/>
      <c r="AP39"/>
      <c r="AQ39"/>
      <c r="AR39"/>
      <c r="AS39"/>
      <c r="AT39"/>
      <c r="AU39"/>
      <c r="AV39"/>
      <c r="AW39"/>
      <c r="AX39"/>
      <c r="AY39"/>
      <c r="AZ39"/>
      <c r="BA39"/>
    </row>
    <row r="40" spans="1:53" ht="15.75" thickBot="1" x14ac:dyDescent="0.25">
      <c r="A40" s="15"/>
      <c r="B40" s="2"/>
      <c r="C40" s="10"/>
      <c r="D40" s="10"/>
      <c r="E40" s="10"/>
      <c r="F40" s="10"/>
      <c r="G40" s="19"/>
      <c r="H40" s="73"/>
      <c r="I40" s="73"/>
      <c r="J40" s="73"/>
      <c r="K40" s="20"/>
      <c r="L40" s="572"/>
      <c r="M40" s="1572"/>
      <c r="N40" s="338"/>
      <c r="O40" s="1579"/>
      <c r="P40"/>
      <c r="Q40" s="252"/>
      <c r="R40" s="606"/>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1:53" ht="16.5" thickBot="1" x14ac:dyDescent="0.25">
      <c r="A41" s="15"/>
      <c r="B41" s="2"/>
      <c r="C41" s="1701" t="s">
        <v>3119</v>
      </c>
      <c r="D41" s="1701"/>
      <c r="E41" s="1701"/>
      <c r="F41" s="1701"/>
      <c r="G41" s="19"/>
      <c r="H41" s="1495">
        <f>-1*(INDEX(Data!$AB:$AB,MATCH(Import_LA_Code,Ref_LA_Codes,0))+INDEX(Data!$AC:$AC,MATCH(Import_LA_Code,Ref_LA_Codes,0)))</f>
        <v>0</v>
      </c>
      <c r="I41" s="73"/>
      <c r="J41" s="73"/>
      <c r="K41" s="20"/>
      <c r="L41" s="572"/>
      <c r="M41" s="1572"/>
      <c r="N41" s="338"/>
      <c r="O41" s="1579"/>
      <c r="P41"/>
      <c r="Q41" s="252">
        <f>IF(ROUND(R41,0)-H41=0,0,1)</f>
        <v>0</v>
      </c>
      <c r="R41" s="606">
        <f>-1*(INDEX(Data!$AB:$AB,MATCH(Import_LA_Code,Ref_LA_Codes,0))+INDEX(Data!$AC:$AC,MATCH(Import_LA_Code,Ref_LA_Codes,0)))</f>
        <v>0</v>
      </c>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1:53" ht="15.75" x14ac:dyDescent="0.2">
      <c r="A42" s="15"/>
      <c r="B42" s="2"/>
      <c r="C42" s="1701"/>
      <c r="D42" s="1701"/>
      <c r="E42" s="1701"/>
      <c r="F42" s="1701"/>
      <c r="G42" s="19"/>
      <c r="H42" s="601" t="str">
        <f>IF(H41=ROUND(R41,0),"","There is a difference between the value in Line 14 and figures previously reported")</f>
        <v/>
      </c>
      <c r="I42" s="19"/>
      <c r="J42" s="73"/>
      <c r="K42" s="20"/>
      <c r="L42" s="572"/>
      <c r="M42" s="1572"/>
      <c r="N42" s="338"/>
      <c r="O42" s="1579"/>
      <c r="P42"/>
      <c r="Q42" s="252"/>
      <c r="R42" s="606"/>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1:53" ht="15.75" thickBot="1" x14ac:dyDescent="0.25">
      <c r="A43" s="15"/>
      <c r="B43" s="2"/>
      <c r="C43" s="10"/>
      <c r="D43" s="10"/>
      <c r="E43" s="10"/>
      <c r="F43" s="10"/>
      <c r="G43" s="19"/>
      <c r="H43" s="73"/>
      <c r="I43" s="73"/>
      <c r="J43" s="73"/>
      <c r="K43" s="20"/>
      <c r="L43" s="572"/>
      <c r="M43" s="1572"/>
      <c r="N43" s="338"/>
      <c r="O43" s="1579"/>
      <c r="P43"/>
      <c r="Q43" s="252"/>
      <c r="R43" s="606"/>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1:53" ht="16.5" customHeight="1" thickBot="1" x14ac:dyDescent="0.25">
      <c r="A44" s="15"/>
      <c r="B44" s="2"/>
      <c r="C44" s="10" t="s">
        <v>3120</v>
      </c>
      <c r="D44" s="10"/>
      <c r="E44" s="10"/>
      <c r="F44" s="10"/>
      <c r="G44" s="19"/>
      <c r="H44" s="1495">
        <f>-1*INDEX(Data!$AA:$AA,MATCH(Import_LA_Code,Ref_LA_Codes,0))</f>
        <v>0</v>
      </c>
      <c r="I44" s="73"/>
      <c r="J44" s="73"/>
      <c r="K44" s="20"/>
      <c r="L44" s="572"/>
      <c r="M44" s="1572"/>
      <c r="N44" s="338"/>
      <c r="O44" s="1579"/>
      <c r="P44"/>
      <c r="Q44" s="252">
        <f>IF(ROUND(R44,0)-H44=0,0,1)</f>
        <v>0</v>
      </c>
      <c r="R44" s="606">
        <f>-1*INDEX(Data!$AA:$AA,MATCH(Import_LA_Code,Ref_LA_Codes,0))</f>
        <v>0</v>
      </c>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1:53" ht="16.5" thickBot="1" x14ac:dyDescent="0.25">
      <c r="A45" s="15"/>
      <c r="B45" s="2"/>
      <c r="C45" s="10"/>
      <c r="D45" s="10"/>
      <c r="E45" s="10"/>
      <c r="F45" s="10"/>
      <c r="G45" s="19"/>
      <c r="H45" s="601" t="str">
        <f>IF(H44=ROUND(R44,0),"","There is a difference between the value in Line 15 and figures previously reported")</f>
        <v/>
      </c>
      <c r="I45" s="73"/>
      <c r="J45" s="73"/>
      <c r="K45" s="20"/>
      <c r="L45" s="572"/>
      <c r="M45" s="1572"/>
      <c r="N45" s="338"/>
      <c r="O45" s="1579"/>
      <c r="P45"/>
      <c r="Q45" s="252"/>
      <c r="R45" s="606"/>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1:53" ht="16.5" thickBot="1" x14ac:dyDescent="0.25">
      <c r="A46" s="15"/>
      <c r="B46" s="2"/>
      <c r="C46" s="1722" t="s">
        <v>3121</v>
      </c>
      <c r="D46" s="1722"/>
      <c r="E46" s="1722"/>
      <c r="F46" s="1722"/>
      <c r="G46" s="19"/>
      <c r="H46" s="1495">
        <f>-1*(INDEX(Data!$AD:$AD,MATCH(Import_LA_Code,Ref_LA_Codes,0))+INDEX(Data!$AE:$AE,MATCH(Import_LA_Code,Ref_LA_Codes,0))+INDEX(Data!$AF:$AF,MATCH(Import_LA_Code,Ref_LA_Codes,0))+INDEX(Data!$AG:$AG,MATCH(Import_LA_Code,Ref_LA_Codes,0))+INDEX(Data!$AH:$AH,MATCH(Import_LA_Code,Ref_LA_Codes,0))+INDEX(Data!$AI:$AI,MATCH(Import_LA_Code,Ref_LA_Codes,0))+INDEX(Data!$AJ:$AJ,MATCH(Import_LA_Code,Ref_LA_Codes,0)))</f>
        <v>0</v>
      </c>
      <c r="I46" s="73"/>
      <c r="J46" s="73"/>
      <c r="K46" s="20"/>
      <c r="L46" s="572"/>
      <c r="M46" s="1572"/>
      <c r="N46" s="338"/>
      <c r="O46" s="1579"/>
      <c r="P46"/>
      <c r="Q46" s="252">
        <f>IF(ROUND(R46,0)-H46=0,0,1)</f>
        <v>0</v>
      </c>
      <c r="R46" s="606">
        <f>-1*(INDEX(Data!$AD:$AD,MATCH(Import_LA_Code,Ref_LA_Codes,0))+INDEX(Data!$AE:$AE,MATCH(Import_LA_Code,Ref_LA_Codes,0))+INDEX(Data!$AF:$AF,MATCH(Import_LA_Code,Ref_LA_Codes,0))+INDEX(Data!$AG:$AG,MATCH(Import_LA_Code,Ref_LA_Codes,0))+INDEX(Data!$AH:$AH,MATCH(Import_LA_Code,Ref_LA_Codes,0))+INDEX(Data!$AI:$AI,MATCH(Import_LA_Code,Ref_LA_Codes,0))+INDEX(Data!$AJ:$AJ,MATCH(Import_LA_Code,Ref_LA_Codes,0)))</f>
        <v>0</v>
      </c>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1:53" ht="15.75" x14ac:dyDescent="0.2">
      <c r="A47" s="15"/>
      <c r="B47" s="2"/>
      <c r="C47" s="1722"/>
      <c r="D47" s="1722"/>
      <c r="E47" s="1722"/>
      <c r="F47" s="1722"/>
      <c r="G47" s="19"/>
      <c r="H47" s="601" t="str">
        <f>IF(H46=ROUND(R46,0),"","There is a difference between the value in Line 16 and figures previously reported")</f>
        <v/>
      </c>
      <c r="I47" s="73"/>
      <c r="J47" s="73"/>
      <c r="K47" s="20"/>
      <c r="L47" s="572"/>
      <c r="M47" s="1572"/>
      <c r="N47" s="338"/>
      <c r="O47" s="1579"/>
      <c r="P47"/>
      <c r="Q47" s="252"/>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1:53" ht="15.75" thickBot="1" x14ac:dyDescent="0.25">
      <c r="A48" s="15"/>
      <c r="B48" s="2"/>
      <c r="C48" s="10"/>
      <c r="D48" s="340"/>
      <c r="E48" s="340"/>
      <c r="F48" s="340"/>
      <c r="G48" s="19"/>
      <c r="H48" s="73"/>
      <c r="I48" s="73"/>
      <c r="J48" s="73"/>
      <c r="K48" s="20"/>
      <c r="L48" s="572"/>
      <c r="M48" s="1572"/>
      <c r="N48" s="338"/>
      <c r="O48" s="1579"/>
      <c r="P48"/>
      <c r="Q48" s="252"/>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53" ht="16.5" thickBot="1" x14ac:dyDescent="0.25">
      <c r="A49" s="15"/>
      <c r="B49" s="338"/>
      <c r="C49" s="1715" t="s">
        <v>918</v>
      </c>
      <c r="D49" s="1715"/>
      <c r="E49" s="1715"/>
      <c r="F49" s="10"/>
      <c r="G49" s="19"/>
      <c r="H49" s="807">
        <v>0</v>
      </c>
      <c r="I49" s="2"/>
      <c r="J49" s="73"/>
      <c r="K49" s="20"/>
      <c r="L49" s="572"/>
      <c r="M49" s="1572"/>
      <c r="N49" s="338"/>
      <c r="O49" s="1579"/>
      <c r="P49"/>
      <c r="Q49" s="252"/>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1:53" ht="16.5" thickBot="1" x14ac:dyDescent="0.25">
      <c r="A50" s="15"/>
      <c r="B50" s="2"/>
      <c r="C50" s="10"/>
      <c r="D50" s="10"/>
      <c r="E50" s="10"/>
      <c r="F50" s="10"/>
      <c r="G50" s="19"/>
      <c r="H50" s="74"/>
      <c r="I50" s="73"/>
      <c r="J50" s="73"/>
      <c r="K50" s="20"/>
      <c r="L50" s="572"/>
      <c r="M50" s="1572"/>
      <c r="N50" s="338"/>
      <c r="O50" s="1579"/>
      <c r="P50"/>
      <c r="Q50" s="252"/>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53" ht="16.5" thickBot="1" x14ac:dyDescent="0.25">
      <c r="A51" s="15"/>
      <c r="B51" s="2"/>
      <c r="C51" s="1715" t="s">
        <v>3122</v>
      </c>
      <c r="D51" s="1715"/>
      <c r="E51" s="1715"/>
      <c r="F51" s="1715"/>
      <c r="G51" s="19"/>
      <c r="H51" s="820" t="e">
        <f>IF(INDEX(Data!$AK:$AK,MATCH(Import_LA_Code,Ref_LA_Codes,0))&gt;0,INDEX(Data!$AK:$AK,MATCH(Import_LA_Code,Ref_LA_Codes,0))*-1,0)</f>
        <v>#N/A</v>
      </c>
      <c r="I51" s="73"/>
      <c r="J51" s="73"/>
      <c r="K51" s="20"/>
      <c r="L51" s="572"/>
      <c r="M51" s="1572"/>
      <c r="N51" s="338"/>
      <c r="O51" s="1579"/>
      <c r="P51"/>
      <c r="Q51" s="605" t="e">
        <f>IF(H51=ROUND(R51,0),0,1)</f>
        <v>#N/A</v>
      </c>
      <c r="R51" s="606" t="e">
        <f>-IF(INDEX(Data!AK:AK,MATCH(Import_LA_Code,Ref_LA_Codes,0))&gt;0,INDEX(Data!AK:AK,MATCH(Import_LA_Code,Ref_LA_Codes,0)),0)</f>
        <v>#N/A</v>
      </c>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53" ht="16.5" thickBot="1" x14ac:dyDescent="0.25">
      <c r="A52" s="15"/>
      <c r="B52" s="2"/>
      <c r="C52" s="10"/>
      <c r="D52" s="10"/>
      <c r="E52" s="10"/>
      <c r="F52" s="10"/>
      <c r="G52" s="19"/>
      <c r="H52" s="230" t="e">
        <f>CONCATENATE(IF(H51=ROUND(R51,0),"","There is a difference between the value in Line 18 and previously reported figures."),IF(OR((H31+H51=H31),(H31+H51=H51)),""," Lines 10 and 18 are mutually exclusive, please double check your data entry. "))</f>
        <v>#N/A</v>
      </c>
      <c r="I52" s="73"/>
      <c r="J52" s="73"/>
      <c r="K52" s="20"/>
      <c r="L52" s="572"/>
      <c r="M52" s="1572"/>
      <c r="N52" s="338"/>
      <c r="O52" s="1579"/>
      <c r="P52"/>
      <c r="Q52" s="2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53" ht="16.5" thickBot="1" x14ac:dyDescent="0.3">
      <c r="A53" s="15"/>
      <c r="B53" s="2"/>
      <c r="C53" s="1837" t="s">
        <v>2983</v>
      </c>
      <c r="D53" s="1837"/>
      <c r="E53" s="1837"/>
      <c r="F53" s="10"/>
      <c r="G53" s="19"/>
      <c r="H53" s="73"/>
      <c r="I53" s="73"/>
      <c r="J53" s="808" t="e">
        <f>+H36+H38+H41+H44+H46+H49+H51</f>
        <v>#N/A</v>
      </c>
      <c r="K53" s="67"/>
      <c r="L53" s="572"/>
      <c r="M53" s="1572"/>
      <c r="N53" s="338"/>
      <c r="O53" s="1579"/>
      <c r="P53"/>
      <c r="Q53" s="253" t="e">
        <f>IF(+H36+H38+H41+H44+H46+H49+H51-J53=0,0,1)</f>
        <v>#N/A</v>
      </c>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53" ht="16.5" thickBot="1" x14ac:dyDescent="0.3">
      <c r="A54" s="15"/>
      <c r="B54" s="2"/>
      <c r="C54" s="18"/>
      <c r="D54" s="19"/>
      <c r="E54" s="19"/>
      <c r="F54" s="19"/>
      <c r="G54" s="19"/>
      <c r="H54" s="73"/>
      <c r="I54" s="73"/>
      <c r="J54" s="73"/>
      <c r="K54" s="20"/>
      <c r="L54" s="572"/>
      <c r="M54" s="1572"/>
      <c r="N54" s="338"/>
      <c r="O54" s="1579"/>
      <c r="P54"/>
      <c r="Q54" s="252"/>
      <c r="R54" s="158"/>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53" ht="15.75" x14ac:dyDescent="0.25">
      <c r="A55" s="15"/>
      <c r="B55" s="138"/>
      <c r="C55" s="139"/>
      <c r="D55" s="140"/>
      <c r="E55" s="140"/>
      <c r="F55" s="140"/>
      <c r="G55" s="140"/>
      <c r="H55" s="141"/>
      <c r="I55" s="141"/>
      <c r="J55" s="848"/>
      <c r="K55" s="20"/>
      <c r="L55" s="572"/>
      <c r="M55" s="1572"/>
      <c r="N55" s="338"/>
      <c r="O55" s="1579"/>
      <c r="P55"/>
      <c r="Q55" s="252"/>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1:53" ht="15.75" x14ac:dyDescent="0.25">
      <c r="A56" s="15"/>
      <c r="B56" s="142"/>
      <c r="C56" s="14" t="s">
        <v>3123</v>
      </c>
      <c r="D56" s="24"/>
      <c r="E56" s="24"/>
      <c r="F56" s="24"/>
      <c r="G56" s="24"/>
      <c r="H56" s="81"/>
      <c r="I56" s="81"/>
      <c r="J56" s="849"/>
      <c r="K56" s="20"/>
      <c r="L56" s="572"/>
      <c r="M56" s="1572"/>
      <c r="N56" s="338"/>
      <c r="O56" s="1579"/>
      <c r="P56"/>
      <c r="Q56" s="252"/>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53" ht="16.5" thickBot="1" x14ac:dyDescent="0.25">
      <c r="A57" s="15"/>
      <c r="B57" s="142"/>
      <c r="C57" s="428"/>
      <c r="D57" s="24"/>
      <c r="E57" s="24"/>
      <c r="F57" s="24"/>
      <c r="G57" s="24"/>
      <c r="H57" s="81"/>
      <c r="I57" s="81"/>
      <c r="J57" s="850" t="s">
        <v>681</v>
      </c>
      <c r="K57" s="851"/>
      <c r="L57" s="572"/>
      <c r="M57" s="1572"/>
      <c r="N57" s="338"/>
      <c r="O57" s="1579"/>
      <c r="P57"/>
      <c r="Q57" s="252"/>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53" ht="16.5" thickBot="1" x14ac:dyDescent="0.25">
      <c r="A58" s="15"/>
      <c r="B58" s="142"/>
      <c r="C58" s="1836" t="s">
        <v>2984</v>
      </c>
      <c r="D58" s="1836"/>
      <c r="E58" s="1836"/>
      <c r="F58" s="24"/>
      <c r="G58" s="24"/>
      <c r="H58" s="81"/>
      <c r="I58" s="81"/>
      <c r="J58" s="808" t="e">
        <f>+J11+J24+J33+J53</f>
        <v>#N/A</v>
      </c>
      <c r="K58" s="67"/>
      <c r="L58" s="1585"/>
      <c r="M58" s="1572"/>
      <c r="N58" s="338"/>
      <c r="O58" s="1579"/>
      <c r="P58"/>
      <c r="Q58" s="253" t="e">
        <f>IF(+J11+J24+J33+J53-J58=0,0,1)</f>
        <v>#N/A</v>
      </c>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1:53" ht="16.5" thickBot="1" x14ac:dyDescent="0.3">
      <c r="A59" s="15"/>
      <c r="B59" s="143"/>
      <c r="C59" s="144"/>
      <c r="D59" s="145"/>
      <c r="E59" s="145"/>
      <c r="F59" s="730" t="e">
        <f>IF(Q74=1,"This is different to Line 26. Please check that you have not overwritten any cells","")</f>
        <v>#N/A</v>
      </c>
      <c r="G59" s="145"/>
      <c r="H59" s="145"/>
      <c r="I59" s="145"/>
      <c r="J59" s="339"/>
      <c r="K59" s="851"/>
      <c r="L59" s="1586"/>
      <c r="M59" s="1582"/>
      <c r="N59" s="1581"/>
      <c r="O59" s="1583"/>
      <c r="P59"/>
      <c r="Q59" s="252"/>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53" ht="15.75" x14ac:dyDescent="0.25">
      <c r="A60" s="15"/>
      <c r="B60" s="2"/>
      <c r="C60" s="18"/>
      <c r="D60" s="19"/>
      <c r="E60" s="19"/>
      <c r="F60" s="19"/>
      <c r="G60" s="19"/>
      <c r="H60" s="19"/>
      <c r="I60" s="19"/>
      <c r="J60" s="19"/>
      <c r="K60" s="19"/>
      <c r="L60" s="391"/>
      <c r="M60" s="391"/>
      <c r="N60" s="391"/>
      <c r="O60" s="392"/>
      <c r="P60"/>
      <c r="Q60" s="252"/>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53" ht="15.75" customHeight="1" x14ac:dyDescent="0.2">
      <c r="A61" s="572"/>
      <c r="B61" s="897" t="s">
        <v>2684</v>
      </c>
      <c r="C61" s="902"/>
      <c r="D61" s="902"/>
      <c r="E61" s="459"/>
      <c r="F61" s="10"/>
      <c r="G61" s="10"/>
      <c r="H61" s="10"/>
      <c r="I61" s="10"/>
      <c r="J61" s="10"/>
      <c r="K61" s="10"/>
      <c r="L61" s="10"/>
      <c r="M61" s="10"/>
      <c r="N61" s="10"/>
      <c r="O61" s="589"/>
      <c r="P61"/>
      <c r="Q61" s="252"/>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1:53" ht="15.75" x14ac:dyDescent="0.25">
      <c r="A62" s="572"/>
      <c r="B62" s="903"/>
      <c r="C62" s="453"/>
      <c r="D62" s="459"/>
      <c r="E62" s="459"/>
      <c r="F62" s="10"/>
      <c r="G62" s="10"/>
      <c r="H62" s="10"/>
      <c r="I62" s="10"/>
      <c r="J62" s="10"/>
      <c r="K62" s="10"/>
      <c r="L62" s="10"/>
      <c r="M62" s="10"/>
      <c r="N62" s="10"/>
      <c r="O62" s="589"/>
      <c r="P62"/>
      <c r="Q62" s="25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1:53" ht="15.75" x14ac:dyDescent="0.25">
      <c r="A63" s="572"/>
      <c r="B63" s="903"/>
      <c r="C63" s="453"/>
      <c r="D63" s="459"/>
      <c r="E63" s="459"/>
      <c r="F63" s="802" t="s">
        <v>686</v>
      </c>
      <c r="G63" s="10"/>
      <c r="H63" s="802" t="s">
        <v>687</v>
      </c>
      <c r="I63" s="10"/>
      <c r="J63" s="802" t="s">
        <v>688</v>
      </c>
      <c r="K63" s="10"/>
      <c r="L63" s="802" t="s">
        <v>689</v>
      </c>
      <c r="M63" s="10"/>
      <c r="N63" s="802" t="s">
        <v>706</v>
      </c>
      <c r="O63" s="589"/>
      <c r="P63"/>
      <c r="Q63" s="252"/>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1:53" ht="46.5" customHeight="1" thickBot="1" x14ac:dyDescent="0.3">
      <c r="A64" s="572"/>
      <c r="B64" s="903"/>
      <c r="C64" s="453"/>
      <c r="D64" s="459"/>
      <c r="E64" s="459"/>
      <c r="F64" s="899" t="s">
        <v>2273</v>
      </c>
      <c r="G64" s="10"/>
      <c r="H64" s="900" t="str">
        <f>+'Part 1'!$K$15</f>
        <v>ZZZZ</v>
      </c>
      <c r="I64" s="10"/>
      <c r="J64" s="900" t="str">
        <f>+IF('Part 1'!$E$279="UA","",IF('Part 1'!$E$279="MD","",IF('Part 1'!$E$279="Greater London Authority",'Part 1'!$E$279,IF('Part 1'!$E$279="GLA - functions exc police",'Part 1'!$E$279,IF('Part 1'!$E$279="West of England CA",'Part 1'!$E$279,(CONCATENATE('Part 1'!$E$279," County Council")))))))</f>
        <v>0 County Council</v>
      </c>
      <c r="K64" s="10"/>
      <c r="L64" s="900">
        <f>+IF('Part 1'!$K$279="County","",IF('Part 1'!$K$279="NA","",'Part 1'!$K$279))</f>
        <v>0</v>
      </c>
      <c r="M64" s="10"/>
      <c r="N64" s="900" t="s">
        <v>698</v>
      </c>
      <c r="O64" s="589"/>
      <c r="P64"/>
      <c r="Q64" s="252"/>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53" ht="16.5" thickBot="1" x14ac:dyDescent="0.25">
      <c r="A65" s="572"/>
      <c r="B65" s="903"/>
      <c r="C65" s="459" t="s">
        <v>5863</v>
      </c>
      <c r="D65" s="459"/>
      <c r="E65" s="459"/>
      <c r="F65" s="901">
        <f>N65-L65-J65-H65</f>
        <v>1</v>
      </c>
      <c r="G65" s="677"/>
      <c r="H65" s="901">
        <f>INDEX(TierSplit!S:S,MATCH(Import_LA_Code,Ref_LA_Codes2,0))</f>
        <v>0</v>
      </c>
      <c r="I65" s="677"/>
      <c r="J65" s="901">
        <f>INDEX(TierSplit!V:V,MATCH(Import_LA_Code,Ref_LA_Codes2,0))</f>
        <v>0</v>
      </c>
      <c r="K65" s="10"/>
      <c r="L65" s="901">
        <f>INDEX(TierSplit!Y:Y,MATCH(Import_LA_Code,Ref_LA_Codes2,0))</f>
        <v>0</v>
      </c>
      <c r="M65" s="10"/>
      <c r="N65" s="901">
        <f>1</f>
        <v>1</v>
      </c>
      <c r="O65" s="589"/>
      <c r="P65"/>
      <c r="Q65" s="252">
        <f>IF(ROUND(N65,0)-ROUND(F65+H65+J65+L65,0)=0,0,1)</f>
        <v>0</v>
      </c>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53" ht="15.75" thickBot="1" x14ac:dyDescent="0.25">
      <c r="A66" s="572"/>
      <c r="B66" s="903"/>
      <c r="C66" s="459"/>
      <c r="D66" s="459"/>
      <c r="E66" s="459"/>
      <c r="F66" s="10"/>
      <c r="G66" s="10"/>
      <c r="H66" s="10"/>
      <c r="I66" s="10"/>
      <c r="J66" s="10"/>
      <c r="K66" s="10"/>
      <c r="L66" s="10"/>
      <c r="M66" s="10"/>
      <c r="N66" s="10"/>
      <c r="O66" s="589"/>
      <c r="P66"/>
      <c r="Q66" s="252"/>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53" ht="16.5" thickBot="1" x14ac:dyDescent="0.25">
      <c r="A67" s="572"/>
      <c r="B67" s="903"/>
      <c r="C67" s="1838" t="s">
        <v>2657</v>
      </c>
      <c r="D67" s="1838"/>
      <c r="E67" s="1839"/>
      <c r="F67" s="803" t="e">
        <f>$N67*F$65</f>
        <v>#N/A</v>
      </c>
      <c r="G67" s="10"/>
      <c r="H67" s="803" t="e">
        <f>$N67*H$65</f>
        <v>#N/A</v>
      </c>
      <c r="I67" s="10"/>
      <c r="J67" s="803" t="e">
        <f>$N67*J$65</f>
        <v>#N/A</v>
      </c>
      <c r="K67" s="10"/>
      <c r="L67" s="803" t="e">
        <f>$N67*L$65</f>
        <v>#N/A</v>
      </c>
      <c r="M67" s="10"/>
      <c r="N67" s="803" t="e">
        <f>'Part 4'!$J$11+'Part 4'!$H$31+'Part 4'!$H$51</f>
        <v>#N/A</v>
      </c>
      <c r="O67" s="589"/>
      <c r="P67"/>
      <c r="Q67" s="252" t="e">
        <f>IF(ROUND(N67,0)-ROUND(F67+H67+J67+L67,0)=0,0,1)</f>
        <v>#N/A</v>
      </c>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53" ht="15.75" thickBot="1" x14ac:dyDescent="0.25">
      <c r="A68" s="572"/>
      <c r="B68" s="903"/>
      <c r="C68" s="459"/>
      <c r="D68" s="459"/>
      <c r="E68" s="459"/>
      <c r="F68" s="10"/>
      <c r="G68" s="10"/>
      <c r="H68" s="10"/>
      <c r="I68" s="10"/>
      <c r="J68" s="10"/>
      <c r="K68" s="10"/>
      <c r="L68" s="10"/>
      <c r="M68" s="10"/>
      <c r="N68" s="10"/>
      <c r="O68" s="785"/>
      <c r="P68"/>
      <c r="Q68" s="252"/>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53" ht="16.5" thickBot="1" x14ac:dyDescent="0.25">
      <c r="A69" s="572"/>
      <c r="B69" s="903"/>
      <c r="C69" s="459" t="s">
        <v>5864</v>
      </c>
      <c r="D69" s="459"/>
      <c r="E69" s="459"/>
      <c r="F69" s="901">
        <f>N69-L69-J69-H69</f>
        <v>1</v>
      </c>
      <c r="G69" s="677"/>
      <c r="H69" s="901">
        <f>INDEX(TierSplit!K:K,MATCH(Import_LA_Code,Ref_LA_Codes2,0))</f>
        <v>0</v>
      </c>
      <c r="I69" s="677"/>
      <c r="J69" s="901">
        <f>INDEX(TierSplit!N:N,MATCH(Import_LA_Code,Ref_LA_Codes2,0))</f>
        <v>0</v>
      </c>
      <c r="K69" s="677"/>
      <c r="L69" s="901">
        <f>INDEX(TierSplit!Q:Q,MATCH(Import_LA_Code,Ref_LA_Codes2,0))</f>
        <v>0</v>
      </c>
      <c r="M69" s="727"/>
      <c r="N69" s="901">
        <f>1</f>
        <v>1</v>
      </c>
      <c r="O69" s="785"/>
      <c r="P69"/>
      <c r="Q69" s="252">
        <f>IF(ROUND(N69,0)-ROUND(F69+H69+J69+L69,0)=0,0,1)</f>
        <v>0</v>
      </c>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53" ht="15.75" thickBot="1" x14ac:dyDescent="0.25">
      <c r="A70" s="572"/>
      <c r="B70" s="903"/>
      <c r="C70" s="459"/>
      <c r="D70" s="459"/>
      <c r="E70" s="459"/>
      <c r="F70" s="10"/>
      <c r="G70" s="10"/>
      <c r="H70" s="10"/>
      <c r="I70" s="10"/>
      <c r="J70" s="10"/>
      <c r="K70" s="10"/>
      <c r="L70" s="10"/>
      <c r="M70" s="10"/>
      <c r="N70" s="10"/>
      <c r="O70" s="785"/>
      <c r="P70"/>
      <c r="Q70" s="252"/>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53" ht="16.5" thickBot="1" x14ac:dyDescent="0.25">
      <c r="A71" s="572"/>
      <c r="B71" s="903"/>
      <c r="C71" s="1838" t="s">
        <v>2658</v>
      </c>
      <c r="D71" s="1838"/>
      <c r="E71" s="1839"/>
      <c r="F71" s="803" t="e">
        <f>$N71*F$69</f>
        <v>#N/A</v>
      </c>
      <c r="G71" s="10"/>
      <c r="H71" s="803" t="e">
        <f>$N71*H$69</f>
        <v>#N/A</v>
      </c>
      <c r="I71" s="10"/>
      <c r="J71" s="803" t="e">
        <f>$N71*J$69</f>
        <v>#N/A</v>
      </c>
      <c r="K71" s="10"/>
      <c r="L71" s="803" t="e">
        <f>$N71*L$69</f>
        <v>#N/A</v>
      </c>
      <c r="M71" s="10"/>
      <c r="N71" s="803" t="e">
        <f>J58-N67</f>
        <v>#N/A</v>
      </c>
      <c r="O71" s="785"/>
      <c r="P71"/>
      <c r="Q71" s="252" t="e">
        <f>IF(ROUND(N71,0)-ROUND(F71+H71+J71+L71,0)=0,0,1)</f>
        <v>#N/A</v>
      </c>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53" ht="15.75" thickBot="1" x14ac:dyDescent="0.25">
      <c r="A72" s="572"/>
      <c r="B72" s="903"/>
      <c r="C72" s="459"/>
      <c r="D72" s="459"/>
      <c r="E72" s="459"/>
      <c r="F72" s="10"/>
      <c r="G72" s="10"/>
      <c r="H72" s="10"/>
      <c r="I72" s="10"/>
      <c r="J72" s="10"/>
      <c r="K72" s="10"/>
      <c r="L72" s="10"/>
      <c r="M72" s="10"/>
      <c r="N72" s="10"/>
      <c r="O72" s="785"/>
      <c r="P72"/>
      <c r="Q72" s="25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53" ht="16.5" thickBot="1" x14ac:dyDescent="0.3">
      <c r="A73" s="572"/>
      <c r="B73" s="903"/>
      <c r="C73" s="1840" t="s">
        <v>2666</v>
      </c>
      <c r="D73" s="1840"/>
      <c r="E73" s="1841"/>
      <c r="F73" s="803" t="e">
        <f>F67+F71</f>
        <v>#N/A</v>
      </c>
      <c r="G73" s="10"/>
      <c r="H73" s="803" t="e">
        <f>H67+H71</f>
        <v>#N/A</v>
      </c>
      <c r="I73" s="10"/>
      <c r="J73" s="803" t="e">
        <f>J67+J71</f>
        <v>#N/A</v>
      </c>
      <c r="K73" s="10"/>
      <c r="L73" s="803" t="e">
        <f>L67+L71</f>
        <v>#N/A</v>
      </c>
      <c r="M73" s="10"/>
      <c r="N73" s="803" t="e">
        <f>N67+N71</f>
        <v>#N/A</v>
      </c>
      <c r="O73" s="20"/>
      <c r="P73"/>
      <c r="Q73" s="252" t="e">
        <f>IF(ROUND(N73,0)-ROUND(F73+H73+J73+L73,0)=0,0,1)</f>
        <v>#N/A</v>
      </c>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1:53" ht="16.5" thickBot="1" x14ac:dyDescent="0.3">
      <c r="A74" s="15"/>
      <c r="B74" s="2"/>
      <c r="C74" s="18"/>
      <c r="D74" s="19"/>
      <c r="E74" s="19"/>
      <c r="F74" s="19"/>
      <c r="G74" s="19"/>
      <c r="H74" s="19"/>
      <c r="I74" s="19"/>
      <c r="J74" s="19"/>
      <c r="K74" s="19"/>
      <c r="L74" s="86"/>
      <c r="M74" s="86"/>
      <c r="N74" s="86"/>
      <c r="O74" s="147"/>
      <c r="P74"/>
      <c r="Q74" s="752" t="e">
        <f>IF(N73=J58,0,1)</f>
        <v>#N/A</v>
      </c>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1:53" ht="16.5" thickBot="1" x14ac:dyDescent="0.3">
      <c r="A75" s="64"/>
      <c r="B75" s="65"/>
      <c r="C75" s="390"/>
      <c r="D75" s="391"/>
      <c r="E75" s="391"/>
      <c r="F75" s="391"/>
      <c r="G75" s="391"/>
      <c r="H75" s="391"/>
      <c r="I75" s="391"/>
      <c r="J75" s="391"/>
      <c r="K75" s="391"/>
      <c r="L75" s="826"/>
      <c r="M75" s="1574"/>
      <c r="N75" s="826"/>
      <c r="O75" s="1578"/>
      <c r="P75"/>
      <c r="Q75" s="250"/>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1:53" ht="34.5" customHeight="1" thickBot="1" x14ac:dyDescent="0.3">
      <c r="A76" s="15"/>
      <c r="B76" s="2"/>
      <c r="C76" s="1832" t="e">
        <f>IF(Q31=1,"There is a difference between the value in Line 10 and the estimated deficit on the collection fund in respect of financial year 2023-24, as reported on the 2024-25 NNDR1 form. Please check and provide comments if true.","")</f>
        <v>#N/A</v>
      </c>
      <c r="D76" s="1833"/>
      <c r="E76" s="1833"/>
      <c r="F76" s="1833"/>
      <c r="G76" s="1833"/>
      <c r="H76" s="1833"/>
      <c r="I76" s="1833"/>
      <c r="J76" s="1834"/>
      <c r="K76" s="19"/>
      <c r="L76" s="338"/>
      <c r="M76" s="1572"/>
      <c r="N76" s="338"/>
      <c r="O76" s="1579"/>
      <c r="P76"/>
      <c r="Q76" s="250"/>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1:53" ht="31.5" customHeight="1" x14ac:dyDescent="0.25">
      <c r="A77" s="15"/>
      <c r="B77" s="2"/>
      <c r="C77" s="1835" t="e">
        <f>IF(Q51=1,"There is a difference between the value in Line 18 and the estimated surplus on the collection fund in respect of financial year 2023-24, as reported on the 2024-25 NNDR1 form. Please check and provide comments if true","")</f>
        <v>#N/A</v>
      </c>
      <c r="D77" s="1835"/>
      <c r="E77" s="1835"/>
      <c r="F77" s="1835"/>
      <c r="G77" s="1835"/>
      <c r="H77" s="1835"/>
      <c r="I77" s="1835"/>
      <c r="J77" s="1835"/>
      <c r="K77" s="19"/>
      <c r="L77" s="338"/>
      <c r="M77" s="1572"/>
      <c r="N77" s="338"/>
      <c r="O77" s="1579"/>
      <c r="P77"/>
      <c r="Q77" s="250"/>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row r="78" spans="1:53" ht="15.75" x14ac:dyDescent="0.25">
      <c r="A78" s="15"/>
      <c r="B78" s="2"/>
      <c r="C78" s="1831" t="e">
        <f>+IF(Q79&gt;0,"There are errors in the calculations in this form.  Have you overwritten some of the pre-filled calculations? Please check.","")</f>
        <v>#N/A</v>
      </c>
      <c r="D78" s="1831"/>
      <c r="E78" s="1831"/>
      <c r="F78" s="1831"/>
      <c r="G78" s="1831"/>
      <c r="H78" s="1831"/>
      <c r="I78" s="1831"/>
      <c r="J78" s="1831"/>
      <c r="K78" s="1573"/>
      <c r="L78" s="338"/>
      <c r="M78" s="1572"/>
      <c r="N78" s="338"/>
      <c r="O78" s="1579"/>
      <c r="P78"/>
      <c r="Q78" s="250" t="s">
        <v>25</v>
      </c>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row>
    <row r="79" spans="1:53" ht="39.75" customHeight="1" x14ac:dyDescent="0.25">
      <c r="A79" s="15"/>
      <c r="B79" s="2"/>
      <c r="C79" s="1830" t="s">
        <v>1307</v>
      </c>
      <c r="D79" s="1830"/>
      <c r="E79" s="1830"/>
      <c r="F79" s="1830"/>
      <c r="G79" s="1830"/>
      <c r="H79" s="1830"/>
      <c r="I79" s="1830"/>
      <c r="J79" s="1830"/>
      <c r="K79" s="1573"/>
      <c r="L79" s="338"/>
      <c r="M79" s="1572"/>
      <c r="N79" s="338"/>
      <c r="O79" s="1579"/>
      <c r="P79"/>
      <c r="Q79" s="254" t="e">
        <f>SUM(Q33:Q74)</f>
        <v>#N/A</v>
      </c>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row>
    <row r="80" spans="1:53" ht="15.75" thickBot="1" x14ac:dyDescent="0.25">
      <c r="A80" s="16"/>
      <c r="B80" s="17"/>
      <c r="C80" s="17"/>
      <c r="D80" s="17"/>
      <c r="E80" s="17"/>
      <c r="F80" s="17"/>
      <c r="G80" s="17"/>
      <c r="H80" s="17"/>
      <c r="I80" s="17"/>
      <c r="J80" s="17"/>
      <c r="K80" s="17"/>
      <c r="L80" s="1581"/>
      <c r="M80" s="1582"/>
      <c r="N80" s="1581"/>
      <c r="O80" s="1583"/>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row>
    <row r="82" spans="3:4" x14ac:dyDescent="0.2">
      <c r="C82" s="255"/>
      <c r="D82" s="255"/>
    </row>
    <row r="83" spans="3:4" x14ac:dyDescent="0.2">
      <c r="C83" s="255"/>
      <c r="D83" s="255"/>
    </row>
    <row r="84" spans="3:4" x14ac:dyDescent="0.2">
      <c r="C84" s="255"/>
      <c r="D84" s="255"/>
    </row>
    <row r="85" spans="3:4" x14ac:dyDescent="0.2">
      <c r="C85" s="255"/>
      <c r="D85" s="255"/>
    </row>
    <row r="86" spans="3:4" x14ac:dyDescent="0.2">
      <c r="C86" s="255"/>
      <c r="D86" s="255"/>
    </row>
    <row r="87" spans="3:4" x14ac:dyDescent="0.2">
      <c r="C87" s="255"/>
      <c r="D87" s="255"/>
    </row>
    <row r="88" spans="3:4" x14ac:dyDescent="0.2">
      <c r="C88" s="255"/>
      <c r="D88" s="255"/>
    </row>
    <row r="89" spans="3:4" x14ac:dyDescent="0.2">
      <c r="C89" s="255"/>
      <c r="D89" s="255"/>
    </row>
  </sheetData>
  <sheetProtection sheet="1" objects="1" scenarios="1"/>
  <mergeCells count="29">
    <mergeCell ref="C67:E67"/>
    <mergeCell ref="C71:E71"/>
    <mergeCell ref="C73:E73"/>
    <mergeCell ref="C36:E36"/>
    <mergeCell ref="C41:F42"/>
    <mergeCell ref="C46:F47"/>
    <mergeCell ref="C49:E49"/>
    <mergeCell ref="C51:F51"/>
    <mergeCell ref="C27:E27"/>
    <mergeCell ref="C29:E29"/>
    <mergeCell ref="C31:F31"/>
    <mergeCell ref="C33:E33"/>
    <mergeCell ref="C53:E53"/>
    <mergeCell ref="C4:J4"/>
    <mergeCell ref="C1:D1"/>
    <mergeCell ref="C38:F39"/>
    <mergeCell ref="Q14:Q15"/>
    <mergeCell ref="C79:J79"/>
    <mergeCell ref="C78:J78"/>
    <mergeCell ref="C76:J76"/>
    <mergeCell ref="C77:J77"/>
    <mergeCell ref="C58:E58"/>
    <mergeCell ref="C14:E14"/>
    <mergeCell ref="C16:E16"/>
    <mergeCell ref="C18:E18"/>
    <mergeCell ref="C20:F20"/>
    <mergeCell ref="C22:E22"/>
    <mergeCell ref="C24:E24"/>
    <mergeCell ref="C7:E7"/>
  </mergeCells>
  <phoneticPr fontId="7" type="noConversion"/>
  <conditionalFormatting sqref="C79">
    <cfRule type="expression" dxfId="49" priority="1">
      <formula>OR($C$76&lt;&gt;"",$C$77&lt;&gt;"",$C$78&lt;&gt;"")</formula>
    </cfRule>
  </conditionalFormatting>
  <conditionalFormatting sqref="K24 K33 K53 K58">
    <cfRule type="expression" dxfId="48" priority="305">
      <formula>AND($Q24=0)=FALSE</formula>
    </cfRule>
  </conditionalFormatting>
  <dataValidations count="28">
    <dataValidation type="whole" operator="lessThanOrEqual" allowBlank="1" showInputMessage="1" showErrorMessage="1" errorTitle="Negative whole number required" error="This number MUST be a negative whole number" sqref="H16 H49 H36" xr:uid="{00000000-0002-0000-0500-000002000000}">
      <formula1>0</formula1>
    </dataValidation>
    <dataValidation type="whole" operator="greaterThanOrEqual" allowBlank="1" showInputMessage="1" showErrorMessage="1" errorTitle="Positive whole number required" error="This number MUST be a positive whole number" sqref="H14" xr:uid="{00000000-0002-0000-0500-000003000000}">
      <formula1>0</formula1>
    </dataValidation>
    <dataValidation type="whole" allowBlank="1" showInputMessage="1" showErrorMessage="1" error="Whole numbers only allowed" sqref="H22 H18" xr:uid="{00000000-0002-0000-0500-000004000000}">
      <formula1>-100000000000000000000</formula1>
      <formula2>100000000000000000000</formula2>
    </dataValidation>
    <dataValidation type="whole" operator="greaterThanOrEqual" allowBlank="1" showInputMessage="1" showErrorMessage="1" errorTitle="Positive number required here" error="This MUST be a positive whole number" sqref="H20 H29 H27 H31 N33" xr:uid="{00000000-0002-0000-0500-000005000000}">
      <formula1>0</formula1>
    </dataValidation>
    <dataValidation allowBlank="1" showInputMessage="1" showErrorMessage="1" error="You can not amend this cell" sqref="R51" xr:uid="{00000000-0002-0000-0500-000006000000}"/>
    <dataValidation type="custom" allowBlank="1" showInputMessage="1" showErrorMessage="1" error="Data entry is not allowed in this cell" sqref="J33 J53 J24 J58 N67 J11 J7" xr:uid="{8704C7D6-08AD-4F22-879A-9E7E5D63AFCE}">
      <formula1>"az1=""na"""</formula1>
    </dataValidation>
    <dataValidation type="custom" allowBlank="1" showInputMessage="1" showErrorMessage="1" error="Data entry is not allowed in this cell" sqref="G69 M69 I73 K67 I67 G67 G73 G65 K73" xr:uid="{7069DF00-FF79-4074-9446-C89BDA1F62A3}">
      <formula1>"ac1=""n/a"""</formula1>
    </dataValidation>
    <dataValidation type="custom" allowBlank="1" showInputMessage="1" showErrorMessage="1" sqref="F64 H64 J64 L64 N64" xr:uid="{58B7D7A8-57E6-4FFB-830E-5533F62CDD1A}">
      <formula1>"az1=""na"""</formula1>
    </dataValidation>
    <dataValidation allowBlank="1" showInputMessage="1" showErrorMessage="1" prompt="This was line 21 in the 2024-25 form" sqref="C65" xr:uid="{6505CCEF-743E-4BE0-9CA2-B4ACD265743C}"/>
    <dataValidation allowBlank="1" showInputMessage="1" showErrorMessage="1" prompt="This was line 23 in the 2024-25 form" sqref="C69" xr:uid="{45FE36B5-A96D-482A-A10E-D581C773146B}"/>
    <dataValidation type="custom" allowBlank="1" showInputMessage="1" showErrorMessage="1" error="You cannot amend this cell" sqref="C76:J78" xr:uid="{23C7EAF7-2411-4570-BA3B-65F267289743}">
      <formula1>"if(P50=""n/a"")"</formula1>
    </dataValidation>
    <dataValidation type="custom" allowBlank="1" showInputMessage="1" showErrorMessage="1" error="Data entry is not allowed in this cell" sqref="N65 F67 H67 J73 H73 J67 L67 F73 H69 F65 N69 N71 N73 L73 F69 F71 H71 J71 L71 L69 L65 J65" xr:uid="{F5155116-CA9B-4D54-BD0A-07CC29BE6AA9}">
      <formula1>"az1=""NA"""</formula1>
    </dataValidation>
    <dataValidation allowBlank="1" showInputMessage="1" showErrorMessage="1" prompt="This data is being used in 'Part 1 - Line 23' and 'Part 4 - line 24'." sqref="C58:E58" xr:uid="{04D5999A-6244-4742-A010-5D6F917E1865}"/>
    <dataValidation allowBlank="1" showInputMessage="1" showErrorMessage="1" prompt="This data is being used in 'Part 4 - line 20'." sqref="C53:E53 C24:E24 C33:E33" xr:uid="{61B24B50-D2D1-4254-9ED0-A5299B0EC13D}"/>
    <dataValidation allowBlank="1" showInputMessage="1" showErrorMessage="1" prompt="This data is being used in 'Part 4 - line 7'." sqref="C14:E14 C16:E16 C18:E18 C20:F20 C22:E22" xr:uid="{35E18CB0-E6EB-4F45-B4CF-E6D414AFF24C}"/>
    <dataValidation allowBlank="1" showInputMessage="1" showErrorMessage="1" prompt="This data is being used in 'Part 4 - line 11'." sqref="C27:E27 C29:E29" xr:uid="{58B16164-208F-443D-8F75-EDB0AEEC970B}"/>
    <dataValidation allowBlank="1" showInputMessage="1" showErrorMessage="1" prompt="This data is being used in 'Part 4 - line 19'." sqref="C36:E36 C38:F39 C41:F42 C44:F45 C46:F47 C49:E49" xr:uid="{DFC6C370-46C4-401A-BE77-E29B6C955204}"/>
    <dataValidation allowBlank="1" showInputMessage="1" showErrorMessage="1" prompt="This data is being used in 'Part 4 - line 20' and 'Part 4 - line 22'." sqref="D7:E11 C7 C9 C11" xr:uid="{ED061DE8-CD70-4AF5-8EAA-AF0977136DC6}"/>
    <dataValidation allowBlank="1" showInputMessage="1" showErrorMessage="1" prompt="This data is being used in 'Part 4 - line 11' and 'Part 4 - line 22'." sqref="C31:F31" xr:uid="{B90387C9-3B1F-4B5B-8898-689D6A081598}"/>
    <dataValidation allowBlank="1" showInputMessage="1" showErrorMessage="1" prompt="This data is being used in 'Part 4 - line 19' and 'Part 4 - line 22'." sqref="C51:F51" xr:uid="{95A7DDC1-8BA5-4C88-9478-80DD2210AF6C}"/>
    <dataValidation allowBlank="1" showInputMessage="1" showErrorMessage="1" prompt="This was line 22 in the 2024-25 form._x000a_This data is being used in 'Part 4 - line 24' and 'Part 4 - line 25'." sqref="C67:E67" xr:uid="{DD3DEB1F-7F3A-49EE-BEC4-7BD545589F65}"/>
    <dataValidation allowBlank="1" showInputMessage="1" showErrorMessage="1" prompt="This was line 24 in the 2024-25 form._x000a_This data is being used in 'Part 4 - Line 25'." sqref="C71:E71" xr:uid="{0AF8540C-E9CC-45ED-893E-89CAA5FFC9AE}"/>
    <dataValidation type="whole" allowBlank="1" showInputMessage="1" showErrorMessage="1" errorTitle="Whole number required" error="This MUST be a whole number" sqref="J8:J10" xr:uid="{3516699E-51CE-4426-A794-2FF3EB436CB3}">
      <formula1>-1000000000000</formula1>
      <formula2>1000000000000</formula2>
    </dataValidation>
    <dataValidation type="custom" allowBlank="1" showInputMessage="1" showErrorMessage="1" error="Data entry is not allowed inthis cell" sqref="J69" xr:uid="{C411DB8D-AFDB-4214-A654-EA53FB27B41B}">
      <formula1>"az1=""NA"""</formula1>
    </dataValidation>
    <dataValidation type="custom" allowBlank="1" showInputMessage="1" showErrorMessage="1" error="Data entry is not alowed in this cell" sqref="H65" xr:uid="{A3CEF10B-2918-4FC2-A187-0B96115B94EE}">
      <formula1>"az1=""NA"""</formula1>
    </dataValidation>
    <dataValidation type="custom" operator="lessThanOrEqual" allowBlank="1" showInputMessage="1" showErrorMessage="1" error="Data entry is not allowed in this cell" sqref="H38 R41 R44 R46 N34:N37 R38" xr:uid="{8B9FFCB5-5BC3-4CD1-B458-13E4C6E2EC50}">
      <formula1>"az1 = ""na"""</formula1>
    </dataValidation>
    <dataValidation allowBlank="1" showInputMessage="1" showErrorMessage="1" prompt="This was line 25 in the 2025-26 form" sqref="C73:E73" xr:uid="{26678E61-0854-4A0B-B3BC-A9EA80171F94}"/>
    <dataValidation type="whole" operator="lessThanOrEqual" allowBlank="1" showInputMessage="1" showErrorMessage="1" errorTitle="Negative number required here" error="This MUST be a negative whole number" sqref="H51" xr:uid="{570753E2-63AF-4A2D-AB54-366361077937}">
      <formula1>0</formula1>
    </dataValidation>
  </dataValidations>
  <printOptions horizontalCentered="1" verticalCentered="1"/>
  <pageMargins left="0.39370078740157483" right="0.39370078740157483" top="0.59055118110236227" bottom="0.59055118110236227" header="0.51181102362204722" footer="0.51181102362204722"/>
  <pageSetup paperSize="9" scale="49" orientation="portrait" r:id="rId1"/>
  <headerFooter alignWithMargins="0">
    <oddHeader>&amp;C&amp;"Calibri"&amp;10&amp;K000000 OFFICIAL&amp;1#_x000D_</oddHead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autoPageBreaks="0"/>
  </sheetPr>
  <dimension ref="A1:BA137"/>
  <sheetViews>
    <sheetView zoomScaleNormal="100" workbookViewId="0"/>
  </sheetViews>
  <sheetFormatPr defaultRowHeight="12.75" x14ac:dyDescent="0.2"/>
  <cols>
    <col min="1" max="1" width="4.7109375" style="261" customWidth="1"/>
    <col min="2" max="2" width="22.5703125" style="261" customWidth="1"/>
    <col min="3" max="3" width="53.7109375" style="261" customWidth="1"/>
    <col min="4" max="4" width="4.7109375" style="261" customWidth="1"/>
    <col min="5" max="5" width="24.7109375" style="261" customWidth="1"/>
    <col min="6" max="6" width="4.5703125" style="261" customWidth="1"/>
    <col min="7" max="7" width="2.7109375" style="261" customWidth="1"/>
    <col min="8" max="8" width="24.7109375" style="261" customWidth="1"/>
    <col min="9" max="9" width="6.42578125" style="261" customWidth="1"/>
    <col min="10" max="10" width="15" style="1673" hidden="1" customWidth="1"/>
    <col min="11" max="11" width="9.140625" style="615" hidden="1" customWidth="1"/>
    <col min="12" max="53" width="9.140625" style="261" hidden="1" customWidth="1"/>
    <col min="54" max="55" width="9.140625" style="261" customWidth="1"/>
    <col min="56" max="16384" width="9.140625" style="261"/>
  </cols>
  <sheetData>
    <row r="1" spans="1:53" s="1536" customFormat="1" ht="18" x14ac:dyDescent="0.25">
      <c r="A1" s="95"/>
      <c r="B1" s="95"/>
      <c r="C1" s="95"/>
      <c r="D1" s="95"/>
      <c r="E1" s="95"/>
      <c r="F1" s="95"/>
      <c r="G1" s="95"/>
      <c r="H1" s="95"/>
      <c r="I1" s="96"/>
      <c r="J1" s="40"/>
      <c r="K1" s="61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row>
    <row r="2" spans="1:53" s="1671" customFormat="1" ht="24" customHeight="1" x14ac:dyDescent="0.25">
      <c r="A2" s="1854" t="s">
        <v>237</v>
      </c>
      <c r="B2" s="1855"/>
      <c r="C2" s="1855"/>
      <c r="D2" s="1855"/>
      <c r="E2" s="1855"/>
      <c r="F2" s="1855"/>
      <c r="G2" s="1855"/>
      <c r="H2" s="1855"/>
      <c r="I2" s="1856"/>
      <c r="J2" s="42"/>
      <c r="K2" s="611"/>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row>
    <row r="3" spans="1:53" s="1671" customFormat="1" ht="24" customHeight="1" x14ac:dyDescent="0.25">
      <c r="A3" s="1857"/>
      <c r="B3" s="1805"/>
      <c r="C3" s="1805"/>
      <c r="D3" s="1805"/>
      <c r="E3" s="1805"/>
      <c r="F3" s="1805"/>
      <c r="G3" s="1805"/>
      <c r="H3" s="1805"/>
      <c r="I3" s="1858"/>
      <c r="J3" s="42"/>
      <c r="K3" s="611"/>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row>
    <row r="4" spans="1:53" s="1536" customFormat="1" ht="18" x14ac:dyDescent="0.25">
      <c r="A4" s="97"/>
      <c r="B4" s="1855" t="s">
        <v>238</v>
      </c>
      <c r="C4" s="1805"/>
      <c r="D4" s="1805"/>
      <c r="E4" s="1805"/>
      <c r="F4" s="1805"/>
      <c r="G4" s="1805"/>
      <c r="H4" s="1805"/>
      <c r="I4" s="99"/>
      <c r="J4" s="40"/>
      <c r="K4" s="61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row>
    <row r="5" spans="1:53" s="1536" customFormat="1" ht="18" x14ac:dyDescent="0.25">
      <c r="A5" s="97"/>
      <c r="B5" s="1805"/>
      <c r="C5" s="1805"/>
      <c r="D5" s="1805"/>
      <c r="E5" s="1805"/>
      <c r="F5" s="1805"/>
      <c r="G5" s="1805"/>
      <c r="H5" s="1805"/>
      <c r="I5" s="99"/>
      <c r="J5" s="40"/>
      <c r="K5" s="61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row>
    <row r="6" spans="1:53" s="1536" customFormat="1" ht="18" x14ac:dyDescent="0.25">
      <c r="A6" s="97"/>
      <c r="B6" s="44"/>
      <c r="C6" s="44"/>
      <c r="D6" s="44"/>
      <c r="E6" s="44"/>
      <c r="F6" s="44"/>
      <c r="G6" s="44"/>
      <c r="H6" s="44"/>
      <c r="I6" s="99"/>
      <c r="J6" s="40"/>
      <c r="K6" s="61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row>
    <row r="7" spans="1:53" s="1536" customFormat="1" ht="18" x14ac:dyDescent="0.25">
      <c r="A7" s="97"/>
      <c r="B7" s="1860" t="s">
        <v>492</v>
      </c>
      <c r="C7" s="1860"/>
      <c r="D7" s="1860"/>
      <c r="E7" s="1860"/>
      <c r="F7" s="1860"/>
      <c r="G7" s="1860"/>
      <c r="H7" s="1860"/>
      <c r="I7" s="98"/>
      <c r="J7" s="40"/>
      <c r="K7" s="61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row>
    <row r="8" spans="1:53" s="1536" customFormat="1" ht="18" x14ac:dyDescent="0.25">
      <c r="A8" s="97"/>
      <c r="B8" s="1859" t="s">
        <v>5425</v>
      </c>
      <c r="C8" s="1860"/>
      <c r="D8" s="1860"/>
      <c r="E8" s="1860"/>
      <c r="F8" s="1860"/>
      <c r="G8" s="1860"/>
      <c r="H8" s="1860"/>
      <c r="I8" s="98"/>
      <c r="J8" s="40"/>
      <c r="K8" s="61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row>
    <row r="9" spans="1:53" s="1536" customFormat="1" ht="18" x14ac:dyDescent="0.25">
      <c r="A9" s="1863"/>
      <c r="B9" s="1860"/>
      <c r="C9" s="1860"/>
      <c r="D9" s="1860"/>
      <c r="E9" s="1860"/>
      <c r="F9" s="1860"/>
      <c r="G9" s="1860"/>
      <c r="H9" s="1860"/>
      <c r="I9" s="1864"/>
      <c r="J9" s="40"/>
      <c r="K9" s="61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row>
    <row r="10" spans="1:53" s="1536" customFormat="1" ht="18" x14ac:dyDescent="0.25">
      <c r="A10" s="100"/>
      <c r="B10" s="1861" t="s">
        <v>5426</v>
      </c>
      <c r="C10" s="1862"/>
      <c r="D10" s="1862"/>
      <c r="E10" s="1862"/>
      <c r="F10" s="1862"/>
      <c r="G10" s="1862"/>
      <c r="H10" s="1862"/>
      <c r="I10" s="99"/>
      <c r="J10" s="150"/>
      <c r="K10" s="61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row>
    <row r="11" spans="1:53" s="1536" customFormat="1" ht="18" x14ac:dyDescent="0.25">
      <c r="A11" s="100"/>
      <c r="B11" s="1862"/>
      <c r="C11" s="1862"/>
      <c r="D11" s="1862"/>
      <c r="E11" s="1862"/>
      <c r="F11" s="1862"/>
      <c r="G11" s="1862"/>
      <c r="H11" s="1862"/>
      <c r="I11" s="99"/>
      <c r="J11" s="150"/>
      <c r="K11" s="61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row>
    <row r="12" spans="1:53" s="232" customFormat="1" ht="15.75" x14ac:dyDescent="0.25">
      <c r="A12" s="101"/>
      <c r="B12" s="32"/>
      <c r="C12" s="32"/>
      <c r="D12" s="32"/>
      <c r="E12" s="32"/>
      <c r="F12" s="32"/>
      <c r="G12" s="32"/>
      <c r="H12" s="32"/>
      <c r="I12" s="102"/>
      <c r="J12" s="45"/>
      <c r="K12" s="243"/>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row>
    <row r="13" spans="1:53" s="232" customFormat="1" ht="15.75" x14ac:dyDescent="0.25">
      <c r="A13" s="101"/>
      <c r="B13" s="46" t="s">
        <v>684</v>
      </c>
      <c r="C13" s="1866" t="str">
        <f>+'Part 1'!K15</f>
        <v>ZZZZ</v>
      </c>
      <c r="D13" s="1867"/>
      <c r="E13" s="46"/>
      <c r="F13" s="46"/>
      <c r="G13" s="46"/>
      <c r="H13" s="47"/>
      <c r="I13" s="102"/>
      <c r="J13" s="45"/>
      <c r="K13" s="243"/>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row>
    <row r="14" spans="1:53" s="232" customFormat="1" ht="15.75" x14ac:dyDescent="0.25">
      <c r="A14" s="101"/>
      <c r="B14" s="46" t="s">
        <v>685</v>
      </c>
      <c r="C14" s="1866" t="str">
        <f>+'Part 1'!K16</f>
        <v>EZZZZ</v>
      </c>
      <c r="D14" s="1867"/>
      <c r="E14" s="46"/>
      <c r="F14" s="46"/>
      <c r="G14" s="46"/>
      <c r="H14" s="47"/>
      <c r="I14" s="102"/>
      <c r="J14" s="45"/>
      <c r="K14" s="243"/>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row>
    <row r="15" spans="1:53" s="232" customFormat="1" ht="15.75" x14ac:dyDescent="0.25">
      <c r="A15" s="101"/>
      <c r="B15" s="46" t="s">
        <v>487</v>
      </c>
      <c r="C15" s="1852">
        <f>+'Part 1'!K17</f>
        <v>0</v>
      </c>
      <c r="D15" s="1853"/>
      <c r="E15" s="46"/>
      <c r="F15" s="46"/>
      <c r="G15" s="46"/>
      <c r="H15" s="47"/>
      <c r="I15" s="102"/>
      <c r="J15" s="45"/>
      <c r="K15" s="243"/>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row>
    <row r="16" spans="1:53" s="232" customFormat="1" ht="15.75" x14ac:dyDescent="0.25">
      <c r="A16" s="101"/>
      <c r="B16" s="46" t="s">
        <v>488</v>
      </c>
      <c r="C16" s="1852">
        <f>+'Part 1'!K18</f>
        <v>0</v>
      </c>
      <c r="D16" s="1853"/>
      <c r="E16" s="46"/>
      <c r="F16" s="46"/>
      <c r="G16" s="46"/>
      <c r="H16" s="47"/>
      <c r="I16" s="102"/>
      <c r="J16" s="45"/>
      <c r="K16" s="243"/>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row>
    <row r="17" spans="1:53" s="232" customFormat="1" ht="15.75" x14ac:dyDescent="0.25">
      <c r="A17" s="101"/>
      <c r="B17" s="46" t="s">
        <v>489</v>
      </c>
      <c r="C17" s="1844">
        <f>+'Part 1'!K19</f>
        <v>0</v>
      </c>
      <c r="D17" s="1845"/>
      <c r="E17" s="46"/>
      <c r="F17" s="46"/>
      <c r="G17" s="46"/>
      <c r="H17" s="47"/>
      <c r="I17" s="102"/>
      <c r="J17" s="45"/>
      <c r="K17" s="243"/>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row>
    <row r="18" spans="1:53" s="232" customFormat="1" ht="15.75" thickBot="1" x14ac:dyDescent="0.25">
      <c r="A18" s="103"/>
      <c r="B18" s="104"/>
      <c r="C18" s="104"/>
      <c r="D18" s="104"/>
      <c r="E18" s="104"/>
      <c r="F18" s="104"/>
      <c r="G18" s="104"/>
      <c r="H18" s="105" t="s">
        <v>920</v>
      </c>
      <c r="I18" s="580">
        <f>'Part 1'!S22</f>
        <v>1.2</v>
      </c>
      <c r="J18" s="45"/>
      <c r="K18" s="243"/>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row>
    <row r="19" spans="1:53" ht="21.95" hidden="1" customHeight="1" x14ac:dyDescent="0.2">
      <c r="A19" s="106"/>
      <c r="B19" s="1847"/>
      <c r="C19" s="1848"/>
      <c r="D19" s="1848"/>
      <c r="E19" s="1848"/>
      <c r="F19" s="1848"/>
      <c r="G19" s="1848"/>
      <c r="H19" s="1848"/>
      <c r="I19" s="107"/>
      <c r="J19" s="48"/>
      <c r="K19" s="613"/>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row>
    <row r="20" spans="1:53" ht="21.95" hidden="1" customHeight="1" thickBot="1" x14ac:dyDescent="0.25">
      <c r="A20" s="108"/>
      <c r="B20" s="1849"/>
      <c r="C20" s="1849"/>
      <c r="D20" s="1849"/>
      <c r="E20" s="1849"/>
      <c r="F20" s="1849"/>
      <c r="G20" s="1849"/>
      <c r="H20" s="1849"/>
      <c r="I20" s="109"/>
      <c r="J20" s="48"/>
      <c r="K20" s="613"/>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row>
    <row r="21" spans="1:53" ht="13.5" thickBot="1" x14ac:dyDescent="0.25">
      <c r="A21" s="110"/>
      <c r="B21" s="49"/>
      <c r="C21" s="49"/>
      <c r="D21" s="49"/>
      <c r="E21" s="49"/>
      <c r="F21" s="49"/>
      <c r="G21" s="49"/>
      <c r="H21" s="49"/>
      <c r="I21" s="36"/>
      <c r="J21" s="48"/>
      <c r="K21" s="613"/>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row>
    <row r="22" spans="1:53" s="232" customFormat="1" ht="75.75" thickBot="1" x14ac:dyDescent="0.25">
      <c r="A22" s="111"/>
      <c r="B22" s="1865" t="s">
        <v>3125</v>
      </c>
      <c r="C22" s="1865"/>
      <c r="D22" s="1865"/>
      <c r="E22" s="1865"/>
      <c r="F22" s="602"/>
      <c r="G22" s="602"/>
      <c r="H22" s="684" t="s">
        <v>3124</v>
      </c>
      <c r="I22" s="112"/>
      <c r="J22" s="45"/>
      <c r="K22" s="243"/>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row>
    <row r="23" spans="1:53" ht="18.75" thickBot="1" x14ac:dyDescent="0.3">
      <c r="A23" s="113"/>
      <c r="B23" s="23" t="s">
        <v>493</v>
      </c>
      <c r="C23" s="24"/>
      <c r="D23" s="24"/>
      <c r="E23" s="49"/>
      <c r="F23" s="49"/>
      <c r="G23" s="49"/>
      <c r="H23" s="24"/>
      <c r="I23" s="36"/>
      <c r="J23" s="48"/>
      <c r="K23" s="61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row>
    <row r="24" spans="1:53" ht="18.75" thickBot="1" x14ac:dyDescent="0.3">
      <c r="A24" s="113"/>
      <c r="B24" s="341" t="s">
        <v>3126</v>
      </c>
      <c r="C24" s="51"/>
      <c r="D24" s="52"/>
      <c r="E24" s="52"/>
      <c r="F24" s="49"/>
      <c r="G24" s="687"/>
      <c r="H24" s="114">
        <v>0</v>
      </c>
      <c r="I24" s="36"/>
      <c r="J24" s="151"/>
      <c r="K24" s="613"/>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row>
    <row r="25" spans="1:53" s="1672" customFormat="1" ht="12" customHeight="1" thickBot="1" x14ac:dyDescent="0.3">
      <c r="A25" s="113"/>
      <c r="B25" s="53"/>
      <c r="C25" s="53"/>
      <c r="D25" s="54"/>
      <c r="E25" s="54"/>
      <c r="F25" s="55"/>
      <c r="G25" s="688"/>
      <c r="H25" s="152"/>
      <c r="I25" s="115"/>
      <c r="J25" s="153"/>
      <c r="K25" s="614"/>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row>
    <row r="26" spans="1:53" ht="18.75" thickBot="1" x14ac:dyDescent="0.3">
      <c r="A26" s="113"/>
      <c r="B26" s="1842" t="s">
        <v>3127</v>
      </c>
      <c r="C26" s="1850"/>
      <c r="D26" s="1851"/>
      <c r="E26" s="1851"/>
      <c r="F26" s="133"/>
      <c r="G26" s="687"/>
      <c r="H26" s="114">
        <v>0</v>
      </c>
      <c r="I26" s="36"/>
      <c r="J26" s="151"/>
      <c r="K26" s="613"/>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row>
    <row r="27" spans="1:53" ht="18.75" thickBot="1" x14ac:dyDescent="0.3">
      <c r="A27" s="113"/>
      <c r="B27" s="1850"/>
      <c r="C27" s="1850"/>
      <c r="D27" s="1851"/>
      <c r="E27" s="1851"/>
      <c r="F27" s="55"/>
      <c r="G27" s="687"/>
      <c r="H27" s="152"/>
      <c r="I27" s="36"/>
      <c r="J27" s="151"/>
      <c r="K27" s="613"/>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row>
    <row r="28" spans="1:53" ht="18.75" thickBot="1" x14ac:dyDescent="0.3">
      <c r="A28" s="113"/>
      <c r="B28" s="1842" t="s">
        <v>3128</v>
      </c>
      <c r="C28" s="1850"/>
      <c r="D28" s="1851"/>
      <c r="E28" s="1851"/>
      <c r="F28" s="133"/>
      <c r="G28" s="687"/>
      <c r="H28" s="114">
        <v>0</v>
      </c>
      <c r="I28" s="36"/>
      <c r="J28" s="151"/>
      <c r="K28" s="613"/>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row>
    <row r="29" spans="1:53" ht="18" x14ac:dyDescent="0.25">
      <c r="A29" s="113"/>
      <c r="B29" s="1850"/>
      <c r="C29" s="1850"/>
      <c r="D29" s="1851"/>
      <c r="E29" s="1851"/>
      <c r="F29" s="55"/>
      <c r="G29" s="689"/>
      <c r="H29" s="152"/>
      <c r="I29" s="36"/>
      <c r="J29" s="48"/>
      <c r="K29" s="613"/>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row>
    <row r="30" spans="1:53" ht="12.75" customHeight="1" thickBot="1" x14ac:dyDescent="0.3">
      <c r="A30" s="113"/>
      <c r="B30" s="53"/>
      <c r="C30" s="53"/>
      <c r="D30" s="54"/>
      <c r="E30" s="54"/>
      <c r="F30" s="55"/>
      <c r="G30" s="689"/>
      <c r="H30" s="152"/>
      <c r="I30" s="36"/>
      <c r="J30" s="48"/>
      <c r="K30" s="613"/>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1:53" ht="18.75" thickBot="1" x14ac:dyDescent="0.3">
      <c r="A31" s="113"/>
      <c r="B31" s="299" t="s">
        <v>3129</v>
      </c>
      <c r="C31" s="53"/>
      <c r="D31" s="54"/>
      <c r="E31" s="54"/>
      <c r="F31" s="55"/>
      <c r="G31" s="689"/>
      <c r="H31" s="571">
        <v>0</v>
      </c>
      <c r="I31" s="735"/>
      <c r="J31" s="48"/>
      <c r="K31" s="613"/>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row>
    <row r="32" spans="1:53" ht="12.75" customHeight="1" thickBot="1" x14ac:dyDescent="0.3">
      <c r="A32" s="113"/>
      <c r="B32" s="53"/>
      <c r="C32" s="53"/>
      <c r="D32" s="54"/>
      <c r="E32" s="54"/>
      <c r="F32" s="55"/>
      <c r="G32" s="689"/>
      <c r="H32" s="152"/>
      <c r="I32" s="735"/>
      <c r="J32" s="48"/>
      <c r="K32" s="613"/>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row>
    <row r="33" spans="1:53" ht="18.75" thickBot="1" x14ac:dyDescent="0.3">
      <c r="A33" s="113"/>
      <c r="B33" s="1842" t="s">
        <v>3130</v>
      </c>
      <c r="C33" s="1850"/>
      <c r="D33" s="1851"/>
      <c r="E33" s="1851"/>
      <c r="F33" s="133"/>
      <c r="G33" s="687"/>
      <c r="H33" s="114">
        <v>0</v>
      </c>
      <c r="I33" s="36"/>
      <c r="J33" s="151"/>
      <c r="K33" s="61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row>
    <row r="34" spans="1:53" ht="18.75" thickBot="1" x14ac:dyDescent="0.3">
      <c r="A34" s="113"/>
      <c r="B34" s="1850"/>
      <c r="C34" s="1850"/>
      <c r="D34" s="1851"/>
      <c r="E34" s="1851"/>
      <c r="F34" s="55"/>
      <c r="G34" s="687"/>
      <c r="H34" s="152"/>
      <c r="I34" s="36"/>
      <c r="J34" s="48"/>
      <c r="K34" s="613"/>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row>
    <row r="35" spans="1:53" ht="18.75" thickBot="1" x14ac:dyDescent="0.3">
      <c r="A35" s="113"/>
      <c r="B35" s="299" t="s">
        <v>3131</v>
      </c>
      <c r="C35" s="56"/>
      <c r="D35" s="54"/>
      <c r="E35" s="54"/>
      <c r="F35" s="55"/>
      <c r="G35" s="687"/>
      <c r="H35" s="116">
        <f>+H37+H39+H41+H43+H45+H47</f>
        <v>0</v>
      </c>
      <c r="I35" s="36"/>
      <c r="J35" s="151"/>
      <c r="K35" s="613"/>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row>
    <row r="36" spans="1:53" ht="18.75" thickBot="1" x14ac:dyDescent="0.3">
      <c r="A36" s="113"/>
      <c r="B36" s="56" t="s">
        <v>709</v>
      </c>
      <c r="C36" s="54"/>
      <c r="D36" s="54"/>
      <c r="E36" s="54"/>
      <c r="F36" s="690"/>
      <c r="G36" s="56"/>
      <c r="H36" s="117"/>
      <c r="I36" s="36"/>
      <c r="J36" s="151"/>
      <c r="K36" s="613"/>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row>
    <row r="37" spans="1:53" ht="18.75" thickBot="1" x14ac:dyDescent="0.3">
      <c r="A37" s="113"/>
      <c r="B37" s="118" t="s">
        <v>494</v>
      </c>
      <c r="C37" s="118"/>
      <c r="D37" s="56"/>
      <c r="E37" s="54"/>
      <c r="F37" s="691"/>
      <c r="G37" s="24"/>
      <c r="H37" s="114">
        <v>0</v>
      </c>
      <c r="I37" s="36"/>
      <c r="J37" s="151"/>
      <c r="K37" s="613"/>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row>
    <row r="38" spans="1:53" s="509" customFormat="1" ht="12" customHeight="1" thickBot="1" x14ac:dyDescent="0.25">
      <c r="A38" s="300"/>
      <c r="B38" s="301"/>
      <c r="C38" s="301"/>
      <c r="D38" s="302"/>
      <c r="E38" s="302"/>
      <c r="F38" s="691"/>
      <c r="G38" s="428"/>
      <c r="H38" s="697"/>
      <c r="I38" s="303"/>
      <c r="J38" s="151"/>
      <c r="K38" s="613"/>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row>
    <row r="39" spans="1:53" ht="18.75" thickBot="1" x14ac:dyDescent="0.3">
      <c r="A39" s="113"/>
      <c r="B39" s="118" t="s">
        <v>495</v>
      </c>
      <c r="C39" s="118"/>
      <c r="D39" s="56"/>
      <c r="E39" s="54"/>
      <c r="F39" s="691"/>
      <c r="G39" s="24"/>
      <c r="H39" s="114">
        <v>0</v>
      </c>
      <c r="I39" s="36"/>
      <c r="J39" s="151"/>
      <c r="K39" s="613"/>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row>
    <row r="40" spans="1:53" ht="12" customHeight="1" thickBot="1" x14ac:dyDescent="0.3">
      <c r="A40" s="113"/>
      <c r="B40" s="118"/>
      <c r="C40" s="118"/>
      <c r="D40" s="56"/>
      <c r="E40" s="54"/>
      <c r="F40" s="691"/>
      <c r="G40" s="24"/>
      <c r="H40" s="133"/>
      <c r="I40" s="36"/>
      <c r="J40" s="151"/>
      <c r="K40" s="613"/>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1:53" ht="18.75" thickBot="1" x14ac:dyDescent="0.3">
      <c r="A41" s="113"/>
      <c r="B41" s="118" t="s">
        <v>496</v>
      </c>
      <c r="C41" s="118"/>
      <c r="D41" s="56"/>
      <c r="E41" s="54"/>
      <c r="F41" s="691"/>
      <c r="G41" s="24"/>
      <c r="H41" s="114">
        <v>0</v>
      </c>
      <c r="I41" s="36"/>
      <c r="J41" s="151"/>
      <c r="K41" s="613"/>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1:53" ht="12" customHeight="1" thickBot="1" x14ac:dyDescent="0.3">
      <c r="A42" s="113"/>
      <c r="B42" s="118"/>
      <c r="C42" s="118"/>
      <c r="D42" s="56"/>
      <c r="E42" s="54"/>
      <c r="F42" s="691"/>
      <c r="G42" s="24"/>
      <c r="H42" s="133"/>
      <c r="I42" s="36"/>
      <c r="J42" s="151"/>
      <c r="K42" s="613"/>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1:53" ht="18.75" thickBot="1" x14ac:dyDescent="0.3">
      <c r="A43" s="113"/>
      <c r="B43" s="118" t="s">
        <v>497</v>
      </c>
      <c r="C43" s="118"/>
      <c r="D43" s="56"/>
      <c r="E43" s="54"/>
      <c r="F43" s="691"/>
      <c r="G43" s="24"/>
      <c r="H43" s="114">
        <v>0</v>
      </c>
      <c r="I43" s="36"/>
      <c r="J43" s="151"/>
      <c r="K43" s="61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1:53" ht="12" customHeight="1" thickBot="1" x14ac:dyDescent="0.3">
      <c r="A44" s="113"/>
      <c r="B44" s="119"/>
      <c r="C44" s="118"/>
      <c r="D44" s="56"/>
      <c r="E44" s="54"/>
      <c r="F44" s="691"/>
      <c r="G44" s="692"/>
      <c r="H44" s="698"/>
      <c r="I44" s="36"/>
      <c r="J44" s="151"/>
      <c r="K44" s="613"/>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1:53" ht="18.75" thickBot="1" x14ac:dyDescent="0.3">
      <c r="A45" s="113"/>
      <c r="B45" s="1843" t="s">
        <v>715</v>
      </c>
      <c r="C45" s="1843"/>
      <c r="D45" s="1843"/>
      <c r="E45" s="1843"/>
      <c r="F45" s="57"/>
      <c r="G45" s="24"/>
      <c r="H45" s="114">
        <v>0</v>
      </c>
      <c r="I45" s="36"/>
      <c r="J45" s="151"/>
      <c r="K45" s="613"/>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1:53" ht="12" customHeight="1" thickBot="1" x14ac:dyDescent="0.3">
      <c r="A46" s="113"/>
      <c r="B46" s="94"/>
      <c r="C46" s="94"/>
      <c r="D46" s="94"/>
      <c r="E46" s="94"/>
      <c r="F46" s="57"/>
      <c r="G46" s="24"/>
      <c r="H46" s="133"/>
      <c r="I46" s="36"/>
      <c r="J46" s="151"/>
      <c r="K46" s="613"/>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1:53" ht="18.75" thickBot="1" x14ac:dyDescent="0.3">
      <c r="A47" s="120"/>
      <c r="B47" s="1843" t="s">
        <v>498</v>
      </c>
      <c r="C47" s="1843"/>
      <c r="D47" s="1843"/>
      <c r="E47" s="1843"/>
      <c r="F47" s="55"/>
      <c r="G47" s="693"/>
      <c r="H47" s="114">
        <v>0</v>
      </c>
      <c r="I47" s="121"/>
      <c r="J47" s="151"/>
      <c r="K47" s="613"/>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1:53" ht="18" x14ac:dyDescent="0.25">
      <c r="A48" s="120"/>
      <c r="B48" s="725"/>
      <c r="C48" s="726"/>
      <c r="D48" s="396"/>
      <c r="E48" s="396"/>
      <c r="F48" s="55"/>
      <c r="G48" s="689"/>
      <c r="H48" s="699"/>
      <c r="I48" s="121"/>
      <c r="J48" s="151"/>
      <c r="K48" s="613"/>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53" ht="18.75" thickBot="1" x14ac:dyDescent="0.3">
      <c r="A49" s="113"/>
      <c r="B49" s="58" t="s">
        <v>499</v>
      </c>
      <c r="C49" s="51"/>
      <c r="D49" s="24"/>
      <c r="E49" s="49"/>
      <c r="F49" s="133"/>
      <c r="G49" s="687"/>
      <c r="H49" s="576"/>
      <c r="I49" s="36"/>
      <c r="J49" s="48"/>
      <c r="K49" s="613"/>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1:53" ht="18.75" thickBot="1" x14ac:dyDescent="0.3">
      <c r="A50" s="113"/>
      <c r="B50" s="1842" t="s">
        <v>5708</v>
      </c>
      <c r="C50" s="1789"/>
      <c r="D50" s="1789"/>
      <c r="E50" s="1789"/>
      <c r="F50" s="55"/>
      <c r="G50" s="24"/>
      <c r="H50" s="114">
        <v>0</v>
      </c>
      <c r="I50" s="36"/>
      <c r="J50" s="151"/>
      <c r="K50" s="613"/>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53" ht="15" customHeight="1" thickBot="1" x14ac:dyDescent="0.3">
      <c r="A51" s="113"/>
      <c r="B51" s="53"/>
      <c r="C51" s="53"/>
      <c r="D51" s="50"/>
      <c r="E51" s="50"/>
      <c r="F51" s="55"/>
      <c r="G51" s="24"/>
      <c r="H51" s="152"/>
      <c r="I51" s="36"/>
      <c r="J51" s="48"/>
      <c r="K51" s="613"/>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53" ht="18.75" thickBot="1" x14ac:dyDescent="0.3">
      <c r="A52" s="113"/>
      <c r="B52" s="1842" t="s">
        <v>5709</v>
      </c>
      <c r="C52" s="1850"/>
      <c r="D52" s="1851"/>
      <c r="E52" s="1851"/>
      <c r="F52" s="52"/>
      <c r="G52" s="24"/>
      <c r="H52" s="114">
        <v>0</v>
      </c>
      <c r="I52" s="36"/>
      <c r="J52" s="151"/>
      <c r="K52" s="613"/>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53" ht="18.75" thickBot="1" x14ac:dyDescent="0.3">
      <c r="A53" s="113"/>
      <c r="B53" s="1850"/>
      <c r="C53" s="1850"/>
      <c r="D53" s="1851"/>
      <c r="E53" s="1851"/>
      <c r="F53" s="133"/>
      <c r="G53" s="687"/>
      <c r="H53" s="152"/>
      <c r="I53" s="36"/>
      <c r="J53" s="48"/>
      <c r="K53" s="61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53" ht="18.75" thickBot="1" x14ac:dyDescent="0.3">
      <c r="A54" s="113"/>
      <c r="B54" s="1842" t="s">
        <v>5710</v>
      </c>
      <c r="C54" s="1850"/>
      <c r="D54" s="1851"/>
      <c r="E54" s="1851"/>
      <c r="F54" s="133"/>
      <c r="G54" s="687"/>
      <c r="H54" s="114">
        <v>0</v>
      </c>
      <c r="I54" s="36"/>
      <c r="J54" s="151"/>
      <c r="K54" s="613"/>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53" ht="18.75" thickBot="1" x14ac:dyDescent="0.3">
      <c r="A55" s="113"/>
      <c r="B55" s="1850"/>
      <c r="C55" s="1850"/>
      <c r="D55" s="1851"/>
      <c r="E55" s="1851"/>
      <c r="F55" s="57"/>
      <c r="G55" s="687"/>
      <c r="H55" s="152"/>
      <c r="I55" s="36"/>
      <c r="J55" s="48"/>
      <c r="K55" s="613"/>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1:53" ht="18.75" thickBot="1" x14ac:dyDescent="0.3">
      <c r="A56" s="565"/>
      <c r="B56" s="1842" t="s">
        <v>5711</v>
      </c>
      <c r="C56" s="1850"/>
      <c r="D56" s="1851"/>
      <c r="E56" s="1851"/>
      <c r="F56" s="133"/>
      <c r="G56" s="687"/>
      <c r="H56" s="114">
        <v>0</v>
      </c>
      <c r="I56" s="36"/>
      <c r="J56" s="151"/>
      <c r="K56" s="613"/>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53" ht="18.75" thickBot="1" x14ac:dyDescent="0.3">
      <c r="A57" s="113"/>
      <c r="B57" s="1850"/>
      <c r="C57" s="1850"/>
      <c r="D57" s="1851"/>
      <c r="E57" s="1851"/>
      <c r="F57" s="133"/>
      <c r="G57" s="687"/>
      <c r="H57" s="152"/>
      <c r="I57" s="36"/>
      <c r="J57" s="151"/>
      <c r="K57" s="613"/>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53" ht="18.75" thickBot="1" x14ac:dyDescent="0.3">
      <c r="A58" s="113"/>
      <c r="B58" s="299" t="s">
        <v>5712</v>
      </c>
      <c r="C58" s="56"/>
      <c r="D58" s="54"/>
      <c r="E58" s="54"/>
      <c r="F58" s="57"/>
      <c r="G58" s="687"/>
      <c r="H58" s="114">
        <v>0</v>
      </c>
      <c r="I58" s="36"/>
      <c r="J58" s="151"/>
      <c r="K58" s="613"/>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1:53" ht="15" customHeight="1" thickBot="1" x14ac:dyDescent="0.3">
      <c r="A59" s="113"/>
      <c r="B59" s="56"/>
      <c r="C59" s="56"/>
      <c r="D59" s="54"/>
      <c r="E59" s="54"/>
      <c r="F59" s="57"/>
      <c r="G59" s="687"/>
      <c r="H59" s="133"/>
      <c r="I59" s="36"/>
      <c r="J59" s="151"/>
      <c r="K59" s="613"/>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53" ht="18.75" thickBot="1" x14ac:dyDescent="0.3">
      <c r="A60" s="113"/>
      <c r="B60" s="299" t="s">
        <v>5713</v>
      </c>
      <c r="C60" s="56"/>
      <c r="D60" s="54"/>
      <c r="E60" s="54"/>
      <c r="F60" s="57"/>
      <c r="G60" s="687"/>
      <c r="H60" s="114">
        <v>0</v>
      </c>
      <c r="I60" s="36"/>
      <c r="J60" s="151"/>
      <c r="K60" s="613"/>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53" ht="15" customHeight="1" x14ac:dyDescent="0.25">
      <c r="A61" s="113"/>
      <c r="B61" s="56"/>
      <c r="C61" s="56"/>
      <c r="D61" s="54"/>
      <c r="E61" s="54"/>
      <c r="F61" s="57"/>
      <c r="G61" s="687"/>
      <c r="H61" s="133"/>
      <c r="I61" s="36"/>
      <c r="J61" s="151"/>
      <c r="K61" s="613"/>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1:53" ht="18" x14ac:dyDescent="0.25">
      <c r="A62" s="113"/>
      <c r="B62" s="298" t="s">
        <v>1211</v>
      </c>
      <c r="C62" s="56"/>
      <c r="D62" s="54"/>
      <c r="E62" s="54"/>
      <c r="F62" s="57"/>
      <c r="G62" s="687"/>
      <c r="H62" s="133"/>
      <c r="I62" s="36"/>
      <c r="J62" s="151"/>
      <c r="K62" s="613"/>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1:53" ht="15" customHeight="1" thickBot="1" x14ac:dyDescent="0.3">
      <c r="A63" s="113"/>
      <c r="B63" s="56"/>
      <c r="C63" s="56"/>
      <c r="D63" s="54"/>
      <c r="E63" s="54"/>
      <c r="F63" s="57"/>
      <c r="G63" s="687"/>
      <c r="H63" s="133"/>
      <c r="I63" s="36"/>
      <c r="J63" s="151"/>
      <c r="K63" s="61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1:53" ht="18" customHeight="1" thickBot="1" x14ac:dyDescent="0.3">
      <c r="A64" s="565"/>
      <c r="B64" s="566" t="s">
        <v>5714</v>
      </c>
      <c r="C64" s="567"/>
      <c r="D64" s="568"/>
      <c r="E64" s="568"/>
      <c r="F64" s="694"/>
      <c r="G64" s="695"/>
      <c r="H64" s="571">
        <v>0</v>
      </c>
      <c r="I64" s="569"/>
      <c r="J64" s="570"/>
      <c r="K64" s="613"/>
    </row>
    <row r="65" spans="1:53" ht="18" customHeight="1" thickBot="1" x14ac:dyDescent="0.3">
      <c r="A65" s="565"/>
      <c r="B65" s="566"/>
      <c r="C65" s="567"/>
      <c r="D65" s="568"/>
      <c r="E65" s="568"/>
      <c r="F65" s="694"/>
      <c r="G65" s="695"/>
      <c r="H65" s="699"/>
      <c r="I65" s="569"/>
      <c r="J65" s="570"/>
    </row>
    <row r="66" spans="1:53" ht="18" customHeight="1" thickBot="1" x14ac:dyDescent="0.3">
      <c r="A66" s="565"/>
      <c r="B66" s="566" t="s">
        <v>5715</v>
      </c>
      <c r="C66" s="567"/>
      <c r="D66" s="568"/>
      <c r="E66" s="568"/>
      <c r="F66" s="694"/>
      <c r="G66" s="695"/>
      <c r="H66" s="571">
        <v>0</v>
      </c>
      <c r="I66" s="569"/>
      <c r="J66" s="570"/>
      <c r="K66" s="613"/>
    </row>
    <row r="67" spans="1:53" ht="15" customHeight="1" thickBot="1" x14ac:dyDescent="0.3">
      <c r="A67" s="113"/>
      <c r="B67" s="56"/>
      <c r="C67" s="56"/>
      <c r="D67" s="54"/>
      <c r="E67" s="54"/>
      <c r="F67" s="133"/>
      <c r="G67" s="687"/>
      <c r="H67" s="152"/>
      <c r="I67" s="36"/>
      <c r="J67" s="48"/>
      <c r="K67" s="613" t="s">
        <v>2659</v>
      </c>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53" ht="18.75" thickBot="1" x14ac:dyDescent="0.3">
      <c r="A68" s="120"/>
      <c r="B68" s="1846" t="s">
        <v>5716</v>
      </c>
      <c r="C68" s="1846"/>
      <c r="D68" s="1846"/>
      <c r="E68" s="1846"/>
      <c r="F68" s="55"/>
      <c r="G68" s="689"/>
      <c r="H68" s="571">
        <v>0</v>
      </c>
      <c r="I68" s="121"/>
      <c r="J68" s="151"/>
      <c r="K68" s="617">
        <f>SUM(H68,H66,H64,H60,H58,H56,H54,H52,H50,H35,H33,H31,H28,H26,H24)</f>
        <v>0</v>
      </c>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53" ht="18.75" thickBot="1" x14ac:dyDescent="0.3">
      <c r="A69" s="120"/>
      <c r="B69" s="1846"/>
      <c r="C69" s="1846"/>
      <c r="D69" s="1846"/>
      <c r="E69" s="1846"/>
      <c r="F69" s="55"/>
      <c r="G69" s="689"/>
      <c r="H69" s="699"/>
      <c r="I69" s="121"/>
      <c r="J69" s="151"/>
      <c r="K69" s="613"/>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53" ht="17.25" customHeight="1" thickBot="1" x14ac:dyDescent="0.3">
      <c r="A70" s="120"/>
      <c r="B70" s="725" t="s">
        <v>5717</v>
      </c>
      <c r="C70" s="786"/>
      <c r="D70" s="787"/>
      <c r="E70" s="787"/>
      <c r="F70" s="788"/>
      <c r="G70" s="789"/>
      <c r="H70" s="893">
        <v>0</v>
      </c>
      <c r="I70" s="121"/>
      <c r="J70" s="151"/>
      <c r="K70" s="613"/>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53" ht="14.25" customHeight="1" x14ac:dyDescent="0.25">
      <c r="A71" s="120"/>
      <c r="B71" s="94"/>
      <c r="C71" s="94"/>
      <c r="D71" s="94"/>
      <c r="E71" s="94"/>
      <c r="F71" s="55"/>
      <c r="G71" s="693"/>
      <c r="H71" s="133"/>
      <c r="I71" s="121"/>
      <c r="J71" s="151"/>
      <c r="K71" s="613"/>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53" ht="18.75" thickBot="1" x14ac:dyDescent="0.3">
      <c r="A72" s="113"/>
      <c r="B72" s="23" t="s">
        <v>500</v>
      </c>
      <c r="C72" s="24"/>
      <c r="D72" s="59"/>
      <c r="E72" s="59"/>
      <c r="F72" s="57"/>
      <c r="G72" s="687"/>
      <c r="H72" s="133"/>
      <c r="I72" s="36"/>
      <c r="J72" s="48"/>
      <c r="K72" s="613"/>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53" ht="18.75" thickBot="1" x14ac:dyDescent="0.3">
      <c r="A73" s="113"/>
      <c r="B73" s="1842" t="s">
        <v>5886</v>
      </c>
      <c r="C73" s="1718"/>
      <c r="D73" s="1718"/>
      <c r="E73" s="1718"/>
      <c r="F73" s="57"/>
      <c r="G73" s="696"/>
      <c r="H73" s="114">
        <v>0</v>
      </c>
      <c r="I73" s="122"/>
      <c r="J73" s="151"/>
      <c r="K73" s="61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1:53" ht="18.75" thickBot="1" x14ac:dyDescent="0.3">
      <c r="A74" s="113"/>
      <c r="B74" s="1718"/>
      <c r="C74" s="1718"/>
      <c r="D74" s="1718"/>
      <c r="E74" s="1718"/>
      <c r="F74" s="59"/>
      <c r="G74" s="59"/>
      <c r="H74" s="1658" t="str">
        <f>IF((AND(H73=0)),"How many hereditaments are on the standard multiplier?","")</f>
        <v>How many hereditaments are on the standard multiplier?</v>
      </c>
      <c r="I74" s="122"/>
      <c r="J74" s="48"/>
      <c r="K74" s="613"/>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1:53" ht="18.75" thickBot="1" x14ac:dyDescent="0.3">
      <c r="A75" s="113"/>
      <c r="B75" s="1842" t="s">
        <v>5718</v>
      </c>
      <c r="C75" s="1850"/>
      <c r="D75" s="1870"/>
      <c r="E75" s="1870"/>
      <c r="F75" s="59"/>
      <c r="G75" s="59"/>
      <c r="H75" s="116">
        <f>+H78+H80</f>
        <v>0</v>
      </c>
      <c r="I75" s="122"/>
      <c r="J75" s="48"/>
      <c r="K75" s="613"/>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1:53" ht="18" x14ac:dyDescent="0.25">
      <c r="A76" s="113"/>
      <c r="B76" s="1850"/>
      <c r="C76" s="1850"/>
      <c r="D76" s="1870"/>
      <c r="E76" s="1870"/>
      <c r="F76" s="59"/>
      <c r="G76" s="59"/>
      <c r="H76" s="1882" t="str">
        <f>IF((AND(H75=0)),"How many hereditaments are receiving a discount?","")</f>
        <v>How many hereditaments are receiving a discount?</v>
      </c>
      <c r="I76" s="123"/>
      <c r="J76" s="48"/>
      <c r="K76" s="613"/>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1:53" ht="18.75" thickBot="1" x14ac:dyDescent="0.3">
      <c r="A77" s="113"/>
      <c r="B77" s="24" t="s">
        <v>709</v>
      </c>
      <c r="C77" s="50"/>
      <c r="D77" s="50"/>
      <c r="E77" s="50"/>
      <c r="F77" s="59"/>
      <c r="G77" s="59"/>
      <c r="H77" s="1883"/>
      <c r="I77" s="122"/>
      <c r="J77" s="48"/>
      <c r="K77" s="613"/>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row r="78" spans="1:53" ht="16.5" thickBot="1" x14ac:dyDescent="0.25">
      <c r="A78" s="124"/>
      <c r="B78" s="1843" t="s">
        <v>958</v>
      </c>
      <c r="C78" s="1843"/>
      <c r="D78" s="1868"/>
      <c r="E78" s="1868"/>
      <c r="F78" s="60"/>
      <c r="G78" s="60"/>
      <c r="H78" s="114">
        <v>0</v>
      </c>
      <c r="I78" s="122"/>
      <c r="J78" s="48"/>
      <c r="K78" s="613"/>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row>
    <row r="79" spans="1:53" ht="15" customHeight="1" thickBot="1" x14ac:dyDescent="0.3">
      <c r="A79" s="113"/>
      <c r="B79" s="1869"/>
      <c r="C79" s="1869"/>
      <c r="D79" s="1868"/>
      <c r="E79" s="1868"/>
      <c r="F79" s="59"/>
      <c r="G79" s="59"/>
      <c r="H79" s="154"/>
      <c r="I79" s="122"/>
      <c r="J79" s="48"/>
      <c r="K79" s="613"/>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row>
    <row r="80" spans="1:53" ht="18.75" thickBot="1" x14ac:dyDescent="0.3">
      <c r="A80" s="113"/>
      <c r="B80" s="1843" t="s">
        <v>959</v>
      </c>
      <c r="C80" s="1843"/>
      <c r="D80" s="1868"/>
      <c r="E80" s="1868"/>
      <c r="F80" s="61"/>
      <c r="G80" s="24"/>
      <c r="H80" s="114">
        <v>0</v>
      </c>
      <c r="I80" s="122"/>
      <c r="J80" s="48"/>
      <c r="K80" s="613"/>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row>
    <row r="81" spans="1:53" ht="18" customHeight="1" thickBot="1" x14ac:dyDescent="0.3">
      <c r="A81" s="113"/>
      <c r="B81" s="1843"/>
      <c r="C81" s="1843"/>
      <c r="D81" s="1868"/>
      <c r="E81" s="1868"/>
      <c r="F81" s="1884" t="str">
        <f>IF((AND(H75-H78-H80&lt;&gt;0)),"Ui &amp; Uii do not sum to U total","")</f>
        <v/>
      </c>
      <c r="G81" s="1884"/>
      <c r="H81" s="1884"/>
      <c r="I81" s="122"/>
      <c r="J81" s="48"/>
      <c r="K81" s="613"/>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row>
    <row r="82" spans="1:53" ht="18.75" thickBot="1" x14ac:dyDescent="0.3">
      <c r="A82" s="113"/>
      <c r="B82" s="1842" t="s">
        <v>5719</v>
      </c>
      <c r="C82" s="1789"/>
      <c r="D82" s="1789"/>
      <c r="E82" s="1789"/>
      <c r="F82" s="63"/>
      <c r="G82" s="62"/>
      <c r="H82" s="114">
        <v>0</v>
      </c>
      <c r="I82" s="122"/>
      <c r="J82" s="48"/>
      <c r="K82" s="613"/>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row>
    <row r="83" spans="1:53" ht="18" x14ac:dyDescent="0.25">
      <c r="A83" s="113"/>
      <c r="B83" s="1789"/>
      <c r="C83" s="1789"/>
      <c r="D83" s="1789"/>
      <c r="E83" s="1789"/>
      <c r="F83" s="1875" t="str">
        <f>IF((AND(H82=0)),"How many hereditaments are paying just the small business rate multiplier?","")</f>
        <v>How many hereditaments are paying just the small business rate multiplier?</v>
      </c>
      <c r="G83" s="1876"/>
      <c r="H83" s="1876"/>
      <c r="I83" s="1877"/>
      <c r="J83" s="48"/>
      <c r="K83" s="61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row>
    <row r="84" spans="1:53" ht="18.75" thickBot="1" x14ac:dyDescent="0.3">
      <c r="A84" s="136"/>
      <c r="B84" s="1880" t="s">
        <v>3132</v>
      </c>
      <c r="C84" s="1881"/>
      <c r="D84" s="1881"/>
      <c r="E84" s="1881"/>
      <c r="F84" s="1878"/>
      <c r="G84" s="1878"/>
      <c r="H84" s="1878"/>
      <c r="I84" s="1879"/>
      <c r="J84" s="48"/>
      <c r="K84" s="613"/>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row>
    <row r="85" spans="1:53" x14ac:dyDescent="0.2">
      <c r="A85" s="125"/>
      <c r="B85" s="126"/>
      <c r="C85" s="126"/>
      <c r="D85" s="126"/>
      <c r="E85" s="126"/>
      <c r="F85" s="126"/>
      <c r="G85" s="126"/>
      <c r="H85" s="126"/>
      <c r="I85" s="127"/>
      <c r="J85" s="48"/>
      <c r="K85" s="613"/>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row>
    <row r="86" spans="1:53" ht="18" x14ac:dyDescent="0.25">
      <c r="A86" s="155"/>
      <c r="B86" s="343" t="s">
        <v>3133</v>
      </c>
      <c r="C86" s="156"/>
      <c r="D86" s="156"/>
      <c r="E86" s="156"/>
      <c r="F86" s="156"/>
      <c r="G86" s="156"/>
      <c r="H86" s="619" t="str">
        <f>+C13</f>
        <v>ZZZZ</v>
      </c>
      <c r="I86" s="157"/>
      <c r="J86" s="48"/>
      <c r="K86" s="613"/>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row>
    <row r="87" spans="1:53" ht="13.5" thickBot="1" x14ac:dyDescent="0.25">
      <c r="A87" s="128"/>
      <c r="B87" s="129"/>
      <c r="C87" s="129"/>
      <c r="D87" s="129"/>
      <c r="E87" s="129"/>
      <c r="F87" s="129"/>
      <c r="G87" s="129"/>
      <c r="H87" s="105" t="s">
        <v>920</v>
      </c>
      <c r="I87" s="580">
        <f>I18</f>
        <v>1.2</v>
      </c>
      <c r="J87" s="48"/>
      <c r="K87" s="613"/>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row>
    <row r="88" spans="1:53" ht="13.5" thickBot="1" x14ac:dyDescent="0.25">
      <c r="A88" s="110"/>
      <c r="B88" s="49"/>
      <c r="C88" s="49"/>
      <c r="D88" s="49"/>
      <c r="E88" s="49"/>
      <c r="F88" s="49"/>
      <c r="G88" s="49"/>
      <c r="H88" s="49"/>
      <c r="I88" s="36"/>
      <c r="J88" s="48"/>
      <c r="K88" s="613"/>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row>
    <row r="89" spans="1:53" ht="45.75" thickBot="1" x14ac:dyDescent="0.25">
      <c r="A89" s="110"/>
      <c r="B89" s="1874" t="s">
        <v>3134</v>
      </c>
      <c r="C89" s="1874"/>
      <c r="D89" s="1874"/>
      <c r="E89" s="1874"/>
      <c r="F89" s="603"/>
      <c r="G89" s="603"/>
      <c r="H89" s="685" t="s">
        <v>3135</v>
      </c>
      <c r="I89" s="36"/>
      <c r="J89" s="48"/>
      <c r="K89" s="613"/>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row>
    <row r="90" spans="1:53" ht="18" x14ac:dyDescent="0.25">
      <c r="A90" s="113"/>
      <c r="B90" s="23" t="s">
        <v>485</v>
      </c>
      <c r="C90" s="24"/>
      <c r="D90" s="24"/>
      <c r="E90" s="49"/>
      <c r="F90" s="21"/>
      <c r="G90" s="21"/>
      <c r="H90" s="90"/>
      <c r="I90" s="36"/>
      <c r="J90" s="48"/>
      <c r="K90" s="613"/>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row>
    <row r="91" spans="1:53" ht="18.75" thickBot="1" x14ac:dyDescent="0.3">
      <c r="A91" s="113"/>
      <c r="B91" s="1842" t="s">
        <v>3136</v>
      </c>
      <c r="C91" s="1789"/>
      <c r="D91" s="1789"/>
      <c r="E91" s="1789"/>
      <c r="F91" s="130"/>
      <c r="G91" s="130"/>
      <c r="H91" s="515">
        <f>+'Part 2'!AB86</f>
        <v>0</v>
      </c>
      <c r="I91" s="36"/>
      <c r="J91" s="48"/>
      <c r="K91" s="616"/>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row>
    <row r="92" spans="1:53" ht="18" x14ac:dyDescent="0.25">
      <c r="A92" s="113"/>
      <c r="B92" s="50"/>
      <c r="C92" s="1871" t="str">
        <f>IF((NOT($H$94+$H$96+$H$98+$H$100+$H$102+$H$104=$H$91)),"Rows (i) to (vi) must add up to line (a) above","")</f>
        <v/>
      </c>
      <c r="D92" s="1872"/>
      <c r="E92" s="1872"/>
      <c r="F92" s="1872"/>
      <c r="G92" s="1872"/>
      <c r="H92" s="1872"/>
      <c r="I92" s="36"/>
      <c r="J92" s="48"/>
      <c r="K92" s="613"/>
      <c r="L92" s="609"/>
      <c r="M92" s="609"/>
      <c r="N92" s="609"/>
      <c r="O92" s="609"/>
      <c r="P92" s="609"/>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row>
    <row r="93" spans="1:53" ht="13.5" customHeight="1" thickBot="1" x14ac:dyDescent="0.3">
      <c r="A93" s="113"/>
      <c r="B93" s="56" t="s">
        <v>709</v>
      </c>
      <c r="C93" s="54"/>
      <c r="D93" s="54"/>
      <c r="E93" s="54"/>
      <c r="F93" s="52"/>
      <c r="G93" s="52"/>
      <c r="H93" s="132"/>
      <c r="I93" s="36"/>
      <c r="J93" s="48"/>
      <c r="K93" s="61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row>
    <row r="94" spans="1:53" ht="18.75" thickBot="1" x14ac:dyDescent="0.3">
      <c r="A94" s="113"/>
      <c r="B94" s="118" t="s">
        <v>239</v>
      </c>
      <c r="C94" s="118"/>
      <c r="D94" s="56"/>
      <c r="E94" s="54"/>
      <c r="F94" s="130"/>
      <c r="G94" s="130"/>
      <c r="H94" s="114">
        <v>0</v>
      </c>
      <c r="I94" s="36"/>
      <c r="J94" s="48"/>
      <c r="K94" s="613"/>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row>
    <row r="95" spans="1:53" ht="18.75" thickBot="1" x14ac:dyDescent="0.3">
      <c r="A95" s="113"/>
      <c r="B95" s="119"/>
      <c r="C95" s="118"/>
      <c r="D95" s="56"/>
      <c r="E95" s="54"/>
      <c r="F95" s="131"/>
      <c r="G95" s="131"/>
      <c r="H95" s="57"/>
      <c r="I95" s="36"/>
      <c r="J95" s="48"/>
      <c r="K95" s="613"/>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row>
    <row r="96" spans="1:53" ht="18.75" thickBot="1" x14ac:dyDescent="0.3">
      <c r="A96" s="113"/>
      <c r="B96" s="118" t="s">
        <v>240</v>
      </c>
      <c r="C96" s="118"/>
      <c r="D96" s="56"/>
      <c r="E96" s="54"/>
      <c r="F96" s="130"/>
      <c r="G96" s="130"/>
      <c r="H96" s="114">
        <v>0</v>
      </c>
      <c r="I96" s="36"/>
      <c r="J96" s="48"/>
      <c r="K96" s="613"/>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row>
    <row r="97" spans="1:53" ht="18.75" thickBot="1" x14ac:dyDescent="0.3">
      <c r="A97" s="113"/>
      <c r="B97" s="118"/>
      <c r="C97" s="118"/>
      <c r="D97" s="56"/>
      <c r="E97" s="54"/>
      <c r="F97" s="131"/>
      <c r="G97" s="131"/>
      <c r="H97" s="57"/>
      <c r="I97" s="122"/>
      <c r="J97" s="48"/>
      <c r="K97" s="613"/>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row>
    <row r="98" spans="1:53" ht="18.75" thickBot="1" x14ac:dyDescent="0.3">
      <c r="A98" s="113"/>
      <c r="B98" s="118" t="s">
        <v>241</v>
      </c>
      <c r="C98" s="118"/>
      <c r="D98" s="56"/>
      <c r="E98" s="54"/>
      <c r="F98" s="130"/>
      <c r="G98" s="130"/>
      <c r="H98" s="332">
        <v>0</v>
      </c>
      <c r="I98" s="36"/>
      <c r="J98" s="48"/>
      <c r="K98" s="613"/>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row>
    <row r="99" spans="1:53" ht="18.75" thickBot="1" x14ac:dyDescent="0.3">
      <c r="A99" s="113"/>
      <c r="B99" s="118"/>
      <c r="C99" s="118"/>
      <c r="D99" s="56"/>
      <c r="E99" s="54"/>
      <c r="F99" s="131"/>
      <c r="G99" s="131"/>
      <c r="H99" s="57"/>
      <c r="I99" s="36"/>
      <c r="J99" s="48"/>
      <c r="K99" s="613"/>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row>
    <row r="100" spans="1:53" ht="18.75" thickBot="1" x14ac:dyDescent="0.3">
      <c r="A100" s="113"/>
      <c r="B100" s="118" t="s">
        <v>242</v>
      </c>
      <c r="C100" s="118"/>
      <c r="D100" s="56"/>
      <c r="E100" s="54"/>
      <c r="F100" s="130"/>
      <c r="G100" s="130"/>
      <c r="H100" s="332">
        <v>0</v>
      </c>
      <c r="I100" s="36"/>
      <c r="J100" s="48"/>
      <c r="K100" s="613"/>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row>
    <row r="101" spans="1:53" ht="18.75" thickBot="1" x14ac:dyDescent="0.3">
      <c r="A101" s="113"/>
      <c r="B101" s="118"/>
      <c r="C101" s="118"/>
      <c r="D101" s="56"/>
      <c r="E101" s="54"/>
      <c r="F101" s="131"/>
      <c r="G101" s="131"/>
      <c r="H101" s="57"/>
      <c r="I101" s="36"/>
      <c r="J101" s="48"/>
      <c r="K101" s="613"/>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row>
    <row r="102" spans="1:53" ht="18.75" thickBot="1" x14ac:dyDescent="0.3">
      <c r="A102" s="113"/>
      <c r="B102" s="1843" t="s">
        <v>714</v>
      </c>
      <c r="C102" s="1873"/>
      <c r="D102" s="1873"/>
      <c r="E102" s="1873"/>
      <c r="F102" s="1873"/>
      <c r="G102" s="133"/>
      <c r="H102" s="332">
        <v>0</v>
      </c>
      <c r="I102" s="36"/>
      <c r="J102" s="48"/>
      <c r="K102" s="613"/>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row>
    <row r="103" spans="1:53" ht="18.75" thickBot="1" x14ac:dyDescent="0.3">
      <c r="A103" s="113"/>
      <c r="B103" s="1873"/>
      <c r="C103" s="1873"/>
      <c r="D103" s="1873"/>
      <c r="E103" s="1873"/>
      <c r="F103" s="1873"/>
      <c r="G103" s="131"/>
      <c r="H103" s="162"/>
      <c r="I103" s="36"/>
      <c r="J103" s="48"/>
      <c r="K103" s="61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row>
    <row r="104" spans="1:53" ht="18.75" thickBot="1" x14ac:dyDescent="0.3">
      <c r="A104" s="113"/>
      <c r="B104" s="1843" t="s">
        <v>243</v>
      </c>
      <c r="C104" s="1873"/>
      <c r="D104" s="1873"/>
      <c r="E104" s="1873"/>
      <c r="F104" s="57"/>
      <c r="G104" s="24"/>
      <c r="H104" s="332">
        <v>0</v>
      </c>
      <c r="I104" s="36"/>
      <c r="J104" s="48"/>
      <c r="K104" s="613"/>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row>
    <row r="105" spans="1:53" ht="29.25" customHeight="1" x14ac:dyDescent="0.25">
      <c r="A105" s="113"/>
      <c r="B105" s="1873"/>
      <c r="C105" s="1873"/>
      <c r="D105" s="1873"/>
      <c r="E105" s="1873"/>
      <c r="F105" s="1896" t="str">
        <f>IF((AND(H91-H94-H96-H98-H100-H102-H104&lt;&gt;0)),"Lines a(i) to a(vi) do not sum to A total","")</f>
        <v/>
      </c>
      <c r="G105" s="1896"/>
      <c r="H105" s="1896"/>
      <c r="I105" s="36"/>
      <c r="J105" s="48"/>
      <c r="K105" s="613"/>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row>
    <row r="106" spans="1:53" ht="18.75" thickBot="1" x14ac:dyDescent="0.3">
      <c r="A106" s="113"/>
      <c r="B106" s="23" t="s">
        <v>500</v>
      </c>
      <c r="C106" s="24"/>
      <c r="D106" s="59"/>
      <c r="E106" s="59"/>
      <c r="F106" s="59"/>
      <c r="G106" s="59"/>
      <c r="H106" s="59"/>
      <c r="I106" s="122"/>
      <c r="J106" s="48"/>
      <c r="K106" s="613"/>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row>
    <row r="107" spans="1:53" ht="18.75" thickBot="1" x14ac:dyDescent="0.3">
      <c r="A107" s="113"/>
      <c r="B107" s="1850" t="s">
        <v>486</v>
      </c>
      <c r="C107" s="1870"/>
      <c r="D107" s="1870"/>
      <c r="E107" s="1870"/>
      <c r="F107" s="134"/>
      <c r="G107" s="134"/>
      <c r="H107" s="515">
        <f>+'Part 2'!M44</f>
        <v>0</v>
      </c>
      <c r="I107" s="334"/>
      <c r="J107" s="48"/>
      <c r="K107" s="612"/>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row>
    <row r="108" spans="1:53" ht="34.5" customHeight="1" thickBot="1" x14ac:dyDescent="0.3">
      <c r="A108" s="113"/>
      <c r="B108" s="24" t="s">
        <v>709</v>
      </c>
      <c r="C108" s="50"/>
      <c r="D108" s="50"/>
      <c r="E108" s="50"/>
      <c r="F108" s="149"/>
      <c r="G108" s="149"/>
      <c r="H108" s="55" t="str">
        <f>IF(H109+H111=H107,"","Sum of b(i) and b(ii) should be same as the figure above")</f>
        <v/>
      </c>
      <c r="I108" s="333"/>
      <c r="J108" s="48"/>
      <c r="K108" s="613"/>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row>
    <row r="109" spans="1:53" ht="18.75" thickBot="1" x14ac:dyDescent="0.3">
      <c r="A109" s="113"/>
      <c r="B109" s="1885" t="s">
        <v>956</v>
      </c>
      <c r="C109" s="1885"/>
      <c r="D109" s="1851"/>
      <c r="E109" s="1851"/>
      <c r="F109" s="135"/>
      <c r="G109" s="135"/>
      <c r="H109" s="163">
        <v>0</v>
      </c>
      <c r="I109" s="122"/>
      <c r="J109" s="48"/>
      <c r="K109" s="613"/>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row>
    <row r="110" spans="1:53" ht="18.75" thickBot="1" x14ac:dyDescent="0.3">
      <c r="A110" s="113"/>
      <c r="B110" s="1850"/>
      <c r="C110" s="1850"/>
      <c r="D110" s="1851"/>
      <c r="E110" s="1851"/>
      <c r="F110" s="130"/>
      <c r="G110" s="130"/>
      <c r="H110" s="164" t="str">
        <f>IF((AND(H109=0,F110&gt;0)),"How much relief received?","")</f>
        <v/>
      </c>
      <c r="I110" s="122"/>
      <c r="J110" s="48"/>
      <c r="K110" s="613"/>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row>
    <row r="111" spans="1:53" ht="18.75" thickBot="1" x14ac:dyDescent="0.3">
      <c r="A111" s="113"/>
      <c r="B111" s="1885" t="s">
        <v>957</v>
      </c>
      <c r="C111" s="1885"/>
      <c r="D111" s="1851"/>
      <c r="E111" s="1851"/>
      <c r="F111" s="460"/>
      <c r="G111" s="460"/>
      <c r="H111" s="163">
        <v>0</v>
      </c>
      <c r="I111" s="122"/>
      <c r="J111" s="48"/>
      <c r="K111" s="613"/>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row>
    <row r="112" spans="1:53" ht="18" x14ac:dyDescent="0.25">
      <c r="A112" s="113"/>
      <c r="B112" s="1885"/>
      <c r="C112" s="1885"/>
      <c r="D112" s="1851"/>
      <c r="E112" s="1851"/>
      <c r="F112" s="1897" t="str">
        <f>IF((AND(H107-H109-H111&lt;&gt;0)),"Line b(i) &amp; b(ii) do not sum to B total","")</f>
        <v/>
      </c>
      <c r="G112" s="1897"/>
      <c r="H112" s="1897"/>
      <c r="I112" s="122"/>
      <c r="J112" s="48"/>
      <c r="K112" s="613"/>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row>
    <row r="113" spans="1:53" ht="18" x14ac:dyDescent="0.25">
      <c r="A113" s="929"/>
      <c r="B113" s="926"/>
      <c r="C113" s="926"/>
      <c r="D113" s="54"/>
      <c r="E113" s="54"/>
      <c r="F113" s="927"/>
      <c r="G113" s="927"/>
      <c r="H113" s="927"/>
      <c r="I113" s="930"/>
      <c r="J113" s="48"/>
      <c r="K113" s="6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row>
    <row r="114" spans="1:53" ht="18.75" thickBot="1" x14ac:dyDescent="0.3">
      <c r="A114" s="929"/>
      <c r="B114" s="931" t="s">
        <v>3033</v>
      </c>
      <c r="C114" s="926"/>
      <c r="D114" s="54"/>
      <c r="E114" s="54"/>
      <c r="F114" s="927"/>
      <c r="G114" s="927"/>
      <c r="H114" s="927"/>
      <c r="I114" s="930"/>
      <c r="J114" s="48"/>
      <c r="K114" s="613"/>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row>
    <row r="115" spans="1:53" ht="18.75" thickBot="1" x14ac:dyDescent="0.3">
      <c r="A115" s="929"/>
      <c r="B115" s="299" t="s">
        <v>3137</v>
      </c>
      <c r="C115" s="926"/>
      <c r="D115" s="54"/>
      <c r="E115" s="54"/>
      <c r="F115" s="927"/>
      <c r="G115" s="927"/>
      <c r="H115" s="515">
        <f>'Part 2'!AB114</f>
        <v>0</v>
      </c>
      <c r="I115" s="930"/>
      <c r="J115" s="48"/>
      <c r="K115" s="613"/>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row>
    <row r="116" spans="1:53" ht="18" x14ac:dyDescent="0.25">
      <c r="A116" s="929"/>
      <c r="B116" s="926"/>
      <c r="C116" s="926"/>
      <c r="D116" s="54"/>
      <c r="E116" s="54"/>
      <c r="F116" s="927"/>
      <c r="G116" s="927"/>
      <c r="H116" s="927"/>
      <c r="I116" s="930"/>
      <c r="J116" s="48"/>
      <c r="K116" s="613"/>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row>
    <row r="117" spans="1:53" ht="18.75" thickBot="1" x14ac:dyDescent="0.3">
      <c r="A117" s="929"/>
      <c r="B117" s="925" t="s">
        <v>709</v>
      </c>
      <c r="C117" s="926"/>
      <c r="D117" s="54"/>
      <c r="E117" s="54"/>
      <c r="F117" s="927"/>
      <c r="G117" s="927"/>
      <c r="H117" s="927"/>
      <c r="I117" s="930"/>
      <c r="J117" s="48"/>
      <c r="K117" s="933" t="s">
        <v>3036</v>
      </c>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row>
    <row r="118" spans="1:53" ht="18.75" thickBot="1" x14ac:dyDescent="0.3">
      <c r="A118" s="929"/>
      <c r="B118" s="1898" t="s">
        <v>3035</v>
      </c>
      <c r="C118" s="1898"/>
      <c r="D118" s="1898"/>
      <c r="E118" s="1898"/>
      <c r="F118" s="927"/>
      <c r="G118" s="927"/>
      <c r="H118" s="163">
        <v>0</v>
      </c>
      <c r="I118" s="930"/>
      <c r="J118" s="48"/>
      <c r="K118" s="613">
        <f>IF(OR(Import_LA_Code="E0701",Import_LA_Code="E0702"),1,0)</f>
        <v>0</v>
      </c>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row>
    <row r="119" spans="1:53" ht="18" x14ac:dyDescent="0.25">
      <c r="A119" s="929"/>
      <c r="B119" s="1898"/>
      <c r="C119" s="1898"/>
      <c r="D119" s="1898"/>
      <c r="E119" s="1898"/>
      <c r="F119" s="927"/>
      <c r="G119" s="927"/>
      <c r="H119" s="927"/>
      <c r="I119" s="930"/>
      <c r="J119" s="48"/>
      <c r="K119" s="613"/>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row>
    <row r="120" spans="1:53" ht="11.25" customHeight="1" thickBot="1" x14ac:dyDescent="0.3">
      <c r="A120" s="929"/>
      <c r="B120" s="926"/>
      <c r="C120" s="926"/>
      <c r="D120" s="54"/>
      <c r="E120" s="54"/>
      <c r="F120" s="927"/>
      <c r="G120" s="927"/>
      <c r="H120" s="927"/>
      <c r="I120" s="930"/>
      <c r="J120" s="48"/>
      <c r="K120" s="613"/>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row>
    <row r="121" spans="1:53" ht="18.75" thickBot="1" x14ac:dyDescent="0.3">
      <c r="A121" s="929"/>
      <c r="B121" s="932" t="s">
        <v>3034</v>
      </c>
      <c r="C121" s="926"/>
      <c r="D121" s="54"/>
      <c r="E121" s="54"/>
      <c r="F121" s="927"/>
      <c r="G121" s="927"/>
      <c r="H121" s="515">
        <f>H115-H118</f>
        <v>0</v>
      </c>
      <c r="I121" s="930"/>
      <c r="J121" s="48"/>
      <c r="K121" s="613"/>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row>
    <row r="122" spans="1:53" ht="12.75" customHeight="1" x14ac:dyDescent="0.25">
      <c r="A122" s="929"/>
      <c r="B122" s="932"/>
      <c r="C122" s="926"/>
      <c r="D122" s="54"/>
      <c r="E122" s="54"/>
      <c r="F122" s="927"/>
      <c r="G122" s="927"/>
      <c r="H122" s="934"/>
      <c r="I122" s="930"/>
      <c r="J122" s="48"/>
      <c r="K122" s="613"/>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row>
    <row r="123" spans="1:53" ht="26.25" customHeight="1" thickBot="1" x14ac:dyDescent="0.3">
      <c r="A123" s="113"/>
      <c r="B123" s="1895" t="s">
        <v>490</v>
      </c>
      <c r="C123" s="1718"/>
      <c r="D123" s="54"/>
      <c r="E123" s="54"/>
      <c r="F123" s="160"/>
      <c r="G123" s="160"/>
      <c r="H123" s="130"/>
      <c r="I123" s="122"/>
      <c r="J123" s="48"/>
      <c r="K123" s="617"/>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row>
    <row r="124" spans="1:53" ht="21.75" customHeight="1" thickBot="1" x14ac:dyDescent="0.3">
      <c r="A124" s="113"/>
      <c r="B124" s="56" t="s">
        <v>491</v>
      </c>
      <c r="C124" s="56"/>
      <c r="D124" s="161"/>
      <c r="E124" s="161"/>
      <c r="F124" s="135"/>
      <c r="G124" s="135"/>
      <c r="H124" s="426"/>
      <c r="I124" s="122"/>
      <c r="J124" s="48"/>
      <c r="K124" s="613"/>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row>
    <row r="125" spans="1:53" ht="21" customHeight="1" thickBot="1" x14ac:dyDescent="0.25">
      <c r="A125" s="37"/>
      <c r="B125" s="56"/>
      <c r="C125" s="56"/>
      <c r="D125" s="161"/>
      <c r="E125" s="161"/>
      <c r="F125" s="130"/>
      <c r="G125" s="130"/>
      <c r="H125" s="607" t="str">
        <f>IF(H124="","Please complete this cell with a date","")</f>
        <v>Please complete this cell with a date</v>
      </c>
      <c r="I125" s="122"/>
      <c r="J125" s="48"/>
      <c r="K125" s="613"/>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row>
    <row r="126" spans="1:53" ht="15" x14ac:dyDescent="0.2">
      <c r="A126" s="1257" t="s">
        <v>503</v>
      </c>
      <c r="B126" s="34"/>
      <c r="C126" s="34"/>
      <c r="D126" s="34"/>
      <c r="E126" s="34"/>
      <c r="F126" s="34"/>
      <c r="G126" s="34"/>
      <c r="H126" s="34"/>
      <c r="I126" s="35"/>
      <c r="J126" s="48"/>
      <c r="K126" s="613"/>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row>
    <row r="127" spans="1:53" ht="15.75" thickBot="1" x14ac:dyDescent="0.25">
      <c r="A127" s="700"/>
      <c r="B127" s="608" t="str">
        <f>IF(K85=1,"Please check Part 1. There may be missing values","")</f>
        <v/>
      </c>
      <c r="C127" s="49"/>
      <c r="D127" s="49"/>
      <c r="E127" s="49"/>
      <c r="F127" s="49"/>
      <c r="G127" s="49"/>
      <c r="H127" s="610" t="str">
        <f>IF(K123=1,"Please check Part 2. There may be missing values","")</f>
        <v/>
      </c>
      <c r="I127" s="36"/>
      <c r="J127" s="48"/>
      <c r="K127" s="613"/>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row>
    <row r="128" spans="1:53" ht="15" x14ac:dyDescent="0.2">
      <c r="A128" s="700"/>
      <c r="B128" s="1886"/>
      <c r="C128" s="1887"/>
      <c r="D128" s="1887"/>
      <c r="E128" s="1887"/>
      <c r="F128" s="1887"/>
      <c r="G128" s="1887"/>
      <c r="H128" s="1888"/>
      <c r="I128" s="36"/>
      <c r="J128" s="48"/>
      <c r="K128" s="613"/>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row>
    <row r="129" spans="1:53" ht="15" x14ac:dyDescent="0.2">
      <c r="A129" s="700"/>
      <c r="B129" s="1889"/>
      <c r="C129" s="1890"/>
      <c r="D129" s="1890"/>
      <c r="E129" s="1890"/>
      <c r="F129" s="1890"/>
      <c r="G129" s="1890"/>
      <c r="H129" s="1891"/>
      <c r="I129" s="36"/>
      <c r="J129" s="48"/>
      <c r="K129" s="613"/>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row>
    <row r="130" spans="1:53" ht="15" x14ac:dyDescent="0.2">
      <c r="A130" s="700"/>
      <c r="B130" s="1889"/>
      <c r="C130" s="1890"/>
      <c r="D130" s="1890"/>
      <c r="E130" s="1890"/>
      <c r="F130" s="1890"/>
      <c r="G130" s="1890"/>
      <c r="H130" s="1891"/>
      <c r="I130" s="36"/>
      <c r="J130" s="48"/>
      <c r="K130" s="613"/>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row>
    <row r="131" spans="1:53" ht="15" x14ac:dyDescent="0.2">
      <c r="A131" s="700"/>
      <c r="B131" s="1889"/>
      <c r="C131" s="1890"/>
      <c r="D131" s="1890"/>
      <c r="E131" s="1890"/>
      <c r="F131" s="1890"/>
      <c r="G131" s="1890"/>
      <c r="H131" s="1891"/>
      <c r="I131" s="36"/>
      <c r="J131" s="48"/>
      <c r="K131" s="613"/>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row>
    <row r="132" spans="1:53" ht="15" x14ac:dyDescent="0.2">
      <c r="A132" s="700"/>
      <c r="B132" s="1889"/>
      <c r="C132" s="1890"/>
      <c r="D132" s="1890"/>
      <c r="E132" s="1890"/>
      <c r="F132" s="1890"/>
      <c r="G132" s="1890"/>
      <c r="H132" s="1891"/>
      <c r="I132" s="36"/>
      <c r="J132" s="48"/>
      <c r="K132" s="613"/>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row>
    <row r="133" spans="1:53" ht="15" x14ac:dyDescent="0.2">
      <c r="A133" s="700"/>
      <c r="B133" s="1889"/>
      <c r="C133" s="1890"/>
      <c r="D133" s="1890"/>
      <c r="E133" s="1890"/>
      <c r="F133" s="1890"/>
      <c r="G133" s="1890"/>
      <c r="H133" s="1891"/>
      <c r="I133" s="36"/>
      <c r="J133" s="48"/>
      <c r="K133" s="61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row>
    <row r="134" spans="1:53" ht="15" x14ac:dyDescent="0.2">
      <c r="A134" s="700"/>
      <c r="B134" s="1889"/>
      <c r="C134" s="1890"/>
      <c r="D134" s="1890"/>
      <c r="E134" s="1890"/>
      <c r="F134" s="1890"/>
      <c r="G134" s="1890"/>
      <c r="H134" s="1891"/>
      <c r="I134" s="36"/>
      <c r="J134" s="48"/>
      <c r="K134" s="613"/>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row>
    <row r="135" spans="1:53" ht="15" x14ac:dyDescent="0.2">
      <c r="A135" s="700"/>
      <c r="B135" s="1889"/>
      <c r="C135" s="1890"/>
      <c r="D135" s="1890"/>
      <c r="E135" s="1890"/>
      <c r="F135" s="1890"/>
      <c r="G135" s="1890"/>
      <c r="H135" s="1891"/>
      <c r="I135" s="36"/>
      <c r="J135" s="48"/>
      <c r="K135" s="613"/>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row>
    <row r="136" spans="1:53" ht="15.75" thickBot="1" x14ac:dyDescent="0.25">
      <c r="A136" s="700"/>
      <c r="B136" s="1892"/>
      <c r="C136" s="1893"/>
      <c r="D136" s="1893"/>
      <c r="E136" s="1893"/>
      <c r="F136" s="1893"/>
      <c r="G136" s="1893"/>
      <c r="H136" s="1894"/>
      <c r="I136" s="36"/>
      <c r="J136" s="48"/>
      <c r="K136" s="613"/>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row>
    <row r="137" spans="1:53" ht="15.75" thickBot="1" x14ac:dyDescent="0.25">
      <c r="A137" s="701"/>
      <c r="B137" s="37"/>
      <c r="C137" s="37"/>
      <c r="D137" s="37"/>
      <c r="E137" s="37"/>
      <c r="F137" s="37"/>
      <c r="G137" s="37"/>
      <c r="H137" s="37"/>
      <c r="I137" s="38"/>
      <c r="J137" s="48"/>
      <c r="K137" s="613"/>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row>
  </sheetData>
  <sheetProtection sheet="1" objects="1" scenarios="1"/>
  <dataConsolidate/>
  <mergeCells count="45">
    <mergeCell ref="B107:E107"/>
    <mergeCell ref="B109:E110"/>
    <mergeCell ref="B104:E105"/>
    <mergeCell ref="B128:H136"/>
    <mergeCell ref="B111:E112"/>
    <mergeCell ref="B123:C123"/>
    <mergeCell ref="F105:H105"/>
    <mergeCell ref="F112:H112"/>
    <mergeCell ref="B118:E119"/>
    <mergeCell ref="B91:E91"/>
    <mergeCell ref="B78:E79"/>
    <mergeCell ref="B75:E76"/>
    <mergeCell ref="C92:H92"/>
    <mergeCell ref="B102:F103"/>
    <mergeCell ref="B89:E89"/>
    <mergeCell ref="F83:I84"/>
    <mergeCell ref="B84:E84"/>
    <mergeCell ref="B80:E81"/>
    <mergeCell ref="B82:E83"/>
    <mergeCell ref="H76:H77"/>
    <mergeCell ref="F81:H81"/>
    <mergeCell ref="C16:D16"/>
    <mergeCell ref="B45:E45"/>
    <mergeCell ref="B26:E27"/>
    <mergeCell ref="B28:E29"/>
    <mergeCell ref="A2:I3"/>
    <mergeCell ref="B4:H5"/>
    <mergeCell ref="B8:H8"/>
    <mergeCell ref="B10:H11"/>
    <mergeCell ref="A9:I9"/>
    <mergeCell ref="B22:E22"/>
    <mergeCell ref="B7:H7"/>
    <mergeCell ref="C13:D13"/>
    <mergeCell ref="B33:E34"/>
    <mergeCell ref="C14:D14"/>
    <mergeCell ref="C15:D15"/>
    <mergeCell ref="B73:E74"/>
    <mergeCell ref="B47:E47"/>
    <mergeCell ref="C17:D17"/>
    <mergeCell ref="B68:E69"/>
    <mergeCell ref="B19:H20"/>
    <mergeCell ref="B52:E53"/>
    <mergeCell ref="B56:E57"/>
    <mergeCell ref="B54:E55"/>
    <mergeCell ref="B50:E50"/>
  </mergeCells>
  <phoneticPr fontId="0" type="noConversion"/>
  <conditionalFormatting sqref="H118">
    <cfRule type="expression" dxfId="47" priority="1">
      <formula>$K$118=0</formula>
    </cfRule>
  </conditionalFormatting>
  <dataValidations count="56">
    <dataValidation type="decimal" allowBlank="1" showInputMessage="1" showErrorMessage="1" error="Can't be more than Row E" sqref="F94:G94" xr:uid="{00000000-0002-0000-0600-000000000000}">
      <formula1>0</formula1>
      <formula2>F91</formula2>
    </dataValidation>
    <dataValidation type="decimal" allowBlank="1" showInputMessage="1" showErrorMessage="1" error="Can't be more than row E" sqref="F98:G98" xr:uid="{00000000-0002-0000-0600-000001000000}">
      <formula1>0</formula1>
      <formula2>F91</formula2>
    </dataValidation>
    <dataValidation type="decimal" allowBlank="1" showInputMessage="1" showErrorMessage="1" error="Can't be more than row E" sqref="F100:G100" xr:uid="{00000000-0002-0000-0600-000002000000}">
      <formula1>0</formula1>
      <formula2>F91</formula2>
    </dataValidation>
    <dataValidation type="decimal" allowBlank="1" showInputMessage="1" showErrorMessage="1" error="Can't be more than row E" sqref="G102" xr:uid="{00000000-0002-0000-0600-000003000000}">
      <formula1>0</formula1>
      <formula2>G91</formula2>
    </dataValidation>
    <dataValidation type="textLength" operator="lessThan" allowBlank="1" showInputMessage="1" showErrorMessage="1" error="Please do not amend or delete this line" sqref="J25" xr:uid="{00000000-0002-0000-0600-000004000000}">
      <formula1>0</formula1>
    </dataValidation>
    <dataValidation type="custom" allowBlank="1" showInputMessage="1" showErrorMessage="1" error="Data entry not allowed" sqref="I107" xr:uid="{00000000-0002-0000-0600-000005000000}">
      <formula1>#REF!="n/a"</formula1>
    </dataValidation>
    <dataValidation type="custom" allowBlank="1" showInputMessage="1" showErrorMessage="1" error="Data entry not allowed" sqref="H107 H35 H75 H91" xr:uid="{00000000-0002-0000-0600-000006000000}">
      <formula1>"if(K108=""n/a"")"</formula1>
    </dataValidation>
    <dataValidation type="custom" allowBlank="1" showInputMessage="1" showErrorMessage="1" error="Do not overwrite" sqref="F83:I84 H74 H76:H77" xr:uid="{00000000-0002-0000-0600-000007000000}">
      <formula1>"if(K108=""n/a"")"</formula1>
    </dataValidation>
    <dataValidation type="whole" operator="greaterThanOrEqual" allowBlank="1" showInputMessage="1" showErrorMessage="1" errorTitle="Positive Entry required" sqref="H65 H48 H71 H69" xr:uid="{00000000-0002-0000-0600-00000C000000}">
      <formula1>0</formula1>
    </dataValidation>
    <dataValidation type="whole" operator="lessThanOrEqual" allowBlank="1" showInputMessage="1" showErrorMessage="1" errorTitle="Negative whole number required" error="This MUST be a negative whole number." sqref="H94 H98 H100 H111 H109 H104 H102" xr:uid="{00000000-0002-0000-0600-00000E000000}">
      <formula1>0</formula1>
    </dataValidation>
    <dataValidation type="whole" operator="lessThanOrEqual" allowBlank="1" showInputMessage="1" showErrorMessage="1" errorTitle="Negative whole number required" error="This MUST  be a negative whole number." sqref="H96" xr:uid="{00000000-0002-0000-0600-00000F000000}">
      <formula1>0</formula1>
    </dataValidation>
    <dataValidation type="date" allowBlank="1" showInputMessage="1" showErrorMessage="1" errorTitle="Valid date required" error="Date must be as close to 31 December 2024 as possible" sqref="H124" xr:uid="{7EF4B75A-AE93-42C4-994C-744904459A97}">
      <formula1>45627</formula1>
      <formula2>45689</formula2>
    </dataValidation>
    <dataValidation type="whole" operator="greaterThanOrEqual" allowBlank="1" showInputMessage="1" showErrorMessage="1" error="This value should be positive" sqref="H24 H26 H28 H31 H33 H37 H39 H41 H43 H45 H47 H50 H52 H54 H56 H58 H60 H64 H66 H68 H70 H73 H78 H80 H82" xr:uid="{B67241AD-1753-48AB-A232-A4F34BA7292B}">
      <formula1>0</formula1>
    </dataValidation>
    <dataValidation allowBlank="1" showInputMessage="1" showErrorMessage="1" prompt="This was line 1u in the 2024/25 form" sqref="B82:E83" xr:uid="{CEA95E73-FE96-4EEC-92E2-2B075B793F28}"/>
    <dataValidation allowBlank="1" showInputMessage="1" showErrorMessage="1" prompt="This was line 1t in the 2024/25 form" sqref="B75:E76" xr:uid="{85E56967-DD9F-4D4F-92D4-0710C5B8FCE3}"/>
    <dataValidation type="custom" allowBlank="1" showInputMessage="1" showErrorMessage="1" error="Data entry is not allowed in this cell" sqref="H115 H121:H122" xr:uid="{233F8622-91FD-4FDE-937B-9F89C16B0DB7}">
      <formula1>"AB1=""n/a"""</formula1>
    </dataValidation>
    <dataValidation type="whole" operator="lessThanOrEqual" allowBlank="1" showInputMessage="1" showErrorMessage="1" errorTitle="Negative whole number required" error="This MUST be a negative whole number." prompt="You only need to enter data in this cell if your authority has a Mayoral Development Corporation. This cell will be greyed out and the other cells in section c. calculated automatically for most authorities." sqref="H118" xr:uid="{9474DF99-0D97-47D8-B57E-EDA296E4C4A1}">
      <formula1>0</formula1>
    </dataValidation>
    <dataValidation allowBlank="1" showInputMessage="1" showErrorMessage="1" prompt="You only need to enter data in this cell if your authority has a Mayoral Development Corporation. This cell will be greyed out and the other cells in section c. calculated automatically for most authorities." sqref="B118:E119" xr:uid="{07FC6AEC-2F33-4CC3-A133-31D4AC3E5CCB}"/>
    <dataValidation allowBlank="1" showInputMessage="1" showErrorMessage="1" prompt="This was line 1s in the 2024/25 form" sqref="B73:E74" xr:uid="{C3113268-69E7-4F1D-B954-2AD5C067E035}"/>
    <dataValidation allowBlank="1" showInputMessage="1" showErrorMessage="1" prompt="This was line 1a in the 2024/25 form" sqref="B24:E24" xr:uid="{233D5317-747D-45B1-8744-9022DF69BF62}"/>
    <dataValidation allowBlank="1" showInputMessage="1" showErrorMessage="1" prompt="This was line 1b in the 2024/25 form" sqref="B26:E27" xr:uid="{4BFA67CC-7C80-4CA1-A4B9-2B2139A058A3}"/>
    <dataValidation allowBlank="1" showInputMessage="1" showErrorMessage="1" prompt="This was line 1c in the 2024/25 form" sqref="B28:E29" xr:uid="{769758F7-493E-4CAB-86A0-869ADC7C6AE4}"/>
    <dataValidation allowBlank="1" showInputMessage="1" showErrorMessage="1" prompt="This was line 1d in the 2024/25 form" sqref="B31:E31" xr:uid="{8094C41B-8FBD-499B-8676-9D2D9E4D09BD}"/>
    <dataValidation allowBlank="1" showInputMessage="1" showErrorMessage="1" prompt="This was line 1e in the 2024/25 form" sqref="B33:E34" xr:uid="{826E0CEA-AF89-4C92-80C1-38503A4B1F06}"/>
    <dataValidation allowBlank="1" showInputMessage="1" showErrorMessage="1" prompt="This was line f in the 2024/25 form" sqref="D36" xr:uid="{15FA8FC4-4EA1-4079-A7F6-930D8B501B8D}"/>
    <dataValidation allowBlank="1" showInputMessage="1" showErrorMessage="1" prompt="This was line 1f i in the 2024/25 form" sqref="B37:D37" xr:uid="{487381B1-9DB7-4E4F-B338-6DB5DF00CA93}"/>
    <dataValidation allowBlank="1" showInputMessage="1" showErrorMessage="1" prompt="This was line 1f ii in the 2024/25 form" sqref="B39:C39" xr:uid="{24D52120-FD35-48DD-BB78-152522524ED1}"/>
    <dataValidation allowBlank="1" showInputMessage="1" showErrorMessage="1" prompt="This was line 1f iii in the 2024/25 form" sqref="B41:C41" xr:uid="{E085E6BE-A879-4EF6-A700-10424B72FB02}"/>
    <dataValidation allowBlank="1" showInputMessage="1" showErrorMessage="1" prompt="This was line 1f iv in the 2024/25 form" sqref="B43:C43" xr:uid="{8F8AEC0A-0CA6-43E7-BCDC-4D45D0F23F4C}"/>
    <dataValidation allowBlank="1" showInputMessage="1" showErrorMessage="1" prompt="This was line 1f v in the 2024/25 form" sqref="B45:E45" xr:uid="{7999B072-4A5C-468A-BE55-311B2A2B9F32}"/>
    <dataValidation allowBlank="1" showInputMessage="1" showErrorMessage="1" prompt="This was line 1f vi in the 2024/25 form" sqref="B47:E47" xr:uid="{53EEF78C-A983-42C4-81D6-EFDD7E6B84C6}"/>
    <dataValidation allowBlank="1" showInputMessage="1" showErrorMessage="1" prompt="This was line 1g in the 2024/25 form" sqref="B50:E50" xr:uid="{DACDB029-6238-474F-9E62-7B4B0142F619}"/>
    <dataValidation allowBlank="1" showInputMessage="1" showErrorMessage="1" prompt="This was line 1h in the 2024/25 form" sqref="B52:E53" xr:uid="{AF78039F-16C6-4237-AF88-E435FD923C56}"/>
    <dataValidation allowBlank="1" showInputMessage="1" showErrorMessage="1" prompt="This was line 1i in the 2024/25 form" sqref="B54:E55" xr:uid="{7CEC3C44-016A-41E4-875F-2C8A6FE1B49C}"/>
    <dataValidation allowBlank="1" showInputMessage="1" showErrorMessage="1" prompt="This was line 1k in the 2024/25 form" sqref="B56:E57" xr:uid="{09676AD4-770E-4C53-BD1F-943B61B7EC47}"/>
    <dataValidation allowBlank="1" showInputMessage="1" showErrorMessage="1" prompt="This was line 1l in the 2024/25 form" sqref="B58:E58" xr:uid="{E21845D6-A0E3-4F90-A368-60ED797371ED}"/>
    <dataValidation allowBlank="1" showInputMessage="1" showErrorMessage="1" prompt="This was line 1p in the 2024/25 form" sqref="B66:E66" xr:uid="{E73315DF-340B-4CAF-9793-8739CCCA4C5A}"/>
    <dataValidation allowBlank="1" showInputMessage="1" showErrorMessage="1" prompt="This was line 1q in the 2024/25 form" sqref="B68:E69" xr:uid="{1DCEB587-94D2-45E6-976B-B64562D92602}"/>
    <dataValidation allowBlank="1" showInputMessage="1" showErrorMessage="1" prompt="This was line 1m in the 2024/25 form" sqref="B60:E60" xr:uid="{D9B3DF6F-358D-4359-B6F2-45160DF5E9B8}"/>
    <dataValidation allowBlank="1" showInputMessage="1" showErrorMessage="1" prompt="This was line 1r in the 2024/25 form" sqref="B70:F70" xr:uid="{E93B00FF-AA74-4309-A6D7-683644CCBAC7}"/>
    <dataValidation allowBlank="1" showInputMessage="1" showErrorMessage="1" prompt="This was line 1r i in the 2024/25 form" sqref="B78:E79" xr:uid="{57337C98-ECB0-4AB1-B23D-5D54F6C07DA3}"/>
    <dataValidation allowBlank="1" showInputMessage="1" showErrorMessage="1" prompt="This was line 1t ii in the 2024/25 form" sqref="B80:E81" xr:uid="{664CB43D-A1EF-45CD-8BC5-94F40764C78A}"/>
    <dataValidation allowBlank="1" showInputMessage="1" showErrorMessage="1" prompt="This was line 2a in the 2024/25 form" sqref="B91:E91" xr:uid="{BD886699-2156-40D9-8840-2017E06F0922}"/>
    <dataValidation allowBlank="1" showInputMessage="1" showErrorMessage="1" prompt="This was line 2a iii in the 2024/25 form" sqref="B98:C98" xr:uid="{66519EA6-5165-42DC-9224-42D84942C3B7}"/>
    <dataValidation allowBlank="1" showInputMessage="1" showErrorMessage="1" prompt="This was line 2a iv in the 2024/25 form" sqref="B100:C100" xr:uid="{C70225E6-59F4-4427-9982-036D09FC4D2E}"/>
    <dataValidation allowBlank="1" showInputMessage="1" showErrorMessage="1" prompt="This was line 2a v in the 2024/25 form" sqref="B102:F103" xr:uid="{BB3F4672-2DA6-4A9B-95EA-5A7CBF7C22AF}"/>
    <dataValidation allowBlank="1" showInputMessage="1" showErrorMessage="1" prompt="This was line 2v i in the 2024/25 form" sqref="B104:E105" xr:uid="{8DCFD99B-9BD4-4B52-A692-5FE3F4133840}"/>
    <dataValidation allowBlank="1" showInputMessage="1" showErrorMessage="1" prompt="This was line 2b in the 2024/25 form " sqref="B107:E107" xr:uid="{66392E7D-2A66-4A56-BC18-21E84CF78D02}"/>
    <dataValidation allowBlank="1" showInputMessage="1" showErrorMessage="1" prompt="This was line 2b i in the 2024/25 form" sqref="B109:E110" xr:uid="{BC3C8517-5122-4439-8B9F-3F98E7A76640}"/>
    <dataValidation allowBlank="1" showInputMessage="1" showErrorMessage="1" prompt="This was line 2b ii in the 2024/25 form" sqref="B111:E112" xr:uid="{E6C841E4-7EEB-487D-BE62-0314111B0DA3}"/>
    <dataValidation allowBlank="1" showInputMessage="1" showErrorMessage="1" prompt="This was line 2c in the 2024/25 form" sqref="B115:C115" xr:uid="{7705FC58-63D6-4679-8F24-669907DA124F}"/>
    <dataValidation allowBlank="1" showInputMessage="1" showErrorMessage="1" prompt="This was line 2c ii in the 2024/25 form" sqref="B121:C121" xr:uid="{112E6DB1-03EF-4601-9033-F74A6A16C192}"/>
    <dataValidation allowBlank="1" showInputMessage="1" showErrorMessage="1" prompt="This was line 1f in the 2024/25 form" sqref="B35:E35 B36" xr:uid="{49CDF06A-2C62-4864-9733-A159643BB5D9}"/>
    <dataValidation allowBlank="1" showInputMessage="1" showErrorMessage="1" prompt="This was line 1o in the 2024/25 form" sqref="B64:E64" xr:uid="{A048924A-8BCD-49BA-BC65-C76F12E09B5F}"/>
    <dataValidation allowBlank="1" showInputMessage="1" showErrorMessage="1" prompt="This was line 2a i in the 2024/25 form" sqref="B94:C94" xr:uid="{48C2B6AD-3F91-46DF-9BA2-4C63C3DE2CFB}"/>
    <dataValidation allowBlank="1" showInputMessage="1" showErrorMessage="1" prompt="This was the line 2a ii in the 2024/25 form" sqref="B96:C96" xr:uid="{9E6684D7-DFD1-425F-A952-23FF12814DAA}"/>
  </dataValidations>
  <printOptions horizontalCentered="1" verticalCentered="1"/>
  <pageMargins left="0.39370078740157483" right="0.39370078740157483" top="0.39370078740157483" bottom="0.39370078740157483" header="0" footer="0"/>
  <pageSetup paperSize="9" scale="53" orientation="portrait" r:id="rId1"/>
  <headerFooter alignWithMargins="0">
    <oddHeader>&amp;C&amp;"Calibri"&amp;10&amp;K000000 OFFICIAL&amp;1#_x000D_</oddHeader>
    <oddFooter>&amp;C_x000D_&amp;1#&amp;"Calibri"&amp;10&amp;K000000 OFFICIAL</oddFooter>
  </headerFooter>
  <rowBreaks count="1" manualBreakCount="1">
    <brk id="84"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autoPageBreaks="0" fitToPage="1"/>
  </sheetPr>
  <dimension ref="A1:BA56"/>
  <sheetViews>
    <sheetView zoomScaleNormal="100" workbookViewId="0"/>
  </sheetViews>
  <sheetFormatPr defaultColWidth="9.140625" defaultRowHeight="15" x14ac:dyDescent="0.2"/>
  <cols>
    <col min="1" max="1" width="3.7109375" style="232" customWidth="1"/>
    <col min="2" max="2" width="9.140625" style="232"/>
    <col min="3" max="3" width="60.42578125" style="232" customWidth="1"/>
    <col min="4" max="4" width="18.7109375" style="232" customWidth="1"/>
    <col min="5" max="5" width="15.7109375" style="232" customWidth="1"/>
    <col min="6" max="6" width="3.7109375" style="232" customWidth="1"/>
    <col min="7" max="7" width="16.7109375" style="232" bestFit="1" customWidth="1"/>
    <col min="8" max="8" width="9.28515625" style="232" bestFit="1" customWidth="1"/>
    <col min="9" max="9" width="3.7109375" style="232" customWidth="1"/>
    <col min="10" max="10" width="12.7109375" style="233" bestFit="1" customWidth="1"/>
    <col min="11" max="11" width="9.28515625" style="233" bestFit="1" customWidth="1"/>
    <col min="12" max="12" width="3.7109375" style="233" customWidth="1"/>
    <col min="13" max="13" width="22.28515625" style="233" customWidth="1"/>
    <col min="14" max="14" width="3.7109375" style="233" customWidth="1"/>
    <col min="15" max="15" width="50.7109375" style="232" customWidth="1"/>
    <col min="16" max="16" width="3.7109375" style="232" customWidth="1"/>
    <col min="17" max="18" width="9.140625" style="232" hidden="1" customWidth="1"/>
    <col min="19" max="19" width="3.7109375" style="232" hidden="1" customWidth="1"/>
    <col min="20" max="20" width="9.140625" style="232" hidden="1" customWidth="1"/>
    <col min="21" max="21" width="13.5703125" style="232" hidden="1" customWidth="1"/>
    <col min="22" max="26" width="9.140625" style="232" hidden="1" customWidth="1"/>
    <col min="27" max="27" width="11.140625" style="232" hidden="1" customWidth="1"/>
    <col min="28" max="53" width="9.140625" style="232" hidden="1" customWidth="1"/>
    <col min="54" max="55" width="9.140625" style="232" customWidth="1"/>
    <col min="56" max="16384" width="9.140625" style="232"/>
  </cols>
  <sheetData>
    <row r="1" spans="1:21" x14ac:dyDescent="0.2">
      <c r="A1" s="262"/>
      <c r="C1" s="263"/>
      <c r="D1" s="263"/>
      <c r="E1" s="263"/>
      <c r="F1" s="263"/>
      <c r="G1" s="263"/>
      <c r="H1" s="263"/>
      <c r="I1" s="263"/>
      <c r="J1" s="264"/>
      <c r="K1" s="264"/>
      <c r="L1" s="264"/>
      <c r="M1" s="264"/>
      <c r="N1" s="264"/>
      <c r="O1" s="263"/>
      <c r="P1" s="265"/>
      <c r="S1" s="236"/>
      <c r="T1" s="237"/>
    </row>
    <row r="2" spans="1:21" ht="20.25" x14ac:dyDescent="0.3">
      <c r="A2" s="857"/>
      <c r="B2" s="858" t="s">
        <v>876</v>
      </c>
      <c r="P2" s="744"/>
      <c r="S2" s="236"/>
      <c r="T2" s="237"/>
    </row>
    <row r="3" spans="1:21" x14ac:dyDescent="0.2">
      <c r="A3" s="857"/>
      <c r="P3" s="744"/>
      <c r="S3" s="236"/>
      <c r="T3" s="237"/>
    </row>
    <row r="4" spans="1:21" ht="15.75" x14ac:dyDescent="0.25">
      <c r="A4" s="976"/>
      <c r="B4" s="745" t="str">
        <f>+CONCATENATE("Local authority : ",+'Part 1'!$K$15,"     ",+'Part 1'!$K$16)</f>
        <v>Local authority : ZZZZ     EZZZZ</v>
      </c>
      <c r="C4" s="382"/>
      <c r="D4" s="382"/>
      <c r="E4" s="382"/>
      <c r="F4" s="745"/>
      <c r="G4" s="382"/>
      <c r="H4" s="382"/>
      <c r="I4" s="382"/>
      <c r="J4" s="380"/>
      <c r="K4" s="380"/>
      <c r="L4" s="380"/>
      <c r="M4" s="380"/>
      <c r="N4" s="380"/>
      <c r="O4" s="382"/>
      <c r="P4" s="516"/>
      <c r="S4" s="238"/>
      <c r="T4" s="239"/>
      <c r="U4" s="381"/>
    </row>
    <row r="5" spans="1:21" ht="15.75" x14ac:dyDescent="0.25">
      <c r="A5" s="976"/>
      <c r="B5" s="745" t="str">
        <f>+CONCATENATE("Local authority contact name : ",+'Part 1'!K17)</f>
        <v xml:space="preserve">Local authority contact name : </v>
      </c>
      <c r="C5" s="382"/>
      <c r="D5" s="382"/>
      <c r="E5" s="382"/>
      <c r="F5" s="382"/>
      <c r="G5" s="382"/>
      <c r="H5" s="382"/>
      <c r="I5" s="382"/>
      <c r="J5" s="380"/>
      <c r="K5" s="380"/>
      <c r="L5" s="380"/>
      <c r="M5" s="380"/>
      <c r="N5" s="380"/>
      <c r="O5" s="382"/>
      <c r="P5" s="516"/>
      <c r="S5" s="240"/>
      <c r="T5" s="239"/>
    </row>
    <row r="6" spans="1:21" ht="15.75" x14ac:dyDescent="0.25">
      <c r="A6" s="976"/>
      <c r="B6" s="745" t="str">
        <f>+CONCATENATE("Local authority contact number : ",+'Part 1'!K18)</f>
        <v xml:space="preserve">Local authority contact number : </v>
      </c>
      <c r="C6" s="382"/>
      <c r="D6" s="382"/>
      <c r="E6" s="382"/>
      <c r="F6" s="382"/>
      <c r="G6" s="382"/>
      <c r="H6" s="382"/>
      <c r="I6" s="382"/>
      <c r="J6" s="380"/>
      <c r="K6" s="380"/>
      <c r="L6" s="380"/>
      <c r="M6" s="380"/>
      <c r="N6" s="380"/>
      <c r="O6" s="382"/>
      <c r="P6" s="516"/>
      <c r="S6" s="240"/>
      <c r="T6" s="239"/>
    </row>
    <row r="7" spans="1:21" ht="15.75" x14ac:dyDescent="0.25">
      <c r="A7" s="976"/>
      <c r="B7" s="745" t="str">
        <f>+CONCATENATE("Local authority contact email address : ",+'Part 1'!K19)</f>
        <v xml:space="preserve">Local authority contact email address : </v>
      </c>
      <c r="C7" s="382"/>
      <c r="D7" s="382"/>
      <c r="E7" s="382"/>
      <c r="F7" s="382"/>
      <c r="G7" s="382"/>
      <c r="H7" s="382"/>
      <c r="I7" s="382"/>
      <c r="J7" s="380"/>
      <c r="K7" s="380"/>
      <c r="L7" s="380"/>
      <c r="M7" s="380"/>
      <c r="N7" s="380"/>
      <c r="O7" s="382"/>
      <c r="P7" s="516"/>
      <c r="S7" s="240"/>
      <c r="T7" s="239"/>
    </row>
    <row r="8" spans="1:21" ht="15.75" x14ac:dyDescent="0.25">
      <c r="A8" s="976"/>
      <c r="B8" s="745"/>
      <c r="C8" s="382"/>
      <c r="D8" s="382"/>
      <c r="E8" s="382"/>
      <c r="F8" s="382"/>
      <c r="G8" s="382"/>
      <c r="H8" s="382"/>
      <c r="I8" s="382"/>
      <c r="J8" s="380"/>
      <c r="K8" s="380"/>
      <c r="L8" s="380"/>
      <c r="M8" s="380"/>
      <c r="N8" s="380"/>
      <c r="O8" s="382"/>
      <c r="P8" s="516"/>
      <c r="S8" s="240"/>
      <c r="T8" s="239"/>
    </row>
    <row r="9" spans="1:21" x14ac:dyDescent="0.2">
      <c r="A9" s="976"/>
      <c r="B9" s="344" t="s">
        <v>245</v>
      </c>
      <c r="C9" s="344"/>
      <c r="D9" s="382"/>
      <c r="E9" s="382"/>
      <c r="F9" s="382"/>
      <c r="G9" s="382"/>
      <c r="H9" s="382"/>
      <c r="I9" s="382"/>
      <c r="J9" s="380"/>
      <c r="K9" s="380"/>
      <c r="L9" s="380"/>
      <c r="M9" s="380"/>
      <c r="N9" s="380"/>
      <c r="O9" s="382"/>
      <c r="P9" s="516"/>
      <c r="S9" s="240"/>
      <c r="T9" s="239"/>
    </row>
    <row r="10" spans="1:21" x14ac:dyDescent="0.2">
      <c r="A10" s="976"/>
      <c r="B10" s="344" t="s">
        <v>3139</v>
      </c>
      <c r="C10" s="344"/>
      <c r="D10" s="382"/>
      <c r="E10" s="382"/>
      <c r="F10" s="382"/>
      <c r="G10" s="382"/>
      <c r="H10" s="382"/>
      <c r="I10" s="382"/>
      <c r="J10" s="380"/>
      <c r="K10" s="380"/>
      <c r="L10" s="380"/>
      <c r="M10" s="380"/>
      <c r="N10" s="380"/>
      <c r="O10" s="382"/>
      <c r="P10" s="516"/>
      <c r="S10" s="240"/>
      <c r="T10" s="239"/>
    </row>
    <row r="11" spans="1:21" ht="15.75" x14ac:dyDescent="0.25">
      <c r="A11" s="976"/>
      <c r="B11" s="382"/>
      <c r="C11" s="745"/>
      <c r="D11" s="382"/>
      <c r="E11" s="382"/>
      <c r="F11" s="382"/>
      <c r="G11" s="382"/>
      <c r="H11" s="382"/>
      <c r="I11" s="382"/>
      <c r="J11" s="380"/>
      <c r="K11" s="380"/>
      <c r="L11" s="380"/>
      <c r="M11" s="380"/>
      <c r="N11" s="380"/>
      <c r="O11" s="382"/>
      <c r="P11" s="516"/>
      <c r="S11" s="240"/>
      <c r="T11" s="239"/>
    </row>
    <row r="12" spans="1:21" ht="15.75" customHeight="1" x14ac:dyDescent="0.2">
      <c r="A12" s="976"/>
      <c r="B12" s="1899" t="s">
        <v>2246</v>
      </c>
      <c r="C12" s="1899"/>
      <c r="D12" s="1899"/>
      <c r="E12" s="1899"/>
      <c r="F12" s="1899"/>
      <c r="G12" s="1899"/>
      <c r="H12" s="1899"/>
      <c r="I12" s="1899"/>
      <c r="J12" s="1899"/>
      <c r="K12" s="1899"/>
      <c r="L12" s="1899"/>
      <c r="M12" s="1899"/>
      <c r="N12" s="1899"/>
      <c r="O12" s="1899"/>
      <c r="P12" s="977"/>
      <c r="S12" s="240"/>
      <c r="T12" s="239"/>
    </row>
    <row r="13" spans="1:21" ht="15.75" customHeight="1" x14ac:dyDescent="0.2">
      <c r="A13" s="976"/>
      <c r="B13" s="1899"/>
      <c r="C13" s="1899"/>
      <c r="D13" s="1899"/>
      <c r="E13" s="1899"/>
      <c r="F13" s="1899"/>
      <c r="G13" s="1899"/>
      <c r="H13" s="1899"/>
      <c r="I13" s="1899"/>
      <c r="J13" s="1899"/>
      <c r="K13" s="1899"/>
      <c r="L13" s="1899"/>
      <c r="M13" s="1899"/>
      <c r="N13" s="1899"/>
      <c r="O13" s="1899"/>
      <c r="P13" s="977"/>
      <c r="S13" s="240"/>
      <c r="T13" s="239"/>
    </row>
    <row r="14" spans="1:21" ht="15.75" x14ac:dyDescent="0.25">
      <c r="A14" s="976"/>
      <c r="B14" s="9"/>
      <c r="C14" s="745"/>
      <c r="D14" s="382"/>
      <c r="E14" s="382"/>
      <c r="F14" s="382"/>
      <c r="G14" s="382"/>
      <c r="H14" s="382"/>
      <c r="I14" s="382"/>
      <c r="J14" s="380"/>
      <c r="K14" s="380"/>
      <c r="L14" s="380"/>
      <c r="M14" s="380"/>
      <c r="N14" s="380"/>
      <c r="O14" s="382"/>
      <c r="P14" s="977"/>
      <c r="S14" s="240"/>
      <c r="T14" s="239"/>
    </row>
    <row r="15" spans="1:21" ht="15.75" x14ac:dyDescent="0.25">
      <c r="A15" s="976"/>
      <c r="B15" s="382" t="s">
        <v>2247</v>
      </c>
      <c r="C15" s="745"/>
      <c r="D15" s="382"/>
      <c r="E15" s="382"/>
      <c r="F15" s="382"/>
      <c r="G15" s="382"/>
      <c r="H15" s="382"/>
      <c r="I15" s="382"/>
      <c r="J15" s="380"/>
      <c r="K15" s="380"/>
      <c r="L15" s="380"/>
      <c r="M15" s="380"/>
      <c r="N15" s="380"/>
      <c r="O15" s="382"/>
      <c r="P15" s="977"/>
      <c r="S15" s="240"/>
      <c r="T15" s="239"/>
    </row>
    <row r="16" spans="1:21" ht="15.75" x14ac:dyDescent="0.25">
      <c r="A16" s="976"/>
      <c r="B16" s="382"/>
      <c r="C16" s="745"/>
      <c r="D16" s="382"/>
      <c r="E16" s="382"/>
      <c r="F16" s="382"/>
      <c r="G16" s="382"/>
      <c r="H16" s="382"/>
      <c r="I16" s="382"/>
      <c r="J16" s="380"/>
      <c r="K16" s="380"/>
      <c r="L16" s="380"/>
      <c r="M16" s="380"/>
      <c r="N16" s="380"/>
      <c r="O16" s="382"/>
      <c r="P16" s="977"/>
      <c r="S16" s="240"/>
      <c r="T16" s="239"/>
    </row>
    <row r="17" spans="1:29" ht="16.5" thickBot="1" x14ac:dyDescent="0.3">
      <c r="A17" s="976"/>
      <c r="B17" s="382"/>
      <c r="C17" s="382"/>
      <c r="D17" s="1904" t="s">
        <v>828</v>
      </c>
      <c r="E17" s="1905"/>
      <c r="F17" s="978"/>
      <c r="G17" s="1904" t="s">
        <v>830</v>
      </c>
      <c r="H17" s="1905"/>
      <c r="I17" s="978"/>
      <c r="J17" s="1904" t="s">
        <v>829</v>
      </c>
      <c r="K17" s="1905"/>
      <c r="L17" s="978"/>
      <c r="M17" s="380"/>
      <c r="N17" s="380"/>
      <c r="O17" s="382"/>
      <c r="P17" s="516"/>
      <c r="S17" s="240"/>
      <c r="T17" s="239"/>
    </row>
    <row r="18" spans="1:29" ht="16.5" thickBot="1" x14ac:dyDescent="0.3">
      <c r="A18" s="976"/>
      <c r="B18" s="380" t="s">
        <v>865</v>
      </c>
      <c r="C18" s="382"/>
      <c r="D18" s="278" t="s">
        <v>915</v>
      </c>
      <c r="E18" s="278" t="s">
        <v>3086</v>
      </c>
      <c r="F18" s="979"/>
      <c r="G18" s="979" t="s">
        <v>864</v>
      </c>
      <c r="H18" s="979" t="s">
        <v>246</v>
      </c>
      <c r="I18" s="979"/>
      <c r="J18" s="979" t="s">
        <v>864</v>
      </c>
      <c r="K18" s="979" t="s">
        <v>246</v>
      </c>
      <c r="L18" s="979"/>
      <c r="M18" s="85"/>
      <c r="N18" s="380"/>
      <c r="O18" s="388" t="s">
        <v>906</v>
      </c>
      <c r="P18" s="516"/>
      <c r="S18" s="240"/>
      <c r="T18" s="261"/>
      <c r="U18" s="261"/>
      <c r="V18" s="261"/>
      <c r="W18" s="261"/>
      <c r="X18" s="261"/>
      <c r="Y18" s="261"/>
      <c r="Z18" s="261"/>
      <c r="AA18" s="382" t="s">
        <v>1285</v>
      </c>
    </row>
    <row r="19" spans="1:29" ht="16.5" thickBot="1" x14ac:dyDescent="0.25">
      <c r="A19" s="976"/>
      <c r="B19" s="980">
        <v>1</v>
      </c>
      <c r="C19" s="370" t="s">
        <v>863</v>
      </c>
      <c r="D19" s="981" t="e">
        <f>INDEX(Data!E:E,MATCH(Import_LA_Code,Ref_LA_Codes,0))</f>
        <v>#N/A</v>
      </c>
      <c r="E19" s="981">
        <f>+'Part 2'!$AB$13</f>
        <v>0</v>
      </c>
      <c r="F19" s="981"/>
      <c r="G19" s="981" t="e">
        <f>+E19-D19</f>
        <v>#N/A</v>
      </c>
      <c r="H19" s="982" t="e">
        <f>IF(AND(D19=0,E19=0),0,IF(AND(D19=0,E19&lt;&gt;0),1,G19/ABS((D19))))</f>
        <v>#N/A</v>
      </c>
      <c r="I19" s="983"/>
      <c r="J19" s="984">
        <v>0</v>
      </c>
      <c r="K19" s="982">
        <v>0.02</v>
      </c>
      <c r="L19" s="982"/>
      <c r="M19" s="985" t="e">
        <f>IF(O19&lt;&gt;"","Comment made", IF(AND(ABS(H19)&gt;K19,ABS(G19)&gt;J19),"Please comment","OK"))</f>
        <v>#N/A</v>
      </c>
      <c r="N19" s="986"/>
      <c r="O19" s="441"/>
      <c r="P19" s="256" t="str">
        <f>+IF(R19+S19=2,"!","")</f>
        <v/>
      </c>
      <c r="T19" s="261"/>
      <c r="U19" s="261"/>
      <c r="V19" s="261"/>
      <c r="W19" s="261"/>
      <c r="X19" s="261"/>
      <c r="Y19" s="261" t="e">
        <f>IF(M19="OK",0,1)</f>
        <v>#N/A</v>
      </c>
      <c r="Z19" s="261"/>
      <c r="AA19" s="232">
        <v>0</v>
      </c>
      <c r="AB19" s="232">
        <v>0.02</v>
      </c>
      <c r="AC19" s="232">
        <f>IF(AND(J19=AA19,K19=AB19),0,1)</f>
        <v>0</v>
      </c>
    </row>
    <row r="20" spans="1:29" ht="15.75" x14ac:dyDescent="0.2">
      <c r="A20" s="976"/>
      <c r="B20" s="987"/>
      <c r="C20" s="258"/>
      <c r="D20" s="714"/>
      <c r="E20" s="714"/>
      <c r="F20" s="714"/>
      <c r="G20" s="714"/>
      <c r="H20" s="283"/>
      <c r="I20" s="284"/>
      <c r="J20" s="988"/>
      <c r="K20" s="283"/>
      <c r="L20" s="283"/>
      <c r="M20" s="257"/>
      <c r="N20" s="987"/>
      <c r="O20" s="260"/>
      <c r="P20" s="989"/>
      <c r="S20" s="240"/>
      <c r="T20" s="261"/>
      <c r="U20" s="261"/>
      <c r="V20" s="261"/>
      <c r="W20" s="261"/>
      <c r="X20" s="261"/>
      <c r="Y20" s="261"/>
      <c r="Z20" s="261"/>
    </row>
    <row r="21" spans="1:29" ht="16.5" thickBot="1" x14ac:dyDescent="0.3">
      <c r="A21" s="976"/>
      <c r="B21" s="987"/>
      <c r="C21" s="259" t="s">
        <v>867</v>
      </c>
      <c r="D21" s="278" t="s">
        <v>2695</v>
      </c>
      <c r="E21" s="278" t="s">
        <v>3086</v>
      </c>
      <c r="F21" s="714"/>
      <c r="G21" s="979" t="s">
        <v>864</v>
      </c>
      <c r="H21" s="979" t="s">
        <v>246</v>
      </c>
      <c r="I21" s="979"/>
      <c r="J21" s="979" t="s">
        <v>864</v>
      </c>
      <c r="K21" s="979" t="s">
        <v>246</v>
      </c>
      <c r="L21" s="283"/>
      <c r="M21" s="257"/>
      <c r="N21" s="987"/>
      <c r="O21" s="260"/>
      <c r="P21" s="989"/>
      <c r="S21" s="240"/>
      <c r="T21" s="261"/>
      <c r="U21" s="261"/>
      <c r="V21" s="261"/>
      <c r="W21" s="261"/>
      <c r="X21" s="261"/>
      <c r="Y21" s="261"/>
      <c r="Z21" s="261"/>
    </row>
    <row r="22" spans="1:29" ht="15.75" x14ac:dyDescent="0.2">
      <c r="A22" s="976"/>
      <c r="B22" s="990">
        <v>2</v>
      </c>
      <c r="C22" s="369" t="s">
        <v>883</v>
      </c>
      <c r="D22" s="991" t="e">
        <f>INDEX(Data!G:G,MATCH(Import_LA_Code,Ref_LA_Codes,0))</f>
        <v>#N/A</v>
      </c>
      <c r="E22" s="991">
        <f>+'Part 2'!$AB$44</f>
        <v>0</v>
      </c>
      <c r="F22" s="991"/>
      <c r="G22" s="991" t="e">
        <f t="shared" ref="G22:G28" si="0">ABS(+E22-D22)</f>
        <v>#N/A</v>
      </c>
      <c r="H22" s="992" t="e">
        <f t="shared" ref="H22:H28" si="1">IF(AND(D22=0,E22=0),0,IF(AND(D22=0,E22&lt;&gt;0),1,G22/ABS((D22))))</f>
        <v>#N/A</v>
      </c>
      <c r="I22" s="993"/>
      <c r="J22" s="994">
        <v>700000</v>
      </c>
      <c r="K22" s="992">
        <v>0.05</v>
      </c>
      <c r="L22" s="992"/>
      <c r="M22" s="995" t="e">
        <f t="shared" ref="M22:M28" si="2">IF(O22&lt;&gt;"","Comment made", IF(AND(ABS(H22)&gt;K22,ABS(G22)&gt;J22),"Please comment","OK"))</f>
        <v>#N/A</v>
      </c>
      <c r="N22" s="996"/>
      <c r="O22" s="442"/>
      <c r="P22" s="989"/>
      <c r="S22" s="240"/>
      <c r="T22" s="261"/>
      <c r="U22" s="261"/>
      <c r="V22" s="261"/>
      <c r="W22" s="261"/>
      <c r="X22" s="261"/>
      <c r="Y22" s="261" t="e">
        <f t="shared" ref="Y22:Y43" si="3">IF(M22="OK",0,1)</f>
        <v>#N/A</v>
      </c>
      <c r="Z22" s="261"/>
      <c r="AA22" s="232">
        <v>700000</v>
      </c>
      <c r="AB22" s="232">
        <v>0.05</v>
      </c>
      <c r="AC22" s="232">
        <f t="shared" ref="AC22:AC28" si="4">IF(AND(J22=AA22,K22=AB22),0,1)</f>
        <v>0</v>
      </c>
    </row>
    <row r="23" spans="1:29" ht="15.75" x14ac:dyDescent="0.2">
      <c r="A23" s="976"/>
      <c r="B23" s="997">
        <v>3</v>
      </c>
      <c r="C23" s="258" t="s">
        <v>872</v>
      </c>
      <c r="D23" s="714" t="e">
        <f>INDEX(Data!H:H,MATCH(Import_LA_Code,Ref_LA_Codes,0))</f>
        <v>#N/A</v>
      </c>
      <c r="E23" s="714">
        <f>+'Part 2'!$AB$50</f>
        <v>0</v>
      </c>
      <c r="F23" s="714"/>
      <c r="G23" s="714" t="e">
        <f t="shared" si="0"/>
        <v>#N/A</v>
      </c>
      <c r="H23" s="283" t="e">
        <f t="shared" si="1"/>
        <v>#N/A</v>
      </c>
      <c r="I23" s="284"/>
      <c r="J23" s="988">
        <v>0</v>
      </c>
      <c r="K23" s="283">
        <v>0.1</v>
      </c>
      <c r="L23" s="283"/>
      <c r="M23" s="968" t="e">
        <f t="shared" si="2"/>
        <v>#N/A</v>
      </c>
      <c r="N23" s="998"/>
      <c r="O23" s="443"/>
      <c r="P23" s="989"/>
      <c r="T23" s="261"/>
      <c r="U23" s="261"/>
      <c r="V23" s="261"/>
      <c r="W23" s="261"/>
      <c r="X23" s="261"/>
      <c r="Y23" s="261" t="e">
        <f t="shared" si="3"/>
        <v>#N/A</v>
      </c>
      <c r="Z23" s="261"/>
      <c r="AA23" s="232">
        <v>0</v>
      </c>
      <c r="AB23" s="232">
        <v>0.1</v>
      </c>
      <c r="AC23" s="232">
        <f t="shared" si="4"/>
        <v>0</v>
      </c>
    </row>
    <row r="24" spans="1:29" ht="15.75" x14ac:dyDescent="0.2">
      <c r="A24" s="976"/>
      <c r="B24" s="997">
        <v>4</v>
      </c>
      <c r="C24" s="258" t="s">
        <v>873</v>
      </c>
      <c r="D24" s="714" t="e">
        <f>INDEX(Data!I:I,MATCH(Import_LA_Code,Ref_LA_Codes,0))</f>
        <v>#N/A</v>
      </c>
      <c r="E24" s="714">
        <f>+'Part 2'!$AB$53</f>
        <v>0</v>
      </c>
      <c r="F24" s="714"/>
      <c r="G24" s="714" t="e">
        <f t="shared" si="0"/>
        <v>#N/A</v>
      </c>
      <c r="H24" s="283" t="e">
        <f t="shared" si="1"/>
        <v>#N/A</v>
      </c>
      <c r="I24" s="284"/>
      <c r="J24" s="988">
        <v>20000</v>
      </c>
      <c r="K24" s="283">
        <v>0.2</v>
      </c>
      <c r="L24" s="283"/>
      <c r="M24" s="968" t="e">
        <f t="shared" si="2"/>
        <v>#N/A</v>
      </c>
      <c r="N24" s="998"/>
      <c r="O24" s="443"/>
      <c r="P24" s="989"/>
      <c r="T24" s="261"/>
      <c r="U24" s="261"/>
      <c r="V24" s="261"/>
      <c r="W24" s="261"/>
      <c r="X24" s="261"/>
      <c r="Y24" s="261" t="e">
        <f t="shared" si="3"/>
        <v>#N/A</v>
      </c>
      <c r="Z24" s="261"/>
      <c r="AA24" s="232">
        <v>20000</v>
      </c>
      <c r="AB24" s="232">
        <v>0.2</v>
      </c>
      <c r="AC24" s="232">
        <f t="shared" si="4"/>
        <v>0</v>
      </c>
    </row>
    <row r="25" spans="1:29" ht="15.75" x14ac:dyDescent="0.2">
      <c r="A25" s="976"/>
      <c r="B25" s="997">
        <v>5</v>
      </c>
      <c r="C25" s="258" t="s">
        <v>5888</v>
      </c>
      <c r="D25" s="714" t="e">
        <f>INDEX(Data!J:J,MATCH(Import_LA_Code,Ref_LA_Codes,0))</f>
        <v>#N/A</v>
      </c>
      <c r="E25" s="714">
        <f>+'Part 2'!$AB$56</f>
        <v>0</v>
      </c>
      <c r="F25" s="714"/>
      <c r="G25" s="714" t="e">
        <f t="shared" si="0"/>
        <v>#N/A</v>
      </c>
      <c r="H25" s="283" t="e">
        <f t="shared" si="1"/>
        <v>#N/A</v>
      </c>
      <c r="I25" s="284"/>
      <c r="J25" s="988">
        <v>10000</v>
      </c>
      <c r="K25" s="283">
        <v>0.1</v>
      </c>
      <c r="L25" s="283"/>
      <c r="M25" s="968" t="e">
        <f t="shared" si="2"/>
        <v>#N/A</v>
      </c>
      <c r="N25" s="998"/>
      <c r="O25" s="443"/>
      <c r="P25" s="989"/>
      <c r="T25" s="261"/>
      <c r="U25" s="261"/>
      <c r="V25" s="261"/>
      <c r="W25" s="261"/>
      <c r="X25" s="261"/>
      <c r="Y25" s="261" t="e">
        <f t="shared" si="3"/>
        <v>#N/A</v>
      </c>
      <c r="Z25" s="261"/>
      <c r="AA25" s="232">
        <v>10000</v>
      </c>
      <c r="AB25" s="232">
        <v>0.1</v>
      </c>
      <c r="AC25" s="232">
        <f t="shared" si="4"/>
        <v>0</v>
      </c>
    </row>
    <row r="26" spans="1:29" ht="15.75" x14ac:dyDescent="0.2">
      <c r="A26" s="976"/>
      <c r="B26" s="997">
        <v>6</v>
      </c>
      <c r="C26" s="258" t="s">
        <v>2328</v>
      </c>
      <c r="D26" s="714" t="e">
        <f>INDEX(Data!K:K,MATCH(Import_LA_Code,Ref_LA_Codes,0))</f>
        <v>#N/A</v>
      </c>
      <c r="E26" s="714">
        <f>'Part 2'!AB59</f>
        <v>0</v>
      </c>
      <c r="F26" s="714"/>
      <c r="G26" s="714" t="e">
        <f t="shared" ref="G26" si="5">ABS(+E26-D26)</f>
        <v>#N/A</v>
      </c>
      <c r="H26" s="283" t="e">
        <f t="shared" ref="H26" si="6">IF(AND(D26=0,E26=0),0,IF(AND(D26=0,E26&lt;&gt;0),1,G26/ABS((D26))))</f>
        <v>#N/A</v>
      </c>
      <c r="I26" s="284"/>
      <c r="J26" s="988">
        <v>5000</v>
      </c>
      <c r="K26" s="283">
        <v>0.15</v>
      </c>
      <c r="L26" s="283"/>
      <c r="M26" s="968" t="e">
        <f t="shared" si="2"/>
        <v>#N/A</v>
      </c>
      <c r="N26" s="998"/>
      <c r="O26" s="443"/>
      <c r="P26" s="999"/>
      <c r="T26" s="261"/>
      <c r="U26" s="261"/>
      <c r="V26" s="261"/>
      <c r="W26" s="261"/>
      <c r="X26" s="261"/>
      <c r="Y26" s="261" t="e">
        <f t="shared" si="3"/>
        <v>#N/A</v>
      </c>
      <c r="Z26" s="261"/>
      <c r="AA26" s="232">
        <v>5000</v>
      </c>
      <c r="AB26" s="232">
        <v>0.15</v>
      </c>
      <c r="AC26" s="232">
        <f t="shared" si="4"/>
        <v>0</v>
      </c>
    </row>
    <row r="27" spans="1:29" ht="15.75" x14ac:dyDescent="0.2">
      <c r="A27" s="976"/>
      <c r="B27" s="997">
        <v>7</v>
      </c>
      <c r="C27" s="258" t="s">
        <v>874</v>
      </c>
      <c r="D27" s="714" t="e">
        <f>INDEX(Data!L:L,MATCH(Import_LA_Code,Ref_LA_Codes,0))</f>
        <v>#N/A</v>
      </c>
      <c r="E27" s="714">
        <f>+'Part 2'!$AB$83</f>
        <v>0</v>
      </c>
      <c r="F27" s="714"/>
      <c r="G27" s="714" t="e">
        <f t="shared" si="0"/>
        <v>#N/A</v>
      </c>
      <c r="H27" s="283" t="e">
        <f t="shared" si="1"/>
        <v>#N/A</v>
      </c>
      <c r="I27" s="284"/>
      <c r="J27" s="988">
        <v>75000</v>
      </c>
      <c r="K27" s="283">
        <v>0.2</v>
      </c>
      <c r="L27" s="283"/>
      <c r="M27" s="968" t="e">
        <f t="shared" si="2"/>
        <v>#N/A</v>
      </c>
      <c r="N27" s="998"/>
      <c r="O27" s="443"/>
      <c r="P27" s="989"/>
      <c r="T27" s="261"/>
      <c r="U27" s="261"/>
      <c r="V27" s="261"/>
      <c r="W27" s="261"/>
      <c r="X27" s="261"/>
      <c r="Y27" s="261" t="e">
        <f t="shared" si="3"/>
        <v>#N/A</v>
      </c>
      <c r="Z27" s="261"/>
      <c r="AA27" s="232">
        <v>75000</v>
      </c>
      <c r="AB27" s="232">
        <v>0.2</v>
      </c>
      <c r="AC27" s="232">
        <f t="shared" si="4"/>
        <v>0</v>
      </c>
    </row>
    <row r="28" spans="1:29" ht="16.5" thickBot="1" x14ac:dyDescent="0.25">
      <c r="A28" s="976"/>
      <c r="B28" s="1000">
        <v>8</v>
      </c>
      <c r="C28" s="1001" t="s">
        <v>875</v>
      </c>
      <c r="D28" s="1002" t="e">
        <f>INDEX(Data!M:M,MATCH(Import_LA_Code,Ref_LA_Codes,0))</f>
        <v>#N/A</v>
      </c>
      <c r="E28" s="1002">
        <f>+'Part 2'!$AB$86</f>
        <v>0</v>
      </c>
      <c r="F28" s="1002"/>
      <c r="G28" s="1002" t="e">
        <f t="shared" si="0"/>
        <v>#N/A</v>
      </c>
      <c r="H28" s="1003" t="e">
        <f t="shared" si="1"/>
        <v>#N/A</v>
      </c>
      <c r="I28" s="1004"/>
      <c r="J28" s="1005">
        <v>750000</v>
      </c>
      <c r="K28" s="1003">
        <v>0.25</v>
      </c>
      <c r="L28" s="1003"/>
      <c r="M28" s="970" t="e">
        <f t="shared" si="2"/>
        <v>#N/A</v>
      </c>
      <c r="N28" s="1006"/>
      <c r="O28" s="444"/>
      <c r="P28" s="989"/>
      <c r="T28" s="261"/>
      <c r="U28" s="261"/>
      <c r="V28" s="261"/>
      <c r="W28" s="261"/>
      <c r="X28" s="261"/>
      <c r="Y28" s="261" t="e">
        <f t="shared" si="3"/>
        <v>#N/A</v>
      </c>
      <c r="Z28" s="261"/>
      <c r="AA28" s="232">
        <v>750000</v>
      </c>
      <c r="AB28" s="232">
        <v>0.25</v>
      </c>
      <c r="AC28" s="232">
        <f t="shared" si="4"/>
        <v>0</v>
      </c>
    </row>
    <row r="29" spans="1:29" ht="15.75" x14ac:dyDescent="0.2">
      <c r="A29" s="1008"/>
      <c r="B29" s="987"/>
      <c r="C29" s="258"/>
      <c r="D29" s="714"/>
      <c r="E29" s="714"/>
      <c r="F29" s="714"/>
      <c r="G29" s="566"/>
      <c r="H29" s="1007"/>
      <c r="I29" s="566"/>
      <c r="J29" s="987"/>
      <c r="K29" s="987"/>
      <c r="L29" s="987"/>
      <c r="M29" s="257"/>
      <c r="N29" s="987"/>
      <c r="O29" s="260"/>
      <c r="P29" s="1009"/>
      <c r="T29" s="261"/>
      <c r="U29" s="261"/>
      <c r="V29" s="261"/>
      <c r="W29" s="261"/>
      <c r="X29" s="261"/>
      <c r="Y29" s="261"/>
      <c r="Z29" s="261"/>
    </row>
    <row r="30" spans="1:29" ht="16.5" thickBot="1" x14ac:dyDescent="0.3">
      <c r="A30" s="976"/>
      <c r="B30" s="987"/>
      <c r="C30" s="259" t="s">
        <v>868</v>
      </c>
      <c r="D30" s="278" t="s">
        <v>2695</v>
      </c>
      <c r="E30" s="278" t="s">
        <v>3086</v>
      </c>
      <c r="F30" s="714"/>
      <c r="G30" s="979" t="s">
        <v>864</v>
      </c>
      <c r="H30" s="979" t="s">
        <v>246</v>
      </c>
      <c r="I30" s="979"/>
      <c r="J30" s="979" t="s">
        <v>864</v>
      </c>
      <c r="K30" s="979" t="s">
        <v>246</v>
      </c>
      <c r="L30" s="987"/>
      <c r="M30" s="257"/>
      <c r="N30" s="987"/>
      <c r="O30" s="260"/>
      <c r="P30" s="989"/>
      <c r="T30" s="261"/>
      <c r="U30" s="261"/>
      <c r="V30" s="261"/>
      <c r="W30" s="261"/>
      <c r="X30" s="261"/>
      <c r="Y30" s="261"/>
      <c r="Z30" s="261"/>
    </row>
    <row r="31" spans="1:29" ht="15.75" x14ac:dyDescent="0.2">
      <c r="A31" s="976"/>
      <c r="B31" s="990">
        <f>+B28+1</f>
        <v>9</v>
      </c>
      <c r="C31" s="369" t="s">
        <v>872</v>
      </c>
      <c r="D31" s="991" t="e">
        <f>INDEX(Data!N:N,MATCH(Import_LA_Code,Ref_LA_Codes,0))</f>
        <v>#N/A</v>
      </c>
      <c r="E31" s="991">
        <f>+'Part 2'!$AB$102</f>
        <v>0</v>
      </c>
      <c r="F31" s="991"/>
      <c r="G31" s="991" t="e">
        <f>ABS(+E31-D31)</f>
        <v>#N/A</v>
      </c>
      <c r="H31" s="992" t="e">
        <f t="shared" ref="H31:H37" si="7">IF(AND(D31=0,E31=0),0,IF(AND(D31=0,E31&lt;&gt;0),1,G31/ABS((D31))))</f>
        <v>#N/A</v>
      </c>
      <c r="I31" s="993"/>
      <c r="J31" s="994">
        <v>50000</v>
      </c>
      <c r="K31" s="992">
        <v>0.25</v>
      </c>
      <c r="L31" s="992"/>
      <c r="M31" s="995" t="e">
        <f t="shared" ref="M31:M37" si="8">IF(O31&lt;&gt;"","Comment made", IF(AND(ABS(H31)&gt;K31,ABS(G31)&gt;J31),"Please comment","OK"))</f>
        <v>#N/A</v>
      </c>
      <c r="N31" s="996"/>
      <c r="O31" s="442"/>
      <c r="P31" s="989"/>
      <c r="T31" s="261"/>
      <c r="U31" s="261"/>
      <c r="V31" s="261"/>
      <c r="W31" s="261"/>
      <c r="X31" s="261"/>
      <c r="Y31" s="261" t="e">
        <f t="shared" si="3"/>
        <v>#N/A</v>
      </c>
      <c r="Z31" s="261"/>
      <c r="AA31" s="232">
        <v>50000</v>
      </c>
      <c r="AB31" s="232">
        <v>0.25</v>
      </c>
      <c r="AC31" s="232">
        <f t="shared" ref="AC31:AC37" si="9">IF(AND(J31=AA31,K31=AB31),0,1)</f>
        <v>0</v>
      </c>
    </row>
    <row r="32" spans="1:29" ht="15.75" x14ac:dyDescent="0.2">
      <c r="A32" s="976"/>
      <c r="B32" s="997">
        <f>+B31+1</f>
        <v>10</v>
      </c>
      <c r="C32" s="258" t="s">
        <v>869</v>
      </c>
      <c r="D32" s="714" t="e">
        <f>INDEX(Data!O:O,MATCH(Import_LA_Code,Ref_LA_Codes,0))</f>
        <v>#N/A</v>
      </c>
      <c r="E32" s="714">
        <f>+'Part 2'!$AB$105</f>
        <v>0</v>
      </c>
      <c r="F32" s="714"/>
      <c r="G32" s="714" t="e">
        <f>ABS(+E32-D32)</f>
        <v>#N/A</v>
      </c>
      <c r="H32" s="283" t="e">
        <f t="shared" si="7"/>
        <v>#N/A</v>
      </c>
      <c r="I32" s="284"/>
      <c r="J32" s="988">
        <v>50000</v>
      </c>
      <c r="K32" s="283">
        <v>0.25</v>
      </c>
      <c r="L32" s="283"/>
      <c r="M32" s="968" t="e">
        <f t="shared" si="8"/>
        <v>#N/A</v>
      </c>
      <c r="N32" s="998"/>
      <c r="O32" s="443"/>
      <c r="P32" s="989"/>
      <c r="T32" s="261"/>
      <c r="U32" s="261"/>
      <c r="V32" s="261"/>
      <c r="W32" s="261"/>
      <c r="X32" s="261"/>
      <c r="Y32" s="261" t="e">
        <f t="shared" si="3"/>
        <v>#N/A</v>
      </c>
      <c r="Z32" s="261"/>
      <c r="AA32" s="232">
        <v>50000</v>
      </c>
      <c r="AB32" s="232">
        <v>0.25</v>
      </c>
      <c r="AC32" s="232">
        <f t="shared" si="9"/>
        <v>0</v>
      </c>
    </row>
    <row r="33" spans="1:29" ht="15.75" x14ac:dyDescent="0.2">
      <c r="A33" s="976"/>
      <c r="B33" s="997">
        <f t="shared" ref="B33:B38" si="10">+B32+1</f>
        <v>11</v>
      </c>
      <c r="C33" s="258" t="s">
        <v>866</v>
      </c>
      <c r="D33" s="714" t="e">
        <f>INDEX(Data!P:P,MATCH(Import_LA_Code,Ref_LA_Codes,0))</f>
        <v>#N/A</v>
      </c>
      <c r="E33" s="714">
        <f>+'Part 2'!$AB$108</f>
        <v>0</v>
      </c>
      <c r="F33" s="714"/>
      <c r="G33" s="714" t="e">
        <f>ABS(+E33-D33)</f>
        <v>#N/A</v>
      </c>
      <c r="H33" s="283" t="e">
        <f t="shared" si="7"/>
        <v>#N/A</v>
      </c>
      <c r="I33" s="284"/>
      <c r="J33" s="988">
        <v>5000</v>
      </c>
      <c r="K33" s="283">
        <v>0.25</v>
      </c>
      <c r="L33" s="283"/>
      <c r="M33" s="968" t="e">
        <f t="shared" si="8"/>
        <v>#N/A</v>
      </c>
      <c r="N33" s="998"/>
      <c r="O33" s="443"/>
      <c r="P33" s="989"/>
      <c r="T33" s="261"/>
      <c r="U33" s="261"/>
      <c r="V33" s="261"/>
      <c r="W33" s="261"/>
      <c r="X33" s="261"/>
      <c r="Y33" s="261" t="e">
        <f t="shared" si="3"/>
        <v>#N/A</v>
      </c>
      <c r="Z33" s="261"/>
      <c r="AA33" s="232">
        <v>5000</v>
      </c>
      <c r="AB33" s="232">
        <v>0.25</v>
      </c>
      <c r="AC33" s="232">
        <f t="shared" si="9"/>
        <v>0</v>
      </c>
    </row>
    <row r="34" spans="1:29" ht="15.75" x14ac:dyDescent="0.2">
      <c r="A34" s="976"/>
      <c r="B34" s="997">
        <f>+B33+1</f>
        <v>12</v>
      </c>
      <c r="C34" s="258" t="s">
        <v>870</v>
      </c>
      <c r="D34" s="714" t="e">
        <f>INDEX(Data!Q:Q,MATCH(Import_LA_Code,Ref_LA_Codes,0))</f>
        <v>#N/A</v>
      </c>
      <c r="E34" s="714">
        <f>+'Part 2'!$AB$111</f>
        <v>0</v>
      </c>
      <c r="F34" s="714"/>
      <c r="G34" s="714" t="e">
        <f t="shared" ref="G34:G37" si="11">ABS(+E34-D34)</f>
        <v>#N/A</v>
      </c>
      <c r="H34" s="283" t="e">
        <f t="shared" si="7"/>
        <v>#N/A</v>
      </c>
      <c r="I34" s="284"/>
      <c r="J34" s="988">
        <v>5000</v>
      </c>
      <c r="K34" s="283">
        <v>0.25</v>
      </c>
      <c r="L34" s="283"/>
      <c r="M34" s="968" t="e">
        <f t="shared" si="8"/>
        <v>#N/A</v>
      </c>
      <c r="N34" s="998"/>
      <c r="O34" s="443"/>
      <c r="P34" s="989"/>
      <c r="T34" s="261"/>
      <c r="U34" s="261"/>
      <c r="V34" s="261"/>
      <c r="W34" s="261"/>
      <c r="X34" s="261"/>
      <c r="Y34" s="261" t="e">
        <f t="shared" si="3"/>
        <v>#N/A</v>
      </c>
      <c r="Z34" s="261"/>
      <c r="AA34" s="232">
        <v>5000</v>
      </c>
      <c r="AB34" s="232">
        <v>0.25</v>
      </c>
      <c r="AC34" s="232">
        <f t="shared" si="9"/>
        <v>0</v>
      </c>
    </row>
    <row r="35" spans="1:29" ht="15.75" x14ac:dyDescent="0.2">
      <c r="A35" s="976"/>
      <c r="B35" s="997">
        <f t="shared" si="10"/>
        <v>13</v>
      </c>
      <c r="C35" s="258" t="s">
        <v>871</v>
      </c>
      <c r="D35" s="714" t="e">
        <f>INDEX(Data!R:R,MATCH(Import_LA_Code,Ref_LA_Codes,0))</f>
        <v>#N/A</v>
      </c>
      <c r="E35" s="714">
        <f>+'Part 2'!$AB$114</f>
        <v>0</v>
      </c>
      <c r="F35" s="714"/>
      <c r="G35" s="714" t="e">
        <f t="shared" si="11"/>
        <v>#N/A</v>
      </c>
      <c r="H35" s="283" t="e">
        <f t="shared" si="7"/>
        <v>#N/A</v>
      </c>
      <c r="I35" s="284"/>
      <c r="J35" s="988">
        <v>100000</v>
      </c>
      <c r="K35" s="283">
        <v>0.25</v>
      </c>
      <c r="L35" s="283"/>
      <c r="M35" s="968" t="e">
        <f t="shared" si="8"/>
        <v>#N/A</v>
      </c>
      <c r="N35" s="998"/>
      <c r="O35" s="443"/>
      <c r="P35" s="989"/>
      <c r="T35" s="261"/>
      <c r="U35" s="261"/>
      <c r="V35" s="261"/>
      <c r="W35" s="261"/>
      <c r="X35" s="261"/>
      <c r="Y35" s="261" t="e">
        <f t="shared" si="3"/>
        <v>#N/A</v>
      </c>
      <c r="Z35" s="261"/>
      <c r="AA35" s="232">
        <v>100000</v>
      </c>
      <c r="AB35" s="232">
        <v>0.25</v>
      </c>
      <c r="AC35" s="232">
        <f t="shared" si="9"/>
        <v>0</v>
      </c>
    </row>
    <row r="36" spans="1:29" ht="15.75" x14ac:dyDescent="0.2">
      <c r="A36" s="976"/>
      <c r="B36" s="997">
        <f t="shared" si="10"/>
        <v>14</v>
      </c>
      <c r="C36" s="258" t="s">
        <v>884</v>
      </c>
      <c r="D36" s="714" t="e">
        <f>INDEX(Data!S:S,MATCH(Import_LA_Code,Ref_LA_Codes,0))</f>
        <v>#N/A</v>
      </c>
      <c r="E36" s="714">
        <f>+'Part 2'!$J$117+'Part 2'!$V$117</f>
        <v>0</v>
      </c>
      <c r="F36" s="714"/>
      <c r="G36" s="714" t="e">
        <f t="shared" si="11"/>
        <v>#N/A</v>
      </c>
      <c r="H36" s="283" t="e">
        <f t="shared" si="7"/>
        <v>#N/A</v>
      </c>
      <c r="I36" s="284"/>
      <c r="J36" s="988">
        <v>25000</v>
      </c>
      <c r="K36" s="283">
        <v>0.25</v>
      </c>
      <c r="L36" s="283"/>
      <c r="M36" s="968" t="e">
        <f t="shared" si="8"/>
        <v>#N/A</v>
      </c>
      <c r="N36" s="998"/>
      <c r="O36" s="443"/>
      <c r="P36" s="989"/>
      <c r="T36" s="261"/>
      <c r="U36" s="261"/>
      <c r="V36" s="261"/>
      <c r="W36" s="261"/>
      <c r="X36" s="261"/>
      <c r="Y36" s="261" t="e">
        <f t="shared" si="3"/>
        <v>#N/A</v>
      </c>
      <c r="Z36" s="261"/>
      <c r="AA36" s="232">
        <v>25000</v>
      </c>
      <c r="AB36" s="232">
        <v>0.25</v>
      </c>
      <c r="AC36" s="232">
        <f t="shared" si="9"/>
        <v>0</v>
      </c>
    </row>
    <row r="37" spans="1:29" ht="15.75" x14ac:dyDescent="0.2">
      <c r="A37" s="976"/>
      <c r="B37" s="997">
        <f t="shared" si="10"/>
        <v>15</v>
      </c>
      <c r="C37" s="258" t="s">
        <v>885</v>
      </c>
      <c r="D37" s="714" t="e">
        <f>INDEX(Data!T:T,MATCH(Import_LA_Code,Ref_LA_Codes,0))</f>
        <v>#N/A</v>
      </c>
      <c r="E37" s="714">
        <f>+'Part 2'!$G$119+'Part 2'!$S$119</f>
        <v>0</v>
      </c>
      <c r="F37" s="714"/>
      <c r="G37" s="714" t="e">
        <f t="shared" si="11"/>
        <v>#N/A</v>
      </c>
      <c r="H37" s="283" t="e">
        <f t="shared" si="7"/>
        <v>#N/A</v>
      </c>
      <c r="I37" s="284"/>
      <c r="J37" s="988">
        <v>0</v>
      </c>
      <c r="K37" s="283">
        <v>0.25</v>
      </c>
      <c r="L37" s="283"/>
      <c r="M37" s="968" t="e">
        <f t="shared" si="8"/>
        <v>#N/A</v>
      </c>
      <c r="N37" s="987"/>
      <c r="O37" s="443"/>
      <c r="P37" s="989"/>
      <c r="T37" s="261"/>
      <c r="U37" s="261"/>
      <c r="V37" s="261"/>
      <c r="W37" s="261"/>
      <c r="X37" s="261"/>
      <c r="Y37" s="261" t="e">
        <f t="shared" si="3"/>
        <v>#N/A</v>
      </c>
      <c r="Z37" s="261"/>
      <c r="AA37" s="232">
        <v>0</v>
      </c>
      <c r="AB37" s="232">
        <v>0.25</v>
      </c>
      <c r="AC37" s="232">
        <f t="shared" si="9"/>
        <v>0</v>
      </c>
    </row>
    <row r="38" spans="1:29" ht="16.5" thickBot="1" x14ac:dyDescent="0.25">
      <c r="A38" s="976"/>
      <c r="B38" s="1010">
        <f t="shared" si="10"/>
        <v>16</v>
      </c>
      <c r="C38" s="793" t="s">
        <v>3064</v>
      </c>
      <c r="D38" s="1002" t="e">
        <f>INDEX(Data!U:U,MATCH(Import_LA_Code,Ref_LA_Codes,0))</f>
        <v>#N/A</v>
      </c>
      <c r="E38" s="1002">
        <f>'Part 2'!$AB$144</f>
        <v>0</v>
      </c>
      <c r="F38" s="1002"/>
      <c r="G38" s="1002" t="e">
        <f t="shared" ref="G38" si="12">ABS(+E38-D38)</f>
        <v>#N/A</v>
      </c>
      <c r="H38" s="1003" t="e">
        <f t="shared" ref="H38" si="13">IF(AND(D38=0,E38=0),0,IF(AND(D38=0,E38&lt;&gt;0),1,G38/ABS((D38))))</f>
        <v>#N/A</v>
      </c>
      <c r="I38" s="1004"/>
      <c r="J38" s="1005">
        <v>0</v>
      </c>
      <c r="K38" s="1003">
        <v>0.5</v>
      </c>
      <c r="L38" s="1003"/>
      <c r="M38" s="970" t="e">
        <f>IF(O38&lt;&gt;"","Comment made", IF(OR(AND(ABS(H38)&gt;K38,ABS(G38)&gt;J38),AND(H38&gt;0.1,E38-D38&gt;0)),"Please comment","OK"))</f>
        <v>#N/A</v>
      </c>
      <c r="N38" s="1011"/>
      <c r="O38" s="444"/>
      <c r="P38" s="999"/>
      <c r="T38" s="261"/>
      <c r="U38" s="261"/>
      <c r="V38" s="261"/>
      <c r="W38" s="261"/>
      <c r="X38" s="261"/>
      <c r="Y38" s="261"/>
      <c r="Z38" s="261"/>
    </row>
    <row r="39" spans="1:29" ht="16.5" thickBot="1" x14ac:dyDescent="0.25">
      <c r="A39" s="976"/>
      <c r="B39" s="987"/>
      <c r="C39" s="258"/>
      <c r="D39" s="714"/>
      <c r="E39" s="714"/>
      <c r="F39" s="714"/>
      <c r="G39" s="714"/>
      <c r="H39" s="283"/>
      <c r="I39" s="284"/>
      <c r="J39" s="988"/>
      <c r="K39" s="283"/>
      <c r="L39" s="283"/>
      <c r="M39" s="968"/>
      <c r="N39" s="968"/>
      <c r="O39" s="968"/>
      <c r="P39" s="977"/>
      <c r="Y39" s="261"/>
    </row>
    <row r="40" spans="1:29" ht="16.5" thickBot="1" x14ac:dyDescent="0.25">
      <c r="A40" s="976"/>
      <c r="B40" s="980">
        <f>+B38+1</f>
        <v>17</v>
      </c>
      <c r="C40" s="370" t="s">
        <v>886</v>
      </c>
      <c r="D40" s="981" t="e">
        <f>INDEX(Data!V:V,MATCH(Import_LA_Code,Ref_LA_Codes,0))</f>
        <v>#N/A</v>
      </c>
      <c r="E40" s="981">
        <f>+'Part 2'!$AB$166</f>
        <v>0</v>
      </c>
      <c r="F40" s="981"/>
      <c r="G40" s="981" t="e">
        <f>ABS(+E40-D40)</f>
        <v>#N/A</v>
      </c>
      <c r="H40" s="982" t="e">
        <f t="shared" ref="H40" si="14">IF(AND(D40=0,E40=0),0,IF(AND(D40=0,E40&lt;&gt;0),1,G40/ABS((D40))))</f>
        <v>#N/A</v>
      </c>
      <c r="I40" s="983"/>
      <c r="J40" s="984">
        <v>0</v>
      </c>
      <c r="K40" s="1012">
        <v>0.125</v>
      </c>
      <c r="L40" s="982"/>
      <c r="M40" s="985" t="e">
        <f>IF(O40&lt;&gt;"","Comment made", IF(AND(ABS(H40)&gt;K40,ABS(G40)&gt;J40),"Please comment","OK"))</f>
        <v>#N/A</v>
      </c>
      <c r="N40" s="1013"/>
      <c r="O40" s="445"/>
      <c r="P40" s="516"/>
      <c r="Y40" s="261" t="e">
        <f t="shared" si="3"/>
        <v>#N/A</v>
      </c>
      <c r="AA40" s="232">
        <v>0</v>
      </c>
      <c r="AB40" s="232">
        <v>7.4999999999999997E-2</v>
      </c>
      <c r="AC40" s="232">
        <f>IF(AND(J40=AA40,K40=AB40),0,1)</f>
        <v>1</v>
      </c>
    </row>
    <row r="41" spans="1:29" ht="15.75" x14ac:dyDescent="0.2">
      <c r="A41" s="976"/>
      <c r="B41" s="987"/>
      <c r="C41" s="258"/>
      <c r="D41" s="714"/>
      <c r="E41" s="714"/>
      <c r="F41" s="714"/>
      <c r="G41" s="714"/>
      <c r="H41" s="283"/>
      <c r="I41" s="566"/>
      <c r="J41" s="988"/>
      <c r="K41" s="283"/>
      <c r="L41" s="987"/>
      <c r="M41" s="968"/>
      <c r="N41" s="987"/>
      <c r="O41" s="960"/>
      <c r="P41" s="516"/>
      <c r="T41" s="1244" t="s">
        <v>5656</v>
      </c>
      <c r="U41" s="1244"/>
      <c r="Y41" s="261"/>
    </row>
    <row r="42" spans="1:29" ht="16.5" thickBot="1" x14ac:dyDescent="0.3">
      <c r="A42" s="976"/>
      <c r="B42" s="987"/>
      <c r="C42" s="259" t="s">
        <v>882</v>
      </c>
      <c r="D42" s="278" t="s">
        <v>2695</v>
      </c>
      <c r="E42" s="278" t="s">
        <v>3086</v>
      </c>
      <c r="F42" s="714"/>
      <c r="G42" s="979" t="s">
        <v>864</v>
      </c>
      <c r="H42" s="979" t="s">
        <v>246</v>
      </c>
      <c r="I42" s="979"/>
      <c r="J42" s="979" t="s">
        <v>864</v>
      </c>
      <c r="K42" s="979" t="s">
        <v>246</v>
      </c>
      <c r="L42" s="987"/>
      <c r="M42" s="968"/>
      <c r="N42" s="987"/>
      <c r="O42" s="960"/>
      <c r="P42" s="516"/>
      <c r="T42" s="1244" t="s">
        <v>5657</v>
      </c>
      <c r="U42" s="1521" t="e">
        <f>IF(INDEX(Data!$AK:$AK,MATCH(Import_LA_Code,Ref_LA_Codes,0))&lt;0,INDEX(Data!$AK:$AK,MATCH(Import_LA_Code,Ref_LA_Codes,0))*-1,0)</f>
        <v>#N/A</v>
      </c>
      <c r="Y42" s="261"/>
      <c r="AA42" s="232" t="s">
        <v>864</v>
      </c>
      <c r="AB42" s="232" t="s">
        <v>246</v>
      </c>
    </row>
    <row r="43" spans="1:29" ht="15.75" x14ac:dyDescent="0.2">
      <c r="A43" s="976"/>
      <c r="B43" s="990">
        <f>+B40+1</f>
        <v>18</v>
      </c>
      <c r="C43" s="369" t="s">
        <v>2248</v>
      </c>
      <c r="D43" s="991" t="e">
        <f>INDEX(Data!W:W,MATCH(Import_LA_Code,Ref_LA_Codes,0))</f>
        <v>#N/A</v>
      </c>
      <c r="E43" s="991">
        <f>'Part 3'!M20</f>
        <v>0</v>
      </c>
      <c r="F43" s="991"/>
      <c r="G43" s="991" t="e">
        <f>ABS(+E43-D43)</f>
        <v>#N/A</v>
      </c>
      <c r="H43" s="992" t="e">
        <f t="shared" ref="H43" si="15">IF(AND(D43=0,E43=0),0,IF(AND(D43=0,E43&lt;&gt;0),1,G43/ABS((D43))))</f>
        <v>#N/A</v>
      </c>
      <c r="I43" s="993"/>
      <c r="J43" s="994">
        <v>2000000</v>
      </c>
      <c r="K43" s="992">
        <v>0.25</v>
      </c>
      <c r="L43" s="992"/>
      <c r="M43" s="995" t="e">
        <f t="shared" ref="M43" si="16">IF(O43&lt;&gt;"","Comment made", IF(AND(ABS(H43)&gt;K43,ABS(G43)&gt;J43),"Please comment","OK"))</f>
        <v>#N/A</v>
      </c>
      <c r="N43" s="996"/>
      <c r="O43" s="442"/>
      <c r="P43" s="516"/>
      <c r="T43" s="1244" t="s">
        <v>5658</v>
      </c>
      <c r="U43" s="1522">
        <f>-1*INDEX(Data!$Z:$Z,MATCH(Import_LA_Code,Ref_LA_Codes,0))</f>
        <v>0</v>
      </c>
      <c r="Y43" s="261" t="e">
        <f t="shared" si="3"/>
        <v>#N/A</v>
      </c>
      <c r="AA43" s="232">
        <v>2000000</v>
      </c>
      <c r="AB43" s="232">
        <v>0.25</v>
      </c>
      <c r="AC43" s="232">
        <f>IF(AND(J43=AA43,K43=AB43),0,1)</f>
        <v>0</v>
      </c>
    </row>
    <row r="44" spans="1:29" s="234" customFormat="1" ht="16.5" thickBot="1" x14ac:dyDescent="0.25">
      <c r="A44" s="1014"/>
      <c r="B44" s="1015">
        <f>+B43+1</f>
        <v>19</v>
      </c>
      <c r="C44" s="371" t="s">
        <v>2249</v>
      </c>
      <c r="D44" s="1016"/>
      <c r="E44" s="1017" t="e">
        <f>+'Part 4'!$J$58</f>
        <v>#N/A</v>
      </c>
      <c r="F44" s="1017"/>
      <c r="G44" s="372" t="s">
        <v>881</v>
      </c>
      <c r="H44" s="372" t="s">
        <v>881</v>
      </c>
      <c r="I44" s="1018"/>
      <c r="J44" s="372">
        <v>0</v>
      </c>
      <c r="K44" s="372" t="s">
        <v>881</v>
      </c>
      <c r="L44" s="1019"/>
      <c r="M44" s="970" t="e">
        <f>IF(O44&lt;&gt;"","Comment made", IF(E44=0,"Please comment","OK"))</f>
        <v>#N/A</v>
      </c>
      <c r="N44" s="1020"/>
      <c r="O44" s="446"/>
      <c r="P44" s="1021"/>
      <c r="T44" s="424" t="s">
        <v>5659</v>
      </c>
      <c r="U44" s="1522">
        <f>-1*(INDEX(Data!$AB:$AB,MATCH(Import_LA_Code,Ref_LA_Codes,0))+INDEX(Data!$AC:$AC,MATCH(Import_LA_Code,Ref_LA_Codes,0)))</f>
        <v>0</v>
      </c>
      <c r="Y44" s="261" t="e">
        <f>IF(M44="OK",0,1)</f>
        <v>#N/A</v>
      </c>
      <c r="AA44" s="234">
        <v>0</v>
      </c>
      <c r="AB44" s="234" t="s">
        <v>881</v>
      </c>
      <c r="AC44" s="232">
        <f>IF(AND(J44=AA44,K44=AB44),0,1)</f>
        <v>0</v>
      </c>
    </row>
    <row r="45" spans="1:29" s="234" customFormat="1" ht="15.75" x14ac:dyDescent="0.2">
      <c r="A45" s="1014"/>
      <c r="B45" s="1022"/>
      <c r="C45" s="581"/>
      <c r="D45" s="1023"/>
      <c r="E45" s="1023"/>
      <c r="F45" s="1023"/>
      <c r="G45" s="582"/>
      <c r="H45" s="582"/>
      <c r="I45" s="1024"/>
      <c r="J45" s="582"/>
      <c r="K45" s="582"/>
      <c r="L45" s="1022"/>
      <c r="M45" s="968"/>
      <c r="N45" s="1022"/>
      <c r="O45" s="1255"/>
      <c r="P45" s="1025"/>
      <c r="T45" s="424" t="s">
        <v>5660</v>
      </c>
      <c r="U45" s="1522">
        <f>-1*INDEX(Data!$AA:$AA,MATCH(Import_LA_Code,Ref_LA_Codes,0))</f>
        <v>0</v>
      </c>
      <c r="Y45" s="261"/>
      <c r="AC45" s="232"/>
    </row>
    <row r="46" spans="1:29" s="234" customFormat="1" ht="16.5" thickBot="1" x14ac:dyDescent="0.25">
      <c r="A46" s="1014"/>
      <c r="B46" s="1022"/>
      <c r="C46" s="581"/>
      <c r="D46" s="583" t="s">
        <v>1196</v>
      </c>
      <c r="E46" s="583" t="s">
        <v>3140</v>
      </c>
      <c r="F46" s="1023"/>
      <c r="G46" s="583" t="s">
        <v>864</v>
      </c>
      <c r="H46" s="582" t="s">
        <v>246</v>
      </c>
      <c r="I46" s="1024"/>
      <c r="J46" s="583" t="s">
        <v>864</v>
      </c>
      <c r="K46" s="582" t="s">
        <v>246</v>
      </c>
      <c r="L46" s="1022"/>
      <c r="M46" s="968"/>
      <c r="N46" s="1022"/>
      <c r="O46" s="1255"/>
      <c r="P46" s="1025"/>
      <c r="T46" s="424" t="s">
        <v>5661</v>
      </c>
      <c r="U46" s="1522">
        <f>-1*(INDEX(Data!$AD:$AD,MATCH(Import_LA_Code,Ref_LA_Codes,0))+INDEX(Data!$AE:$AE,MATCH(Import_LA_Code,Ref_LA_Codes,0))+INDEX(Data!$AF:$AF,MATCH(Import_LA_Code,Ref_LA_Codes,0))+INDEX(Data!$AG:$AG,MATCH(Import_LA_Code,Ref_LA_Codes,0))+INDEX(Data!$AH:$AH,MATCH(Import_LA_Code,Ref_LA_Codes,0))+INDEX(Data!$AI:$AI,MATCH(Import_LA_Code,Ref_LA_Codes,0))+INDEX(Data!$AJ:$AJ,MATCH(Import_LA_Code,Ref_LA_Codes,0)))</f>
        <v>0</v>
      </c>
      <c r="Y46" s="261"/>
      <c r="AA46" s="234" t="s">
        <v>864</v>
      </c>
      <c r="AC46" s="232"/>
    </row>
    <row r="47" spans="1:29" ht="15.75" x14ac:dyDescent="0.2">
      <c r="A47" s="976"/>
      <c r="B47" s="1563">
        <v>20</v>
      </c>
      <c r="C47" s="1636" t="s">
        <v>2250</v>
      </c>
      <c r="D47" s="1637" t="e">
        <f>INDEX(Data!BK:BK,MATCH(Import_LA_Code,Ref_LA_Codes,0))</f>
        <v>#N/A</v>
      </c>
      <c r="E47" s="1638" t="e">
        <f>'Part 4'!$J$11</f>
        <v>#N/A</v>
      </c>
      <c r="F47" s="1638"/>
      <c r="G47" s="1638" t="e">
        <f>ABS(E47-D47)</f>
        <v>#N/A</v>
      </c>
      <c r="H47" s="1639" t="s">
        <v>881</v>
      </c>
      <c r="I47" s="1640"/>
      <c r="J47" s="1639">
        <v>0</v>
      </c>
      <c r="K47" s="1641" t="s">
        <v>881</v>
      </c>
      <c r="L47" s="1642"/>
      <c r="M47" s="966" t="e">
        <f>IF(O47&lt;&gt;"","Comment made", IF(G47&gt;J47,"Please comment","OK"))</f>
        <v>#N/A</v>
      </c>
      <c r="N47" s="1643"/>
      <c r="O47" s="1566"/>
      <c r="P47" s="516"/>
      <c r="Y47" s="261" t="e">
        <f t="shared" ref="Y47:Y48" si="17">IF(M47="OK",0,1)</f>
        <v>#N/A</v>
      </c>
      <c r="AA47" s="232">
        <v>0</v>
      </c>
      <c r="AC47" s="232">
        <f>IF(AND(J47=AA47,K47=AB47),0,1)</f>
        <v>1</v>
      </c>
    </row>
    <row r="48" spans="1:29" ht="30.75" thickBot="1" x14ac:dyDescent="0.25">
      <c r="A48" s="1008"/>
      <c r="B48" s="1015">
        <v>21</v>
      </c>
      <c r="C48" s="1564" t="s">
        <v>5679</v>
      </c>
      <c r="D48" s="1017">
        <f>SUM(U43,U44,U45,U46)</f>
        <v>0</v>
      </c>
      <c r="E48" s="1017">
        <f>SUM('Part 4'!H38,'Part 4'!H41,'Part 4'!H44,'Part 4'!H46)</f>
        <v>0</v>
      </c>
      <c r="F48" s="1017"/>
      <c r="G48" s="1017">
        <f>ABS(E48-D48)</f>
        <v>0</v>
      </c>
      <c r="H48" s="1565" t="s">
        <v>881</v>
      </c>
      <c r="I48" s="1018"/>
      <c r="J48" s="1565">
        <v>0</v>
      </c>
      <c r="K48" s="372" t="s">
        <v>881</v>
      </c>
      <c r="L48" s="1019"/>
      <c r="M48" s="975" t="str">
        <f>IF(O48&lt;&gt;"","Comment made", IF(G48&gt;J48,"Please comment","OK"))</f>
        <v>OK</v>
      </c>
      <c r="N48" s="1028"/>
      <c r="O48" s="446"/>
      <c r="P48" s="977"/>
      <c r="Y48" s="261">
        <f t="shared" si="17"/>
        <v>0</v>
      </c>
      <c r="AA48" s="232">
        <v>0</v>
      </c>
      <c r="AC48" s="232">
        <f>IF(AND(J48=AA48,K48=AB48),0,1)</f>
        <v>1</v>
      </c>
    </row>
    <row r="49" spans="1:29" ht="15.75" x14ac:dyDescent="0.2">
      <c r="A49" s="1008"/>
      <c r="B49" s="1642"/>
      <c r="C49" s="1255"/>
      <c r="D49" s="1023"/>
      <c r="E49" s="1023"/>
      <c r="F49" s="1023"/>
      <c r="G49" s="1023"/>
      <c r="H49" s="1631"/>
      <c r="I49" s="1024"/>
      <c r="J49" s="1631"/>
      <c r="K49" s="582"/>
      <c r="L49" s="1022"/>
      <c r="M49" s="972"/>
      <c r="N49" s="380"/>
      <c r="O49" s="1657"/>
      <c r="P49" s="977"/>
      <c r="Y49" s="261"/>
    </row>
    <row r="50" spans="1:29" ht="16.5" thickBot="1" x14ac:dyDescent="0.3">
      <c r="A50" s="1008"/>
      <c r="B50" s="1019"/>
      <c r="C50" s="1255"/>
      <c r="D50" s="278" t="s">
        <v>2695</v>
      </c>
      <c r="E50" s="278" t="s">
        <v>3086</v>
      </c>
      <c r="F50" s="714"/>
      <c r="G50" s="979" t="s">
        <v>864</v>
      </c>
      <c r="H50" s="979" t="s">
        <v>246</v>
      </c>
      <c r="I50" s="979"/>
      <c r="J50" s="979" t="s">
        <v>864</v>
      </c>
      <c r="K50" s="979" t="s">
        <v>246</v>
      </c>
      <c r="L50" s="1022"/>
      <c r="M50" s="972"/>
      <c r="N50" s="380"/>
      <c r="O50" s="1656"/>
      <c r="P50" s="977"/>
      <c r="Y50" s="261"/>
    </row>
    <row r="51" spans="1:29" ht="30.75" thickBot="1" x14ac:dyDescent="0.25">
      <c r="A51" s="1008"/>
      <c r="B51" s="1644">
        <v>22</v>
      </c>
      <c r="C51" s="1645" t="s">
        <v>5870</v>
      </c>
      <c r="D51" s="1646" t="e">
        <f>INDEX(Data!X:X,MATCH(Import_LA_Code,Ref_LA_Codes,0))/INDEX(Data!Y:Y,MATCH(Import_LA_Code,Ref_LA_Codes,0))</f>
        <v>#N/A</v>
      </c>
      <c r="E51" s="1646">
        <f>IF('Part 2'!AB13 &lt;&gt; 0, ('Part 2'!Y13/'Part 2'!AB13), 0)</f>
        <v>0</v>
      </c>
      <c r="F51" s="1647"/>
      <c r="G51" s="1648" t="s">
        <v>881</v>
      </c>
      <c r="H51" s="1649" t="e">
        <f>ABS(+D51-E51)</f>
        <v>#N/A</v>
      </c>
      <c r="I51" s="1650"/>
      <c r="J51" s="1651" t="s">
        <v>881</v>
      </c>
      <c r="K51" s="1649">
        <v>0.05</v>
      </c>
      <c r="L51" s="1652"/>
      <c r="M51" s="1653" t="e">
        <f>IF(O51&lt;&gt;"","Comment made", IF(H51&gt;K51,"Please comment","OK"))</f>
        <v>#N/A</v>
      </c>
      <c r="N51" s="1654"/>
      <c r="O51" s="1655"/>
      <c r="P51" s="977"/>
      <c r="Y51" s="261"/>
    </row>
    <row r="52" spans="1:29" x14ac:dyDescent="0.2">
      <c r="A52" s="976"/>
      <c r="B52" s="382"/>
      <c r="C52" s="380"/>
      <c r="D52" s="382"/>
      <c r="E52" s="1632"/>
      <c r="F52" s="1632"/>
      <c r="G52" s="382"/>
      <c r="H52" s="382"/>
      <c r="I52" s="382"/>
      <c r="J52" s="380"/>
      <c r="K52" s="380"/>
      <c r="L52" s="380"/>
      <c r="M52" s="380"/>
      <c r="N52" s="380"/>
      <c r="O52" s="382"/>
      <c r="P52" s="516"/>
      <c r="AC52" s="510">
        <f>IF(SUM(AC19:AC48)&gt;0,1,0)</f>
        <v>1</v>
      </c>
    </row>
    <row r="53" spans="1:29" ht="15.75" x14ac:dyDescent="0.25">
      <c r="A53" s="976"/>
      <c r="B53" s="382"/>
      <c r="C53" s="382"/>
      <c r="D53" s="382"/>
      <c r="E53" s="382"/>
      <c r="F53" s="382"/>
      <c r="G53" s="1903" t="s">
        <v>973</v>
      </c>
      <c r="H53" s="1903"/>
      <c r="I53" s="1903"/>
      <c r="J53" s="1903"/>
      <c r="K53" s="1903"/>
      <c r="L53" s="1903"/>
      <c r="M53" s="1633">
        <f>COUNTIF($M$19:$M$51,"Please Comment")</f>
        <v>0</v>
      </c>
      <c r="N53" s="380"/>
      <c r="O53" s="382"/>
      <c r="P53" s="516"/>
    </row>
    <row r="54" spans="1:29" ht="16.5" thickBot="1" x14ac:dyDescent="0.3">
      <c r="A54" s="976"/>
      <c r="B54" s="317" t="s">
        <v>902</v>
      </c>
      <c r="C54" s="382"/>
      <c r="D54" s="382"/>
      <c r="E54" s="382"/>
      <c r="F54" s="382"/>
      <c r="G54" s="316"/>
      <c r="H54" s="316"/>
      <c r="I54" s="316"/>
      <c r="J54" s="316"/>
      <c r="K54" s="316"/>
      <c r="L54" s="316"/>
      <c r="M54" s="380"/>
      <c r="N54" s="380"/>
      <c r="O54" s="382"/>
      <c r="P54" s="516"/>
    </row>
    <row r="55" spans="1:29" ht="77.25" customHeight="1" thickBot="1" x14ac:dyDescent="0.25">
      <c r="A55" s="1026"/>
      <c r="B55" s="1900"/>
      <c r="C55" s="1901"/>
      <c r="D55" s="1901"/>
      <c r="E55" s="1901"/>
      <c r="F55" s="1901"/>
      <c r="G55" s="1901"/>
      <c r="H55" s="1901"/>
      <c r="I55" s="1901"/>
      <c r="J55" s="1901"/>
      <c r="K55" s="1901"/>
      <c r="L55" s="1901"/>
      <c r="M55" s="1901"/>
      <c r="N55" s="1901"/>
      <c r="O55" s="1902"/>
      <c r="P55" s="516"/>
    </row>
    <row r="56" spans="1:29" ht="15.75" thickBot="1" x14ac:dyDescent="0.25">
      <c r="A56" s="1027"/>
      <c r="B56" s="517"/>
      <c r="C56" s="517"/>
      <c r="D56" s="517"/>
      <c r="E56" s="517"/>
      <c r="F56" s="517"/>
      <c r="G56" s="517"/>
      <c r="H56" s="517"/>
      <c r="I56" s="517"/>
      <c r="J56" s="1028"/>
      <c r="K56" s="1028"/>
      <c r="L56" s="1028"/>
      <c r="M56" s="1028"/>
      <c r="N56" s="1028"/>
      <c r="O56" s="517"/>
      <c r="P56" s="518"/>
    </row>
  </sheetData>
  <sheetProtection sheet="1" objects="1" scenarios="1"/>
  <mergeCells count="6">
    <mergeCell ref="B12:O13"/>
    <mergeCell ref="B55:O55"/>
    <mergeCell ref="G53:L53"/>
    <mergeCell ref="D17:E17"/>
    <mergeCell ref="G17:H17"/>
    <mergeCell ref="J17:K17"/>
  </mergeCells>
  <conditionalFormatting sqref="M19 M22:M28 M31:M38">
    <cfRule type="expression" dxfId="46" priority="6">
      <formula>M19="Comment made"</formula>
    </cfRule>
    <cfRule type="expression" dxfId="45" priority="8" stopIfTrue="1">
      <formula>M19="Please comment"</formula>
    </cfRule>
    <cfRule type="expression" dxfId="44" priority="9" stopIfTrue="1">
      <formula>M19="OK"</formula>
    </cfRule>
  </conditionalFormatting>
  <conditionalFormatting sqref="M20:M21 O29:O30">
    <cfRule type="expression" dxfId="43" priority="110" stopIfTrue="1">
      <formula>M20="Please comment"</formula>
    </cfRule>
    <cfRule type="expression" dxfId="42" priority="111" stopIfTrue="1">
      <formula>M20="OK"</formula>
    </cfRule>
  </conditionalFormatting>
  <conditionalFormatting sqref="M40">
    <cfRule type="expression" dxfId="41" priority="14">
      <formula>M40="Comment made"</formula>
    </cfRule>
    <cfRule type="expression" dxfId="40" priority="16" stopIfTrue="1">
      <formula>M40="Please comment"</formula>
    </cfRule>
    <cfRule type="expression" dxfId="39" priority="17" stopIfTrue="1">
      <formula>M40="OK"</formula>
    </cfRule>
  </conditionalFormatting>
  <conditionalFormatting sqref="M43:M51">
    <cfRule type="expression" dxfId="38" priority="3">
      <formula>M43="Comment made"</formula>
    </cfRule>
    <cfRule type="expression" dxfId="37" priority="4" stopIfTrue="1">
      <formula>M43="Please comment"</formula>
    </cfRule>
    <cfRule type="expression" dxfId="36" priority="5" stopIfTrue="1">
      <formula>M43="OK"</formula>
    </cfRule>
  </conditionalFormatting>
  <conditionalFormatting sqref="M54">
    <cfRule type="expression" dxfId="35" priority="99" stopIfTrue="1">
      <formula>AND(M54&lt;&gt;0)=TRUE</formula>
    </cfRule>
  </conditionalFormatting>
  <conditionalFormatting sqref="M39:O39">
    <cfRule type="expression" dxfId="34" priority="71" stopIfTrue="1">
      <formula>M39="Zero in 2014-15"</formula>
    </cfRule>
    <cfRule type="expression" dxfId="33" priority="75" stopIfTrue="1">
      <formula>M39="Please comment"</formula>
    </cfRule>
    <cfRule type="expression" dxfId="32" priority="76" stopIfTrue="1">
      <formula>M39="OK"</formula>
    </cfRule>
  </conditionalFormatting>
  <conditionalFormatting sqref="O19 O22:O28 O31:O38 O40">
    <cfRule type="expression" dxfId="31" priority="98" stopIfTrue="1">
      <formula>AND($M19="Please comment")=TRUE</formula>
    </cfRule>
  </conditionalFormatting>
  <conditionalFormatting sqref="O20:O21">
    <cfRule type="expression" dxfId="30" priority="108" stopIfTrue="1">
      <formula>O20="Please comment"</formula>
    </cfRule>
    <cfRule type="expression" dxfId="29" priority="109" stopIfTrue="1">
      <formula>O20="OK"</formula>
    </cfRule>
  </conditionalFormatting>
  <conditionalFormatting sqref="O43:O51">
    <cfRule type="expression" dxfId="28" priority="1" stopIfTrue="1">
      <formula>AND($M43="Please comment")=TRUE</formula>
    </cfRule>
  </conditionalFormatting>
  <dataValidations count="28">
    <dataValidation type="custom" allowBlank="1" showInputMessage="1" showErrorMessage="1" error="Data entry is not allowed in this cell" sqref="G22:H25 G27:H28 E19 E40 G19:H19 M27:M28 G40:H40 G43:H44 E31:E36 J19:K19 M19 M40 M43:M44 E27:E28 J22:K28 J43:K44 D43:E43 E22:E25 M22:M25 J31:K37 M31:M37 G31:H37 E44 D38:M38 J40:K40 H51:K51 M53 L47:M51 G47:K49" xr:uid="{BACE0E2A-31E4-456B-AD1F-41243E3D3AA7}">
      <formula1>"if(p50=""n/a"")"</formula1>
    </dataValidation>
    <dataValidation allowBlank="1" showInputMessage="1" showErrorMessage="1" error="Data entry is not allowed in this cell" sqref="D19:D25 D39:D42 D44:D46 D50 D27:D37" xr:uid="{0C05931A-B292-4C52-AF97-A359E4431DAC}"/>
    <dataValidation allowBlank="1" showInputMessage="1" showErrorMessage="1" prompt="Part 2 Line 1" sqref="C19 C51" xr:uid="{CF62D336-88D1-480C-A1D0-AD91ABF38376}"/>
    <dataValidation allowBlank="1" showInputMessage="1" showErrorMessage="1" prompt="Part 2 Line 9" sqref="C22" xr:uid="{2788BAD8-F3F8-41E4-A0D0-75F689A10AD6}"/>
    <dataValidation allowBlank="1" showInputMessage="1" showErrorMessage="1" prompt="Part 2 Line 12" sqref="C24" xr:uid="{90741989-AE92-4FD5-BAC4-BE980B47FA04}"/>
    <dataValidation allowBlank="1" showInputMessage="1" showErrorMessage="1" prompt="Part 2 Line 13" sqref="C25" xr:uid="{CA3B2597-9F9F-4F12-846C-F852C0548239}"/>
    <dataValidation allowBlank="1" showInputMessage="1" showErrorMessage="1" prompt="Part 2 Line 11" sqref="C23" xr:uid="{BFD8E5F6-8524-427A-8CF0-C811D7F359F9}"/>
    <dataValidation allowBlank="1" showInputMessage="1" showErrorMessage="1" prompt="Part 2 Line 14" sqref="C26" xr:uid="{237AFC54-B1B9-4C35-8619-E498B1E881C6}"/>
    <dataValidation allowBlank="1" showInputMessage="1" showErrorMessage="1" prompt="Part 2 Line 20" sqref="C27" xr:uid="{2201A324-B5F9-49EE-9700-7B6D904109F9}"/>
    <dataValidation allowBlank="1" showInputMessage="1" showErrorMessage="1" prompt="Part 2 Line 21" sqref="C28" xr:uid="{2AA5BCB6-C49D-4C19-BC22-9B83B32A968B}"/>
    <dataValidation allowBlank="1" showInputMessage="1" showErrorMessage="1" prompt="Part 2 Line 25" sqref="C31" xr:uid="{4DB24756-CA0C-4F20-8F37-2CC20C41193E}"/>
    <dataValidation allowBlank="1" showInputMessage="1" showErrorMessage="1" prompt="Part 2 Line 26" sqref="C32" xr:uid="{246F5D7A-4728-4BED-B15D-A5103BBB40F2}"/>
    <dataValidation allowBlank="1" showInputMessage="1" showErrorMessage="1" prompt="Part 2 Line 27" sqref="C33" xr:uid="{B0CCF7A1-C6E5-4A87-A76A-8B2CFA29749E}"/>
    <dataValidation allowBlank="1" showInputMessage="1" showErrorMessage="1" prompt="Part 2 Line 28" sqref="C34" xr:uid="{36ECC7FA-AE66-4565-BA1A-0C380FA8B934}"/>
    <dataValidation allowBlank="1" showInputMessage="1" showErrorMessage="1" prompt="Part 2 Line 29" sqref="C35" xr:uid="{E964B943-7301-4021-BAA2-E7150719300A}"/>
    <dataValidation allowBlank="1" showInputMessage="1" showErrorMessage="1" prompt="Part 2 Line 30" sqref="C36" xr:uid="{ED96D8E1-F3A2-402D-8824-AC520958D532}"/>
    <dataValidation allowBlank="1" showInputMessage="1" showErrorMessage="1" prompt="Part 2 Line 31" sqref="C37" xr:uid="{7478A574-4566-4107-ABAE-114A1686DE89}"/>
    <dataValidation allowBlank="1" showInputMessage="1" showErrorMessage="1" prompt="Part 2 Line 43" sqref="C40" xr:uid="{EC6C1F7D-47C8-42F4-92B5-0EE25315FCCF}"/>
    <dataValidation allowBlank="1" showInputMessage="1" showErrorMessage="1" prompt="Part 3 Line 3" sqref="C43" xr:uid="{AC2FA88B-66D5-48BF-8B0F-62DFEC39ADEA}"/>
    <dataValidation allowBlank="1" showInputMessage="1" showErrorMessage="1" prompt="Part 4 Line 20" sqref="C44" xr:uid="{37EFF47E-B034-47C5-8646-0B0AF1A2C01D}"/>
    <dataValidation allowBlank="1" showInputMessage="1" showErrorMessage="1" prompt="Part 4 Line 1" sqref="C47" xr:uid="{220327B0-A42A-4FBB-9501-5687B2DE5685}"/>
    <dataValidation allowBlank="1" showInputMessage="1" showErrorMessage="1" prompt="Part 2 Line 38" sqref="C38" xr:uid="{1CB41D3B-1728-4858-A97C-96DE8424E1C9}"/>
    <dataValidation type="custom" allowBlank="1" showInputMessage="1" showErrorMessage="1" sqref="E37" xr:uid="{755C7447-A566-4A8F-8664-8B6CF4FF100C}">
      <formula1>"if(p50=""n/a"")"</formula1>
    </dataValidation>
    <dataValidation type="custom" allowBlank="1" showInputMessage="1" showErrorMessage="1" error="Do not amend" sqref="AA52:AB52 AC19:AC51" xr:uid="{81D39755-C671-4FD2-8BAA-E93DF8BCC0C8}">
      <formula1>"if(az1=""n/a"")"</formula1>
    </dataValidation>
    <dataValidation type="whole" operator="greaterThanOrEqual" allowBlank="1" showInputMessage="1" showErrorMessage="1" errorTitle="Positive number required here" error="This MUST be a positive whole number" sqref="U42" xr:uid="{386D1A85-0833-4A2D-8624-0480D77A0B22}">
      <formula1>0</formula1>
    </dataValidation>
    <dataValidation type="custom" operator="lessThanOrEqual" allowBlank="1" showInputMessage="1" showErrorMessage="1" error="Data entry is not allowed in this cell" sqref="U43:U46" xr:uid="{E07B8DAE-394D-4965-843B-BFCA313D2D0A}">
      <formula1>"az1 = ""na"""</formula1>
    </dataValidation>
    <dataValidation type="custom" allowBlank="1" showInputMessage="1" showErrorMessage="1" error="Data is not allowed in this cell" sqref="D47:E49 D51:E51 G51" xr:uid="{85C0C7ED-CE8E-460D-8B82-FBFA75819F39}">
      <formula1>"if(p50=""n/a"")"</formula1>
    </dataValidation>
    <dataValidation allowBlank="1" showInputMessage="1" showErrorMessage="1" prompt="Part 4 Lines 13, 14, 15, 16" sqref="C48:C50" xr:uid="{E2D32905-1063-4771-9D34-E60E7A939FE8}"/>
  </dataValidations>
  <pageMargins left="0.39370078740157483" right="0.39370078740157483" top="0.39370078740157483" bottom="0.39370078740157483" header="0.31496062992125984" footer="0.31496062992125984"/>
  <pageSetup paperSize="9" scale="57" fitToHeight="0" orientation="landscape" r:id="rId1"/>
  <headerFooter>
    <oddHeader>&amp;C&amp;"Calibri"&amp;10&amp;K000000 OFFICIAL&amp;1#_x000D_</oddHead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autoPageBreaks="0" fitToPage="1"/>
  </sheetPr>
  <dimension ref="A1:BD62"/>
  <sheetViews>
    <sheetView zoomScaleNormal="100" workbookViewId="0"/>
  </sheetViews>
  <sheetFormatPr defaultColWidth="9.140625" defaultRowHeight="15" x14ac:dyDescent="0.2"/>
  <cols>
    <col min="1" max="1" width="3.7109375" style="266" customWidth="1"/>
    <col min="2" max="2" width="10.7109375" style="266" bestFit="1" customWidth="1"/>
    <col min="3" max="3" width="38.85546875" style="266" customWidth="1"/>
    <col min="4" max="4" width="16.7109375" style="266" customWidth="1"/>
    <col min="5" max="5" width="15.7109375" style="266" customWidth="1"/>
    <col min="6" max="6" width="3.7109375" style="266" customWidth="1"/>
    <col min="7" max="7" width="16.7109375" style="266" bestFit="1" customWidth="1"/>
    <col min="8" max="8" width="9.28515625" style="266" bestFit="1" customWidth="1"/>
    <col min="9" max="9" width="3.7109375" style="266" customWidth="1"/>
    <col min="10" max="10" width="12.7109375" style="268" bestFit="1" customWidth="1"/>
    <col min="11" max="11" width="9.28515625" style="268" bestFit="1" customWidth="1"/>
    <col min="12" max="12" width="3.7109375" style="268" customWidth="1"/>
    <col min="13" max="13" width="22.28515625" style="268" customWidth="1"/>
    <col min="14" max="14" width="3.7109375" style="268" customWidth="1"/>
    <col min="15" max="15" width="50.7109375" style="266" customWidth="1"/>
    <col min="16" max="16" width="3.7109375" style="266" customWidth="1"/>
    <col min="17" max="18" width="9.140625" style="266" hidden="1" customWidth="1"/>
    <col min="19" max="19" width="3.7109375" style="266" hidden="1" customWidth="1"/>
    <col min="20" max="53" width="9.140625" style="266" hidden="1" customWidth="1"/>
    <col min="54" max="55" width="9.140625" style="266" customWidth="1"/>
    <col min="56" max="16384" width="9.140625" style="266"/>
  </cols>
  <sheetData>
    <row r="1" spans="1:20" x14ac:dyDescent="0.2">
      <c r="A1" s="267"/>
      <c r="P1" s="269"/>
      <c r="S1" s="270"/>
      <c r="T1" s="271"/>
    </row>
    <row r="2" spans="1:20" ht="20.25" x14ac:dyDescent="0.3">
      <c r="A2" s="859"/>
      <c r="B2" s="861" t="s">
        <v>896</v>
      </c>
      <c r="P2" s="860"/>
      <c r="S2" s="270"/>
      <c r="T2" s="271"/>
    </row>
    <row r="3" spans="1:20" x14ac:dyDescent="0.2">
      <c r="A3" s="859"/>
      <c r="P3" s="860"/>
      <c r="S3" s="270"/>
      <c r="T3" s="271"/>
    </row>
    <row r="4" spans="1:20" ht="15.75" x14ac:dyDescent="0.25">
      <c r="A4" s="267"/>
      <c r="B4" s="745" t="str">
        <f>+CONCATENATE("Local authority : ",+'Part 1'!$K$15,"     ",+'Part 1'!$K$16)</f>
        <v>Local authority : ZZZZ     EZZZZ</v>
      </c>
      <c r="F4" s="272"/>
      <c r="P4" s="269"/>
      <c r="S4" s="273"/>
      <c r="T4" s="274"/>
    </row>
    <row r="5" spans="1:20" ht="15.75" x14ac:dyDescent="0.25">
      <c r="A5" s="267"/>
      <c r="B5" s="745" t="str">
        <f>+CONCATENATE("Local authority contact name : ",+'Part 1'!K17)</f>
        <v xml:space="preserve">Local authority contact name : </v>
      </c>
      <c r="P5" s="269"/>
      <c r="S5" s="275"/>
      <c r="T5" s="274"/>
    </row>
    <row r="6" spans="1:20" ht="15.75" x14ac:dyDescent="0.25">
      <c r="A6" s="267"/>
      <c r="B6" s="745" t="str">
        <f>+CONCATENATE("Local authority contact number : ",+'Part 1'!K18)</f>
        <v xml:space="preserve">Local authority contact number : </v>
      </c>
      <c r="P6" s="269"/>
      <c r="S6" s="275"/>
      <c r="T6" s="274"/>
    </row>
    <row r="7" spans="1:20" ht="15.75" x14ac:dyDescent="0.25">
      <c r="A7" s="267"/>
      <c r="B7" s="745" t="str">
        <f>+CONCATENATE("Local authority contact email address : ",+'Part 1'!K19)</f>
        <v xml:space="preserve">Local authority contact email address : </v>
      </c>
      <c r="P7" s="269"/>
      <c r="S7" s="275"/>
      <c r="T7" s="511"/>
    </row>
    <row r="8" spans="1:20" ht="15.75" x14ac:dyDescent="0.25">
      <c r="A8" s="267"/>
      <c r="B8" s="272"/>
      <c r="P8" s="269"/>
      <c r="S8" s="275"/>
      <c r="T8" s="274"/>
    </row>
    <row r="9" spans="1:20" x14ac:dyDescent="0.2">
      <c r="A9" s="267"/>
      <c r="B9" s="276" t="s">
        <v>245</v>
      </c>
      <c r="C9" s="276"/>
      <c r="P9" s="269"/>
      <c r="S9" s="275"/>
      <c r="T9" s="274"/>
    </row>
    <row r="10" spans="1:20" x14ac:dyDescent="0.2">
      <c r="A10" s="267"/>
      <c r="B10" s="344" t="s">
        <v>3139</v>
      </c>
      <c r="C10" s="276"/>
      <c r="P10" s="269"/>
      <c r="S10" s="275"/>
      <c r="T10" s="274"/>
    </row>
    <row r="11" spans="1:20" ht="15.75" x14ac:dyDescent="0.25">
      <c r="A11" s="267"/>
      <c r="C11" s="272"/>
      <c r="P11" s="269"/>
      <c r="S11" s="275"/>
      <c r="T11" s="274"/>
    </row>
    <row r="12" spans="1:20" s="232" customFormat="1" ht="15.75" customHeight="1" x14ac:dyDescent="0.2">
      <c r="A12" s="235"/>
      <c r="B12" s="1899" t="s">
        <v>2246</v>
      </c>
      <c r="C12" s="1899"/>
      <c r="D12" s="1899"/>
      <c r="E12" s="1899"/>
      <c r="F12" s="1899"/>
      <c r="G12" s="1899"/>
      <c r="H12" s="1899"/>
      <c r="I12" s="1899"/>
      <c r="J12" s="1899"/>
      <c r="K12" s="1899"/>
      <c r="L12" s="1899"/>
      <c r="M12" s="1899"/>
      <c r="N12" s="1899"/>
      <c r="O12" s="1899"/>
      <c r="P12" s="744"/>
      <c r="S12" s="240"/>
      <c r="T12" s="239"/>
    </row>
    <row r="13" spans="1:20" s="232" customFormat="1" ht="15.75" customHeight="1" x14ac:dyDescent="0.2">
      <c r="A13" s="235"/>
      <c r="B13" s="1899"/>
      <c r="C13" s="1899"/>
      <c r="D13" s="1899"/>
      <c r="E13" s="1899"/>
      <c r="F13" s="1899"/>
      <c r="G13" s="1899"/>
      <c r="H13" s="1899"/>
      <c r="I13" s="1899"/>
      <c r="J13" s="1899"/>
      <c r="K13" s="1899"/>
      <c r="L13" s="1899"/>
      <c r="M13" s="1899"/>
      <c r="N13" s="1899"/>
      <c r="O13" s="1899"/>
      <c r="P13" s="744"/>
      <c r="S13" s="240"/>
      <c r="T13" s="239"/>
    </row>
    <row r="14" spans="1:20" s="232" customFormat="1" ht="15.75" x14ac:dyDescent="0.25">
      <c r="A14" s="235"/>
      <c r="B14" s="9"/>
      <c r="C14" s="745"/>
      <c r="D14" s="382"/>
      <c r="E14" s="382"/>
      <c r="F14" s="382"/>
      <c r="G14" s="382"/>
      <c r="H14" s="382"/>
      <c r="I14" s="382"/>
      <c r="J14" s="380"/>
      <c r="K14" s="380"/>
      <c r="L14" s="380"/>
      <c r="M14" s="380"/>
      <c r="N14" s="380"/>
      <c r="O14" s="382"/>
      <c r="P14" s="744"/>
      <c r="S14" s="240"/>
      <c r="T14" s="239"/>
    </row>
    <row r="15" spans="1:20" s="232" customFormat="1" ht="15.75" x14ac:dyDescent="0.25">
      <c r="A15" s="235"/>
      <c r="B15" s="382" t="s">
        <v>2247</v>
      </c>
      <c r="C15" s="745"/>
      <c r="D15" s="382"/>
      <c r="E15" s="382"/>
      <c r="F15" s="382"/>
      <c r="G15" s="382"/>
      <c r="H15" s="382"/>
      <c r="I15" s="382"/>
      <c r="J15" s="380"/>
      <c r="K15" s="380"/>
      <c r="L15" s="380"/>
      <c r="M15" s="380"/>
      <c r="N15" s="380"/>
      <c r="O15" s="382"/>
      <c r="P15" s="744"/>
      <c r="S15" s="240"/>
      <c r="T15" s="239"/>
    </row>
    <row r="16" spans="1:20" s="232" customFormat="1" ht="15.75" x14ac:dyDescent="0.25">
      <c r="A16" s="235"/>
      <c r="B16" s="382"/>
      <c r="C16" s="745"/>
      <c r="D16" s="382"/>
      <c r="E16" s="382"/>
      <c r="F16" s="382"/>
      <c r="G16" s="382"/>
      <c r="H16" s="382"/>
      <c r="I16" s="382"/>
      <c r="J16" s="380"/>
      <c r="K16" s="380"/>
      <c r="L16" s="380"/>
      <c r="M16" s="380"/>
      <c r="N16" s="380"/>
      <c r="O16" s="382"/>
      <c r="P16" s="744"/>
      <c r="S16" s="240"/>
      <c r="T16" s="239"/>
    </row>
    <row r="17" spans="1:56" ht="15.75" x14ac:dyDescent="0.25">
      <c r="A17" s="267"/>
      <c r="D17" s="1911" t="s">
        <v>828</v>
      </c>
      <c r="E17" s="1912"/>
      <c r="F17" s="277"/>
      <c r="G17" s="1911" t="s">
        <v>830</v>
      </c>
      <c r="H17" s="1912"/>
      <c r="I17" s="277"/>
      <c r="J17" s="1911" t="s">
        <v>829</v>
      </c>
      <c r="K17" s="1912"/>
      <c r="L17" s="277"/>
      <c r="P17" s="269"/>
      <c r="S17" s="275"/>
      <c r="T17" s="274"/>
    </row>
    <row r="18" spans="1:56" ht="16.5" thickBot="1" x14ac:dyDescent="0.3">
      <c r="A18" s="267"/>
      <c r="B18" s="268" t="s">
        <v>865</v>
      </c>
      <c r="D18" s="584" t="s">
        <v>2695</v>
      </c>
      <c r="E18" s="584" t="s">
        <v>3086</v>
      </c>
      <c r="F18" s="278"/>
      <c r="G18" s="278" t="s">
        <v>864</v>
      </c>
      <c r="H18" s="278" t="s">
        <v>246</v>
      </c>
      <c r="I18" s="278"/>
      <c r="J18" s="278" t="s">
        <v>864</v>
      </c>
      <c r="K18" s="278" t="s">
        <v>246</v>
      </c>
      <c r="L18" s="278"/>
      <c r="M18" s="279"/>
      <c r="P18" s="269"/>
      <c r="S18" s="275"/>
      <c r="T18" s="274"/>
    </row>
    <row r="19" spans="1:56" ht="16.5" thickBot="1" x14ac:dyDescent="0.3">
      <c r="A19" s="267"/>
      <c r="B19" s="280"/>
      <c r="C19" s="288" t="s">
        <v>867</v>
      </c>
      <c r="D19" s="282"/>
      <c r="E19" s="282"/>
      <c r="F19" s="282"/>
      <c r="G19" s="282"/>
      <c r="H19" s="283"/>
      <c r="I19" s="284"/>
      <c r="J19" s="285"/>
      <c r="K19" s="283"/>
      <c r="L19" s="283"/>
      <c r="M19" s="286"/>
      <c r="N19" s="280"/>
      <c r="O19" s="373" t="s">
        <v>906</v>
      </c>
      <c r="P19" s="289"/>
      <c r="S19" s="275"/>
      <c r="T19" s="274"/>
      <c r="AA19" s="266" t="s">
        <v>1286</v>
      </c>
    </row>
    <row r="20" spans="1:56" ht="15.75" x14ac:dyDescent="0.2">
      <c r="A20" s="267"/>
      <c r="B20" s="347">
        <v>1</v>
      </c>
      <c r="C20" s="348" t="s">
        <v>887</v>
      </c>
      <c r="D20" s="965" t="e">
        <f>INDEX(Data!AL:AL,MATCH(Import_LA_Code,Ref_LA_Codes,0))</f>
        <v>#N/A</v>
      </c>
      <c r="E20" s="349">
        <f>+'Supplementary Information'!$H$24</f>
        <v>0</v>
      </c>
      <c r="F20" s="349"/>
      <c r="G20" s="349" t="e">
        <f t="shared" ref="G20:G25" si="0">+E20-D20</f>
        <v>#N/A</v>
      </c>
      <c r="H20" s="350" t="e">
        <f>IF(AND(D20=0,E20=0),0,IF(AND(D20=0,E20&lt;&gt;0),1,G20/D20))</f>
        <v>#N/A</v>
      </c>
      <c r="I20" s="351"/>
      <c r="J20" s="352">
        <v>20</v>
      </c>
      <c r="K20" s="350">
        <v>0.1</v>
      </c>
      <c r="L20" s="350"/>
      <c r="M20" s="966" t="e">
        <f t="shared" ref="M20:M25" si="1">IF(O20&lt;&gt;"","Comment made", IF(AND(ABS(H20)&gt;K20,ABS(G20)&gt;J20),"Please comment","OK"))</f>
        <v>#N/A</v>
      </c>
      <c r="N20" s="353"/>
      <c r="O20" s="447"/>
      <c r="P20" s="289"/>
      <c r="S20" s="275"/>
      <c r="T20" s="274"/>
      <c r="Y20" s="261" t="e">
        <f>IF(M20="OK",0,1)</f>
        <v>#N/A</v>
      </c>
      <c r="AA20" s="266">
        <v>20</v>
      </c>
      <c r="AB20" s="266">
        <v>0.1</v>
      </c>
      <c r="AC20" s="266">
        <f>IF(AND(J20=AA20,K20=AB20),0,1)</f>
        <v>0</v>
      </c>
    </row>
    <row r="21" spans="1:56" ht="15.75" x14ac:dyDescent="0.2">
      <c r="A21" s="267"/>
      <c r="B21" s="354">
        <v>2</v>
      </c>
      <c r="C21" s="309" t="s">
        <v>888</v>
      </c>
      <c r="D21" s="967" t="e">
        <f>INDEX(Data!AM:AM,MATCH(Import_LA_Code,Ref_LA_Codes,0))</f>
        <v>#N/A</v>
      </c>
      <c r="E21" s="310">
        <f>+'Supplementary Information'!$H$26</f>
        <v>0</v>
      </c>
      <c r="F21" s="310"/>
      <c r="G21" s="310" t="e">
        <f t="shared" si="0"/>
        <v>#N/A</v>
      </c>
      <c r="H21" s="311" t="e">
        <f t="shared" ref="H21:H25" si="2">IF(AND(D21=0,E21=0),0,IF(AND(D21=0,E21&lt;&gt;0),1,G21/D21))</f>
        <v>#N/A</v>
      </c>
      <c r="I21" s="312"/>
      <c r="J21" s="314">
        <v>5</v>
      </c>
      <c r="K21" s="311">
        <v>0</v>
      </c>
      <c r="L21" s="311"/>
      <c r="M21" s="968" t="e">
        <f t="shared" si="1"/>
        <v>#N/A</v>
      </c>
      <c r="N21" s="313"/>
      <c r="O21" s="448"/>
      <c r="P21" s="289"/>
      <c r="S21" s="275"/>
      <c r="T21" s="274"/>
      <c r="Y21" s="261" t="e">
        <f t="shared" ref="Y21:Y25" si="3">IF(M21="OK",0,1)</f>
        <v>#N/A</v>
      </c>
      <c r="AA21" s="266">
        <v>5</v>
      </c>
      <c r="AB21" s="266">
        <v>0</v>
      </c>
      <c r="AC21" s="266">
        <f t="shared" ref="AC21:AC25" si="4">IF(AND(J21=AA21,K21=AB21),0,1)</f>
        <v>0</v>
      </c>
    </row>
    <row r="22" spans="1:56" ht="15.75" x14ac:dyDescent="0.2">
      <c r="A22" s="267"/>
      <c r="B22" s="354">
        <v>3</v>
      </c>
      <c r="C22" s="309" t="s">
        <v>889</v>
      </c>
      <c r="D22" s="967" t="e">
        <f>INDEX(Data!AN:AN,MATCH(Import_LA_Code,Ref_LA_Codes,0))</f>
        <v>#N/A</v>
      </c>
      <c r="E22" s="310">
        <f>+'Supplementary Information'!$H$28</f>
        <v>0</v>
      </c>
      <c r="F22" s="310"/>
      <c r="G22" s="310" t="e">
        <f t="shared" si="0"/>
        <v>#N/A</v>
      </c>
      <c r="H22" s="311" t="e">
        <f t="shared" si="2"/>
        <v>#N/A</v>
      </c>
      <c r="I22" s="312"/>
      <c r="J22" s="314">
        <v>10</v>
      </c>
      <c r="K22" s="311">
        <v>0</v>
      </c>
      <c r="L22" s="311"/>
      <c r="M22" s="968" t="e">
        <f t="shared" si="1"/>
        <v>#N/A</v>
      </c>
      <c r="N22" s="313"/>
      <c r="O22" s="448"/>
      <c r="P22" s="289"/>
      <c r="Y22" s="261" t="e">
        <f t="shared" si="3"/>
        <v>#N/A</v>
      </c>
      <c r="AA22" s="266">
        <v>10</v>
      </c>
      <c r="AB22" s="266">
        <v>0</v>
      </c>
      <c r="AC22" s="266">
        <f t="shared" si="4"/>
        <v>0</v>
      </c>
    </row>
    <row r="23" spans="1:56" ht="15.75" x14ac:dyDescent="0.2">
      <c r="A23" s="267"/>
      <c r="B23" s="354">
        <v>4</v>
      </c>
      <c r="C23" s="309" t="s">
        <v>2260</v>
      </c>
      <c r="D23" s="967" t="e">
        <f>INDEX(Data!AO:AO,MATCH(Import_LA_Code,Ref_LA_Codes,0))</f>
        <v>#N/A</v>
      </c>
      <c r="E23" s="310">
        <f>'Supplementary Information'!H31</f>
        <v>0</v>
      </c>
      <c r="F23" s="310"/>
      <c r="G23" s="310" t="e">
        <f t="shared" ref="G23" si="5">+E23-D23</f>
        <v>#N/A</v>
      </c>
      <c r="H23" s="311" t="e">
        <f t="shared" ref="H23" si="6">IF(AND(D23=0,E23=0),0,IF(AND(D23=0,E23&lt;&gt;0),1,G23/D23))</f>
        <v>#N/A</v>
      </c>
      <c r="I23" s="312"/>
      <c r="J23" s="314">
        <v>5</v>
      </c>
      <c r="K23" s="311">
        <v>0</v>
      </c>
      <c r="L23" s="311"/>
      <c r="M23" s="968" t="e">
        <f t="shared" si="1"/>
        <v>#N/A</v>
      </c>
      <c r="N23" s="313"/>
      <c r="O23" s="448"/>
      <c r="P23" s="715"/>
      <c r="Y23" s="261"/>
    </row>
    <row r="24" spans="1:56" ht="15.75" x14ac:dyDescent="0.2">
      <c r="A24" s="267"/>
      <c r="B24" s="354">
        <v>5</v>
      </c>
      <c r="C24" s="309" t="s">
        <v>890</v>
      </c>
      <c r="D24" s="967" t="e">
        <f>INDEX(Data!AP:AP,MATCH(Import_LA_Code,Ref_LA_Codes,0))</f>
        <v>#N/A</v>
      </c>
      <c r="E24" s="310">
        <f>+'Supplementary Information'!$H$33</f>
        <v>0</v>
      </c>
      <c r="F24" s="310"/>
      <c r="G24" s="310" t="e">
        <f t="shared" si="0"/>
        <v>#N/A</v>
      </c>
      <c r="H24" s="311" t="e">
        <f t="shared" si="2"/>
        <v>#N/A</v>
      </c>
      <c r="I24" s="312"/>
      <c r="J24" s="314">
        <v>5</v>
      </c>
      <c r="K24" s="311">
        <v>0</v>
      </c>
      <c r="L24" s="311"/>
      <c r="M24" s="968" t="e">
        <f t="shared" si="1"/>
        <v>#N/A</v>
      </c>
      <c r="N24" s="313"/>
      <c r="O24" s="448"/>
      <c r="P24" s="289"/>
      <c r="R24" s="290"/>
      <c r="S24" s="290"/>
      <c r="T24" s="290"/>
      <c r="U24" s="290"/>
      <c r="V24" s="290"/>
      <c r="W24" s="290"/>
      <c r="X24" s="290"/>
      <c r="Y24" s="261" t="e">
        <f t="shared" si="3"/>
        <v>#N/A</v>
      </c>
      <c r="Z24" s="290"/>
      <c r="AA24" s="266">
        <v>10</v>
      </c>
      <c r="AB24" s="266">
        <v>0</v>
      </c>
      <c r="AC24" s="266">
        <f t="shared" si="4"/>
        <v>1</v>
      </c>
    </row>
    <row r="25" spans="1:56" ht="16.5" thickBot="1" x14ac:dyDescent="0.25">
      <c r="A25" s="267"/>
      <c r="B25" s="355">
        <v>6</v>
      </c>
      <c r="C25" s="356" t="s">
        <v>891</v>
      </c>
      <c r="D25" s="969" t="e">
        <f>INDEX(Data!AQ:AQ,MATCH(Import_LA_Code,Ref_LA_Codes,0))</f>
        <v>#N/A</v>
      </c>
      <c r="E25" s="357">
        <f>+'Supplementary Information'!$H$35</f>
        <v>0</v>
      </c>
      <c r="F25" s="357"/>
      <c r="G25" s="357" t="e">
        <f t="shared" si="0"/>
        <v>#N/A</v>
      </c>
      <c r="H25" s="358" t="e">
        <f t="shared" si="2"/>
        <v>#N/A</v>
      </c>
      <c r="I25" s="359"/>
      <c r="J25" s="360">
        <v>100</v>
      </c>
      <c r="K25" s="358">
        <v>0.3</v>
      </c>
      <c r="L25" s="358"/>
      <c r="M25" s="970" t="e">
        <f t="shared" si="1"/>
        <v>#N/A</v>
      </c>
      <c r="N25" s="361"/>
      <c r="O25" s="731"/>
      <c r="P25" s="289"/>
      <c r="Y25" s="261" t="e">
        <f t="shared" si="3"/>
        <v>#N/A</v>
      </c>
      <c r="AA25" s="266">
        <v>100</v>
      </c>
      <c r="AB25" s="266">
        <v>0.3</v>
      </c>
      <c r="AC25" s="266">
        <f t="shared" si="4"/>
        <v>0</v>
      </c>
      <c r="BD25" s="266" t="s">
        <v>699</v>
      </c>
    </row>
    <row r="26" spans="1:56" ht="15.75" x14ac:dyDescent="0.2">
      <c r="A26" s="267"/>
      <c r="B26" s="280"/>
      <c r="C26" s="281"/>
      <c r="D26" s="282"/>
      <c r="E26" s="282"/>
      <c r="F26" s="282"/>
      <c r="G26" s="291"/>
      <c r="H26" s="292"/>
      <c r="I26" s="291"/>
      <c r="J26" s="280"/>
      <c r="K26" s="280"/>
      <c r="L26" s="280"/>
      <c r="M26" s="286"/>
      <c r="N26" s="280"/>
      <c r="O26" s="287"/>
      <c r="P26" s="289"/>
    </row>
    <row r="27" spans="1:56" ht="16.5" thickBot="1" x14ac:dyDescent="0.25">
      <c r="A27" s="267"/>
      <c r="B27" s="280"/>
      <c r="C27" s="288" t="s">
        <v>868</v>
      </c>
      <c r="D27" s="282"/>
      <c r="E27" s="282"/>
      <c r="F27" s="282"/>
      <c r="G27" s="291"/>
      <c r="H27" s="292"/>
      <c r="I27" s="291"/>
      <c r="J27" s="280"/>
      <c r="K27" s="280"/>
      <c r="L27" s="280"/>
      <c r="M27" s="286"/>
      <c r="N27" s="280"/>
      <c r="O27" s="287"/>
      <c r="P27" s="289"/>
    </row>
    <row r="28" spans="1:56" ht="15.75" x14ac:dyDescent="0.2">
      <c r="A28" s="267"/>
      <c r="B28" s="347">
        <v>7</v>
      </c>
      <c r="C28" s="348" t="s">
        <v>887</v>
      </c>
      <c r="D28" s="965" t="e">
        <f>INDEX(Data!AR:AR,MATCH(Import_LA_Code,Ref_LA_Codes,0))</f>
        <v>#N/A</v>
      </c>
      <c r="E28" s="349">
        <f>+'Supplementary Information'!$H$50</f>
        <v>0</v>
      </c>
      <c r="F28" s="349"/>
      <c r="G28" s="349" t="e">
        <f t="shared" ref="G28:G38" si="7">+E28-D28</f>
        <v>#N/A</v>
      </c>
      <c r="H28" s="350" t="e">
        <f t="shared" ref="H28:H41" si="8">IF(AND(D28=0,E28=0),0,IF(AND(D28=0,E28&lt;&gt;0),1,G28/D28))</f>
        <v>#N/A</v>
      </c>
      <c r="I28" s="351"/>
      <c r="J28" s="352">
        <v>20</v>
      </c>
      <c r="K28" s="350">
        <v>0.1</v>
      </c>
      <c r="L28" s="350"/>
      <c r="M28" s="966" t="e">
        <f t="shared" ref="M28:M41" si="9">IF(O28&lt;&gt;"","Comment made", IF(AND(ABS(H28)&gt;K28,ABS(G28)&gt;J28),"Please comment","OK"))</f>
        <v>#N/A</v>
      </c>
      <c r="N28" s="353"/>
      <c r="O28" s="449"/>
      <c r="P28" s="289"/>
      <c r="Y28" s="261" t="e">
        <f t="shared" ref="Y28:Y44" si="10">IF(M28="OK",0,1)</f>
        <v>#N/A</v>
      </c>
      <c r="AA28" s="266">
        <v>20</v>
      </c>
      <c r="AB28" s="266">
        <v>0.1</v>
      </c>
      <c r="AC28" s="266">
        <f t="shared" ref="AC28:AC44" si="11">IF(AND(J28=AA28,K28=AB28),0,1)</f>
        <v>0</v>
      </c>
    </row>
    <row r="29" spans="1:56" ht="15.75" x14ac:dyDescent="0.2">
      <c r="A29" s="267"/>
      <c r="B29" s="354">
        <v>8</v>
      </c>
      <c r="C29" s="309" t="s">
        <v>892</v>
      </c>
      <c r="D29" s="967" t="e">
        <f>INDEX(Data!AS:AS,MATCH(Import_LA_Code,Ref_LA_Codes,0))</f>
        <v>#N/A</v>
      </c>
      <c r="E29" s="310">
        <f>+'Supplementary Information'!$H$52</f>
        <v>0</v>
      </c>
      <c r="F29" s="310"/>
      <c r="G29" s="310" t="e">
        <f t="shared" si="7"/>
        <v>#N/A</v>
      </c>
      <c r="H29" s="311" t="e">
        <f t="shared" si="8"/>
        <v>#N/A</v>
      </c>
      <c r="I29" s="312"/>
      <c r="J29" s="314">
        <v>20</v>
      </c>
      <c r="K29" s="311">
        <v>0</v>
      </c>
      <c r="L29" s="311"/>
      <c r="M29" s="968" t="e">
        <f t="shared" si="9"/>
        <v>#N/A</v>
      </c>
      <c r="N29" s="313"/>
      <c r="O29" s="450"/>
      <c r="P29" s="289"/>
      <c r="Y29" s="261" t="e">
        <f t="shared" si="10"/>
        <v>#N/A</v>
      </c>
      <c r="AA29" s="266">
        <v>20</v>
      </c>
      <c r="AB29" s="266">
        <v>0</v>
      </c>
      <c r="AC29" s="266">
        <f t="shared" si="11"/>
        <v>0</v>
      </c>
    </row>
    <row r="30" spans="1:56" ht="15.75" x14ac:dyDescent="0.2">
      <c r="A30" s="267"/>
      <c r="B30" s="354">
        <v>9</v>
      </c>
      <c r="C30" s="309" t="s">
        <v>893</v>
      </c>
      <c r="D30" s="967" t="e">
        <f>INDEX(Data!AT:AT,MATCH(Import_LA_Code,Ref_LA_Codes,0))</f>
        <v>#N/A</v>
      </c>
      <c r="E30" s="310">
        <f>+'Supplementary Information'!$H$54</f>
        <v>0</v>
      </c>
      <c r="F30" s="310"/>
      <c r="G30" s="310" t="e">
        <f t="shared" si="7"/>
        <v>#N/A</v>
      </c>
      <c r="H30" s="311" t="e">
        <f t="shared" si="8"/>
        <v>#N/A</v>
      </c>
      <c r="I30" s="312"/>
      <c r="J30" s="314">
        <v>5</v>
      </c>
      <c r="K30" s="311">
        <v>0</v>
      </c>
      <c r="L30" s="311"/>
      <c r="M30" s="968" t="e">
        <f t="shared" si="9"/>
        <v>#N/A</v>
      </c>
      <c r="N30" s="313"/>
      <c r="O30" s="450"/>
      <c r="P30" s="289"/>
      <c r="Y30" s="261" t="e">
        <f t="shared" si="10"/>
        <v>#N/A</v>
      </c>
      <c r="AA30" s="266">
        <v>5</v>
      </c>
      <c r="AB30" s="266">
        <v>0</v>
      </c>
      <c r="AC30" s="266">
        <f t="shared" si="11"/>
        <v>0</v>
      </c>
    </row>
    <row r="31" spans="1:56" ht="15.75" x14ac:dyDescent="0.2">
      <c r="A31" s="267"/>
      <c r="B31" s="354">
        <v>10</v>
      </c>
      <c r="C31" s="309" t="s">
        <v>894</v>
      </c>
      <c r="D31" s="967" t="e">
        <f>INDEX(Data!AV:AV,MATCH(Import_LA_Code,Ref_LA_Codes,0))</f>
        <v>#N/A</v>
      </c>
      <c r="E31" s="310">
        <f>+'Supplementary Information'!$H$56</f>
        <v>0</v>
      </c>
      <c r="F31" s="310"/>
      <c r="G31" s="310" t="e">
        <f t="shared" si="7"/>
        <v>#N/A</v>
      </c>
      <c r="H31" s="311" t="e">
        <f t="shared" si="8"/>
        <v>#N/A</v>
      </c>
      <c r="I31" s="312"/>
      <c r="J31" s="314">
        <v>4</v>
      </c>
      <c r="K31" s="311">
        <v>0</v>
      </c>
      <c r="L31" s="311"/>
      <c r="M31" s="968" t="e">
        <f t="shared" si="9"/>
        <v>#N/A</v>
      </c>
      <c r="N31" s="313"/>
      <c r="O31" s="450"/>
      <c r="P31" s="289"/>
      <c r="Y31" s="261" t="e">
        <f t="shared" si="10"/>
        <v>#N/A</v>
      </c>
      <c r="AA31" s="266">
        <v>5</v>
      </c>
      <c r="AB31" s="266">
        <v>0</v>
      </c>
      <c r="AC31" s="266">
        <f t="shared" si="11"/>
        <v>1</v>
      </c>
    </row>
    <row r="32" spans="1:56" ht="15.75" x14ac:dyDescent="0.2">
      <c r="A32" s="267"/>
      <c r="B32" s="354">
        <v>11</v>
      </c>
      <c r="C32" s="309" t="s">
        <v>2231</v>
      </c>
      <c r="D32" s="967" t="e">
        <f>INDEX(Data!AW:AW,MATCH(Import_LA_Code,Ref_LA_Codes,0))</f>
        <v>#N/A</v>
      </c>
      <c r="E32" s="310">
        <f>+'Supplementary Information'!$H$58</f>
        <v>0</v>
      </c>
      <c r="F32" s="310"/>
      <c r="G32" s="310" t="e">
        <f t="shared" si="7"/>
        <v>#N/A</v>
      </c>
      <c r="H32" s="311" t="e">
        <f t="shared" si="8"/>
        <v>#N/A</v>
      </c>
      <c r="I32" s="312"/>
      <c r="J32" s="314">
        <v>10</v>
      </c>
      <c r="K32" s="311">
        <v>0</v>
      </c>
      <c r="L32" s="311"/>
      <c r="M32" s="968" t="e">
        <f t="shared" si="9"/>
        <v>#N/A</v>
      </c>
      <c r="N32" s="313"/>
      <c r="O32" s="450"/>
      <c r="P32" s="289"/>
      <c r="Y32" s="261" t="e">
        <f t="shared" si="10"/>
        <v>#N/A</v>
      </c>
      <c r="AA32" s="266">
        <v>10</v>
      </c>
      <c r="AB32" s="266">
        <v>0</v>
      </c>
      <c r="AC32" s="266">
        <f t="shared" si="11"/>
        <v>0</v>
      </c>
    </row>
    <row r="33" spans="1:29" ht="15.75" x14ac:dyDescent="0.2">
      <c r="A33" s="267"/>
      <c r="B33" s="354">
        <v>12</v>
      </c>
      <c r="C33" s="309" t="s">
        <v>895</v>
      </c>
      <c r="D33" s="967" t="e">
        <f>INDEX(Data!AX:AX,MATCH(Import_LA_Code,Ref_LA_Codes,0))</f>
        <v>#N/A</v>
      </c>
      <c r="E33" s="310">
        <f>+'Supplementary Information'!$H$60</f>
        <v>0</v>
      </c>
      <c r="F33" s="310"/>
      <c r="G33" s="310" t="e">
        <f t="shared" si="7"/>
        <v>#N/A</v>
      </c>
      <c r="H33" s="311" t="e">
        <f t="shared" si="8"/>
        <v>#N/A</v>
      </c>
      <c r="I33" s="312"/>
      <c r="J33" s="314">
        <v>20</v>
      </c>
      <c r="K33" s="311">
        <v>0</v>
      </c>
      <c r="L33" s="311"/>
      <c r="M33" s="968" t="e">
        <f t="shared" si="9"/>
        <v>#N/A</v>
      </c>
      <c r="N33" s="313"/>
      <c r="O33" s="732"/>
      <c r="P33" s="289"/>
      <c r="Y33" s="261" t="e">
        <f t="shared" si="10"/>
        <v>#N/A</v>
      </c>
      <c r="AA33" s="266">
        <v>20</v>
      </c>
      <c r="AB33" s="266">
        <v>0</v>
      </c>
      <c r="AC33" s="266">
        <f t="shared" si="11"/>
        <v>0</v>
      </c>
    </row>
    <row r="34" spans="1:29" ht="16.5" thickBot="1" x14ac:dyDescent="0.25">
      <c r="A34" s="267"/>
      <c r="B34" s="355">
        <v>13</v>
      </c>
      <c r="C34" s="309" t="s">
        <v>2674</v>
      </c>
      <c r="D34" s="967" t="e">
        <f>INDEX(Data!AY:AY,MATCH(Import_LA_Code,Ref_LA_Codes,0))</f>
        <v>#N/A</v>
      </c>
      <c r="E34" s="310">
        <f>'Supplementary Information'!$H$68</f>
        <v>0</v>
      </c>
      <c r="F34" s="310"/>
      <c r="G34" s="310" t="e">
        <f t="shared" ref="G34" si="12">+E34-D34</f>
        <v>#N/A</v>
      </c>
      <c r="H34" s="311" t="e">
        <f t="shared" ref="H34" si="13">IF(AND(D34=0,E34=0),0,IF(AND(D34=0,E34&lt;&gt;0),1,G34/D34))</f>
        <v>#N/A</v>
      </c>
      <c r="I34" s="312"/>
      <c r="J34" s="314">
        <v>150</v>
      </c>
      <c r="K34" s="311">
        <v>0.15</v>
      </c>
      <c r="L34" s="311"/>
      <c r="M34" s="970" t="e">
        <f>IF(O34&lt;&gt;"","Comment made", IF(AND(ABS(H34)&gt;K34,ABS(G34)&gt;J34),"Please comment","OK"))</f>
        <v>#N/A</v>
      </c>
      <c r="N34" s="792"/>
      <c r="O34" s="731"/>
      <c r="P34" s="715"/>
      <c r="Y34" s="261" t="e">
        <f t="shared" si="10"/>
        <v>#N/A</v>
      </c>
    </row>
    <row r="35" spans="1:29" ht="15.75" x14ac:dyDescent="0.2">
      <c r="A35" s="267"/>
      <c r="B35" s="1280"/>
      <c r="C35" s="348"/>
      <c r="D35" s="1281"/>
      <c r="E35" s="349"/>
      <c r="F35" s="349"/>
      <c r="G35" s="349"/>
      <c r="H35" s="350"/>
      <c r="I35" s="351"/>
      <c r="J35" s="352"/>
      <c r="K35" s="350"/>
      <c r="L35" s="350"/>
      <c r="M35" s="1282"/>
      <c r="N35" s="1280"/>
      <c r="O35" s="1283"/>
      <c r="P35" s="715"/>
      <c r="Y35" s="261"/>
    </row>
    <row r="36" spans="1:29" ht="16.5" thickBot="1" x14ac:dyDescent="0.25">
      <c r="A36" s="267"/>
      <c r="B36" s="884"/>
      <c r="C36" s="1284" t="s">
        <v>2220</v>
      </c>
      <c r="D36" s="1285"/>
      <c r="E36" s="357"/>
      <c r="F36" s="357"/>
      <c r="G36" s="357"/>
      <c r="H36" s="358"/>
      <c r="I36" s="359"/>
      <c r="J36" s="360"/>
      <c r="K36" s="358"/>
      <c r="L36" s="358"/>
      <c r="M36" s="1286"/>
      <c r="N36" s="884"/>
      <c r="O36" s="881"/>
      <c r="P36" s="715"/>
      <c r="Y36" s="261"/>
    </row>
    <row r="37" spans="1:29" ht="15.75" x14ac:dyDescent="0.2">
      <c r="A37" s="267"/>
      <c r="B37" s="354">
        <v>14</v>
      </c>
      <c r="C37" s="309" t="s">
        <v>900</v>
      </c>
      <c r="D37" s="967" t="e">
        <f>INDEX(Data!AZ:AZ,MATCH(Import_LA_Code,Ref_LA_Codes,0))</f>
        <v>#N/A</v>
      </c>
      <c r="E37" s="310">
        <f>+'Supplementary Information'!$H$73</f>
        <v>0</v>
      </c>
      <c r="F37" s="310"/>
      <c r="G37" s="310" t="e">
        <f t="shared" si="7"/>
        <v>#N/A</v>
      </c>
      <c r="H37" s="311" t="e">
        <f t="shared" si="8"/>
        <v>#N/A</v>
      </c>
      <c r="I37" s="312"/>
      <c r="J37" s="314">
        <v>100</v>
      </c>
      <c r="K37" s="311">
        <v>0.1</v>
      </c>
      <c r="L37" s="311"/>
      <c r="M37" s="968" t="e">
        <f t="shared" si="9"/>
        <v>#N/A</v>
      </c>
      <c r="N37" s="313"/>
      <c r="O37" s="733"/>
      <c r="P37" s="289"/>
      <c r="Y37" s="261" t="e">
        <f t="shared" si="10"/>
        <v>#N/A</v>
      </c>
      <c r="AA37" s="266">
        <v>100</v>
      </c>
      <c r="AB37" s="266">
        <v>0.1</v>
      </c>
      <c r="AC37" s="266">
        <f t="shared" si="11"/>
        <v>0</v>
      </c>
    </row>
    <row r="38" spans="1:29" ht="15.75" x14ac:dyDescent="0.2">
      <c r="A38" s="267"/>
      <c r="B38" s="354">
        <v>15</v>
      </c>
      <c r="C38" s="309" t="s">
        <v>897</v>
      </c>
      <c r="D38" s="967" t="e">
        <f>INDEX(Data!BA:BA,MATCH(Import_LA_Code,Ref_LA_Codes,0))</f>
        <v>#N/A</v>
      </c>
      <c r="E38" s="310">
        <f>+'Supplementary Information'!$H$75</f>
        <v>0</v>
      </c>
      <c r="F38" s="310"/>
      <c r="G38" s="310" t="e">
        <f t="shared" si="7"/>
        <v>#N/A</v>
      </c>
      <c r="H38" s="311" t="e">
        <f t="shared" si="8"/>
        <v>#N/A</v>
      </c>
      <c r="I38" s="312"/>
      <c r="J38" s="314">
        <v>100</v>
      </c>
      <c r="K38" s="311">
        <v>0.1</v>
      </c>
      <c r="L38" s="311"/>
      <c r="M38" s="968" t="e">
        <f t="shared" si="9"/>
        <v>#N/A</v>
      </c>
      <c r="N38" s="313"/>
      <c r="O38" s="448"/>
      <c r="P38" s="289"/>
      <c r="Y38" s="261" t="e">
        <f t="shared" si="10"/>
        <v>#N/A</v>
      </c>
      <c r="AA38" s="266">
        <v>100</v>
      </c>
      <c r="AB38" s="266">
        <v>0.1</v>
      </c>
      <c r="AC38" s="266">
        <f t="shared" si="11"/>
        <v>0</v>
      </c>
    </row>
    <row r="39" spans="1:29" ht="15.75" x14ac:dyDescent="0.2">
      <c r="A39" s="305"/>
      <c r="B39" s="354">
        <v>16</v>
      </c>
      <c r="C39" s="309" t="s">
        <v>972</v>
      </c>
      <c r="D39" s="967" t="e">
        <f>INDEX(Data!BB:BB,MATCH(Import_LA_Code,Ref_LA_Codes,0))</f>
        <v>#N/A</v>
      </c>
      <c r="E39" s="310">
        <f>+'Supplementary Information'!$H$78</f>
        <v>0</v>
      </c>
      <c r="F39" s="310"/>
      <c r="G39" s="310" t="e">
        <f>+E39-D39</f>
        <v>#N/A</v>
      </c>
      <c r="H39" s="311" t="e">
        <f t="shared" si="8"/>
        <v>#N/A</v>
      </c>
      <c r="I39" s="312"/>
      <c r="J39" s="314">
        <v>100</v>
      </c>
      <c r="K39" s="311">
        <v>0.1</v>
      </c>
      <c r="L39" s="311"/>
      <c r="M39" s="968" t="e">
        <f t="shared" si="9"/>
        <v>#N/A</v>
      </c>
      <c r="N39" s="313"/>
      <c r="O39" s="448"/>
      <c r="P39" s="289"/>
      <c r="Y39" s="261" t="e">
        <f t="shared" si="10"/>
        <v>#N/A</v>
      </c>
      <c r="AA39" s="266">
        <v>100</v>
      </c>
      <c r="AB39" s="266">
        <v>0.1</v>
      </c>
      <c r="AC39" s="266">
        <f t="shared" si="11"/>
        <v>0</v>
      </c>
    </row>
    <row r="40" spans="1:29" ht="15.75" x14ac:dyDescent="0.2">
      <c r="A40" s="267"/>
      <c r="B40" s="354">
        <v>17</v>
      </c>
      <c r="C40" s="309" t="s">
        <v>974</v>
      </c>
      <c r="D40" s="967" t="e">
        <f>INDEX(Data!BC:BC,MATCH(Import_LA_Code,Ref_LA_Codes,0))</f>
        <v>#N/A</v>
      </c>
      <c r="E40" s="310">
        <f>+'Supplementary Information'!$H$80</f>
        <v>0</v>
      </c>
      <c r="F40" s="310"/>
      <c r="G40" s="310" t="e">
        <f>+E40-D40</f>
        <v>#N/A</v>
      </c>
      <c r="H40" s="311" t="e">
        <f t="shared" si="8"/>
        <v>#N/A</v>
      </c>
      <c r="I40" s="312"/>
      <c r="J40" s="314">
        <v>100</v>
      </c>
      <c r="K40" s="311">
        <v>0.1</v>
      </c>
      <c r="L40" s="311"/>
      <c r="M40" s="968" t="e">
        <f t="shared" si="9"/>
        <v>#N/A</v>
      </c>
      <c r="N40" s="313"/>
      <c r="O40" s="448"/>
      <c r="P40" s="289"/>
      <c r="Y40" s="261" t="e">
        <f t="shared" si="10"/>
        <v>#N/A</v>
      </c>
      <c r="AA40" s="266">
        <v>50</v>
      </c>
      <c r="AB40" s="266">
        <v>0.1</v>
      </c>
      <c r="AC40" s="266">
        <f t="shared" si="11"/>
        <v>1</v>
      </c>
    </row>
    <row r="41" spans="1:29" ht="16.5" thickBot="1" x14ac:dyDescent="0.25">
      <c r="A41" s="267"/>
      <c r="B41" s="355">
        <v>18</v>
      </c>
      <c r="C41" s="356" t="s">
        <v>898</v>
      </c>
      <c r="D41" s="969" t="e">
        <f>INDEX(Data!BD:BD,MATCH(Import_LA_Code,Ref_LA_Codes,0))</f>
        <v>#N/A</v>
      </c>
      <c r="E41" s="357">
        <f>+'Supplementary Information'!$H$82</f>
        <v>0</v>
      </c>
      <c r="F41" s="357"/>
      <c r="G41" s="357" t="e">
        <f>+E41-D41</f>
        <v>#N/A</v>
      </c>
      <c r="H41" s="358" t="e">
        <f t="shared" si="8"/>
        <v>#N/A</v>
      </c>
      <c r="I41" s="359"/>
      <c r="J41" s="360">
        <v>100</v>
      </c>
      <c r="K41" s="358">
        <v>0.1</v>
      </c>
      <c r="L41" s="358"/>
      <c r="M41" s="968" t="e">
        <f t="shared" si="9"/>
        <v>#N/A</v>
      </c>
      <c r="N41" s="361"/>
      <c r="O41" s="451"/>
      <c r="P41" s="289"/>
      <c r="Y41" s="261" t="e">
        <f t="shared" si="10"/>
        <v>#N/A</v>
      </c>
      <c r="AA41" s="266">
        <v>100</v>
      </c>
      <c r="AB41" s="266">
        <v>0.1</v>
      </c>
      <c r="AC41" s="266">
        <f t="shared" si="11"/>
        <v>0</v>
      </c>
    </row>
    <row r="42" spans="1:29" ht="15.75" x14ac:dyDescent="0.2">
      <c r="A42" s="267"/>
      <c r="B42" s="1280"/>
      <c r="C42" s="348"/>
      <c r="D42" s="1281"/>
      <c r="E42" s="349"/>
      <c r="F42" s="349"/>
      <c r="G42" s="349"/>
      <c r="H42" s="350"/>
      <c r="I42" s="351"/>
      <c r="J42" s="352"/>
      <c r="K42" s="350"/>
      <c r="L42" s="350"/>
      <c r="M42" s="1282"/>
      <c r="N42" s="1280"/>
      <c r="O42" s="1283"/>
      <c r="P42" s="715"/>
      <c r="Y42" s="261"/>
    </row>
    <row r="43" spans="1:29" ht="30" customHeight="1" thickBot="1" x14ac:dyDescent="0.3">
      <c r="A43" s="267"/>
      <c r="B43" s="280"/>
      <c r="C43" s="272" t="s">
        <v>899</v>
      </c>
      <c r="D43" s="308" t="s">
        <v>901</v>
      </c>
      <c r="E43" s="1910" t="s">
        <v>5721</v>
      </c>
      <c r="F43" s="1910"/>
      <c r="G43" s="1910"/>
      <c r="H43" s="282"/>
      <c r="I43" s="282"/>
      <c r="J43" s="282"/>
      <c r="K43" s="282"/>
      <c r="L43" s="282"/>
      <c r="M43" s="1256"/>
      <c r="N43" s="282"/>
      <c r="O43" s="282"/>
      <c r="P43" s="289"/>
    </row>
    <row r="44" spans="1:29" ht="45.75" thickBot="1" x14ac:dyDescent="0.25">
      <c r="A44" s="267"/>
      <c r="B44" s="362">
        <v>19</v>
      </c>
      <c r="C44" s="363" t="s">
        <v>5720</v>
      </c>
      <c r="D44" s="971" t="e">
        <f>INDEX(Data!F:F,MATCH(Import_LA_Code,Ref_LA_Codes,0))</f>
        <v>#N/A</v>
      </c>
      <c r="E44" s="364">
        <f>+E37+E38+E41</f>
        <v>0</v>
      </c>
      <c r="F44" s="364"/>
      <c r="G44" s="364" t="e">
        <f>+E44-D44</f>
        <v>#N/A</v>
      </c>
      <c r="H44" s="365" t="e">
        <f>IF(AND(D44=0,E44=0),0,IF(AND(D44=0,E44&lt;&gt;0),1,G44/D44))</f>
        <v>#N/A</v>
      </c>
      <c r="I44" s="366"/>
      <c r="J44" s="367">
        <v>25</v>
      </c>
      <c r="K44" s="365">
        <v>0.1</v>
      </c>
      <c r="L44" s="365"/>
      <c r="M44" s="975" t="e">
        <f>IF(O44&lt;&gt;"","Comment made", IF(AND(ABS(H44)&gt;K44,ABS(G44)&gt;J44),"Please comment","OK"))</f>
        <v>#N/A</v>
      </c>
      <c r="N44" s="368"/>
      <c r="O44" s="452"/>
      <c r="P44" s="289"/>
      <c r="Y44" s="261" t="e">
        <f t="shared" si="10"/>
        <v>#N/A</v>
      </c>
      <c r="AA44" s="266">
        <v>25</v>
      </c>
      <c r="AB44" s="266">
        <v>0.1</v>
      </c>
      <c r="AC44" s="266">
        <f t="shared" si="11"/>
        <v>0</v>
      </c>
    </row>
    <row r="45" spans="1:29" x14ac:dyDescent="0.2">
      <c r="A45" s="267"/>
      <c r="B45" s="280"/>
      <c r="C45" s="304"/>
      <c r="D45" s="148"/>
      <c r="E45" s="282"/>
      <c r="F45" s="282"/>
      <c r="G45" s="282"/>
      <c r="H45" s="282"/>
      <c r="I45" s="282"/>
      <c r="J45" s="282"/>
      <c r="K45" s="282"/>
      <c r="L45" s="282"/>
      <c r="M45" s="282"/>
      <c r="N45" s="282"/>
      <c r="O45" s="282"/>
      <c r="P45" s="289"/>
      <c r="AC45" s="510">
        <f>IF(SUM(AC20:AC44)&gt;0,1,0)</f>
        <v>1</v>
      </c>
    </row>
    <row r="46" spans="1:29" ht="16.5" thickBot="1" x14ac:dyDescent="0.3">
      <c r="A46" s="267"/>
      <c r="B46" s="280"/>
      <c r="C46" s="877" t="s">
        <v>2711</v>
      </c>
      <c r="D46" s="278" t="s">
        <v>2695</v>
      </c>
      <c r="E46" s="278" t="s">
        <v>3086</v>
      </c>
      <c r="F46" s="282"/>
      <c r="G46" s="282"/>
      <c r="H46" s="282"/>
      <c r="I46" s="282"/>
      <c r="J46" s="282"/>
      <c r="K46" s="282"/>
      <c r="L46" s="282"/>
      <c r="M46" s="282"/>
      <c r="N46" s="282"/>
      <c r="O46" s="282"/>
      <c r="P46" s="874"/>
      <c r="AC46" s="510"/>
    </row>
    <row r="47" spans="1:29" ht="30" x14ac:dyDescent="0.2">
      <c r="A47" s="267"/>
      <c r="B47" s="878">
        <v>20</v>
      </c>
      <c r="C47" s="879" t="s">
        <v>2712</v>
      </c>
      <c r="D47" s="973" t="e">
        <f>INDEX(Data!BE:BE,MATCH(Import_LA_Code,Ref_LA_Codes,0))</f>
        <v>#N/A</v>
      </c>
      <c r="E47" s="882">
        <f>'Supplementary Information'!H94</f>
        <v>0</v>
      </c>
      <c r="F47" s="882"/>
      <c r="G47" s="882" t="e">
        <f t="shared" ref="G47" si="14">+E47-D47</f>
        <v>#N/A</v>
      </c>
      <c r="H47" s="885" t="e">
        <f t="shared" ref="H47" si="15">IF(AND(D47=0,E47=0),0,IF(AND(D47=0,E47&lt;&gt;0),1,G47/D47))</f>
        <v>#N/A</v>
      </c>
      <c r="I47" s="882"/>
      <c r="J47" s="888">
        <v>250000</v>
      </c>
      <c r="K47" s="885">
        <v>0.25</v>
      </c>
      <c r="L47" s="882"/>
      <c r="M47" s="974" t="e">
        <f>IF(O47&lt;&gt;"","Comment made", IF(AND(ABS(H47)&gt;K47,ABS(G47)&gt;J47),"Please comment","OK"))</f>
        <v>#N/A</v>
      </c>
      <c r="N47" s="876"/>
      <c r="O47" s="886"/>
      <c r="P47" s="874"/>
      <c r="R47" s="266" t="s">
        <v>5673</v>
      </c>
      <c r="AC47" s="510"/>
    </row>
    <row r="48" spans="1:29" ht="15.75" x14ac:dyDescent="0.2">
      <c r="A48" s="267"/>
      <c r="B48" s="354">
        <v>21</v>
      </c>
      <c r="C48" s="880" t="s">
        <v>2713</v>
      </c>
      <c r="D48" s="967" t="e">
        <f>INDEX(Data!BF:BF,MATCH(Import_LA_Code,Ref_LA_Codes,0))</f>
        <v>#N/A</v>
      </c>
      <c r="E48" s="310">
        <f>'Supplementary Information'!H96</f>
        <v>0</v>
      </c>
      <c r="F48" s="310"/>
      <c r="G48" s="310" t="e">
        <f t="shared" ref="G48:G51" si="16">+E48-D48</f>
        <v>#N/A</v>
      </c>
      <c r="H48" s="311" t="e">
        <f t="shared" ref="H48:H51" si="17">IF(AND(D48=0,E48=0),0,IF(AND(D48=0,E48&lt;&gt;0),1,G48/D48))</f>
        <v>#N/A</v>
      </c>
      <c r="I48" s="310"/>
      <c r="J48" s="314">
        <v>200000</v>
      </c>
      <c r="K48" s="311">
        <v>0.25</v>
      </c>
      <c r="L48" s="310"/>
      <c r="M48" s="972" t="e">
        <f t="shared" ref="M48:M51" si="18">IF(O48&lt;&gt;"","Comment made", IF(AND(ABS(H48)&gt;K48,ABS(G48)&gt;J48),"Please comment","OK"))</f>
        <v>#N/A</v>
      </c>
      <c r="N48" s="282"/>
      <c r="O48" s="887"/>
      <c r="P48" s="874"/>
      <c r="R48" s="967" t="e">
        <f>INDEX(Data!BG:BG,MATCH(Import_LA_Code,Ref_LA_Codes,0))</f>
        <v>#N/A</v>
      </c>
      <c r="AC48" s="510"/>
    </row>
    <row r="49" spans="1:29" ht="15.75" x14ac:dyDescent="0.2">
      <c r="A49" s="267"/>
      <c r="B49" s="354">
        <v>22</v>
      </c>
      <c r="C49" s="880" t="s">
        <v>2714</v>
      </c>
      <c r="D49" s="967" t="e">
        <f>INDEX(Data!BH:BH,MATCH(Import_LA_Code,Ref_LA_Codes,0))</f>
        <v>#N/A</v>
      </c>
      <c r="E49" s="310">
        <f>'Supplementary Information'!H100</f>
        <v>0</v>
      </c>
      <c r="F49" s="310"/>
      <c r="G49" s="310" t="e">
        <f t="shared" si="16"/>
        <v>#N/A</v>
      </c>
      <c r="H49" s="311" t="e">
        <f t="shared" si="17"/>
        <v>#N/A</v>
      </c>
      <c r="I49" s="310"/>
      <c r="J49" s="314">
        <v>50000</v>
      </c>
      <c r="K49" s="311">
        <v>0.25</v>
      </c>
      <c r="L49" s="310"/>
      <c r="M49" s="972" t="e">
        <f t="shared" si="18"/>
        <v>#N/A</v>
      </c>
      <c r="N49" s="282"/>
      <c r="O49" s="887"/>
      <c r="P49" s="874"/>
      <c r="AC49" s="510"/>
    </row>
    <row r="50" spans="1:29" ht="15.75" x14ac:dyDescent="0.2">
      <c r="A50" s="267"/>
      <c r="B50" s="354">
        <v>23</v>
      </c>
      <c r="C50" s="880" t="s">
        <v>2715</v>
      </c>
      <c r="D50" s="967" t="e">
        <f>INDEX(Data!BI:BI,MATCH(Import_LA_Code,Ref_LA_Codes,0))</f>
        <v>#N/A</v>
      </c>
      <c r="E50" s="310">
        <f>'Supplementary Information'!H102</f>
        <v>0</v>
      </c>
      <c r="F50" s="310"/>
      <c r="G50" s="310" t="e">
        <f t="shared" si="16"/>
        <v>#N/A</v>
      </c>
      <c r="H50" s="311" t="e">
        <f t="shared" si="17"/>
        <v>#N/A</v>
      </c>
      <c r="I50" s="310"/>
      <c r="J50" s="314">
        <v>750000</v>
      </c>
      <c r="K50" s="311">
        <v>0.25</v>
      </c>
      <c r="L50" s="310"/>
      <c r="M50" s="972" t="e">
        <f t="shared" si="18"/>
        <v>#N/A</v>
      </c>
      <c r="N50" s="282"/>
      <c r="O50" s="887"/>
      <c r="P50" s="874"/>
      <c r="AC50" s="510"/>
    </row>
    <row r="51" spans="1:29" ht="30.75" thickBot="1" x14ac:dyDescent="0.25">
      <c r="A51" s="267"/>
      <c r="B51" s="355">
        <v>24</v>
      </c>
      <c r="C51" s="881" t="s">
        <v>2716</v>
      </c>
      <c r="D51" s="883" t="e">
        <f>INDEX(Data!BJ:BJ,MATCH(Import_LA_Code,Ref_LA_Codes,0))</f>
        <v>#N/A</v>
      </c>
      <c r="E51" s="357">
        <f>'Supplementary Information'!H104</f>
        <v>0</v>
      </c>
      <c r="F51" s="357"/>
      <c r="G51" s="357" t="e">
        <f t="shared" si="16"/>
        <v>#N/A</v>
      </c>
      <c r="H51" s="358" t="e">
        <f t="shared" si="17"/>
        <v>#N/A</v>
      </c>
      <c r="I51" s="883"/>
      <c r="J51" s="360">
        <v>200000</v>
      </c>
      <c r="K51" s="358">
        <v>0.25</v>
      </c>
      <c r="L51" s="884"/>
      <c r="M51" s="975" t="e">
        <f t="shared" si="18"/>
        <v>#N/A</v>
      </c>
      <c r="N51" s="295"/>
      <c r="O51" s="731"/>
      <c r="P51" s="269"/>
    </row>
    <row r="52" spans="1:29" x14ac:dyDescent="0.2">
      <c r="A52" s="267"/>
      <c r="C52" s="268"/>
      <c r="E52" s="293"/>
      <c r="F52" s="293"/>
      <c r="M52" s="279"/>
      <c r="P52" s="875"/>
    </row>
    <row r="53" spans="1:29" ht="15.75" x14ac:dyDescent="0.25">
      <c r="A53" s="267"/>
      <c r="G53" s="1907" t="s">
        <v>973</v>
      </c>
      <c r="H53" s="1908"/>
      <c r="I53" s="1908"/>
      <c r="J53" s="1908"/>
      <c r="K53" s="1908"/>
      <c r="L53" s="1909"/>
      <c r="M53" s="389">
        <f>COUNTIF($M$20:$M$51,"Please comment")</f>
        <v>0</v>
      </c>
      <c r="P53" s="269"/>
    </row>
    <row r="54" spans="1:29" ht="16.5" thickBot="1" x14ac:dyDescent="0.3">
      <c r="A54" s="267"/>
      <c r="B54" s="317" t="s">
        <v>902</v>
      </c>
      <c r="C54" s="382"/>
      <c r="D54" s="382"/>
      <c r="E54" s="382"/>
      <c r="F54" s="382"/>
      <c r="G54" s="316"/>
      <c r="H54" s="316"/>
      <c r="I54" s="316"/>
      <c r="J54" s="316"/>
      <c r="K54" s="316"/>
      <c r="L54" s="316"/>
      <c r="M54" s="380"/>
      <c r="N54" s="380"/>
      <c r="O54" s="382"/>
      <c r="P54" s="269"/>
    </row>
    <row r="55" spans="1:29" ht="57" customHeight="1" thickBot="1" x14ac:dyDescent="0.25">
      <c r="A55" s="335"/>
      <c r="B55" s="1900"/>
      <c r="C55" s="1901"/>
      <c r="D55" s="1901"/>
      <c r="E55" s="1901"/>
      <c r="F55" s="1901"/>
      <c r="G55" s="1901"/>
      <c r="H55" s="1901"/>
      <c r="I55" s="1901"/>
      <c r="J55" s="1901"/>
      <c r="K55" s="1901"/>
      <c r="L55" s="1901"/>
      <c r="M55" s="1901"/>
      <c r="N55" s="1901"/>
      <c r="O55" s="1902"/>
      <c r="P55" s="336"/>
    </row>
    <row r="56" spans="1:29" ht="15.75" thickBot="1" x14ac:dyDescent="0.25">
      <c r="A56" s="296"/>
      <c r="B56" s="294"/>
      <c r="C56" s="294"/>
      <c r="D56" s="294"/>
      <c r="E56" s="294"/>
      <c r="F56" s="294"/>
      <c r="G56" s="294"/>
      <c r="H56" s="294"/>
      <c r="I56" s="294"/>
      <c r="J56" s="295"/>
      <c r="K56" s="295"/>
      <c r="L56" s="295"/>
      <c r="M56" s="295"/>
      <c r="N56" s="295"/>
      <c r="O56" s="294"/>
      <c r="P56" s="297"/>
    </row>
    <row r="60" spans="1:29" ht="18" x14ac:dyDescent="0.25">
      <c r="C60" s="1906"/>
      <c r="D60" s="1906"/>
      <c r="E60" s="1906"/>
      <c r="F60" s="1906"/>
      <c r="G60" s="1906"/>
      <c r="H60" s="1906"/>
      <c r="I60" s="1906"/>
    </row>
    <row r="61" spans="1:29" ht="18" x14ac:dyDescent="0.25">
      <c r="C61" s="1906"/>
      <c r="D61" s="1906"/>
      <c r="E61" s="1906"/>
      <c r="F61" s="1906"/>
      <c r="G61" s="1906"/>
      <c r="H61" s="1906"/>
      <c r="I61" s="1906"/>
    </row>
    <row r="62" spans="1:29" ht="18" x14ac:dyDescent="0.25">
      <c r="C62" s="1906"/>
      <c r="D62" s="1906"/>
      <c r="E62" s="1906"/>
      <c r="F62" s="1906"/>
      <c r="G62" s="1906"/>
      <c r="H62" s="1906"/>
      <c r="I62" s="1906"/>
    </row>
  </sheetData>
  <sheetProtection sheet="1" objects="1" scenarios="1"/>
  <mergeCells count="10">
    <mergeCell ref="E43:G43"/>
    <mergeCell ref="D17:E17"/>
    <mergeCell ref="G17:H17"/>
    <mergeCell ref="J17:K17"/>
    <mergeCell ref="B12:O13"/>
    <mergeCell ref="C62:I62"/>
    <mergeCell ref="G53:L53"/>
    <mergeCell ref="C60:I60"/>
    <mergeCell ref="C61:I61"/>
    <mergeCell ref="B55:O55"/>
  </mergeCells>
  <conditionalFormatting sqref="M19">
    <cfRule type="expression" dxfId="27" priority="70" stopIfTrue="1">
      <formula>M19="Please comment"</formula>
    </cfRule>
    <cfRule type="expression" dxfId="26" priority="71" stopIfTrue="1">
      <formula>M19="OK"</formula>
    </cfRule>
  </conditionalFormatting>
  <conditionalFormatting sqref="M20:M25 M42">
    <cfRule type="expression" dxfId="25" priority="16" stopIfTrue="1">
      <formula>M20="Please comment"</formula>
    </cfRule>
    <cfRule type="expression" dxfId="24" priority="17" stopIfTrue="1">
      <formula>M20="OK"</formula>
    </cfRule>
  </conditionalFormatting>
  <conditionalFormatting sqref="M28:M42 M47:M51">
    <cfRule type="expression" dxfId="23" priority="10">
      <formula>M28="Comment made"</formula>
    </cfRule>
    <cfRule type="expression" dxfId="22" priority="12" stopIfTrue="1">
      <formula>M28="Please comment"</formula>
    </cfRule>
    <cfRule type="expression" dxfId="21" priority="13" stopIfTrue="1">
      <formula>M28="OK"</formula>
    </cfRule>
  </conditionalFormatting>
  <conditionalFormatting sqref="M42 M20:M25">
    <cfRule type="expression" dxfId="20" priority="14">
      <formula>M20="Comment made"</formula>
    </cfRule>
  </conditionalFormatting>
  <conditionalFormatting sqref="M44">
    <cfRule type="expression" dxfId="19" priority="6">
      <formula>M44="Comment made"</formula>
    </cfRule>
    <cfRule type="expression" dxfId="18" priority="8" stopIfTrue="1">
      <formula>M44="Please comment"</formula>
    </cfRule>
    <cfRule type="expression" dxfId="17" priority="9" stopIfTrue="1">
      <formula>M44="OK"</formula>
    </cfRule>
  </conditionalFormatting>
  <conditionalFormatting sqref="M54">
    <cfRule type="expression" dxfId="16" priority="30" stopIfTrue="1">
      <formula>AND(M54&lt;&gt;0)=TRUE</formula>
    </cfRule>
  </conditionalFormatting>
  <conditionalFormatting sqref="O20:O25 O28:O42 O47:O51">
    <cfRule type="expression" dxfId="15" priority="64" stopIfTrue="1">
      <formula>AND($M20="Please comment")=TRUE</formula>
    </cfRule>
  </conditionalFormatting>
  <conditionalFormatting sqref="O26:O27">
    <cfRule type="expression" dxfId="14" priority="66" stopIfTrue="1">
      <formula>O26="Please comment"</formula>
    </cfRule>
    <cfRule type="expression" dxfId="13" priority="67" stopIfTrue="1">
      <formula>O26="OK"</formula>
    </cfRule>
  </conditionalFormatting>
  <conditionalFormatting sqref="O44">
    <cfRule type="expression" dxfId="12" priority="31" stopIfTrue="1">
      <formula>AND($M44="Please comment")=TRUE</formula>
    </cfRule>
  </conditionalFormatting>
  <dataValidations count="26">
    <dataValidation type="custom" allowBlank="1" showInputMessage="1" showErrorMessage="1" error="Data entry is not allowed in this cell" sqref="E44:K44 M35:M44 E20:K22 M20:M22 D34:M34 E35:K42 E24:K25 M47:M51 G47:H51 J47:K51 E28:K33 M24:M33" xr:uid="{9D7B03BB-3C02-4AAD-9DFE-3B7513FACCE0}">
      <formula1>"if(Q1=""na"")"</formula1>
    </dataValidation>
    <dataValidation allowBlank="1" showInputMessage="1" showErrorMessage="1" prompt="Supplementary Information: Part 1 - line a" sqref="C20" xr:uid="{BDD50AE6-2508-4E4C-846E-9DA734FF7849}"/>
    <dataValidation allowBlank="1" showInputMessage="1" showErrorMessage="1" prompt="Supplementary Information: Part 1 - line b" sqref="C21" xr:uid="{8E87D154-1181-439A-8FB1-9308A775DE20}"/>
    <dataValidation allowBlank="1" showInputMessage="1" showErrorMessage="1" prompt="Supplementary information: Part 1 - line c" sqref="C22" xr:uid="{67DE503D-C9D7-47EB-84B5-D552E6AC4169}"/>
    <dataValidation allowBlank="1" showInputMessage="1" showErrorMessage="1" prompt="Supplementary information: Part 1 - line e" sqref="C24" xr:uid="{D511A75B-5ACA-47E9-9FA6-A2339B5F7964}"/>
    <dataValidation allowBlank="1" showInputMessage="1" showErrorMessage="1" prompt="Supplementary information: Part 1 - line f" sqref="C25" xr:uid="{488067BA-E105-43EE-A0E9-E9C167E0E8FD}"/>
    <dataValidation allowBlank="1" showInputMessage="1" showErrorMessage="1" prompt="Supplementary information: Part 1 - line g" sqref="C28" xr:uid="{992A495B-CFBE-47D1-AAC2-E9A014098B8E}"/>
    <dataValidation allowBlank="1" showInputMessage="1" showErrorMessage="1" prompt="Supplementary information: Part 1 - line h" sqref="C29" xr:uid="{DF9ED16D-7905-404D-9C0D-471866FEC112}"/>
    <dataValidation allowBlank="1" showInputMessage="1" showErrorMessage="1" prompt="Supplementary information: Part 1 - line i" sqref="C30" xr:uid="{0DE8C432-F952-4D38-9401-CCBA4FD2B735}"/>
    <dataValidation allowBlank="1" showInputMessage="1" showErrorMessage="1" prompt="Supplementary information: Part 1 - line j" sqref="C31" xr:uid="{FBA6F92C-A4C5-461B-AD24-A592E5523020}"/>
    <dataValidation allowBlank="1" showInputMessage="1" showErrorMessage="1" prompt="Supplementary information: Part 1 - line k" sqref="C32" xr:uid="{625C51A1-07DB-447A-B4C6-29282742D4D4}"/>
    <dataValidation allowBlank="1" showInputMessage="1" showErrorMessage="1" prompt="Supplementary information: Part 1 - line l" sqref="C33" xr:uid="{9BA140C1-19CB-4409-A62D-E25A9A316520}"/>
    <dataValidation type="custom" allowBlank="1" showInputMessage="1" showErrorMessage="1" error="Data entry is not allowed in this cell" sqref="D37:D41 D20:D22 D24:D25 D44 D23:M23 D28:D33" xr:uid="{9FA574C6-1866-4154-9CA9-F8153C01E542}">
      <formula1>"az1=""n/a"""</formula1>
    </dataValidation>
    <dataValidation allowBlank="1" showInputMessage="1" showErrorMessage="1" prompt="Supplementary information: Part 1 - line o" sqref="C34" xr:uid="{C11AAF3D-22F3-4701-8282-13033192D68D}"/>
    <dataValidation allowBlank="1" showInputMessage="1" showErrorMessage="1" prompt="Supplementary information: Part 1 - line q" sqref="C37" xr:uid="{CFC2200A-6008-499C-99B3-309B548CF800}"/>
    <dataValidation allowBlank="1" showInputMessage="1" showErrorMessage="1" prompt="Supplementary information: Part 1 - line r" sqref="C38" xr:uid="{A866D627-DD98-4D7D-81F9-9FBF31AEB634}"/>
    <dataValidation allowBlank="1" showInputMessage="1" showErrorMessage="1" prompt="Supplementary information: Part 1 - line r i" sqref="C39" xr:uid="{41A6F051-9AA6-4765-A4A6-AC0FBAE37955}"/>
    <dataValidation allowBlank="1" showInputMessage="1" showErrorMessage="1" prompt="Supplementary information: Part 1 - line r ii" sqref="C40" xr:uid="{D5201E52-24F2-4AD9-BBF9-9B0974D7F42D}"/>
    <dataValidation allowBlank="1" showInputMessage="1" showErrorMessage="1" prompt="Supplementary information: Part 1 - line s" sqref="C41" xr:uid="{0D5C3AEE-DE35-4E54-AEE2-767C5170017C}"/>
    <dataValidation allowBlank="1" showInputMessage="1" showErrorMessage="1" prompt="Supplementary information: Part 1 - line d" sqref="C23" xr:uid="{1A6A4C15-EF27-479F-A822-88964B5B434C}"/>
    <dataValidation allowBlank="1" showInputMessage="1" showErrorMessage="1" prompt="Supplementary information: Part 2 - line a i" sqref="C47" xr:uid="{1BC31B9F-FC9F-49FE-A861-BCDB5BB2972B}"/>
    <dataValidation allowBlank="1" showInputMessage="1" showErrorMessage="1" prompt="Supplementary information: Part 2 - line a ii" sqref="C48" xr:uid="{BE79B5A1-775C-4099-A9CD-7E503E28B5AF}"/>
    <dataValidation allowBlank="1" showInputMessage="1" showErrorMessage="1" prompt="Supplementary information: Part 2 - line a iv" sqref="C49" xr:uid="{992DCA7E-A0FD-4D63-B934-2AFB5A994178}"/>
    <dataValidation allowBlank="1" showInputMessage="1" showErrorMessage="1" prompt="Supplementary information: Part 2 - line a v" sqref="C50" xr:uid="{20D51AD5-F14E-4A69-8A45-1507D3EC6C86}"/>
    <dataValidation allowBlank="1" showInputMessage="1" showErrorMessage="1" prompt="Supplementary information: Part 2 - line a vi" sqref="C51" xr:uid="{2B0AB305-F12E-44D0-BF95-5A4A511168EF}"/>
    <dataValidation type="custom" allowBlank="1" showInputMessage="1" showErrorMessage="1" error="Do not amend" sqref="AA20:AC50" xr:uid="{FB3D6512-A756-43AE-A5FD-1406EC61D7AC}">
      <formula1>"if(ax1=""n/a"")"</formula1>
    </dataValidation>
  </dataValidations>
  <pageMargins left="0.39370078740157483" right="0.39370078740157483" top="0.39370078740157483" bottom="0.39370078740157483" header="0.31496062992125984" footer="0.31496062992125984"/>
  <pageSetup paperSize="9" scale="63" fitToHeight="0" orientation="landscape" r:id="rId1"/>
  <headerFooter>
    <oddHeader>&amp;C&amp;"Calibri"&amp;10&amp;K000000 OFFICIAL&amp;1#_x000D_</oddHeader>
    <oddFooter>&amp;C_x000D_&amp;1#&amp;"Calibri"&amp;10&amp;K000000 OFFICIAL</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41947-DC61-4DB2-AB31-3A3311C757B5}">
  <sheetPr codeName="Sheet24">
    <tabColor rgb="FF00B0F0"/>
    <pageSetUpPr autoPageBreaks="0"/>
  </sheetPr>
  <dimension ref="A1:K1450"/>
  <sheetViews>
    <sheetView topLeftCell="A228" zoomScaleNormal="100" workbookViewId="0">
      <selection activeCell="B245" sqref="B245"/>
    </sheetView>
  </sheetViews>
  <sheetFormatPr defaultColWidth="9.140625" defaultRowHeight="14.25" x14ac:dyDescent="0.2"/>
  <cols>
    <col min="1" max="1" width="28.42578125" style="1395" bestFit="1" customWidth="1"/>
    <col min="2" max="2" width="24.85546875" style="1396" customWidth="1"/>
    <col min="3" max="3" width="17.7109375" style="1038" bestFit="1" customWidth="1"/>
    <col min="4" max="5" width="18.7109375" style="1395" bestFit="1" customWidth="1"/>
    <col min="6" max="6" width="56" style="1395" bestFit="1" customWidth="1"/>
    <col min="7" max="7" width="101.7109375" style="1395" customWidth="1"/>
    <col min="8" max="8" width="23.85546875" style="1395" bestFit="1" customWidth="1"/>
    <col min="9" max="9" width="14.42578125" style="1395" bestFit="1" customWidth="1"/>
    <col min="10" max="16384" width="9.140625" style="1395"/>
  </cols>
  <sheetData>
    <row r="1" spans="1:11" s="1290" customFormat="1" ht="15" x14ac:dyDescent="0.25">
      <c r="A1" s="1287" t="s">
        <v>1216</v>
      </c>
      <c r="B1" s="1287" t="s">
        <v>1217</v>
      </c>
      <c r="C1" s="1288" t="s">
        <v>1218</v>
      </c>
      <c r="D1" s="1289" t="s">
        <v>1219</v>
      </c>
      <c r="E1" s="1289" t="s">
        <v>1220</v>
      </c>
      <c r="F1" s="1289" t="s">
        <v>3183</v>
      </c>
      <c r="G1" s="1289" t="s">
        <v>3184</v>
      </c>
      <c r="H1" s="1289" t="s">
        <v>3085</v>
      </c>
      <c r="I1" s="1289" t="s">
        <v>3185</v>
      </c>
    </row>
    <row r="2" spans="1:11" s="1290" customFormat="1" ht="14.25" customHeight="1" x14ac:dyDescent="0.2">
      <c r="A2" s="1397" t="s">
        <v>1221</v>
      </c>
      <c r="B2" s="1291" t="s">
        <v>955</v>
      </c>
      <c r="C2" s="1292" t="s">
        <v>3198</v>
      </c>
      <c r="D2" s="1293"/>
      <c r="E2" s="1293"/>
      <c r="F2" s="1290" t="s">
        <v>3199</v>
      </c>
      <c r="G2" s="1290" t="s">
        <v>3199</v>
      </c>
      <c r="H2" s="1290" t="s">
        <v>3188</v>
      </c>
      <c r="I2" s="1290">
        <v>1</v>
      </c>
    </row>
    <row r="3" spans="1:11" s="1290" customFormat="1" ht="14.25" customHeight="1" x14ac:dyDescent="0.2">
      <c r="A3" s="1397" t="s">
        <v>1222</v>
      </c>
      <c r="B3" s="1294">
        <f>'Part 1'!S22</f>
        <v>1.2</v>
      </c>
      <c r="C3" s="1295" t="s">
        <v>3198</v>
      </c>
      <c r="F3" s="1290" t="s">
        <v>3200</v>
      </c>
      <c r="G3" s="1290" t="s">
        <v>3200</v>
      </c>
      <c r="H3" s="1290" t="s">
        <v>3188</v>
      </c>
      <c r="I3" s="1290">
        <v>2</v>
      </c>
    </row>
    <row r="4" spans="1:11" s="1290" customFormat="1" ht="14.25" customHeight="1" x14ac:dyDescent="0.2">
      <c r="A4" s="1397" t="s">
        <v>1223</v>
      </c>
      <c r="B4" s="1296" t="str">
        <f>'Part 1'!$K$16</f>
        <v>EZZZZ</v>
      </c>
      <c r="C4" s="1297" t="s">
        <v>3198</v>
      </c>
      <c r="D4" s="1296"/>
      <c r="E4" s="1296"/>
      <c r="F4" s="1290" t="s">
        <v>3201</v>
      </c>
      <c r="G4" s="1290" t="s">
        <v>3201</v>
      </c>
      <c r="H4" s="1290" t="s">
        <v>3188</v>
      </c>
      <c r="I4" s="1290">
        <v>3</v>
      </c>
    </row>
    <row r="5" spans="1:11" s="1290" customFormat="1" ht="14.25" customHeight="1" x14ac:dyDescent="0.2">
      <c r="A5" s="1397" t="s">
        <v>1316</v>
      </c>
      <c r="B5" s="1296" t="str">
        <f>Import_LA_Name</f>
        <v>ZZZZ</v>
      </c>
      <c r="C5" s="1297" t="s">
        <v>3202</v>
      </c>
      <c r="D5" s="1296"/>
      <c r="E5" s="1296"/>
      <c r="F5" s="1290" t="s">
        <v>3203</v>
      </c>
      <c r="G5" s="1290" t="s">
        <v>3203</v>
      </c>
      <c r="H5" s="1290" t="s">
        <v>3188</v>
      </c>
      <c r="I5" s="1290">
        <v>4</v>
      </c>
    </row>
    <row r="6" spans="1:11" s="1290" customFormat="1" x14ac:dyDescent="0.2">
      <c r="A6" s="1397" t="s">
        <v>1224</v>
      </c>
      <c r="B6" s="1294">
        <v>202601</v>
      </c>
      <c r="C6" s="1295" t="s">
        <v>3204</v>
      </c>
      <c r="F6" s="1290" t="s">
        <v>3205</v>
      </c>
      <c r="G6" s="1290" t="s">
        <v>3205</v>
      </c>
      <c r="H6" s="1290" t="s">
        <v>3188</v>
      </c>
      <c r="I6" s="1290">
        <v>5</v>
      </c>
    </row>
    <row r="7" spans="1:11" s="1290" customFormat="1" x14ac:dyDescent="0.2">
      <c r="A7" s="1397" t="s">
        <v>1225</v>
      </c>
      <c r="B7" s="1294">
        <f>'Part 1'!K17</f>
        <v>0</v>
      </c>
      <c r="C7" s="1295" t="s">
        <v>3198</v>
      </c>
      <c r="F7" s="1290" t="s">
        <v>3206</v>
      </c>
      <c r="G7" s="1290" t="s">
        <v>3206</v>
      </c>
      <c r="H7" s="1290" t="s">
        <v>3188</v>
      </c>
      <c r="I7" s="1290">
        <v>6</v>
      </c>
    </row>
    <row r="8" spans="1:11" s="1290" customFormat="1" x14ac:dyDescent="0.2">
      <c r="A8" s="1397" t="s">
        <v>1226</v>
      </c>
      <c r="B8" s="1294">
        <f>'Part 1'!K18</f>
        <v>0</v>
      </c>
      <c r="C8" s="1295" t="s">
        <v>3198</v>
      </c>
      <c r="F8" s="1290" t="s">
        <v>3207</v>
      </c>
      <c r="G8" s="1290" t="s">
        <v>3207</v>
      </c>
      <c r="H8" s="1290" t="s">
        <v>3188</v>
      </c>
      <c r="I8" s="1290">
        <v>7</v>
      </c>
    </row>
    <row r="9" spans="1:11" s="1290" customFormat="1" x14ac:dyDescent="0.2">
      <c r="A9" s="1397" t="s">
        <v>1227</v>
      </c>
      <c r="B9" s="1294">
        <f>'Part 1'!K19</f>
        <v>0</v>
      </c>
      <c r="C9" s="1295" t="s">
        <v>3198</v>
      </c>
      <c r="F9" s="1290" t="s">
        <v>3208</v>
      </c>
      <c r="G9" s="1290" t="s">
        <v>3208</v>
      </c>
      <c r="H9" s="1290" t="s">
        <v>3188</v>
      </c>
      <c r="I9" s="1290">
        <v>8</v>
      </c>
    </row>
    <row r="10" spans="1:11" s="1365" customFormat="1" ht="15" customHeight="1" x14ac:dyDescent="0.2">
      <c r="A10" s="1443" t="s">
        <v>5428</v>
      </c>
      <c r="B10" s="1294">
        <f>'Part 1'!K20</f>
        <v>0</v>
      </c>
      <c r="C10" s="1295" t="s">
        <v>3198</v>
      </c>
      <c r="D10" s="1290"/>
      <c r="E10" s="1290"/>
      <c r="F10" s="1290" t="s">
        <v>5429</v>
      </c>
      <c r="G10" s="1290" t="s">
        <v>5429</v>
      </c>
      <c r="H10" s="1290" t="s">
        <v>3188</v>
      </c>
      <c r="I10" s="1290">
        <v>9</v>
      </c>
      <c r="J10" s="1290"/>
      <c r="K10" s="1290"/>
    </row>
    <row r="11" spans="1:11" s="1365" customFormat="1" ht="14.25" customHeight="1" x14ac:dyDescent="0.2">
      <c r="A11" s="1443" t="s">
        <v>5433</v>
      </c>
      <c r="B11" s="1294">
        <f>'Part 1'!K21</f>
        <v>0</v>
      </c>
      <c r="C11" s="1295" t="s">
        <v>3198</v>
      </c>
      <c r="D11" s="1290"/>
      <c r="E11" s="1290"/>
      <c r="F11" s="1290" t="s">
        <v>5430</v>
      </c>
      <c r="G11" s="1290" t="s">
        <v>5430</v>
      </c>
      <c r="H11" s="1290" t="s">
        <v>3188</v>
      </c>
      <c r="I11" s="1290">
        <v>10</v>
      </c>
      <c r="J11" s="1290"/>
      <c r="K11" s="1290"/>
    </row>
    <row r="12" spans="1:11" s="1290" customFormat="1" x14ac:dyDescent="0.2">
      <c r="A12" s="1397" t="s">
        <v>2342</v>
      </c>
      <c r="B12" s="1294" t="e">
        <f>INDEX(Data!BN:BN,MATCH(Import_LA_Code,Ref_LA_Codes,0))</f>
        <v>#N/A</v>
      </c>
      <c r="C12" s="1295" t="s">
        <v>3198</v>
      </c>
      <c r="F12" s="1290" t="s">
        <v>3209</v>
      </c>
      <c r="G12" s="1290" t="s">
        <v>3209</v>
      </c>
      <c r="H12" s="1290" t="s">
        <v>3188</v>
      </c>
      <c r="I12" s="1290">
        <v>11</v>
      </c>
    </row>
    <row r="13" spans="1:11" s="1290" customFormat="1" x14ac:dyDescent="0.2">
      <c r="A13" s="1397" t="s">
        <v>2343</v>
      </c>
      <c r="B13" s="1294" t="e">
        <f>INDEX(Data!BO:BO,MATCH(Import_LA_Code,Ref_LA_Codes,0))</f>
        <v>#N/A</v>
      </c>
      <c r="C13" s="1295" t="s">
        <v>3198</v>
      </c>
      <c r="F13" s="1290" t="s">
        <v>3210</v>
      </c>
      <c r="G13" s="1290" t="s">
        <v>3210</v>
      </c>
      <c r="H13" s="1290" t="s">
        <v>3188</v>
      </c>
      <c r="I13" s="1290">
        <v>12</v>
      </c>
    </row>
    <row r="14" spans="1:11" s="1290" customFormat="1" x14ac:dyDescent="0.2">
      <c r="A14" s="1397" t="s">
        <v>2344</v>
      </c>
      <c r="B14" s="1294" t="e">
        <f>INDEX(Data!BP:BP,MATCH(Import_LA_Code,Ref_LA_Codes,0))</f>
        <v>#N/A</v>
      </c>
      <c r="C14" s="1295" t="s">
        <v>3198</v>
      </c>
      <c r="F14" s="1290" t="s">
        <v>3211</v>
      </c>
      <c r="G14" s="1290" t="s">
        <v>3211</v>
      </c>
      <c r="H14" s="1290" t="s">
        <v>3188</v>
      </c>
      <c r="I14" s="1290">
        <v>13</v>
      </c>
    </row>
    <row r="15" spans="1:11" s="1365" customFormat="1" ht="15" customHeight="1" x14ac:dyDescent="0.2">
      <c r="A15" s="1443" t="s">
        <v>5463</v>
      </c>
      <c r="B15" s="1294">
        <f>'Part 1'!$E$279</f>
        <v>0</v>
      </c>
      <c r="C15" s="1295" t="s">
        <v>3198</v>
      </c>
      <c r="D15" s="1290"/>
      <c r="E15" s="1290"/>
      <c r="F15" s="1290" t="s">
        <v>5466</v>
      </c>
      <c r="G15" s="1290" t="s">
        <v>5466</v>
      </c>
      <c r="H15" s="1290" t="s">
        <v>3188</v>
      </c>
      <c r="I15" s="1290">
        <v>14</v>
      </c>
      <c r="J15" s="1290"/>
      <c r="K15" s="1290"/>
    </row>
    <row r="16" spans="1:11" s="1365" customFormat="1" ht="15" customHeight="1" x14ac:dyDescent="0.2">
      <c r="A16" s="1443" t="s">
        <v>5464</v>
      </c>
      <c r="B16" s="1294">
        <f>'Part 1'!$K$279</f>
        <v>0</v>
      </c>
      <c r="C16" s="1295" t="s">
        <v>3198</v>
      </c>
      <c r="D16" s="1290"/>
      <c r="E16" s="1290"/>
      <c r="F16" s="1290" t="s">
        <v>5465</v>
      </c>
      <c r="G16" s="1290" t="s">
        <v>5465</v>
      </c>
      <c r="H16" s="1290" t="s">
        <v>3188</v>
      </c>
      <c r="I16" s="1290">
        <v>15</v>
      </c>
      <c r="J16" s="1290"/>
      <c r="K16" s="1290"/>
    </row>
    <row r="17" spans="1:11" s="1290" customFormat="1" x14ac:dyDescent="0.2">
      <c r="A17" s="1298" t="s">
        <v>1317</v>
      </c>
      <c r="B17" s="1299">
        <f>'Part 1'!$K$27</f>
        <v>0</v>
      </c>
      <c r="C17" s="1300" t="s">
        <v>3186</v>
      </c>
      <c r="D17" s="1301"/>
      <c r="E17" s="1301"/>
      <c r="F17" s="1298" t="s">
        <v>3187</v>
      </c>
      <c r="G17" s="1298" t="s">
        <v>886</v>
      </c>
      <c r="H17" s="1302" t="s">
        <v>3188</v>
      </c>
      <c r="I17" s="1302">
        <v>1</v>
      </c>
      <c r="J17" s="1302"/>
      <c r="K17" s="1302"/>
    </row>
    <row r="18" spans="1:11" s="1290" customFormat="1" x14ac:dyDescent="0.2">
      <c r="A18" s="1303" t="s">
        <v>1228</v>
      </c>
      <c r="B18" s="1299">
        <f>'Part 1'!$K$32</f>
        <v>0</v>
      </c>
      <c r="C18" s="1304" t="s">
        <v>3204</v>
      </c>
      <c r="D18" s="1301"/>
      <c r="E18" s="1301"/>
      <c r="F18" s="1302" t="s">
        <v>4851</v>
      </c>
      <c r="G18" s="1302" t="s">
        <v>3212</v>
      </c>
      <c r="H18" s="1302" t="s">
        <v>3188</v>
      </c>
      <c r="I18" s="1302">
        <v>2</v>
      </c>
      <c r="J18" s="1302"/>
      <c r="K18" s="1302"/>
    </row>
    <row r="19" spans="1:11" s="1290" customFormat="1" x14ac:dyDescent="0.2">
      <c r="A19" s="1303" t="s">
        <v>1229</v>
      </c>
      <c r="B19" s="1299">
        <f>'Part 1'!$K$34</f>
        <v>0</v>
      </c>
      <c r="C19" s="1304" t="s">
        <v>3204</v>
      </c>
      <c r="D19" s="1301"/>
      <c r="E19" s="1301"/>
      <c r="F19" s="1302" t="s">
        <v>4852</v>
      </c>
      <c r="G19" s="1302" t="s">
        <v>3213</v>
      </c>
      <c r="H19" s="1302" t="s">
        <v>3188</v>
      </c>
      <c r="I19" s="1302">
        <v>3</v>
      </c>
      <c r="J19" s="1302"/>
      <c r="K19" s="1302"/>
    </row>
    <row r="20" spans="1:11" s="1290" customFormat="1" x14ac:dyDescent="0.2">
      <c r="A20" s="1303" t="s">
        <v>1318</v>
      </c>
      <c r="B20" s="1299" t="e">
        <f>'Part 1'!$K$37</f>
        <v>#N/A</v>
      </c>
      <c r="C20" s="1304" t="s">
        <v>3204</v>
      </c>
      <c r="D20" s="1301"/>
      <c r="E20" s="1301"/>
      <c r="F20" s="1302" t="s">
        <v>4853</v>
      </c>
      <c r="G20" s="1302" t="s">
        <v>3214</v>
      </c>
      <c r="H20" s="1302" t="s">
        <v>3188</v>
      </c>
      <c r="I20" s="1302">
        <v>4</v>
      </c>
      <c r="J20" s="1302"/>
      <c r="K20" s="1302"/>
    </row>
    <row r="21" spans="1:11" s="1302" customFormat="1" x14ac:dyDescent="0.2">
      <c r="A21" s="1303" t="s">
        <v>1319</v>
      </c>
      <c r="B21" s="1299">
        <f>'Part 1'!$K$39</f>
        <v>0</v>
      </c>
      <c r="C21" s="1304" t="s">
        <v>3204</v>
      </c>
      <c r="D21" s="1301"/>
      <c r="E21" s="1301"/>
      <c r="F21" s="1302" t="s">
        <v>4854</v>
      </c>
      <c r="G21" s="1302" t="s">
        <v>3215</v>
      </c>
      <c r="H21" s="1302" t="s">
        <v>3188</v>
      </c>
      <c r="I21" s="1302">
        <v>5</v>
      </c>
    </row>
    <row r="22" spans="1:11" s="1302" customFormat="1" x14ac:dyDescent="0.2">
      <c r="A22" s="1303" t="s">
        <v>1320</v>
      </c>
      <c r="B22" s="1299" t="e">
        <f>'Part 1'!$K$41</f>
        <v>#N/A</v>
      </c>
      <c r="C22" s="1304" t="s">
        <v>3204</v>
      </c>
      <c r="D22" s="1301"/>
      <c r="E22" s="1301"/>
      <c r="F22" s="1302" t="s">
        <v>4855</v>
      </c>
      <c r="G22" s="1302" t="s">
        <v>3216</v>
      </c>
      <c r="H22" s="1302" t="s">
        <v>3188</v>
      </c>
      <c r="I22" s="1302">
        <v>6</v>
      </c>
    </row>
    <row r="23" spans="1:11" s="1302" customFormat="1" x14ac:dyDescent="0.2">
      <c r="A23" s="1303" t="s">
        <v>1230</v>
      </c>
      <c r="B23" s="1299">
        <f>'Part 1'!$K$44</f>
        <v>0</v>
      </c>
      <c r="C23" s="1304" t="s">
        <v>3204</v>
      </c>
      <c r="D23" s="1301"/>
      <c r="E23" s="1301"/>
      <c r="F23" s="1302" t="s">
        <v>4856</v>
      </c>
      <c r="G23" s="1302" t="s">
        <v>3217</v>
      </c>
      <c r="H23" s="1302" t="s">
        <v>3188</v>
      </c>
      <c r="I23" s="1302">
        <v>7</v>
      </c>
    </row>
    <row r="24" spans="1:11" s="1302" customFormat="1" x14ac:dyDescent="0.2">
      <c r="A24" s="1303" t="s">
        <v>1321</v>
      </c>
      <c r="B24" s="1299">
        <f>'Part 1'!$K$47</f>
        <v>0</v>
      </c>
      <c r="C24" s="1304" t="s">
        <v>3204</v>
      </c>
      <c r="D24" s="1301"/>
      <c r="E24" s="1301"/>
      <c r="F24" s="1302" t="s">
        <v>4857</v>
      </c>
      <c r="G24" s="1302" t="s">
        <v>3218</v>
      </c>
      <c r="H24" s="1302" t="s">
        <v>3188</v>
      </c>
      <c r="I24" s="1302">
        <v>8</v>
      </c>
    </row>
    <row r="25" spans="1:11" s="1302" customFormat="1" x14ac:dyDescent="0.2">
      <c r="A25" s="1303" t="s">
        <v>1322</v>
      </c>
      <c r="B25" s="1299">
        <f>'Part 1'!$K$49</f>
        <v>0</v>
      </c>
      <c r="C25" s="1304" t="s">
        <v>3204</v>
      </c>
      <c r="D25" s="1301"/>
      <c r="E25" s="1301"/>
      <c r="F25" s="1302" t="s">
        <v>4858</v>
      </c>
      <c r="G25" s="1302" t="s">
        <v>3219</v>
      </c>
      <c r="H25" s="1302" t="s">
        <v>3188</v>
      </c>
      <c r="I25" s="1302">
        <v>9</v>
      </c>
    </row>
    <row r="26" spans="1:11" s="1302" customFormat="1" x14ac:dyDescent="0.2">
      <c r="A26" s="1303" t="s">
        <v>1323</v>
      </c>
      <c r="B26" s="1299">
        <f>'Part 1'!$K$52</f>
        <v>0</v>
      </c>
      <c r="C26" s="1304" t="s">
        <v>3204</v>
      </c>
      <c r="D26" s="1301"/>
      <c r="E26" s="1301"/>
      <c r="F26" s="1302" t="s">
        <v>4859</v>
      </c>
      <c r="G26" s="1302" t="s">
        <v>3220</v>
      </c>
      <c r="H26" s="1302" t="s">
        <v>3188</v>
      </c>
      <c r="I26" s="1302">
        <v>10</v>
      </c>
    </row>
    <row r="27" spans="1:11" s="1302" customFormat="1" x14ac:dyDescent="0.2">
      <c r="A27" s="1303" t="s">
        <v>1324</v>
      </c>
      <c r="B27" s="1299">
        <f>'Part 1'!$K$54</f>
        <v>0</v>
      </c>
      <c r="C27" s="1304" t="s">
        <v>3204</v>
      </c>
      <c r="D27" s="1301"/>
      <c r="E27" s="1301"/>
      <c r="F27" s="1302" t="s">
        <v>4860</v>
      </c>
      <c r="G27" s="1302" t="s">
        <v>3221</v>
      </c>
      <c r="H27" s="1302" t="s">
        <v>3188</v>
      </c>
      <c r="I27" s="1302">
        <v>11</v>
      </c>
    </row>
    <row r="28" spans="1:11" s="1302" customFormat="1" x14ac:dyDescent="0.2">
      <c r="A28" s="1303" t="s">
        <v>1325</v>
      </c>
      <c r="B28" s="1299">
        <f>'Part 1'!$K$56</f>
        <v>0</v>
      </c>
      <c r="C28" s="1304" t="s">
        <v>3204</v>
      </c>
      <c r="D28" s="1301"/>
      <c r="E28" s="1301"/>
      <c r="F28" s="1302" t="s">
        <v>4861</v>
      </c>
      <c r="G28" s="1302" t="s">
        <v>3222</v>
      </c>
      <c r="H28" s="1302" t="s">
        <v>3188</v>
      </c>
      <c r="I28" s="1302">
        <v>12</v>
      </c>
    </row>
    <row r="29" spans="1:11" s="1302" customFormat="1" ht="14.25" customHeight="1" x14ac:dyDescent="0.2">
      <c r="A29" s="1303" t="s">
        <v>1231</v>
      </c>
      <c r="B29" s="1299" t="e">
        <f>'Part 1'!$K$60</f>
        <v>#N/A</v>
      </c>
      <c r="C29" s="1304" t="s">
        <v>3186</v>
      </c>
      <c r="D29" s="1301"/>
      <c r="E29" s="1301"/>
      <c r="F29" s="1302" t="s">
        <v>4850</v>
      </c>
      <c r="G29" s="1302" t="s">
        <v>3223</v>
      </c>
      <c r="H29" s="1302" t="s">
        <v>3188</v>
      </c>
      <c r="I29" s="1302">
        <v>13</v>
      </c>
    </row>
    <row r="30" spans="1:11" s="1302" customFormat="1" ht="14.25" customHeight="1" x14ac:dyDescent="0.2">
      <c r="A30" s="1303" t="s">
        <v>1326</v>
      </c>
      <c r="B30" s="1305">
        <f>'Part 1'!$K$96</f>
        <v>1</v>
      </c>
      <c r="C30" s="1306" t="s">
        <v>3224</v>
      </c>
      <c r="D30" s="1307"/>
      <c r="E30" s="1307"/>
      <c r="F30" s="1302" t="s">
        <v>3225</v>
      </c>
      <c r="G30" s="1302" t="s">
        <v>3226</v>
      </c>
      <c r="H30" s="1302" t="s">
        <v>3188</v>
      </c>
      <c r="I30" s="1302">
        <v>14</v>
      </c>
    </row>
    <row r="31" spans="1:11" s="1302" customFormat="1" ht="14.25" customHeight="1" x14ac:dyDescent="0.2">
      <c r="A31" s="1303" t="s">
        <v>1327</v>
      </c>
      <c r="B31" s="1305">
        <f>'Part 1'!$M$96</f>
        <v>0</v>
      </c>
      <c r="C31" s="1306" t="s">
        <v>3224</v>
      </c>
      <c r="D31" s="1307"/>
      <c r="E31" s="1307"/>
      <c r="F31" s="1302" t="s">
        <v>3227</v>
      </c>
      <c r="G31" s="1302" t="s">
        <v>3228</v>
      </c>
      <c r="H31" s="1302" t="s">
        <v>3188</v>
      </c>
      <c r="I31" s="1302">
        <v>15</v>
      </c>
    </row>
    <row r="32" spans="1:11" s="1302" customFormat="1" ht="14.25" customHeight="1" x14ac:dyDescent="0.2">
      <c r="A32" s="1303" t="s">
        <v>1328</v>
      </c>
      <c r="B32" s="1305">
        <f>'Part 1'!$O$96</f>
        <v>0</v>
      </c>
      <c r="C32" s="1306" t="s">
        <v>3224</v>
      </c>
      <c r="D32" s="1307"/>
      <c r="E32" s="1307"/>
      <c r="F32" s="1302" t="s">
        <v>3229</v>
      </c>
      <c r="G32" s="1302" t="s">
        <v>3230</v>
      </c>
      <c r="H32" s="1302" t="s">
        <v>3188</v>
      </c>
      <c r="I32" s="1302">
        <v>16</v>
      </c>
    </row>
    <row r="33" spans="1:9" s="1302" customFormat="1" ht="14.25" customHeight="1" x14ac:dyDescent="0.2">
      <c r="A33" s="1303" t="s">
        <v>1329</v>
      </c>
      <c r="B33" s="1305">
        <f>'Part 1'!$Q$96</f>
        <v>0</v>
      </c>
      <c r="C33" s="1306" t="s">
        <v>3224</v>
      </c>
      <c r="D33" s="1307"/>
      <c r="E33" s="1307"/>
      <c r="F33" s="1302" t="s">
        <v>3231</v>
      </c>
      <c r="G33" s="1302" t="s">
        <v>3232</v>
      </c>
      <c r="H33" s="1302" t="s">
        <v>3188</v>
      </c>
      <c r="I33" s="1302">
        <v>17</v>
      </c>
    </row>
    <row r="34" spans="1:9" s="1302" customFormat="1" ht="14.25" customHeight="1" x14ac:dyDescent="0.2">
      <c r="A34" s="1303" t="s">
        <v>1330</v>
      </c>
      <c r="B34" s="1305">
        <f>'Part 1'!$S$96</f>
        <v>1</v>
      </c>
      <c r="C34" s="1306" t="s">
        <v>3224</v>
      </c>
      <c r="D34" s="1307"/>
      <c r="E34" s="1307"/>
      <c r="F34" s="1302" t="s">
        <v>3233</v>
      </c>
      <c r="G34" s="1302" t="s">
        <v>3234</v>
      </c>
      <c r="H34" s="1302" t="s">
        <v>3188</v>
      </c>
      <c r="I34" s="1302">
        <v>18</v>
      </c>
    </row>
    <row r="35" spans="1:9" s="1302" customFormat="1" ht="14.25" customHeight="1" x14ac:dyDescent="0.2">
      <c r="A35" s="1303" t="s">
        <v>1331</v>
      </c>
      <c r="B35" s="1299" t="e">
        <f>'Part 1'!$K$100</f>
        <v>#N/A</v>
      </c>
      <c r="C35" s="1304" t="s">
        <v>3204</v>
      </c>
      <c r="D35" s="1301"/>
      <c r="E35" s="1301"/>
      <c r="F35" s="1302" t="s">
        <v>3235</v>
      </c>
      <c r="G35" s="1302" t="s">
        <v>3236</v>
      </c>
      <c r="H35" s="1302" t="s">
        <v>3188</v>
      </c>
      <c r="I35" s="1302">
        <v>19</v>
      </c>
    </row>
    <row r="36" spans="1:9" s="1302" customFormat="1" ht="14.25" customHeight="1" x14ac:dyDescent="0.2">
      <c r="A36" s="1303" t="s">
        <v>1332</v>
      </c>
      <c r="B36" s="1299" t="e">
        <f>'Part 1'!$M$100</f>
        <v>#N/A</v>
      </c>
      <c r="C36" s="1304" t="s">
        <v>3204</v>
      </c>
      <c r="D36" s="1301"/>
      <c r="E36" s="1301"/>
      <c r="F36" s="1302" t="s">
        <v>3237</v>
      </c>
      <c r="G36" s="1302" t="s">
        <v>3238</v>
      </c>
      <c r="H36" s="1302" t="s">
        <v>3188</v>
      </c>
      <c r="I36" s="1302">
        <v>20</v>
      </c>
    </row>
    <row r="37" spans="1:9" s="1302" customFormat="1" ht="14.25" customHeight="1" x14ac:dyDescent="0.2">
      <c r="A37" s="1303" t="s">
        <v>1333</v>
      </c>
      <c r="B37" s="1299" t="e">
        <f>'Part 1'!$O$100</f>
        <v>#N/A</v>
      </c>
      <c r="C37" s="1304" t="s">
        <v>3204</v>
      </c>
      <c r="D37" s="1301"/>
      <c r="E37" s="1301"/>
      <c r="F37" s="1302" t="s">
        <v>3239</v>
      </c>
      <c r="G37" s="1302" t="s">
        <v>3240</v>
      </c>
      <c r="H37" s="1302" t="s">
        <v>3188</v>
      </c>
      <c r="I37" s="1302">
        <v>21</v>
      </c>
    </row>
    <row r="38" spans="1:9" s="1302" customFormat="1" ht="14.25" customHeight="1" x14ac:dyDescent="0.2">
      <c r="A38" s="1303" t="s">
        <v>1334</v>
      </c>
      <c r="B38" s="1299" t="e">
        <f>'Part 1'!$Q$100</f>
        <v>#N/A</v>
      </c>
      <c r="C38" s="1304" t="s">
        <v>3204</v>
      </c>
      <c r="D38" s="1301"/>
      <c r="E38" s="1301"/>
      <c r="F38" s="1302" t="s">
        <v>3241</v>
      </c>
      <c r="G38" s="1302" t="s">
        <v>3242</v>
      </c>
      <c r="H38" s="1302" t="s">
        <v>3188</v>
      </c>
      <c r="I38" s="1302">
        <v>22</v>
      </c>
    </row>
    <row r="39" spans="1:9" s="1302" customFormat="1" ht="14.25" customHeight="1" x14ac:dyDescent="0.2">
      <c r="A39" s="1303" t="s">
        <v>1335</v>
      </c>
      <c r="B39" s="1299" t="e">
        <f>'Part 1'!$S$100</f>
        <v>#N/A</v>
      </c>
      <c r="C39" s="1304" t="s">
        <v>3186</v>
      </c>
      <c r="D39" s="1301"/>
      <c r="E39" s="1301"/>
      <c r="F39" s="1302" t="s">
        <v>3243</v>
      </c>
      <c r="G39" s="1302" t="s">
        <v>3244</v>
      </c>
      <c r="H39" s="1302" t="s">
        <v>3188</v>
      </c>
      <c r="I39" s="1302">
        <v>23</v>
      </c>
    </row>
    <row r="40" spans="1:9" s="1302" customFormat="1" ht="14.25" customHeight="1" x14ac:dyDescent="0.2">
      <c r="A40" s="1303" t="s">
        <v>1336</v>
      </c>
      <c r="B40" s="1299">
        <f>'Part 1'!$K$103</f>
        <v>0</v>
      </c>
      <c r="C40" s="1304" t="s">
        <v>3204</v>
      </c>
      <c r="D40" s="1301"/>
      <c r="E40" s="1301"/>
      <c r="F40" s="1302" t="s">
        <v>3245</v>
      </c>
      <c r="G40" s="1302" t="s">
        <v>3246</v>
      </c>
      <c r="H40" s="1302" t="s">
        <v>3188</v>
      </c>
      <c r="I40" s="1302">
        <v>24</v>
      </c>
    </row>
    <row r="41" spans="1:9" s="1302" customFormat="1" ht="14.25" customHeight="1" x14ac:dyDescent="0.2">
      <c r="A41" s="1303" t="s">
        <v>1337</v>
      </c>
      <c r="B41" s="1299">
        <v>0</v>
      </c>
      <c r="C41" s="1304" t="s">
        <v>3204</v>
      </c>
      <c r="D41" s="1301"/>
      <c r="E41" s="1301"/>
      <c r="F41" s="1302" t="s">
        <v>3247</v>
      </c>
      <c r="G41" s="1302" t="s">
        <v>3248</v>
      </c>
      <c r="H41" s="1302" t="s">
        <v>3188</v>
      </c>
      <c r="I41" s="1302">
        <v>25</v>
      </c>
    </row>
    <row r="42" spans="1:9" s="1302" customFormat="1" ht="14.25" customHeight="1" x14ac:dyDescent="0.2">
      <c r="A42" s="1303" t="s">
        <v>1338</v>
      </c>
      <c r="B42" s="1299">
        <v>0</v>
      </c>
      <c r="C42" s="1304" t="s">
        <v>3204</v>
      </c>
      <c r="D42" s="1301"/>
      <c r="E42" s="1301"/>
      <c r="F42" s="1302" t="s">
        <v>3249</v>
      </c>
      <c r="G42" s="1302" t="s">
        <v>3250</v>
      </c>
      <c r="H42" s="1302" t="s">
        <v>3188</v>
      </c>
      <c r="I42" s="1302">
        <v>26</v>
      </c>
    </row>
    <row r="43" spans="1:9" s="1302" customFormat="1" ht="14.25" customHeight="1" x14ac:dyDescent="0.2">
      <c r="A43" s="1303" t="s">
        <v>1339</v>
      </c>
      <c r="B43" s="1299">
        <v>0</v>
      </c>
      <c r="C43" s="1304" t="s">
        <v>3204</v>
      </c>
      <c r="D43" s="1301"/>
      <c r="E43" s="1301"/>
      <c r="F43" s="1302" t="s">
        <v>3251</v>
      </c>
      <c r="G43" s="1302" t="s">
        <v>3252</v>
      </c>
      <c r="H43" s="1302" t="s">
        <v>3188</v>
      </c>
      <c r="I43" s="1302">
        <v>27</v>
      </c>
    </row>
    <row r="44" spans="1:9" s="1302" customFormat="1" ht="14.25" customHeight="1" x14ac:dyDescent="0.2">
      <c r="A44" s="1303" t="s">
        <v>1340</v>
      </c>
      <c r="B44" s="1299">
        <f>'Part 1'!$S$103</f>
        <v>0</v>
      </c>
      <c r="C44" s="1304" t="s">
        <v>3204</v>
      </c>
      <c r="D44" s="1301"/>
      <c r="E44" s="1301"/>
      <c r="F44" s="1302" t="s">
        <v>3253</v>
      </c>
      <c r="G44" s="1302" t="s">
        <v>3254</v>
      </c>
      <c r="H44" s="1302" t="s">
        <v>3188</v>
      </c>
      <c r="I44" s="1302">
        <v>28</v>
      </c>
    </row>
    <row r="45" spans="1:9" s="1302" customFormat="1" ht="14.25" customHeight="1" x14ac:dyDescent="0.2">
      <c r="A45" s="1303" t="s">
        <v>1341</v>
      </c>
      <c r="B45" s="1299" t="e">
        <f>'Part 1'!$K$105</f>
        <v>#N/A</v>
      </c>
      <c r="C45" s="1304" t="s">
        <v>3204</v>
      </c>
      <c r="D45" s="1301"/>
      <c r="E45" s="1301"/>
      <c r="F45" s="1302" t="s">
        <v>3255</v>
      </c>
      <c r="G45" s="1302" t="s">
        <v>3256</v>
      </c>
      <c r="H45" s="1302" t="s">
        <v>3188</v>
      </c>
      <c r="I45" s="1302">
        <v>29</v>
      </c>
    </row>
    <row r="46" spans="1:9" s="1302" customFormat="1" ht="14.25" customHeight="1" x14ac:dyDescent="0.2">
      <c r="A46" s="1303" t="s">
        <v>1342</v>
      </c>
      <c r="B46" s="1299" t="e">
        <f>'Part 1'!$M$105</f>
        <v>#N/A</v>
      </c>
      <c r="C46" s="1304" t="s">
        <v>3204</v>
      </c>
      <c r="D46" s="1301"/>
      <c r="E46" s="1301"/>
      <c r="F46" s="1302" t="s">
        <v>3257</v>
      </c>
      <c r="G46" s="1302" t="s">
        <v>3258</v>
      </c>
      <c r="H46" s="1302" t="s">
        <v>3188</v>
      </c>
      <c r="I46" s="1302">
        <v>30</v>
      </c>
    </row>
    <row r="47" spans="1:9" s="1302" customFormat="1" ht="14.25" customHeight="1" x14ac:dyDescent="0.2">
      <c r="A47" s="1303" t="s">
        <v>1343</v>
      </c>
      <c r="B47" s="1299" t="e">
        <f>'Part 1'!$O$105</f>
        <v>#N/A</v>
      </c>
      <c r="C47" s="1304" t="s">
        <v>3204</v>
      </c>
      <c r="D47" s="1301"/>
      <c r="E47" s="1301"/>
      <c r="F47" s="1302" t="s">
        <v>3259</v>
      </c>
      <c r="G47" s="1302" t="s">
        <v>3260</v>
      </c>
      <c r="H47" s="1302" t="s">
        <v>3188</v>
      </c>
      <c r="I47" s="1302">
        <v>31</v>
      </c>
    </row>
    <row r="48" spans="1:9" s="1302" customFormat="1" ht="14.25" customHeight="1" x14ac:dyDescent="0.2">
      <c r="A48" s="1303" t="s">
        <v>1344</v>
      </c>
      <c r="B48" s="1299" t="e">
        <f>'Part 1'!$Q$105</f>
        <v>#N/A</v>
      </c>
      <c r="C48" s="1304" t="s">
        <v>3204</v>
      </c>
      <c r="D48" s="1301"/>
      <c r="E48" s="1301"/>
      <c r="F48" s="1302" t="s">
        <v>3261</v>
      </c>
      <c r="G48" s="1302" t="s">
        <v>3262</v>
      </c>
      <c r="H48" s="1302" t="s">
        <v>3188</v>
      </c>
      <c r="I48" s="1302">
        <v>32</v>
      </c>
    </row>
    <row r="49" spans="1:9" s="1302" customFormat="1" x14ac:dyDescent="0.2">
      <c r="A49" s="1303" t="s">
        <v>1345</v>
      </c>
      <c r="B49" s="1299" t="e">
        <f>'Part 1'!$S$105</f>
        <v>#N/A</v>
      </c>
      <c r="C49" s="1304" t="s">
        <v>3204</v>
      </c>
      <c r="D49" s="1301"/>
      <c r="E49" s="1301"/>
      <c r="F49" s="1302" t="s">
        <v>3263</v>
      </c>
      <c r="G49" s="1302" t="s">
        <v>3264</v>
      </c>
      <c r="H49" s="1302" t="s">
        <v>3188</v>
      </c>
      <c r="I49" s="1302">
        <v>33</v>
      </c>
    </row>
    <row r="50" spans="1:9" s="1302" customFormat="1" x14ac:dyDescent="0.2">
      <c r="A50" s="1303" t="s">
        <v>1346</v>
      </c>
      <c r="B50" s="1299" t="e">
        <f>'Part 1'!$M$108</f>
        <v>#N/A</v>
      </c>
      <c r="C50" s="1304" t="s">
        <v>3204</v>
      </c>
      <c r="D50" s="1301"/>
      <c r="E50" s="1301"/>
      <c r="F50" s="1302" t="s">
        <v>3265</v>
      </c>
      <c r="G50" s="1302" t="s">
        <v>3266</v>
      </c>
      <c r="H50" s="1302" t="s">
        <v>3188</v>
      </c>
      <c r="I50" s="1302">
        <v>34</v>
      </c>
    </row>
    <row r="51" spans="1:9" s="1302" customFormat="1" x14ac:dyDescent="0.2">
      <c r="A51" s="1303" t="s">
        <v>1347</v>
      </c>
      <c r="B51" s="1299" t="e">
        <f>'Part 1'!$S$108</f>
        <v>#N/A</v>
      </c>
      <c r="C51" s="1304" t="s">
        <v>3204</v>
      </c>
      <c r="D51" s="1301"/>
      <c r="E51" s="1301"/>
      <c r="F51" s="1302" t="s">
        <v>3267</v>
      </c>
      <c r="G51" s="1302" t="s">
        <v>3268</v>
      </c>
      <c r="H51" s="1302" t="s">
        <v>3188</v>
      </c>
      <c r="I51" s="1302">
        <v>35</v>
      </c>
    </row>
    <row r="52" spans="1:9" s="1302" customFormat="1" x14ac:dyDescent="0.2">
      <c r="A52" s="1303" t="s">
        <v>1348</v>
      </c>
      <c r="B52" s="1299">
        <f>'Part 1'!$M$110</f>
        <v>0</v>
      </c>
      <c r="C52" s="1304" t="s">
        <v>3204</v>
      </c>
      <c r="D52" s="1301"/>
      <c r="E52" s="1301"/>
      <c r="F52" s="1302" t="s">
        <v>3269</v>
      </c>
      <c r="G52" s="1302" t="s">
        <v>3270</v>
      </c>
      <c r="H52" s="1302" t="s">
        <v>3188</v>
      </c>
      <c r="I52" s="1302">
        <v>36</v>
      </c>
    </row>
    <row r="53" spans="1:9" s="1302" customFormat="1" x14ac:dyDescent="0.2">
      <c r="A53" s="1303" t="s">
        <v>2212</v>
      </c>
      <c r="B53" s="1299">
        <f>'Part 1'!$O$110</f>
        <v>0</v>
      </c>
      <c r="C53" s="1304" t="s">
        <v>3204</v>
      </c>
      <c r="D53" s="1301"/>
      <c r="E53" s="1301"/>
      <c r="F53" s="1302" t="s">
        <v>3271</v>
      </c>
      <c r="G53" s="1302" t="s">
        <v>3272</v>
      </c>
      <c r="H53" s="1302" t="s">
        <v>3188</v>
      </c>
      <c r="I53" s="1302">
        <v>37</v>
      </c>
    </row>
    <row r="54" spans="1:9" s="1302" customFormat="1" x14ac:dyDescent="0.2">
      <c r="A54" s="1303" t="s">
        <v>1349</v>
      </c>
      <c r="B54" s="1299">
        <f>'Part 1'!$S$110</f>
        <v>0</v>
      </c>
      <c r="C54" s="1304" t="s">
        <v>3204</v>
      </c>
      <c r="D54" s="1301"/>
      <c r="E54" s="1301"/>
      <c r="F54" s="1302" t="s">
        <v>3273</v>
      </c>
      <c r="G54" s="1302" t="s">
        <v>3274</v>
      </c>
      <c r="H54" s="1302" t="s">
        <v>3188</v>
      </c>
      <c r="I54" s="1302">
        <v>38</v>
      </c>
    </row>
    <row r="55" spans="1:9" s="1302" customFormat="1" x14ac:dyDescent="0.2">
      <c r="A55" s="1303" t="s">
        <v>1350</v>
      </c>
      <c r="B55" s="1299">
        <f>'Part 1'!$M$112</f>
        <v>0</v>
      </c>
      <c r="C55" s="1304" t="s">
        <v>3204</v>
      </c>
      <c r="D55" s="1301"/>
      <c r="E55" s="1301"/>
      <c r="F55" s="1302" t="s">
        <v>3275</v>
      </c>
      <c r="G55" s="1302" t="s">
        <v>3276</v>
      </c>
      <c r="H55" s="1302" t="s">
        <v>3188</v>
      </c>
      <c r="I55" s="1302">
        <v>39</v>
      </c>
    </row>
    <row r="56" spans="1:9" s="1302" customFormat="1" x14ac:dyDescent="0.2">
      <c r="A56" s="1303" t="s">
        <v>1351</v>
      </c>
      <c r="B56" s="1299">
        <f>'Part 1'!$O$112</f>
        <v>0</v>
      </c>
      <c r="C56" s="1304" t="s">
        <v>3204</v>
      </c>
      <c r="D56" s="1301"/>
      <c r="E56" s="1301"/>
      <c r="F56" s="1302" t="s">
        <v>3277</v>
      </c>
      <c r="G56" s="1302" t="s">
        <v>3278</v>
      </c>
      <c r="H56" s="1302" t="s">
        <v>3188</v>
      </c>
      <c r="I56" s="1302">
        <v>40</v>
      </c>
    </row>
    <row r="57" spans="1:9" s="1302" customFormat="1" x14ac:dyDescent="0.2">
      <c r="A57" s="1303" t="s">
        <v>1352</v>
      </c>
      <c r="B57" s="1299">
        <f>'Part 1'!$S$112</f>
        <v>0</v>
      </c>
      <c r="C57" s="1304" t="s">
        <v>3204</v>
      </c>
      <c r="D57" s="1301"/>
      <c r="E57" s="1301"/>
      <c r="F57" s="1302" t="s">
        <v>3279</v>
      </c>
      <c r="G57" s="1302" t="s">
        <v>3280</v>
      </c>
      <c r="H57" s="1302" t="s">
        <v>3188</v>
      </c>
      <c r="I57" s="1302">
        <v>41</v>
      </c>
    </row>
    <row r="58" spans="1:9" s="1302" customFormat="1" x14ac:dyDescent="0.2">
      <c r="A58" s="1308" t="s">
        <v>1353</v>
      </c>
      <c r="B58" s="1299">
        <f>'Part 1'!$M$114</f>
        <v>0</v>
      </c>
      <c r="C58" s="1304" t="s">
        <v>3204</v>
      </c>
      <c r="D58" s="1301"/>
      <c r="E58" s="1301"/>
      <c r="F58" s="1302" t="s">
        <v>3281</v>
      </c>
      <c r="G58" s="1302" t="s">
        <v>3282</v>
      </c>
      <c r="H58" s="1302" t="s">
        <v>3188</v>
      </c>
      <c r="I58" s="1302">
        <v>42</v>
      </c>
    </row>
    <row r="59" spans="1:9" s="1302" customFormat="1" x14ac:dyDescent="0.2">
      <c r="A59" s="1308" t="s">
        <v>1354</v>
      </c>
      <c r="B59" s="1299">
        <f>'Part 1'!$O$114</f>
        <v>0</v>
      </c>
      <c r="C59" s="1304" t="s">
        <v>3204</v>
      </c>
      <c r="D59" s="1301"/>
      <c r="E59" s="1301"/>
      <c r="F59" s="1302" t="s">
        <v>3283</v>
      </c>
      <c r="G59" s="1302" t="s">
        <v>3284</v>
      </c>
      <c r="H59" s="1302" t="s">
        <v>3188</v>
      </c>
      <c r="I59" s="1302">
        <v>43</v>
      </c>
    </row>
    <row r="60" spans="1:9" s="1302" customFormat="1" x14ac:dyDescent="0.2">
      <c r="A60" s="1308" t="s">
        <v>1355</v>
      </c>
      <c r="B60" s="1299">
        <f>'Part 1'!$Q$114</f>
        <v>0</v>
      </c>
      <c r="C60" s="1304" t="s">
        <v>3204</v>
      </c>
      <c r="D60" s="1301"/>
      <c r="E60" s="1301"/>
      <c r="F60" s="1302" t="s">
        <v>3285</v>
      </c>
      <c r="G60" s="1302" t="s">
        <v>3286</v>
      </c>
      <c r="H60" s="1302" t="s">
        <v>3188</v>
      </c>
      <c r="I60" s="1302">
        <v>44</v>
      </c>
    </row>
    <row r="61" spans="1:9" s="1302" customFormat="1" x14ac:dyDescent="0.2">
      <c r="A61" s="1308" t="s">
        <v>1356</v>
      </c>
      <c r="B61" s="1299">
        <f>'Part 1'!$S$114</f>
        <v>0</v>
      </c>
      <c r="C61" s="1304" t="s">
        <v>3204</v>
      </c>
      <c r="D61" s="1301"/>
      <c r="E61" s="1301"/>
      <c r="F61" s="1302" t="s">
        <v>3287</v>
      </c>
      <c r="G61" s="1302" t="s">
        <v>3288</v>
      </c>
      <c r="H61" s="1302" t="s">
        <v>3188</v>
      </c>
      <c r="I61" s="1302">
        <v>45</v>
      </c>
    </row>
    <row r="62" spans="1:9" s="1302" customFormat="1" x14ac:dyDescent="0.2">
      <c r="A62" s="1303" t="s">
        <v>1357</v>
      </c>
      <c r="B62" s="1299">
        <f>'Part 1'!$M$116</f>
        <v>0</v>
      </c>
      <c r="C62" s="1304" t="s">
        <v>3204</v>
      </c>
      <c r="D62" s="1301"/>
      <c r="E62" s="1301"/>
      <c r="F62" s="1302" t="s">
        <v>3289</v>
      </c>
      <c r="G62" s="1302" t="s">
        <v>3290</v>
      </c>
      <c r="H62" s="1302" t="s">
        <v>3188</v>
      </c>
      <c r="I62" s="1302">
        <v>46</v>
      </c>
    </row>
    <row r="63" spans="1:9" s="1302" customFormat="1" x14ac:dyDescent="0.2">
      <c r="A63" s="1303" t="s">
        <v>1358</v>
      </c>
      <c r="B63" s="1299">
        <f>'Part 1'!$O$116</f>
        <v>0</v>
      </c>
      <c r="C63" s="1304" t="s">
        <v>3204</v>
      </c>
      <c r="D63" s="1301"/>
      <c r="E63" s="1301"/>
      <c r="F63" s="1302" t="s">
        <v>3291</v>
      </c>
      <c r="G63" s="1302" t="s">
        <v>3292</v>
      </c>
      <c r="H63" s="1302" t="s">
        <v>3188</v>
      </c>
      <c r="I63" s="1302">
        <v>47</v>
      </c>
    </row>
    <row r="64" spans="1:9" s="1302" customFormat="1" x14ac:dyDescent="0.2">
      <c r="A64" s="1303" t="s">
        <v>1359</v>
      </c>
      <c r="B64" s="1299">
        <f>'Part 1'!$Q$116</f>
        <v>0</v>
      </c>
      <c r="C64" s="1304" t="s">
        <v>3204</v>
      </c>
      <c r="D64" s="1301"/>
      <c r="E64" s="1301"/>
      <c r="F64" s="1302" t="s">
        <v>3293</v>
      </c>
      <c r="G64" s="1302" t="s">
        <v>3294</v>
      </c>
      <c r="H64" s="1302" t="s">
        <v>3188</v>
      </c>
      <c r="I64" s="1302">
        <v>48</v>
      </c>
    </row>
    <row r="65" spans="1:9" s="1302" customFormat="1" x14ac:dyDescent="0.2">
      <c r="A65" s="1303" t="s">
        <v>1360</v>
      </c>
      <c r="B65" s="1299">
        <f>'Part 1'!$S$116</f>
        <v>0</v>
      </c>
      <c r="C65" s="1304" t="s">
        <v>3204</v>
      </c>
      <c r="D65" s="1301"/>
      <c r="E65" s="1301"/>
      <c r="F65" s="1302" t="s">
        <v>3295</v>
      </c>
      <c r="G65" s="1302" t="s">
        <v>3296</v>
      </c>
      <c r="H65" s="1302" t="s">
        <v>3188</v>
      </c>
      <c r="I65" s="1302">
        <v>49</v>
      </c>
    </row>
    <row r="66" spans="1:9" s="1302" customFormat="1" x14ac:dyDescent="0.2">
      <c r="A66" s="1303" t="s">
        <v>1361</v>
      </c>
      <c r="B66" s="1299">
        <f>'Part 1'!$M$118</f>
        <v>0</v>
      </c>
      <c r="C66" s="1304" t="s">
        <v>3204</v>
      </c>
      <c r="D66" s="1301"/>
      <c r="E66" s="1301"/>
      <c r="F66" s="1302" t="s">
        <v>3297</v>
      </c>
      <c r="G66" s="1302" t="s">
        <v>3298</v>
      </c>
      <c r="H66" s="1302" t="s">
        <v>3188</v>
      </c>
      <c r="I66" s="1302">
        <v>50</v>
      </c>
    </row>
    <row r="67" spans="1:9" s="1302" customFormat="1" x14ac:dyDescent="0.2">
      <c r="A67" s="1303" t="s">
        <v>1362</v>
      </c>
      <c r="B67" s="1299">
        <f>'Part 1'!$S$118</f>
        <v>0</v>
      </c>
      <c r="C67" s="1304" t="s">
        <v>3204</v>
      </c>
      <c r="D67" s="1301"/>
      <c r="E67" s="1301"/>
      <c r="F67" s="1302" t="s">
        <v>3299</v>
      </c>
      <c r="G67" s="1302" t="s">
        <v>3300</v>
      </c>
      <c r="H67" s="1302" t="s">
        <v>3188</v>
      </c>
      <c r="I67" s="1302">
        <v>51</v>
      </c>
    </row>
    <row r="68" spans="1:9" s="1302" customFormat="1" x14ac:dyDescent="0.2">
      <c r="A68" s="1303" t="s">
        <v>1363</v>
      </c>
      <c r="B68" s="1299">
        <f>'Part 1'!$M$120</f>
        <v>0</v>
      </c>
      <c r="C68" s="1304" t="s">
        <v>3204</v>
      </c>
      <c r="D68" s="1301"/>
      <c r="E68" s="1301"/>
      <c r="F68" s="1302" t="s">
        <v>3301</v>
      </c>
      <c r="G68" s="1302" t="s">
        <v>3302</v>
      </c>
      <c r="H68" s="1302" t="s">
        <v>3188</v>
      </c>
      <c r="I68" s="1302">
        <v>52</v>
      </c>
    </row>
    <row r="69" spans="1:9" s="1302" customFormat="1" x14ac:dyDescent="0.2">
      <c r="A69" s="1303" t="s">
        <v>1364</v>
      </c>
      <c r="B69" s="1299">
        <f>'Part 1'!$S$120</f>
        <v>0</v>
      </c>
      <c r="C69" s="1304" t="s">
        <v>3204</v>
      </c>
      <c r="D69" s="1301"/>
      <c r="E69" s="1301"/>
      <c r="F69" s="1302" t="s">
        <v>3303</v>
      </c>
      <c r="G69" s="1302" t="s">
        <v>3304</v>
      </c>
      <c r="H69" s="1302" t="s">
        <v>3188</v>
      </c>
      <c r="I69" s="1302">
        <v>53</v>
      </c>
    </row>
    <row r="70" spans="1:9" s="1302" customFormat="1" x14ac:dyDescent="0.2">
      <c r="A70" s="1308" t="s">
        <v>1365</v>
      </c>
      <c r="B70" s="1299" t="e">
        <f>'Part 1'!K124</f>
        <v>#N/A</v>
      </c>
      <c r="C70" s="1304" t="s">
        <v>3204</v>
      </c>
      <c r="D70" s="1301"/>
      <c r="E70" s="1301"/>
      <c r="F70" s="1302" t="s">
        <v>3305</v>
      </c>
      <c r="G70" s="1302" t="s">
        <v>3306</v>
      </c>
      <c r="H70" s="1302" t="s">
        <v>3188</v>
      </c>
      <c r="I70" s="1302">
        <v>54</v>
      </c>
    </row>
    <row r="71" spans="1:9" s="1302" customFormat="1" x14ac:dyDescent="0.2">
      <c r="A71" s="1308" t="s">
        <v>1366</v>
      </c>
      <c r="B71" s="1299" t="e">
        <f>'Part 1'!M124</f>
        <v>#N/A</v>
      </c>
      <c r="C71" s="1304" t="s">
        <v>3204</v>
      </c>
      <c r="D71" s="1301"/>
      <c r="E71" s="1301"/>
      <c r="F71" s="1302" t="s">
        <v>3307</v>
      </c>
      <c r="G71" s="1302" t="s">
        <v>3308</v>
      </c>
      <c r="H71" s="1302" t="s">
        <v>3188</v>
      </c>
      <c r="I71" s="1302">
        <v>55</v>
      </c>
    </row>
    <row r="72" spans="1:9" s="1302" customFormat="1" x14ac:dyDescent="0.2">
      <c r="A72" s="1308" t="s">
        <v>1367</v>
      </c>
      <c r="B72" s="1299" t="e">
        <f>'Part 1'!O124</f>
        <v>#N/A</v>
      </c>
      <c r="C72" s="1304" t="s">
        <v>3204</v>
      </c>
      <c r="D72" s="1301"/>
      <c r="E72" s="1301"/>
      <c r="F72" s="1302" t="s">
        <v>3309</v>
      </c>
      <c r="G72" s="1302" t="s">
        <v>3310</v>
      </c>
      <c r="H72" s="1302" t="s">
        <v>3188</v>
      </c>
      <c r="I72" s="1302">
        <v>56</v>
      </c>
    </row>
    <row r="73" spans="1:9" s="1302" customFormat="1" x14ac:dyDescent="0.2">
      <c r="A73" s="1308" t="s">
        <v>1368</v>
      </c>
      <c r="B73" s="1299" t="e">
        <f>'Part 1'!Q124</f>
        <v>#N/A</v>
      </c>
      <c r="C73" s="1304" t="s">
        <v>3204</v>
      </c>
      <c r="D73" s="1301"/>
      <c r="E73" s="1301"/>
      <c r="F73" s="1302" t="s">
        <v>3311</v>
      </c>
      <c r="G73" s="1302" t="s">
        <v>3312</v>
      </c>
      <c r="H73" s="1302" t="s">
        <v>3188</v>
      </c>
      <c r="I73" s="1302">
        <v>57</v>
      </c>
    </row>
    <row r="74" spans="1:9" s="1302" customFormat="1" x14ac:dyDescent="0.2">
      <c r="A74" s="1308" t="s">
        <v>1369</v>
      </c>
      <c r="B74" s="1299" t="e">
        <f>'Part 1'!S124</f>
        <v>#N/A</v>
      </c>
      <c r="C74" s="1304" t="s">
        <v>3186</v>
      </c>
      <c r="D74" s="1301"/>
      <c r="E74" s="1301"/>
      <c r="F74" s="1302" t="s">
        <v>3313</v>
      </c>
      <c r="G74" s="1302" t="s">
        <v>3314</v>
      </c>
      <c r="H74" s="1302" t="s">
        <v>3188</v>
      </c>
      <c r="I74" s="1302">
        <v>58</v>
      </c>
    </row>
    <row r="75" spans="1:9" s="1302" customFormat="1" x14ac:dyDescent="0.2">
      <c r="A75" s="1308" t="s">
        <v>1370</v>
      </c>
      <c r="B75" s="1299" t="e">
        <f>'Part 1'!$K$129</f>
        <v>#N/A</v>
      </c>
      <c r="C75" s="1304" t="s">
        <v>3204</v>
      </c>
      <c r="D75" s="1301"/>
      <c r="E75" s="1301"/>
      <c r="F75" s="1302" t="s">
        <v>3315</v>
      </c>
      <c r="G75" s="1302" t="s">
        <v>3316</v>
      </c>
      <c r="H75" s="1302" t="s">
        <v>3188</v>
      </c>
      <c r="I75" s="1302">
        <v>59</v>
      </c>
    </row>
    <row r="76" spans="1:9" s="1302" customFormat="1" x14ac:dyDescent="0.2">
      <c r="A76" s="1308" t="s">
        <v>1371</v>
      </c>
      <c r="B76" s="1299" t="e">
        <f>'Part 1'!$M$129</f>
        <v>#N/A</v>
      </c>
      <c r="C76" s="1304" t="s">
        <v>3204</v>
      </c>
      <c r="D76" s="1301"/>
      <c r="E76" s="1301"/>
      <c r="F76" s="1302" t="s">
        <v>3317</v>
      </c>
      <c r="G76" s="1302" t="s">
        <v>3318</v>
      </c>
      <c r="H76" s="1302" t="s">
        <v>3188</v>
      </c>
      <c r="I76" s="1302">
        <v>60</v>
      </c>
    </row>
    <row r="77" spans="1:9" s="1302" customFormat="1" x14ac:dyDescent="0.2">
      <c r="A77" s="1308" t="s">
        <v>1372</v>
      </c>
      <c r="B77" s="1299" t="e">
        <f>'Part 1'!$O$129</f>
        <v>#N/A</v>
      </c>
      <c r="C77" s="1304" t="s">
        <v>3204</v>
      </c>
      <c r="D77" s="1301"/>
      <c r="E77" s="1301"/>
      <c r="F77" s="1302" t="s">
        <v>3319</v>
      </c>
      <c r="G77" s="1302" t="s">
        <v>3320</v>
      </c>
      <c r="H77" s="1302" t="s">
        <v>3188</v>
      </c>
      <c r="I77" s="1302">
        <v>61</v>
      </c>
    </row>
    <row r="78" spans="1:9" s="1302" customFormat="1" x14ac:dyDescent="0.2">
      <c r="A78" s="1308" t="s">
        <v>1373</v>
      </c>
      <c r="B78" s="1299" t="e">
        <f>'Part 1'!$Q$129</f>
        <v>#N/A</v>
      </c>
      <c r="C78" s="1304" t="s">
        <v>3204</v>
      </c>
      <c r="D78" s="1301"/>
      <c r="E78" s="1301"/>
      <c r="F78" s="1302" t="s">
        <v>3321</v>
      </c>
      <c r="G78" s="1302" t="s">
        <v>3322</v>
      </c>
      <c r="H78" s="1302" t="s">
        <v>3188</v>
      </c>
      <c r="I78" s="1302">
        <v>62</v>
      </c>
    </row>
    <row r="79" spans="1:9" s="1302" customFormat="1" x14ac:dyDescent="0.2">
      <c r="A79" s="1308" t="s">
        <v>1374</v>
      </c>
      <c r="B79" s="1299" t="e">
        <f>'Part 1'!$S$129</f>
        <v>#N/A</v>
      </c>
      <c r="C79" s="1304" t="s">
        <v>3204</v>
      </c>
      <c r="D79" s="1301"/>
      <c r="E79" s="1301"/>
      <c r="F79" s="1302" t="s">
        <v>3323</v>
      </c>
      <c r="G79" s="1302" t="s">
        <v>3324</v>
      </c>
      <c r="H79" s="1302" t="s">
        <v>3188</v>
      </c>
      <c r="I79" s="1302">
        <v>63</v>
      </c>
    </row>
    <row r="80" spans="1:9" s="1302" customFormat="1" x14ac:dyDescent="0.2">
      <c r="A80" s="1298" t="s">
        <v>3007</v>
      </c>
      <c r="B80" s="1299" t="e">
        <f>'Part 1'!$M$171</f>
        <v>#N/A</v>
      </c>
      <c r="C80" s="1304" t="s">
        <v>3204</v>
      </c>
      <c r="D80" s="1301"/>
      <c r="E80" s="1301"/>
      <c r="F80" s="1302" t="s">
        <v>3325</v>
      </c>
      <c r="G80" s="1302" t="s">
        <v>3326</v>
      </c>
      <c r="H80" s="1302" t="s">
        <v>3188</v>
      </c>
      <c r="I80" s="1302">
        <v>64</v>
      </c>
    </row>
    <row r="81" spans="1:9" s="1302" customFormat="1" x14ac:dyDescent="0.2">
      <c r="A81" s="1298" t="s">
        <v>3008</v>
      </c>
      <c r="B81" s="1299" t="e">
        <f>'Part 1'!$O$171</f>
        <v>#N/A</v>
      </c>
      <c r="C81" s="1304" t="s">
        <v>3204</v>
      </c>
      <c r="D81" s="1301"/>
      <c r="E81" s="1301"/>
      <c r="F81" s="1302" t="s">
        <v>3327</v>
      </c>
      <c r="G81" s="1302" t="s">
        <v>3328</v>
      </c>
      <c r="H81" s="1302" t="s">
        <v>3188</v>
      </c>
      <c r="I81" s="1302">
        <v>65</v>
      </c>
    </row>
    <row r="82" spans="1:9" s="1302" customFormat="1" x14ac:dyDescent="0.2">
      <c r="A82" s="1298" t="s">
        <v>3009</v>
      </c>
      <c r="B82" s="1299" t="e">
        <f>'Part 1'!$Q$171</f>
        <v>#N/A</v>
      </c>
      <c r="C82" s="1304" t="s">
        <v>3204</v>
      </c>
      <c r="D82" s="1301"/>
      <c r="E82" s="1301"/>
      <c r="F82" s="1302" t="s">
        <v>3329</v>
      </c>
      <c r="G82" s="1302" t="s">
        <v>3330</v>
      </c>
      <c r="H82" s="1302" t="s">
        <v>3188</v>
      </c>
      <c r="I82" s="1302">
        <v>66</v>
      </c>
    </row>
    <row r="83" spans="1:9" s="1302" customFormat="1" x14ac:dyDescent="0.2">
      <c r="A83" s="1298" t="s">
        <v>3010</v>
      </c>
      <c r="B83" s="1299" t="e">
        <f>'Part 1'!$S$171</f>
        <v>#N/A</v>
      </c>
      <c r="C83" s="1304" t="s">
        <v>3204</v>
      </c>
      <c r="D83" s="1301"/>
      <c r="E83" s="1301"/>
      <c r="F83" s="1302" t="s">
        <v>3331</v>
      </c>
      <c r="G83" s="1302" t="s">
        <v>3332</v>
      </c>
      <c r="H83" s="1302" t="s">
        <v>3188</v>
      </c>
      <c r="I83" s="1302">
        <v>67</v>
      </c>
    </row>
    <row r="84" spans="1:9" s="1302" customFormat="1" x14ac:dyDescent="0.2">
      <c r="A84" s="1298" t="s">
        <v>3011</v>
      </c>
      <c r="B84" s="1299">
        <f>'Part 1'!$M$175</f>
        <v>0</v>
      </c>
      <c r="C84" s="1304" t="s">
        <v>3204</v>
      </c>
      <c r="D84" s="1301"/>
      <c r="E84" s="1301"/>
      <c r="F84" s="1302" t="s">
        <v>3333</v>
      </c>
      <c r="G84" s="1302" t="s">
        <v>3334</v>
      </c>
      <c r="H84" s="1302" t="s">
        <v>3188</v>
      </c>
      <c r="I84" s="1302">
        <v>68</v>
      </c>
    </row>
    <row r="85" spans="1:9" s="1302" customFormat="1" x14ac:dyDescent="0.2">
      <c r="A85" s="1298" t="s">
        <v>3012</v>
      </c>
      <c r="B85" s="1299">
        <f>'Part 1'!$O$175</f>
        <v>0</v>
      </c>
      <c r="C85" s="1304" t="s">
        <v>3204</v>
      </c>
      <c r="D85" s="1301"/>
      <c r="E85" s="1301"/>
      <c r="F85" s="1302" t="s">
        <v>3335</v>
      </c>
      <c r="G85" s="1302" t="s">
        <v>3336</v>
      </c>
      <c r="H85" s="1302" t="s">
        <v>3188</v>
      </c>
      <c r="I85" s="1302">
        <v>69</v>
      </c>
    </row>
    <row r="86" spans="1:9" s="1302" customFormat="1" x14ac:dyDescent="0.2">
      <c r="A86" s="1298" t="s">
        <v>3013</v>
      </c>
      <c r="B86" s="1299">
        <f>'Part 1'!$Q$175</f>
        <v>0</v>
      </c>
      <c r="C86" s="1304" t="s">
        <v>3204</v>
      </c>
      <c r="D86" s="1301"/>
      <c r="E86" s="1301"/>
      <c r="F86" s="1302" t="s">
        <v>3337</v>
      </c>
      <c r="G86" s="1302" t="s">
        <v>3338</v>
      </c>
      <c r="H86" s="1302" t="s">
        <v>3188</v>
      </c>
      <c r="I86" s="1302">
        <v>70</v>
      </c>
    </row>
    <row r="87" spans="1:9" s="1302" customFormat="1" x14ac:dyDescent="0.2">
      <c r="A87" s="1298" t="s">
        <v>3014</v>
      </c>
      <c r="B87" s="1299">
        <f>'Part 1'!$S$175</f>
        <v>0</v>
      </c>
      <c r="C87" s="1304" t="s">
        <v>3204</v>
      </c>
      <c r="D87" s="1301"/>
      <c r="E87" s="1301"/>
      <c r="F87" s="1302" t="s">
        <v>3339</v>
      </c>
      <c r="G87" s="1302" t="s">
        <v>3340</v>
      </c>
      <c r="H87" s="1302" t="s">
        <v>3188</v>
      </c>
      <c r="I87" s="1302">
        <v>71</v>
      </c>
    </row>
    <row r="88" spans="1:9" s="1302" customFormat="1" x14ac:dyDescent="0.2">
      <c r="A88" s="1298" t="s">
        <v>1375</v>
      </c>
      <c r="B88" s="1299" t="e">
        <f>'Part 1'!$M$179</f>
        <v>#N/A</v>
      </c>
      <c r="C88" s="1304" t="s">
        <v>3204</v>
      </c>
      <c r="D88" s="1301"/>
      <c r="E88" s="1301"/>
      <c r="F88" s="1302" t="s">
        <v>3341</v>
      </c>
      <c r="G88" s="1302" t="s">
        <v>3342</v>
      </c>
      <c r="H88" s="1302" t="s">
        <v>3188</v>
      </c>
      <c r="I88" s="1302">
        <v>72</v>
      </c>
    </row>
    <row r="89" spans="1:9" s="1302" customFormat="1" x14ac:dyDescent="0.2">
      <c r="A89" s="1298" t="s">
        <v>1376</v>
      </c>
      <c r="B89" s="1299" t="e">
        <f>'Part 1'!$O$179</f>
        <v>#N/A</v>
      </c>
      <c r="C89" s="1304" t="s">
        <v>3204</v>
      </c>
      <c r="D89" s="1301"/>
      <c r="E89" s="1301"/>
      <c r="F89" s="1302" t="s">
        <v>3343</v>
      </c>
      <c r="G89" s="1302" t="s">
        <v>3344</v>
      </c>
      <c r="H89" s="1302" t="s">
        <v>3188</v>
      </c>
      <c r="I89" s="1302">
        <v>73</v>
      </c>
    </row>
    <row r="90" spans="1:9" s="1302" customFormat="1" x14ac:dyDescent="0.2">
      <c r="A90" s="1298" t="s">
        <v>1377</v>
      </c>
      <c r="B90" s="1299" t="e">
        <f>'Part 1'!$Q$179</f>
        <v>#N/A</v>
      </c>
      <c r="C90" s="1304" t="s">
        <v>3204</v>
      </c>
      <c r="D90" s="1301"/>
      <c r="E90" s="1301"/>
      <c r="F90" s="1302" t="s">
        <v>3345</v>
      </c>
      <c r="G90" s="1302" t="s">
        <v>3346</v>
      </c>
      <c r="H90" s="1302" t="s">
        <v>3188</v>
      </c>
      <c r="I90" s="1302">
        <v>74</v>
      </c>
    </row>
    <row r="91" spans="1:9" s="1302" customFormat="1" x14ac:dyDescent="0.2">
      <c r="A91" s="1298" t="s">
        <v>1378</v>
      </c>
      <c r="B91" s="1299" t="e">
        <f>'Part 1'!$S$179</f>
        <v>#N/A</v>
      </c>
      <c r="C91" s="1304" t="s">
        <v>3204</v>
      </c>
      <c r="D91" s="1301"/>
      <c r="E91" s="1301"/>
      <c r="F91" s="1302" t="s">
        <v>3347</v>
      </c>
      <c r="G91" s="1302" t="s">
        <v>3348</v>
      </c>
      <c r="H91" s="1302" t="s">
        <v>3188</v>
      </c>
      <c r="I91" s="1302">
        <v>75</v>
      </c>
    </row>
    <row r="92" spans="1:9" s="1302" customFormat="1" x14ac:dyDescent="0.2">
      <c r="A92" s="1298" t="s">
        <v>1379</v>
      </c>
      <c r="B92" s="1299">
        <f>'Part 1'!$M$183</f>
        <v>0</v>
      </c>
      <c r="C92" s="1304" t="s">
        <v>3204</v>
      </c>
      <c r="D92" s="1301"/>
      <c r="E92" s="1301"/>
      <c r="F92" s="1302" t="s">
        <v>3361</v>
      </c>
      <c r="G92" s="1302" t="s">
        <v>3349</v>
      </c>
      <c r="H92" s="1302" t="s">
        <v>3188</v>
      </c>
      <c r="I92" s="1302">
        <v>76</v>
      </c>
    </row>
    <row r="93" spans="1:9" s="1302" customFormat="1" x14ac:dyDescent="0.2">
      <c r="A93" s="1298" t="s">
        <v>1380</v>
      </c>
      <c r="B93" s="1299">
        <f>'Part 1'!$O$183</f>
        <v>0</v>
      </c>
      <c r="C93" s="1304" t="s">
        <v>3204</v>
      </c>
      <c r="D93" s="1301"/>
      <c r="E93" s="1301"/>
      <c r="F93" s="1302" t="s">
        <v>3363</v>
      </c>
      <c r="G93" s="1302" t="s">
        <v>3350</v>
      </c>
      <c r="H93" s="1302" t="s">
        <v>3188</v>
      </c>
      <c r="I93" s="1302">
        <v>77</v>
      </c>
    </row>
    <row r="94" spans="1:9" s="1302" customFormat="1" x14ac:dyDescent="0.2">
      <c r="A94" s="1298" t="s">
        <v>1381</v>
      </c>
      <c r="B94" s="1299">
        <f>'Part 1'!$Q$183</f>
        <v>0</v>
      </c>
      <c r="C94" s="1304" t="s">
        <v>3204</v>
      </c>
      <c r="D94" s="1301"/>
      <c r="E94" s="1301"/>
      <c r="F94" s="1302" t="s">
        <v>3365</v>
      </c>
      <c r="G94" s="1302" t="s">
        <v>3351</v>
      </c>
      <c r="H94" s="1302" t="s">
        <v>3188</v>
      </c>
      <c r="I94" s="1302">
        <v>78</v>
      </c>
    </row>
    <row r="95" spans="1:9" s="1302" customFormat="1" x14ac:dyDescent="0.2">
      <c r="A95" s="1298" t="s">
        <v>1382</v>
      </c>
      <c r="B95" s="1299">
        <f>'Part 1'!$S$183</f>
        <v>0</v>
      </c>
      <c r="C95" s="1304" t="s">
        <v>3204</v>
      </c>
      <c r="D95" s="1301"/>
      <c r="E95" s="1301"/>
      <c r="F95" s="1302" t="s">
        <v>3367</v>
      </c>
      <c r="G95" s="1302" t="s">
        <v>3352</v>
      </c>
      <c r="H95" s="1302" t="s">
        <v>3188</v>
      </c>
      <c r="I95" s="1302">
        <v>79</v>
      </c>
    </row>
    <row r="96" spans="1:9" s="1302" customFormat="1" x14ac:dyDescent="0.2">
      <c r="A96" s="1298" t="s">
        <v>1383</v>
      </c>
      <c r="B96" s="1299" t="e">
        <f>'Part 1'!$M$185</f>
        <v>#N/A</v>
      </c>
      <c r="C96" s="1304" t="s">
        <v>3204</v>
      </c>
      <c r="D96" s="1301"/>
      <c r="E96" s="1301"/>
      <c r="F96" s="1302" t="s">
        <v>4862</v>
      </c>
      <c r="G96" s="1302" t="s">
        <v>3353</v>
      </c>
      <c r="H96" s="1302" t="s">
        <v>3188</v>
      </c>
      <c r="I96" s="1302">
        <v>80</v>
      </c>
    </row>
    <row r="97" spans="1:9" s="1302" customFormat="1" x14ac:dyDescent="0.2">
      <c r="A97" s="1298" t="s">
        <v>1384</v>
      </c>
      <c r="B97" s="1299" t="e">
        <f>'Part 1'!$O$185</f>
        <v>#N/A</v>
      </c>
      <c r="C97" s="1304" t="s">
        <v>3204</v>
      </c>
      <c r="D97" s="1301"/>
      <c r="E97" s="1301"/>
      <c r="F97" s="1302" t="s">
        <v>4863</v>
      </c>
      <c r="G97" s="1302" t="s">
        <v>3354</v>
      </c>
      <c r="H97" s="1302" t="s">
        <v>3188</v>
      </c>
      <c r="I97" s="1302">
        <v>81</v>
      </c>
    </row>
    <row r="98" spans="1:9" s="1302" customFormat="1" x14ac:dyDescent="0.2">
      <c r="A98" s="1298" t="s">
        <v>1385</v>
      </c>
      <c r="B98" s="1299" t="e">
        <f>'Part 1'!$Q$185</f>
        <v>#N/A</v>
      </c>
      <c r="C98" s="1304" t="s">
        <v>3204</v>
      </c>
      <c r="D98" s="1301"/>
      <c r="E98" s="1301"/>
      <c r="F98" s="1302" t="s">
        <v>4864</v>
      </c>
      <c r="G98" s="1302" t="s">
        <v>3355</v>
      </c>
      <c r="H98" s="1302" t="s">
        <v>3188</v>
      </c>
      <c r="I98" s="1302">
        <v>82</v>
      </c>
    </row>
    <row r="99" spans="1:9" s="1302" customFormat="1" x14ac:dyDescent="0.2">
      <c r="A99" s="1298" t="s">
        <v>1386</v>
      </c>
      <c r="B99" s="1299" t="e">
        <f>'Part 1'!$S$185</f>
        <v>#N/A</v>
      </c>
      <c r="C99" s="1304" t="s">
        <v>3204</v>
      </c>
      <c r="D99" s="1301"/>
      <c r="E99" s="1301"/>
      <c r="F99" s="1302" t="s">
        <v>4865</v>
      </c>
      <c r="G99" s="1302" t="s">
        <v>3356</v>
      </c>
      <c r="H99" s="1302" t="s">
        <v>3188</v>
      </c>
      <c r="I99" s="1302">
        <v>83</v>
      </c>
    </row>
    <row r="100" spans="1:9" s="1302" customFormat="1" x14ac:dyDescent="0.2">
      <c r="A100" s="1298" t="s">
        <v>1387</v>
      </c>
      <c r="B100" s="1299">
        <f>'Part 1'!$M$187</f>
        <v>0</v>
      </c>
      <c r="C100" s="1304" t="s">
        <v>3204</v>
      </c>
      <c r="D100" s="1301"/>
      <c r="E100" s="1301"/>
      <c r="F100" s="1302" t="s">
        <v>3369</v>
      </c>
      <c r="G100" s="1302" t="s">
        <v>3357</v>
      </c>
      <c r="H100" s="1302" t="s">
        <v>3188</v>
      </c>
      <c r="I100" s="1302">
        <v>84</v>
      </c>
    </row>
    <row r="101" spans="1:9" s="1302" customFormat="1" x14ac:dyDescent="0.2">
      <c r="A101" s="1298" t="s">
        <v>1388</v>
      </c>
      <c r="B101" s="1299">
        <f>'Part 1'!$O$187</f>
        <v>0</v>
      </c>
      <c r="C101" s="1304" t="s">
        <v>3204</v>
      </c>
      <c r="D101" s="1301"/>
      <c r="E101" s="1301"/>
      <c r="F101" s="1302" t="s">
        <v>3371</v>
      </c>
      <c r="G101" s="1302" t="s">
        <v>3358</v>
      </c>
      <c r="H101" s="1302" t="s">
        <v>3188</v>
      </c>
      <c r="I101" s="1302">
        <v>85</v>
      </c>
    </row>
    <row r="102" spans="1:9" s="1302" customFormat="1" x14ac:dyDescent="0.2">
      <c r="A102" s="1298" t="s">
        <v>1389</v>
      </c>
      <c r="B102" s="1299">
        <f>'Part 1'!$Q$187</f>
        <v>0</v>
      </c>
      <c r="C102" s="1304" t="s">
        <v>3204</v>
      </c>
      <c r="D102" s="1301"/>
      <c r="E102" s="1301"/>
      <c r="F102" s="1302" t="s">
        <v>3373</v>
      </c>
      <c r="G102" s="1302" t="s">
        <v>3359</v>
      </c>
      <c r="H102" s="1302" t="s">
        <v>3188</v>
      </c>
      <c r="I102" s="1302">
        <v>86</v>
      </c>
    </row>
    <row r="103" spans="1:9" s="1302" customFormat="1" x14ac:dyDescent="0.2">
      <c r="A103" s="1298" t="s">
        <v>1390</v>
      </c>
      <c r="B103" s="1299">
        <f>'Part 1'!$S$187</f>
        <v>0</v>
      </c>
      <c r="C103" s="1304" t="s">
        <v>3204</v>
      </c>
      <c r="D103" s="1301"/>
      <c r="E103" s="1301"/>
      <c r="F103" s="1302" t="s">
        <v>3375</v>
      </c>
      <c r="G103" s="1302" t="s">
        <v>3360</v>
      </c>
      <c r="H103" s="1302" t="s">
        <v>3188</v>
      </c>
      <c r="I103" s="1302">
        <v>87</v>
      </c>
    </row>
    <row r="104" spans="1:9" s="1302" customFormat="1" x14ac:dyDescent="0.2">
      <c r="A104" s="1298" t="s">
        <v>1391</v>
      </c>
      <c r="B104" s="1299">
        <f>'Part 1'!$M$190</f>
        <v>0</v>
      </c>
      <c r="C104" s="1304" t="s">
        <v>3204</v>
      </c>
      <c r="D104" s="1301"/>
      <c r="E104" s="1301"/>
      <c r="F104" s="1302" t="s">
        <v>3377</v>
      </c>
      <c r="G104" s="1302" t="s">
        <v>3362</v>
      </c>
      <c r="H104" s="1302" t="s">
        <v>3188</v>
      </c>
      <c r="I104" s="1302">
        <v>88</v>
      </c>
    </row>
    <row r="105" spans="1:9" s="1302" customFormat="1" x14ac:dyDescent="0.2">
      <c r="A105" s="1298" t="s">
        <v>1392</v>
      </c>
      <c r="B105" s="1299">
        <f>'Part 1'!$O$190</f>
        <v>0</v>
      </c>
      <c r="C105" s="1304" t="s">
        <v>3204</v>
      </c>
      <c r="D105" s="1301"/>
      <c r="E105" s="1301"/>
      <c r="F105" s="1302" t="s">
        <v>3379</v>
      </c>
      <c r="G105" s="1302" t="s">
        <v>3364</v>
      </c>
      <c r="H105" s="1302" t="s">
        <v>3188</v>
      </c>
      <c r="I105" s="1302">
        <v>89</v>
      </c>
    </row>
    <row r="106" spans="1:9" s="1302" customFormat="1" x14ac:dyDescent="0.2">
      <c r="A106" s="1298" t="s">
        <v>1393</v>
      </c>
      <c r="B106" s="1299">
        <f>'Part 1'!$Q$190</f>
        <v>0</v>
      </c>
      <c r="C106" s="1304" t="s">
        <v>3204</v>
      </c>
      <c r="D106" s="1301"/>
      <c r="E106" s="1301"/>
      <c r="F106" s="1302" t="s">
        <v>3381</v>
      </c>
      <c r="G106" s="1302" t="s">
        <v>3366</v>
      </c>
      <c r="H106" s="1302" t="s">
        <v>3188</v>
      </c>
      <c r="I106" s="1302">
        <v>90</v>
      </c>
    </row>
    <row r="107" spans="1:9" s="1302" customFormat="1" x14ac:dyDescent="0.2">
      <c r="A107" s="1298" t="s">
        <v>1394</v>
      </c>
      <c r="B107" s="1299">
        <f>'Part 1'!$S$190</f>
        <v>0</v>
      </c>
      <c r="C107" s="1304" t="s">
        <v>3204</v>
      </c>
      <c r="D107" s="1301"/>
      <c r="E107" s="1301"/>
      <c r="F107" s="1302" t="s">
        <v>3383</v>
      </c>
      <c r="G107" s="1302" t="s">
        <v>3368</v>
      </c>
      <c r="H107" s="1302" t="s">
        <v>3188</v>
      </c>
      <c r="I107" s="1302">
        <v>91</v>
      </c>
    </row>
    <row r="108" spans="1:9" s="1302" customFormat="1" x14ac:dyDescent="0.2">
      <c r="A108" s="1298" t="s">
        <v>1395</v>
      </c>
      <c r="B108" s="1299">
        <f>'Part 1'!$M$193</f>
        <v>0</v>
      </c>
      <c r="C108" s="1304" t="s">
        <v>3204</v>
      </c>
      <c r="D108" s="1301"/>
      <c r="E108" s="1301"/>
      <c r="F108" s="1302" t="s">
        <v>4866</v>
      </c>
      <c r="G108" s="1302" t="s">
        <v>3370</v>
      </c>
      <c r="H108" s="1302" t="s">
        <v>3188</v>
      </c>
      <c r="I108" s="1302">
        <v>92</v>
      </c>
    </row>
    <row r="109" spans="1:9" s="1302" customFormat="1" x14ac:dyDescent="0.2">
      <c r="A109" s="1298" t="s">
        <v>1396</v>
      </c>
      <c r="B109" s="1299">
        <f>'Part 1'!$O$193</f>
        <v>0</v>
      </c>
      <c r="C109" s="1304" t="s">
        <v>3204</v>
      </c>
      <c r="D109" s="1301"/>
      <c r="E109" s="1301"/>
      <c r="F109" s="1302" t="s">
        <v>4867</v>
      </c>
      <c r="G109" s="1302" t="s">
        <v>3372</v>
      </c>
      <c r="H109" s="1302" t="s">
        <v>3188</v>
      </c>
      <c r="I109" s="1302">
        <v>93</v>
      </c>
    </row>
    <row r="110" spans="1:9" s="1302" customFormat="1" x14ac:dyDescent="0.2">
      <c r="A110" s="1298" t="s">
        <v>1397</v>
      </c>
      <c r="B110" s="1299">
        <f>'Part 1'!$Q$193</f>
        <v>0</v>
      </c>
      <c r="C110" s="1304" t="s">
        <v>3204</v>
      </c>
      <c r="D110" s="1301"/>
      <c r="E110" s="1301"/>
      <c r="F110" s="1302" t="s">
        <v>4868</v>
      </c>
      <c r="G110" s="1302" t="s">
        <v>3374</v>
      </c>
      <c r="H110" s="1302" t="s">
        <v>3188</v>
      </c>
      <c r="I110" s="1302">
        <v>94</v>
      </c>
    </row>
    <row r="111" spans="1:9" s="1302" customFormat="1" x14ac:dyDescent="0.2">
      <c r="A111" s="1298" t="s">
        <v>1398</v>
      </c>
      <c r="B111" s="1299">
        <f>'Part 1'!$S$193</f>
        <v>0</v>
      </c>
      <c r="C111" s="1304" t="s">
        <v>3204</v>
      </c>
      <c r="D111" s="1301"/>
      <c r="E111" s="1301"/>
      <c r="F111" s="1302" t="s">
        <v>4869</v>
      </c>
      <c r="G111" s="1302" t="s">
        <v>3376</v>
      </c>
      <c r="H111" s="1302" t="s">
        <v>3188</v>
      </c>
      <c r="I111" s="1302">
        <v>95</v>
      </c>
    </row>
    <row r="112" spans="1:9" s="1302" customFormat="1" x14ac:dyDescent="0.2">
      <c r="A112" s="1298" t="s">
        <v>1399</v>
      </c>
      <c r="B112" s="1299">
        <f>'Part 1'!$M$196</f>
        <v>0</v>
      </c>
      <c r="C112" s="1304" t="s">
        <v>3204</v>
      </c>
      <c r="D112" s="1301"/>
      <c r="E112" s="1301"/>
      <c r="F112" s="1302" t="s">
        <v>3385</v>
      </c>
      <c r="G112" s="1302" t="s">
        <v>3378</v>
      </c>
      <c r="H112" s="1302" t="s">
        <v>3188</v>
      </c>
      <c r="I112" s="1302">
        <v>96</v>
      </c>
    </row>
    <row r="113" spans="1:9" s="1302" customFormat="1" x14ac:dyDescent="0.2">
      <c r="A113" s="1298" t="s">
        <v>1400</v>
      </c>
      <c r="B113" s="1299">
        <f>'Part 1'!$O$196</f>
        <v>0</v>
      </c>
      <c r="C113" s="1304" t="s">
        <v>3204</v>
      </c>
      <c r="D113" s="1301"/>
      <c r="E113" s="1301"/>
      <c r="F113" s="1302" t="s">
        <v>3387</v>
      </c>
      <c r="G113" s="1302" t="s">
        <v>3380</v>
      </c>
      <c r="H113" s="1302" t="s">
        <v>3188</v>
      </c>
      <c r="I113" s="1302">
        <v>97</v>
      </c>
    </row>
    <row r="114" spans="1:9" s="1302" customFormat="1" x14ac:dyDescent="0.2">
      <c r="A114" s="1298" t="s">
        <v>1401</v>
      </c>
      <c r="B114" s="1299">
        <f>'Part 1'!$Q$196</f>
        <v>0</v>
      </c>
      <c r="C114" s="1304" t="s">
        <v>3204</v>
      </c>
      <c r="D114" s="1301"/>
      <c r="E114" s="1301"/>
      <c r="F114" s="1302" t="s">
        <v>3389</v>
      </c>
      <c r="G114" s="1302" t="s">
        <v>3382</v>
      </c>
      <c r="H114" s="1302" t="s">
        <v>3188</v>
      </c>
      <c r="I114" s="1302">
        <v>98</v>
      </c>
    </row>
    <row r="115" spans="1:9" s="1302" customFormat="1" x14ac:dyDescent="0.2">
      <c r="A115" s="1298" t="s">
        <v>1402</v>
      </c>
      <c r="B115" s="1299">
        <f>'Part 1'!$S$196</f>
        <v>0</v>
      </c>
      <c r="C115" s="1304" t="s">
        <v>3204</v>
      </c>
      <c r="D115" s="1301"/>
      <c r="E115" s="1301"/>
      <c r="F115" s="1302" t="s">
        <v>3391</v>
      </c>
      <c r="G115" s="1302" t="s">
        <v>3384</v>
      </c>
      <c r="H115" s="1302" t="s">
        <v>3188</v>
      </c>
      <c r="I115" s="1302">
        <v>99</v>
      </c>
    </row>
    <row r="116" spans="1:9" s="1302" customFormat="1" ht="15" x14ac:dyDescent="0.25">
      <c r="A116" s="1310" t="s">
        <v>1403</v>
      </c>
      <c r="B116" s="1299">
        <v>0</v>
      </c>
      <c r="C116" s="1304" t="s">
        <v>3204</v>
      </c>
      <c r="D116" s="1301"/>
      <c r="E116" s="1301"/>
      <c r="F116" s="1302" t="s">
        <v>4883</v>
      </c>
      <c r="G116" s="1302" t="s">
        <v>3386</v>
      </c>
      <c r="H116" s="1302" t="s">
        <v>3188</v>
      </c>
      <c r="I116" s="1302">
        <v>100</v>
      </c>
    </row>
    <row r="117" spans="1:9" s="1302" customFormat="1" ht="15" x14ac:dyDescent="0.25">
      <c r="A117" s="1310" t="s">
        <v>1404</v>
      </c>
      <c r="B117" s="1299">
        <v>0</v>
      </c>
      <c r="C117" s="1304" t="s">
        <v>3204</v>
      </c>
      <c r="D117" s="1301"/>
      <c r="E117" s="1301"/>
      <c r="F117" s="1302" t="s">
        <v>4883</v>
      </c>
      <c r="G117" s="1302" t="s">
        <v>3388</v>
      </c>
      <c r="H117" s="1302" t="s">
        <v>3188</v>
      </c>
      <c r="I117" s="1302">
        <v>101</v>
      </c>
    </row>
    <row r="118" spans="1:9" s="1302" customFormat="1" ht="15" x14ac:dyDescent="0.25">
      <c r="A118" s="1310" t="s">
        <v>1405</v>
      </c>
      <c r="B118" s="1299">
        <v>0</v>
      </c>
      <c r="C118" s="1304" t="s">
        <v>3204</v>
      </c>
      <c r="D118" s="1301"/>
      <c r="E118" s="1301"/>
      <c r="F118" s="1302" t="s">
        <v>4883</v>
      </c>
      <c r="G118" s="1302" t="s">
        <v>3390</v>
      </c>
      <c r="H118" s="1302" t="s">
        <v>3188</v>
      </c>
      <c r="I118" s="1302">
        <v>102</v>
      </c>
    </row>
    <row r="119" spans="1:9" s="1302" customFormat="1" ht="15" x14ac:dyDescent="0.25">
      <c r="A119" s="1310" t="s">
        <v>1406</v>
      </c>
      <c r="B119" s="1299">
        <v>0</v>
      </c>
      <c r="C119" s="1304" t="s">
        <v>3204</v>
      </c>
      <c r="D119" s="1301"/>
      <c r="E119" s="1301"/>
      <c r="F119" s="1302" t="s">
        <v>4883</v>
      </c>
      <c r="G119" s="1302" t="s">
        <v>3392</v>
      </c>
      <c r="H119" s="1302" t="s">
        <v>3188</v>
      </c>
      <c r="I119" s="1302">
        <v>103</v>
      </c>
    </row>
    <row r="120" spans="1:9" s="1302" customFormat="1" x14ac:dyDescent="0.2">
      <c r="A120" s="1298" t="s">
        <v>2261</v>
      </c>
      <c r="B120" s="1299">
        <f>'Part 1'!$M$199</f>
        <v>0</v>
      </c>
      <c r="C120" s="1304" t="s">
        <v>3204</v>
      </c>
      <c r="D120" s="1301"/>
      <c r="E120" s="1301"/>
      <c r="F120" s="1302" t="s">
        <v>3393</v>
      </c>
      <c r="G120" s="1302" t="s">
        <v>3394</v>
      </c>
      <c r="H120" s="1302" t="s">
        <v>3188</v>
      </c>
      <c r="I120" s="1302">
        <v>104</v>
      </c>
    </row>
    <row r="121" spans="1:9" s="1302" customFormat="1" x14ac:dyDescent="0.2">
      <c r="A121" s="1298" t="s">
        <v>2262</v>
      </c>
      <c r="B121" s="1299">
        <f>'Part 1'!$O$199</f>
        <v>0</v>
      </c>
      <c r="C121" s="1304" t="s">
        <v>3204</v>
      </c>
      <c r="D121" s="1301"/>
      <c r="E121" s="1301"/>
      <c r="F121" s="1302" t="s">
        <v>3395</v>
      </c>
      <c r="G121" s="1302" t="s">
        <v>3396</v>
      </c>
      <c r="H121" s="1302" t="s">
        <v>3188</v>
      </c>
      <c r="I121" s="1302">
        <v>105</v>
      </c>
    </row>
    <row r="122" spans="1:9" s="1302" customFormat="1" x14ac:dyDescent="0.2">
      <c r="A122" s="1298" t="s">
        <v>2263</v>
      </c>
      <c r="B122" s="1299">
        <f>'Part 1'!$Q$199</f>
        <v>0</v>
      </c>
      <c r="C122" s="1304" t="s">
        <v>3204</v>
      </c>
      <c r="D122" s="1301"/>
      <c r="E122" s="1301"/>
      <c r="F122" s="1302" t="s">
        <v>3397</v>
      </c>
      <c r="G122" s="1302" t="s">
        <v>3398</v>
      </c>
      <c r="H122" s="1302" t="s">
        <v>3188</v>
      </c>
      <c r="I122" s="1302">
        <v>106</v>
      </c>
    </row>
    <row r="123" spans="1:9" s="1302" customFormat="1" x14ac:dyDescent="0.2">
      <c r="A123" s="1298" t="s">
        <v>2264</v>
      </c>
      <c r="B123" s="1299">
        <f>'Part 1'!$S$199</f>
        <v>0</v>
      </c>
      <c r="C123" s="1304" t="s">
        <v>3204</v>
      </c>
      <c r="D123" s="1301"/>
      <c r="E123" s="1301"/>
      <c r="F123" s="1302" t="s">
        <v>3399</v>
      </c>
      <c r="G123" s="1302" t="s">
        <v>3400</v>
      </c>
      <c r="H123" s="1302" t="s">
        <v>3188</v>
      </c>
      <c r="I123" s="1302">
        <v>107</v>
      </c>
    </row>
    <row r="124" spans="1:9" s="1302" customFormat="1" x14ac:dyDescent="0.2">
      <c r="A124" s="1298" t="s">
        <v>2242</v>
      </c>
      <c r="B124" s="1299">
        <f>'Part 1'!$M$202</f>
        <v>0</v>
      </c>
      <c r="C124" s="1304" t="s">
        <v>3204</v>
      </c>
      <c r="D124" s="1301"/>
      <c r="E124" s="1301"/>
      <c r="F124" s="1302" t="s">
        <v>3401</v>
      </c>
      <c r="G124" s="1302" t="s">
        <v>3402</v>
      </c>
      <c r="H124" s="1302" t="s">
        <v>3188</v>
      </c>
      <c r="I124" s="1302">
        <v>108</v>
      </c>
    </row>
    <row r="125" spans="1:9" s="1302" customFormat="1" x14ac:dyDescent="0.2">
      <c r="A125" s="1298" t="s">
        <v>2243</v>
      </c>
      <c r="B125" s="1299">
        <f>'Part 1'!$O$202</f>
        <v>0</v>
      </c>
      <c r="C125" s="1304" t="s">
        <v>3204</v>
      </c>
      <c r="D125" s="1301"/>
      <c r="E125" s="1301"/>
      <c r="F125" s="1302" t="s">
        <v>3403</v>
      </c>
      <c r="G125" s="1302" t="s">
        <v>3404</v>
      </c>
      <c r="H125" s="1302" t="s">
        <v>3188</v>
      </c>
      <c r="I125" s="1302">
        <v>109</v>
      </c>
    </row>
    <row r="126" spans="1:9" s="1302" customFormat="1" x14ac:dyDescent="0.2">
      <c r="A126" s="1298" t="s">
        <v>2244</v>
      </c>
      <c r="B126" s="1299">
        <f>'Part 1'!$Q$202</f>
        <v>0</v>
      </c>
      <c r="C126" s="1304" t="s">
        <v>3204</v>
      </c>
      <c r="D126" s="1301"/>
      <c r="E126" s="1301"/>
      <c r="F126" s="1302" t="s">
        <v>3405</v>
      </c>
      <c r="G126" s="1302" t="s">
        <v>3406</v>
      </c>
      <c r="H126" s="1302" t="s">
        <v>3188</v>
      </c>
      <c r="I126" s="1302">
        <v>110</v>
      </c>
    </row>
    <row r="127" spans="1:9" s="1302" customFormat="1" x14ac:dyDescent="0.2">
      <c r="A127" s="1298" t="s">
        <v>2245</v>
      </c>
      <c r="B127" s="1299">
        <f>'Part 1'!$S$202</f>
        <v>0</v>
      </c>
      <c r="C127" s="1304" t="s">
        <v>3204</v>
      </c>
      <c r="D127" s="1301"/>
      <c r="E127" s="1301"/>
      <c r="F127" s="1302" t="s">
        <v>3407</v>
      </c>
      <c r="G127" s="1302" t="s">
        <v>3408</v>
      </c>
      <c r="H127" s="1302" t="s">
        <v>3188</v>
      </c>
      <c r="I127" s="1302">
        <v>111</v>
      </c>
    </row>
    <row r="128" spans="1:9" s="1302" customFormat="1" x14ac:dyDescent="0.2">
      <c r="A128" s="1298" t="s">
        <v>2254</v>
      </c>
      <c r="B128" s="1299">
        <f>'Part 1'!$M$205</f>
        <v>0</v>
      </c>
      <c r="C128" s="1304" t="s">
        <v>3204</v>
      </c>
      <c r="D128" s="1301"/>
      <c r="E128" s="1301"/>
      <c r="F128" s="1302" t="s">
        <v>3424</v>
      </c>
      <c r="G128" s="1302" t="s">
        <v>3410</v>
      </c>
      <c r="H128" s="1302" t="s">
        <v>3188</v>
      </c>
      <c r="I128" s="1302">
        <v>112</v>
      </c>
    </row>
    <row r="129" spans="1:11" s="1302" customFormat="1" x14ac:dyDescent="0.2">
      <c r="A129" s="1298" t="s">
        <v>2255</v>
      </c>
      <c r="B129" s="1299">
        <f>'Part 1'!$O$205</f>
        <v>0</v>
      </c>
      <c r="C129" s="1304" t="s">
        <v>3204</v>
      </c>
      <c r="D129" s="1301"/>
      <c r="E129" s="1301"/>
      <c r="F129" s="1302" t="s">
        <v>3427</v>
      </c>
      <c r="G129" s="1302" t="s">
        <v>3412</v>
      </c>
      <c r="H129" s="1302" t="s">
        <v>3188</v>
      </c>
      <c r="I129" s="1302">
        <v>113</v>
      </c>
    </row>
    <row r="130" spans="1:11" s="1302" customFormat="1" x14ac:dyDescent="0.2">
      <c r="A130" s="1298" t="s">
        <v>2256</v>
      </c>
      <c r="B130" s="1299">
        <f>'Part 1'!$Q$205</f>
        <v>0</v>
      </c>
      <c r="C130" s="1304" t="s">
        <v>3204</v>
      </c>
      <c r="D130" s="1301"/>
      <c r="E130" s="1301"/>
      <c r="F130" s="1302" t="s">
        <v>4870</v>
      </c>
      <c r="G130" s="1302" t="s">
        <v>3414</v>
      </c>
      <c r="H130" s="1302" t="s">
        <v>3188</v>
      </c>
      <c r="I130" s="1302">
        <v>114</v>
      </c>
    </row>
    <row r="131" spans="1:11" s="1302" customFormat="1" x14ac:dyDescent="0.2">
      <c r="A131" s="1298" t="s">
        <v>2257</v>
      </c>
      <c r="B131" s="1299">
        <f>'Part 1'!$S$205</f>
        <v>0</v>
      </c>
      <c r="C131" s="1304" t="s">
        <v>3204</v>
      </c>
      <c r="D131" s="1301"/>
      <c r="E131" s="1301"/>
      <c r="F131" s="1302" t="s">
        <v>3429</v>
      </c>
      <c r="G131" s="1302" t="s">
        <v>3416</v>
      </c>
      <c r="H131" s="1302" t="s">
        <v>3188</v>
      </c>
      <c r="I131" s="1302">
        <v>115</v>
      </c>
    </row>
    <row r="132" spans="1:11" s="1302" customFormat="1" x14ac:dyDescent="0.2">
      <c r="A132" s="1298" t="s">
        <v>3041</v>
      </c>
      <c r="B132" s="1299">
        <f>'Part 1'!$M$208</f>
        <v>0</v>
      </c>
      <c r="C132" s="1304" t="s">
        <v>3204</v>
      </c>
      <c r="D132" s="1301"/>
      <c r="E132" s="1301"/>
      <c r="F132" s="1302" t="s">
        <v>3409</v>
      </c>
      <c r="G132" s="1302" t="s">
        <v>3410</v>
      </c>
      <c r="H132" s="1302" t="s">
        <v>3188</v>
      </c>
      <c r="I132" s="1302">
        <v>116</v>
      </c>
    </row>
    <row r="133" spans="1:11" s="1302" customFormat="1" x14ac:dyDescent="0.2">
      <c r="A133" s="1298" t="s">
        <v>3042</v>
      </c>
      <c r="B133" s="1299">
        <f>'Part 1'!$O$208</f>
        <v>0</v>
      </c>
      <c r="C133" s="1304" t="s">
        <v>3204</v>
      </c>
      <c r="D133" s="1301"/>
      <c r="E133" s="1301"/>
      <c r="F133" s="1302" t="s">
        <v>3411</v>
      </c>
      <c r="G133" s="1302" t="s">
        <v>3419</v>
      </c>
      <c r="H133" s="1302" t="s">
        <v>3188</v>
      </c>
      <c r="I133" s="1302">
        <v>117</v>
      </c>
    </row>
    <row r="134" spans="1:11" s="1302" customFormat="1" x14ac:dyDescent="0.2">
      <c r="A134" s="1298" t="s">
        <v>3043</v>
      </c>
      <c r="B134" s="1299">
        <f>'Part 1'!$Q$208</f>
        <v>0</v>
      </c>
      <c r="C134" s="1304" t="s">
        <v>3204</v>
      </c>
      <c r="D134" s="1301"/>
      <c r="E134" s="1301"/>
      <c r="F134" s="1302" t="s">
        <v>3413</v>
      </c>
      <c r="G134" s="1302" t="s">
        <v>3421</v>
      </c>
      <c r="H134" s="1302" t="s">
        <v>3188</v>
      </c>
      <c r="I134" s="1302">
        <v>118</v>
      </c>
    </row>
    <row r="135" spans="1:11" s="1302" customFormat="1" x14ac:dyDescent="0.2">
      <c r="A135" s="1298" t="s">
        <v>3044</v>
      </c>
      <c r="B135" s="1299">
        <f>'Part 1'!$S$208</f>
        <v>0</v>
      </c>
      <c r="C135" s="1304" t="s">
        <v>3204</v>
      </c>
      <c r="D135" s="1301"/>
      <c r="E135" s="1301"/>
      <c r="F135" s="1302" t="s">
        <v>3415</v>
      </c>
      <c r="G135" s="1302" t="s">
        <v>3423</v>
      </c>
      <c r="H135" s="1302" t="s">
        <v>3188</v>
      </c>
      <c r="I135" s="1302">
        <v>119</v>
      </c>
    </row>
    <row r="136" spans="1:11" s="1302" customFormat="1" x14ac:dyDescent="0.2">
      <c r="A136" s="1298" t="s">
        <v>2309</v>
      </c>
      <c r="B136" s="1299">
        <f>'Part 1'!$M$211</f>
        <v>0</v>
      </c>
      <c r="C136" s="1304" t="s">
        <v>3204</v>
      </c>
      <c r="D136" s="1301"/>
      <c r="E136" s="1301"/>
      <c r="F136" s="1302" t="s">
        <v>3417</v>
      </c>
      <c r="G136" s="1302" t="s">
        <v>3425</v>
      </c>
      <c r="H136" s="1302" t="s">
        <v>3188</v>
      </c>
      <c r="I136" s="1302">
        <v>120</v>
      </c>
    </row>
    <row r="137" spans="1:11" s="1302" customFormat="1" x14ac:dyDescent="0.2">
      <c r="A137" s="1298" t="s">
        <v>2310</v>
      </c>
      <c r="B137" s="1299">
        <f>'Part 1'!$O$211</f>
        <v>0</v>
      </c>
      <c r="C137" s="1304" t="s">
        <v>3204</v>
      </c>
      <c r="D137" s="1301"/>
      <c r="E137" s="1301"/>
      <c r="F137" s="1302" t="s">
        <v>3418</v>
      </c>
      <c r="G137" s="1302" t="s">
        <v>3426</v>
      </c>
      <c r="H137" s="1302" t="s">
        <v>3188</v>
      </c>
      <c r="I137" s="1302">
        <v>121</v>
      </c>
    </row>
    <row r="138" spans="1:11" s="1302" customFormat="1" x14ac:dyDescent="0.2">
      <c r="A138" s="1298" t="s">
        <v>2311</v>
      </c>
      <c r="B138" s="1299">
        <f>'Part 1'!$Q$211</f>
        <v>0</v>
      </c>
      <c r="C138" s="1304" t="s">
        <v>3204</v>
      </c>
      <c r="D138" s="1301"/>
      <c r="E138" s="1301"/>
      <c r="F138" s="1302" t="s">
        <v>3420</v>
      </c>
      <c r="G138" s="1302" t="s">
        <v>3428</v>
      </c>
      <c r="H138" s="1302" t="s">
        <v>3188</v>
      </c>
      <c r="I138" s="1302">
        <v>122</v>
      </c>
    </row>
    <row r="139" spans="1:11" s="1302" customFormat="1" x14ac:dyDescent="0.2">
      <c r="A139" s="1298" t="s">
        <v>2312</v>
      </c>
      <c r="B139" s="1299">
        <f>'Part 1'!$S$211</f>
        <v>0</v>
      </c>
      <c r="C139" s="1304" t="s">
        <v>3204</v>
      </c>
      <c r="D139" s="1301"/>
      <c r="E139" s="1301"/>
      <c r="F139" s="1302" t="s">
        <v>3422</v>
      </c>
      <c r="G139" s="1302" t="s">
        <v>3430</v>
      </c>
      <c r="H139" s="1302" t="s">
        <v>3188</v>
      </c>
      <c r="I139" s="1302">
        <v>123</v>
      </c>
    </row>
    <row r="140" spans="1:11" s="1365" customFormat="1" ht="15" x14ac:dyDescent="0.25">
      <c r="A140" s="1309" t="s">
        <v>3174</v>
      </c>
      <c r="B140" s="1299">
        <f>'Part 1'!$M$214</f>
        <v>0</v>
      </c>
      <c r="C140" s="1304" t="s">
        <v>3204</v>
      </c>
      <c r="D140" s="1301"/>
      <c r="E140" s="1301"/>
      <c r="F140" s="1302" t="s">
        <v>4871</v>
      </c>
      <c r="G140" s="1302" t="s">
        <v>3431</v>
      </c>
      <c r="H140" s="1302" t="s">
        <v>3188</v>
      </c>
      <c r="I140" s="1302">
        <v>124</v>
      </c>
      <c r="J140" s="1302"/>
      <c r="K140" s="1302"/>
    </row>
    <row r="141" spans="1:11" s="1365" customFormat="1" ht="15" x14ac:dyDescent="0.25">
      <c r="A141" s="1309" t="s">
        <v>3175</v>
      </c>
      <c r="B141" s="1299">
        <f>'Part 1'!$O$214</f>
        <v>0</v>
      </c>
      <c r="C141" s="1304" t="s">
        <v>3204</v>
      </c>
      <c r="D141" s="1301"/>
      <c r="E141" s="1301"/>
      <c r="F141" s="1302" t="s">
        <v>4872</v>
      </c>
      <c r="G141" s="1302" t="s">
        <v>3432</v>
      </c>
      <c r="H141" s="1302" t="s">
        <v>3188</v>
      </c>
      <c r="I141" s="1302">
        <v>125</v>
      </c>
      <c r="J141" s="1302"/>
      <c r="K141" s="1302"/>
    </row>
    <row r="142" spans="1:11" s="1365" customFormat="1" ht="15" x14ac:dyDescent="0.25">
      <c r="A142" s="1309" t="s">
        <v>3176</v>
      </c>
      <c r="B142" s="1299">
        <f>'Part 1'!$Q$214</f>
        <v>0</v>
      </c>
      <c r="C142" s="1304" t="s">
        <v>3204</v>
      </c>
      <c r="D142" s="1301"/>
      <c r="E142" s="1301"/>
      <c r="F142" s="1302" t="s">
        <v>4873</v>
      </c>
      <c r="G142" s="1302" t="s">
        <v>3433</v>
      </c>
      <c r="H142" s="1302" t="s">
        <v>3188</v>
      </c>
      <c r="I142" s="1302">
        <v>126</v>
      </c>
      <c r="J142" s="1302"/>
      <c r="K142" s="1302"/>
    </row>
    <row r="143" spans="1:11" s="1380" customFormat="1" ht="14.25" customHeight="1" x14ac:dyDescent="0.25">
      <c r="A143" s="1309" t="s">
        <v>3177</v>
      </c>
      <c r="B143" s="1299">
        <f>'Part 1'!$S$214</f>
        <v>0</v>
      </c>
      <c r="C143" s="1304" t="s">
        <v>3204</v>
      </c>
      <c r="D143" s="1301"/>
      <c r="E143" s="1301"/>
      <c r="F143" s="1302" t="s">
        <v>4874</v>
      </c>
      <c r="G143" s="1302" t="s">
        <v>3434</v>
      </c>
      <c r="H143" s="1302" t="s">
        <v>3188</v>
      </c>
      <c r="I143" s="1302">
        <v>127</v>
      </c>
      <c r="J143" s="1302"/>
      <c r="K143" s="1302"/>
    </row>
    <row r="144" spans="1:11" s="1380" customFormat="1" ht="14.25" customHeight="1" x14ac:dyDescent="0.25">
      <c r="A144" s="1309" t="s">
        <v>3178</v>
      </c>
      <c r="B144" s="1299">
        <f>'Part 1'!$M$217</f>
        <v>0</v>
      </c>
      <c r="C144" s="1304" t="s">
        <v>3204</v>
      </c>
      <c r="D144" s="1301"/>
      <c r="E144" s="1301"/>
      <c r="F144" s="1302" t="s">
        <v>4875</v>
      </c>
      <c r="G144" s="1302" t="s">
        <v>3435</v>
      </c>
      <c r="H144" s="1302" t="s">
        <v>3188</v>
      </c>
      <c r="I144" s="1302">
        <v>128</v>
      </c>
      <c r="J144" s="1302"/>
      <c r="K144" s="1302"/>
    </row>
    <row r="145" spans="1:11" s="1380" customFormat="1" ht="14.25" customHeight="1" x14ac:dyDescent="0.25">
      <c r="A145" s="1309" t="s">
        <v>3179</v>
      </c>
      <c r="B145" s="1299">
        <f>'Part 1'!$O$217</f>
        <v>0</v>
      </c>
      <c r="C145" s="1304" t="s">
        <v>3204</v>
      </c>
      <c r="D145" s="1301"/>
      <c r="E145" s="1301"/>
      <c r="F145" s="1302" t="s">
        <v>4876</v>
      </c>
      <c r="G145" s="1302" t="s">
        <v>3436</v>
      </c>
      <c r="H145" s="1302" t="s">
        <v>3188</v>
      </c>
      <c r="I145" s="1302">
        <v>129</v>
      </c>
      <c r="J145" s="1302"/>
      <c r="K145" s="1302"/>
    </row>
    <row r="146" spans="1:11" s="1380" customFormat="1" ht="14.25" customHeight="1" x14ac:dyDescent="0.25">
      <c r="A146" s="1309" t="s">
        <v>3180</v>
      </c>
      <c r="B146" s="1299">
        <f>'Part 1'!$Q$217</f>
        <v>0</v>
      </c>
      <c r="C146" s="1304" t="s">
        <v>3204</v>
      </c>
      <c r="D146" s="1301"/>
      <c r="E146" s="1301"/>
      <c r="F146" s="1302" t="s">
        <v>4877</v>
      </c>
      <c r="G146" s="1302" t="s">
        <v>3437</v>
      </c>
      <c r="H146" s="1302" t="s">
        <v>3188</v>
      </c>
      <c r="I146" s="1302">
        <v>130</v>
      </c>
      <c r="J146" s="1302"/>
      <c r="K146" s="1302"/>
    </row>
    <row r="147" spans="1:11" s="1380" customFormat="1" ht="14.25" customHeight="1" x14ac:dyDescent="0.25">
      <c r="A147" s="1309" t="s">
        <v>3181</v>
      </c>
      <c r="B147" s="1299">
        <f>'Part 1'!$S$217</f>
        <v>0</v>
      </c>
      <c r="C147" s="1304" t="s">
        <v>3204</v>
      </c>
      <c r="D147" s="1301"/>
      <c r="E147" s="1301"/>
      <c r="F147" s="1302" t="s">
        <v>4878</v>
      </c>
      <c r="G147" s="1302" t="s">
        <v>3438</v>
      </c>
      <c r="H147" s="1302" t="s">
        <v>3188</v>
      </c>
      <c r="I147" s="1302">
        <v>131</v>
      </c>
      <c r="J147" s="1302"/>
      <c r="K147" s="1302"/>
    </row>
    <row r="148" spans="1:11" s="1380" customFormat="1" ht="14.25" customHeight="1" x14ac:dyDescent="0.25">
      <c r="A148" s="1310" t="s">
        <v>2266</v>
      </c>
      <c r="B148" s="1299">
        <v>0</v>
      </c>
      <c r="C148" s="1304" t="s">
        <v>3204</v>
      </c>
      <c r="D148" s="1301"/>
      <c r="E148" s="1301"/>
      <c r="F148" s="1302" t="s">
        <v>4883</v>
      </c>
      <c r="G148" s="1302" t="s">
        <v>5450</v>
      </c>
      <c r="H148" s="1302" t="s">
        <v>3188</v>
      </c>
      <c r="I148" s="1302">
        <v>136</v>
      </c>
      <c r="J148" s="1302"/>
      <c r="K148" s="1302"/>
    </row>
    <row r="149" spans="1:11" s="1380" customFormat="1" ht="14.25" customHeight="1" x14ac:dyDescent="0.25">
      <c r="A149" s="1310" t="s">
        <v>2272</v>
      </c>
      <c r="B149" s="1299">
        <v>0</v>
      </c>
      <c r="C149" s="1304" t="s">
        <v>3204</v>
      </c>
      <c r="D149" s="1301"/>
      <c r="E149" s="1301"/>
      <c r="F149" s="1302" t="s">
        <v>4883</v>
      </c>
      <c r="G149" s="1302" t="s">
        <v>5451</v>
      </c>
      <c r="H149" s="1302" t="s">
        <v>3188</v>
      </c>
      <c r="I149" s="1302">
        <v>137</v>
      </c>
      <c r="J149" s="1302"/>
      <c r="K149" s="1302"/>
    </row>
    <row r="150" spans="1:11" s="1380" customFormat="1" ht="14.25" customHeight="1" x14ac:dyDescent="0.25">
      <c r="A150" s="1310" t="s">
        <v>2267</v>
      </c>
      <c r="B150" s="1299">
        <v>0</v>
      </c>
      <c r="C150" s="1304" t="s">
        <v>3204</v>
      </c>
      <c r="D150" s="1301"/>
      <c r="E150" s="1301"/>
      <c r="F150" s="1302" t="s">
        <v>4883</v>
      </c>
      <c r="G150" s="1302" t="s">
        <v>5452</v>
      </c>
      <c r="H150" s="1302" t="s">
        <v>3188</v>
      </c>
      <c r="I150" s="1302">
        <v>138</v>
      </c>
      <c r="J150" s="1302"/>
      <c r="K150" s="1302"/>
    </row>
    <row r="151" spans="1:11" s="1380" customFormat="1" ht="14.25" customHeight="1" x14ac:dyDescent="0.25">
      <c r="A151" s="1310" t="s">
        <v>2268</v>
      </c>
      <c r="B151" s="1299">
        <v>0</v>
      </c>
      <c r="C151" s="1304" t="s">
        <v>3204</v>
      </c>
      <c r="D151" s="1301"/>
      <c r="E151" s="1301"/>
      <c r="F151" s="1302" t="s">
        <v>4883</v>
      </c>
      <c r="G151" s="1302" t="s">
        <v>5453</v>
      </c>
      <c r="H151" s="1302" t="s">
        <v>3188</v>
      </c>
      <c r="I151" s="1302">
        <v>139</v>
      </c>
      <c r="J151" s="1302"/>
      <c r="K151" s="1302"/>
    </row>
    <row r="152" spans="1:11" s="1365" customFormat="1" ht="14.25" customHeight="1" x14ac:dyDescent="0.25">
      <c r="A152" s="1310" t="s">
        <v>3015</v>
      </c>
      <c r="B152" s="1299">
        <v>0</v>
      </c>
      <c r="C152" s="1304" t="s">
        <v>3204</v>
      </c>
      <c r="D152" s="1301"/>
      <c r="E152" s="1301"/>
      <c r="F152" s="1302" t="s">
        <v>4883</v>
      </c>
      <c r="G152" s="1302" t="s">
        <v>3439</v>
      </c>
      <c r="H152" s="1302" t="s">
        <v>3188</v>
      </c>
      <c r="I152" s="1302">
        <v>132</v>
      </c>
      <c r="J152" s="1302"/>
      <c r="K152" s="1302"/>
    </row>
    <row r="153" spans="1:11" s="1365" customFormat="1" ht="14.25" customHeight="1" x14ac:dyDescent="0.25">
      <c r="A153" s="1310" t="s">
        <v>3016</v>
      </c>
      <c r="B153" s="1299">
        <v>0</v>
      </c>
      <c r="C153" s="1304" t="s">
        <v>3204</v>
      </c>
      <c r="D153" s="1301"/>
      <c r="E153" s="1301"/>
      <c r="F153" s="1302" t="s">
        <v>4883</v>
      </c>
      <c r="G153" s="1302" t="s">
        <v>3440</v>
      </c>
      <c r="H153" s="1302" t="s">
        <v>3188</v>
      </c>
      <c r="I153" s="1302">
        <v>133</v>
      </c>
      <c r="J153" s="1302"/>
      <c r="K153" s="1302"/>
    </row>
    <row r="154" spans="1:11" s="1365" customFormat="1" ht="14.25" customHeight="1" x14ac:dyDescent="0.25">
      <c r="A154" s="1310" t="s">
        <v>3017</v>
      </c>
      <c r="B154" s="1299">
        <v>0</v>
      </c>
      <c r="C154" s="1304" t="s">
        <v>3204</v>
      </c>
      <c r="D154" s="1301"/>
      <c r="E154" s="1301"/>
      <c r="F154" s="1302" t="s">
        <v>4883</v>
      </c>
      <c r="G154" s="1302" t="s">
        <v>3441</v>
      </c>
      <c r="H154" s="1302" t="s">
        <v>3188</v>
      </c>
      <c r="I154" s="1302">
        <v>134</v>
      </c>
      <c r="J154" s="1302"/>
      <c r="K154" s="1302"/>
    </row>
    <row r="155" spans="1:11" s="1365" customFormat="1" ht="14.25" customHeight="1" x14ac:dyDescent="0.25">
      <c r="A155" s="1310" t="s">
        <v>3018</v>
      </c>
      <c r="B155" s="1299">
        <v>0</v>
      </c>
      <c r="C155" s="1304" t="s">
        <v>3204</v>
      </c>
      <c r="D155" s="1301"/>
      <c r="E155" s="1301"/>
      <c r="F155" s="1302" t="s">
        <v>4883</v>
      </c>
      <c r="G155" s="1302" t="s">
        <v>3442</v>
      </c>
      <c r="H155" s="1302" t="s">
        <v>3188</v>
      </c>
      <c r="I155" s="1302">
        <v>135</v>
      </c>
      <c r="J155" s="1302"/>
      <c r="K155" s="1302"/>
    </row>
    <row r="156" spans="1:11" s="1302" customFormat="1" x14ac:dyDescent="0.2">
      <c r="A156" s="1298" t="s">
        <v>1407</v>
      </c>
      <c r="B156" s="1299" t="e">
        <f>'Part 1'!$M$221</f>
        <v>#N/A</v>
      </c>
      <c r="C156" s="1304" t="s">
        <v>3204</v>
      </c>
      <c r="D156" s="1301"/>
      <c r="E156" s="1301"/>
      <c r="F156" s="1302" t="s">
        <v>4879</v>
      </c>
      <c r="G156" s="1302" t="s">
        <v>3443</v>
      </c>
      <c r="H156" s="1302" t="s">
        <v>3188</v>
      </c>
      <c r="I156" s="1302">
        <v>140</v>
      </c>
    </row>
    <row r="157" spans="1:11" s="1302" customFormat="1" x14ac:dyDescent="0.2">
      <c r="A157" s="1298" t="s">
        <v>1408</v>
      </c>
      <c r="B157" s="1299" t="e">
        <f>'Part 1'!$O$221</f>
        <v>#N/A</v>
      </c>
      <c r="C157" s="1304" t="s">
        <v>3204</v>
      </c>
      <c r="D157" s="1301"/>
      <c r="E157" s="1301"/>
      <c r="F157" s="1302" t="s">
        <v>4880</v>
      </c>
      <c r="G157" s="1302" t="s">
        <v>3444</v>
      </c>
      <c r="H157" s="1302" t="s">
        <v>3188</v>
      </c>
      <c r="I157" s="1302">
        <v>141</v>
      </c>
    </row>
    <row r="158" spans="1:11" s="1302" customFormat="1" x14ac:dyDescent="0.2">
      <c r="A158" s="1298" t="s">
        <v>1409</v>
      </c>
      <c r="B158" s="1299" t="e">
        <f>'Part 1'!$Q$221</f>
        <v>#N/A</v>
      </c>
      <c r="C158" s="1304" t="s">
        <v>3204</v>
      </c>
      <c r="D158" s="1301"/>
      <c r="E158" s="1301"/>
      <c r="F158" s="1302" t="s">
        <v>4881</v>
      </c>
      <c r="G158" s="1302" t="s">
        <v>3445</v>
      </c>
      <c r="H158" s="1302" t="s">
        <v>3188</v>
      </c>
      <c r="I158" s="1302">
        <v>142</v>
      </c>
    </row>
    <row r="159" spans="1:11" s="1302" customFormat="1" x14ac:dyDescent="0.2">
      <c r="A159" s="1298" t="s">
        <v>1410</v>
      </c>
      <c r="B159" s="1299" t="e">
        <f>'Part 1'!$S$221</f>
        <v>#N/A</v>
      </c>
      <c r="C159" s="1304" t="s">
        <v>3204</v>
      </c>
      <c r="D159" s="1301"/>
      <c r="E159" s="1301"/>
      <c r="F159" s="1302" t="s">
        <v>4882</v>
      </c>
      <c r="G159" s="1302" t="s">
        <v>3446</v>
      </c>
      <c r="H159" s="1302" t="s">
        <v>3188</v>
      </c>
      <c r="I159" s="1302">
        <v>143</v>
      </c>
    </row>
    <row r="160" spans="1:11" s="1302" customFormat="1" ht="15" customHeight="1" x14ac:dyDescent="0.2">
      <c r="A160" s="1311" t="s">
        <v>1232</v>
      </c>
      <c r="B160" s="1312">
        <f>'Part 2'!$D$13</f>
        <v>0</v>
      </c>
      <c r="C160" s="1313" t="s">
        <v>3198</v>
      </c>
      <c r="D160" s="1314"/>
      <c r="E160" s="1314"/>
      <c r="F160" s="1315" t="s">
        <v>4884</v>
      </c>
      <c r="G160" s="1315" t="s">
        <v>3448</v>
      </c>
      <c r="H160" s="1315" t="s">
        <v>3189</v>
      </c>
      <c r="I160" s="1315">
        <v>1</v>
      </c>
      <c r="J160" s="1315"/>
      <c r="K160" s="1315"/>
    </row>
    <row r="161" spans="1:11" s="1302" customFormat="1" ht="15" customHeight="1" x14ac:dyDescent="0.2">
      <c r="A161" s="1316" t="s">
        <v>1411</v>
      </c>
      <c r="B161" s="1317">
        <f>'Part 2'!$G$13+'Part 2'!$S$13</f>
        <v>0</v>
      </c>
      <c r="C161" s="1318" t="s">
        <v>3204</v>
      </c>
      <c r="D161" s="1319"/>
      <c r="E161" s="1319"/>
      <c r="F161" s="1315" t="s">
        <v>4885</v>
      </c>
      <c r="G161" s="1315" t="s">
        <v>3450</v>
      </c>
      <c r="H161" s="1315" t="s">
        <v>3189</v>
      </c>
      <c r="I161" s="1315">
        <v>2</v>
      </c>
      <c r="J161" s="1315"/>
      <c r="K161" s="1315"/>
    </row>
    <row r="162" spans="1:11" s="1302" customFormat="1" ht="15" customHeight="1" x14ac:dyDescent="0.2">
      <c r="A162" s="1316" t="s">
        <v>1412</v>
      </c>
      <c r="B162" s="1317">
        <f>'Part 2'!$J$13+'Part 2'!$V$13</f>
        <v>0</v>
      </c>
      <c r="C162" s="1318" t="s">
        <v>3204</v>
      </c>
      <c r="D162" s="1319"/>
      <c r="E162" s="1319"/>
      <c r="F162" s="1315" t="s">
        <v>4886</v>
      </c>
      <c r="G162" s="1315" t="s">
        <v>3452</v>
      </c>
      <c r="H162" s="1315" t="s">
        <v>3189</v>
      </c>
      <c r="I162" s="1315">
        <v>3</v>
      </c>
      <c r="J162" s="1315"/>
      <c r="K162" s="1315"/>
    </row>
    <row r="163" spans="1:11" s="1302" customFormat="1" ht="15" customHeight="1" x14ac:dyDescent="0.2">
      <c r="A163" s="1316" t="s">
        <v>1413</v>
      </c>
      <c r="B163" s="1317">
        <f>'Part 2'!$AB$13</f>
        <v>0</v>
      </c>
      <c r="C163" s="1318" t="s">
        <v>3204</v>
      </c>
      <c r="D163" s="1319"/>
      <c r="E163" s="1319"/>
      <c r="F163" s="1315" t="s">
        <v>4887</v>
      </c>
      <c r="G163" s="1315" t="s">
        <v>3454</v>
      </c>
      <c r="H163" s="1315" t="s">
        <v>3189</v>
      </c>
      <c r="I163" s="1315">
        <v>4</v>
      </c>
      <c r="J163" s="1315"/>
      <c r="K163" s="1315"/>
    </row>
    <row r="164" spans="1:11" s="1302" customFormat="1" ht="15" customHeight="1" x14ac:dyDescent="0.2">
      <c r="A164" s="1316" t="s">
        <v>1414</v>
      </c>
      <c r="B164" s="1317">
        <f>'Part 2'!$G$18+'Part 2'!$S$18</f>
        <v>0</v>
      </c>
      <c r="C164" s="1318" t="s">
        <v>3204</v>
      </c>
      <c r="D164" s="1319"/>
      <c r="E164" s="1319"/>
      <c r="F164" s="1315" t="s">
        <v>4888</v>
      </c>
      <c r="G164" s="1315" t="s">
        <v>3456</v>
      </c>
      <c r="H164" s="1315" t="s">
        <v>3189</v>
      </c>
      <c r="I164" s="1315">
        <v>5</v>
      </c>
      <c r="J164" s="1315"/>
      <c r="K164" s="1315"/>
    </row>
    <row r="165" spans="1:11" s="1302" customFormat="1" ht="15" customHeight="1" x14ac:dyDescent="0.2">
      <c r="A165" s="1316" t="s">
        <v>1415</v>
      </c>
      <c r="B165" s="1317">
        <f>'Part 2'!$J$18+'Part 2'!$V$18</f>
        <v>0</v>
      </c>
      <c r="C165" s="1318" t="s">
        <v>3204</v>
      </c>
      <c r="D165" s="1319"/>
      <c r="E165" s="1319"/>
      <c r="F165" s="1315" t="s">
        <v>4889</v>
      </c>
      <c r="G165" s="1315" t="s">
        <v>3458</v>
      </c>
      <c r="H165" s="1315" t="s">
        <v>3189</v>
      </c>
      <c r="I165" s="1315">
        <v>6</v>
      </c>
      <c r="J165" s="1315"/>
      <c r="K165" s="1315"/>
    </row>
    <row r="166" spans="1:11" s="1365" customFormat="1" ht="15" x14ac:dyDescent="0.2">
      <c r="A166" s="1491" t="s">
        <v>3031</v>
      </c>
      <c r="B166" s="1320">
        <v>0</v>
      </c>
      <c r="C166" s="1321" t="s">
        <v>3202</v>
      </c>
      <c r="D166" s="1322"/>
      <c r="E166" s="1322"/>
      <c r="F166" s="1323" t="s">
        <v>3459</v>
      </c>
      <c r="G166" s="1323" t="s">
        <v>3460</v>
      </c>
      <c r="H166" s="1323" t="s">
        <v>3189</v>
      </c>
      <c r="I166" s="1323">
        <v>7</v>
      </c>
      <c r="J166" s="1323"/>
      <c r="K166" s="1323"/>
    </row>
    <row r="167" spans="1:11" s="1302" customFormat="1" ht="15" customHeight="1" x14ac:dyDescent="0.2">
      <c r="A167" s="1316" t="s">
        <v>1416</v>
      </c>
      <c r="B167" s="1317">
        <f>'Part 2'!$G$22+'Part 2'!$S$22</f>
        <v>0</v>
      </c>
      <c r="C167" s="1318" t="s">
        <v>3204</v>
      </c>
      <c r="D167" s="1319"/>
      <c r="E167" s="1319"/>
      <c r="F167" s="1315" t="s">
        <v>4890</v>
      </c>
      <c r="G167" s="1315" t="s">
        <v>3462</v>
      </c>
      <c r="H167" s="1315" t="s">
        <v>3189</v>
      </c>
      <c r="I167" s="1315">
        <v>8</v>
      </c>
      <c r="J167" s="1315"/>
      <c r="K167" s="1315"/>
    </row>
    <row r="168" spans="1:11" s="1302" customFormat="1" ht="15" customHeight="1" x14ac:dyDescent="0.2">
      <c r="A168" s="1316" t="s">
        <v>1417</v>
      </c>
      <c r="B168" s="1317">
        <f>'Part 2'!$J$22+'Part 2'!$V$22</f>
        <v>0</v>
      </c>
      <c r="C168" s="1318" t="s">
        <v>3204</v>
      </c>
      <c r="D168" s="1319"/>
      <c r="E168" s="1319"/>
      <c r="F168" s="1315" t="s">
        <v>4891</v>
      </c>
      <c r="G168" s="1315" t="s">
        <v>3464</v>
      </c>
      <c r="H168" s="1315" t="s">
        <v>3189</v>
      </c>
      <c r="I168" s="1315">
        <v>9</v>
      </c>
      <c r="J168" s="1315"/>
      <c r="K168" s="1315"/>
    </row>
    <row r="169" spans="1:11" s="1302" customFormat="1" ht="15" customHeight="1" x14ac:dyDescent="0.2">
      <c r="A169" s="1316" t="s">
        <v>1418</v>
      </c>
      <c r="B169" s="1317">
        <f>'Part 2'!$G$25+'Part 2'!$S$25</f>
        <v>0</v>
      </c>
      <c r="C169" s="1318" t="s">
        <v>3204</v>
      </c>
      <c r="D169" s="1319"/>
      <c r="E169" s="1319"/>
      <c r="F169" s="1315" t="s">
        <v>4892</v>
      </c>
      <c r="G169" s="1315" t="s">
        <v>3466</v>
      </c>
      <c r="H169" s="1315" t="s">
        <v>3189</v>
      </c>
      <c r="I169" s="1315">
        <v>10</v>
      </c>
      <c r="J169" s="1315"/>
      <c r="K169" s="1315"/>
    </row>
    <row r="170" spans="1:11" s="1302" customFormat="1" ht="15" customHeight="1" x14ac:dyDescent="0.2">
      <c r="A170" s="1316" t="s">
        <v>1419</v>
      </c>
      <c r="B170" s="1317">
        <f>'Part 2'!$J$25+'Part 2'!$V$25</f>
        <v>0</v>
      </c>
      <c r="C170" s="1318" t="s">
        <v>3204</v>
      </c>
      <c r="D170" s="1319"/>
      <c r="E170" s="1319"/>
      <c r="F170" s="1315" t="s">
        <v>4893</v>
      </c>
      <c r="G170" s="1315" t="s">
        <v>3468</v>
      </c>
      <c r="H170" s="1315" t="s">
        <v>3189</v>
      </c>
      <c r="I170" s="1315">
        <v>11</v>
      </c>
      <c r="J170" s="1315"/>
      <c r="K170" s="1315"/>
    </row>
    <row r="171" spans="1:11" s="1302" customFormat="1" ht="15" customHeight="1" x14ac:dyDescent="0.2">
      <c r="A171" s="1316" t="s">
        <v>1420</v>
      </c>
      <c r="B171" s="1317">
        <f>'Part 2'!$AB$25</f>
        <v>0</v>
      </c>
      <c r="C171" s="1318" t="s">
        <v>3204</v>
      </c>
      <c r="D171" s="1319"/>
      <c r="E171" s="1319"/>
      <c r="F171" s="1315" t="s">
        <v>4894</v>
      </c>
      <c r="G171" s="1315" t="s">
        <v>3470</v>
      </c>
      <c r="H171" s="1315" t="s">
        <v>3189</v>
      </c>
      <c r="I171" s="1315">
        <v>12</v>
      </c>
      <c r="J171" s="1315"/>
      <c r="K171" s="1315"/>
    </row>
    <row r="172" spans="1:11" s="1302" customFormat="1" ht="15" customHeight="1" x14ac:dyDescent="0.2">
      <c r="A172" s="1324" t="s">
        <v>1421</v>
      </c>
      <c r="B172" s="1317">
        <f>'Part 2'!$G$29+'Part 2'!$S$29</f>
        <v>0</v>
      </c>
      <c r="C172" s="1318" t="s">
        <v>3204</v>
      </c>
      <c r="D172" s="1319"/>
      <c r="E172" s="1319"/>
      <c r="F172" s="1315" t="s">
        <v>4895</v>
      </c>
      <c r="G172" s="1315" t="s">
        <v>3472</v>
      </c>
      <c r="H172" s="1315" t="s">
        <v>3189</v>
      </c>
      <c r="I172" s="1315">
        <v>13</v>
      </c>
      <c r="J172" s="1315"/>
      <c r="K172" s="1315"/>
    </row>
    <row r="173" spans="1:11" s="1302" customFormat="1" ht="15" customHeight="1" x14ac:dyDescent="0.2">
      <c r="A173" s="1324" t="s">
        <v>1422</v>
      </c>
      <c r="B173" s="1317">
        <f>'Part 2'!$J$29+'Part 2'!$V$29</f>
        <v>0</v>
      </c>
      <c r="C173" s="1318" t="s">
        <v>3204</v>
      </c>
      <c r="D173" s="1319"/>
      <c r="E173" s="1319"/>
      <c r="F173" s="1315" t="s">
        <v>4896</v>
      </c>
      <c r="G173" s="1315" t="s">
        <v>3474</v>
      </c>
      <c r="H173" s="1315" t="s">
        <v>3189</v>
      </c>
      <c r="I173" s="1315">
        <v>14</v>
      </c>
      <c r="J173" s="1315"/>
      <c r="K173" s="1315"/>
    </row>
    <row r="174" spans="1:11" s="1302" customFormat="1" ht="15" customHeight="1" x14ac:dyDescent="0.2">
      <c r="A174" s="1324" t="s">
        <v>1423</v>
      </c>
      <c r="B174" s="1317">
        <f>'Part 2'!$AB$29</f>
        <v>0</v>
      </c>
      <c r="C174" s="1318" t="s">
        <v>3204</v>
      </c>
      <c r="D174" s="1319"/>
      <c r="E174" s="1319"/>
      <c r="F174" s="1315" t="s">
        <v>4897</v>
      </c>
      <c r="G174" s="1315" t="s">
        <v>3476</v>
      </c>
      <c r="H174" s="1315" t="s">
        <v>3189</v>
      </c>
      <c r="I174" s="1315">
        <v>15</v>
      </c>
      <c r="J174" s="1315"/>
      <c r="K174" s="1315"/>
    </row>
    <row r="175" spans="1:11" s="1302" customFormat="1" ht="15" customHeight="1" x14ac:dyDescent="0.2">
      <c r="A175" s="1316" t="s">
        <v>1424</v>
      </c>
      <c r="B175" s="1317">
        <f>'Part 2'!$G$33+'Part 2'!$S$33</f>
        <v>0</v>
      </c>
      <c r="C175" s="1318" t="s">
        <v>3204</v>
      </c>
      <c r="D175" s="1319"/>
      <c r="E175" s="1319"/>
      <c r="F175" s="1315" t="s">
        <v>4958</v>
      </c>
      <c r="G175" s="1315" t="s">
        <v>3478</v>
      </c>
      <c r="H175" s="1315" t="s">
        <v>3189</v>
      </c>
      <c r="I175" s="1315">
        <v>16</v>
      </c>
      <c r="J175" s="1315"/>
      <c r="K175" s="1315"/>
    </row>
    <row r="176" spans="1:11" s="1302" customFormat="1" ht="15" customHeight="1" x14ac:dyDescent="0.2">
      <c r="A176" s="1316" t="s">
        <v>1425</v>
      </c>
      <c r="B176" s="1317">
        <f>'Part 2'!$J$33+'Part 2'!$V$33</f>
        <v>0</v>
      </c>
      <c r="C176" s="1318" t="s">
        <v>3204</v>
      </c>
      <c r="D176" s="1319"/>
      <c r="E176" s="1319"/>
      <c r="F176" s="1315" t="s">
        <v>4959</v>
      </c>
      <c r="G176" s="1315" t="s">
        <v>3480</v>
      </c>
      <c r="H176" s="1315" t="s">
        <v>3189</v>
      </c>
      <c r="I176" s="1315">
        <v>17</v>
      </c>
      <c r="J176" s="1315"/>
      <c r="K176" s="1315"/>
    </row>
    <row r="177" spans="1:11" s="1302" customFormat="1" x14ac:dyDescent="0.2">
      <c r="A177" s="1316" t="s">
        <v>1426</v>
      </c>
      <c r="B177" s="1317">
        <f>'Part 2'!$G$38+'Part 2'!$S$38</f>
        <v>0</v>
      </c>
      <c r="C177" s="1318" t="s">
        <v>3204</v>
      </c>
      <c r="D177" s="1319"/>
      <c r="E177" s="1319"/>
      <c r="F177" s="1315" t="s">
        <v>4960</v>
      </c>
      <c r="G177" s="1315" t="s">
        <v>3482</v>
      </c>
      <c r="H177" s="1315" t="s">
        <v>3189</v>
      </c>
      <c r="I177" s="1315">
        <v>18</v>
      </c>
      <c r="J177" s="1315"/>
      <c r="K177" s="1315"/>
    </row>
    <row r="178" spans="1:11" s="1302" customFormat="1" x14ac:dyDescent="0.2">
      <c r="A178" s="1316" t="s">
        <v>1427</v>
      </c>
      <c r="B178" s="1317">
        <f>'Part 2'!$J$38+'Part 2'!$V$38</f>
        <v>0</v>
      </c>
      <c r="C178" s="1318" t="s">
        <v>3204</v>
      </c>
      <c r="D178" s="1319"/>
      <c r="E178" s="1319"/>
      <c r="F178" s="1315" t="s">
        <v>4961</v>
      </c>
      <c r="G178" s="1315" t="s">
        <v>3484</v>
      </c>
      <c r="H178" s="1315" t="s">
        <v>3189</v>
      </c>
      <c r="I178" s="1315">
        <v>19</v>
      </c>
      <c r="J178" s="1315"/>
      <c r="K178" s="1315"/>
    </row>
    <row r="179" spans="1:11" s="1302" customFormat="1" x14ac:dyDescent="0.2">
      <c r="A179" s="1316" t="s">
        <v>1428</v>
      </c>
      <c r="B179" s="1317">
        <f>'Part 2'!$AB$38</f>
        <v>0</v>
      </c>
      <c r="C179" s="1318" t="s">
        <v>3204</v>
      </c>
      <c r="D179" s="1319"/>
      <c r="E179" s="1319"/>
      <c r="F179" s="1315" t="s">
        <v>4962</v>
      </c>
      <c r="G179" s="1315" t="s">
        <v>3486</v>
      </c>
      <c r="H179" s="1315" t="s">
        <v>3189</v>
      </c>
      <c r="I179" s="1315">
        <v>20</v>
      </c>
      <c r="J179" s="1315"/>
      <c r="K179" s="1315"/>
    </row>
    <row r="180" spans="1:11" s="1302" customFormat="1" x14ac:dyDescent="0.2">
      <c r="A180" s="1316" t="s">
        <v>1429</v>
      </c>
      <c r="B180" s="1317">
        <f>'Part 2'!$G$44+'Part 2'!$S$44</f>
        <v>0</v>
      </c>
      <c r="C180" s="1318" t="s">
        <v>3204</v>
      </c>
      <c r="D180" s="1319"/>
      <c r="E180" s="1319"/>
      <c r="F180" s="1315" t="s">
        <v>4898</v>
      </c>
      <c r="G180" s="1315" t="s">
        <v>3488</v>
      </c>
      <c r="H180" s="1315" t="s">
        <v>3189</v>
      </c>
      <c r="I180" s="1315">
        <v>21</v>
      </c>
      <c r="J180" s="1315"/>
      <c r="K180" s="1315"/>
    </row>
    <row r="181" spans="1:11" s="1315" customFormat="1" x14ac:dyDescent="0.2">
      <c r="A181" s="1316" t="s">
        <v>1430</v>
      </c>
      <c r="B181" s="1317">
        <f>'Part 2'!$J$44+'Part 2'!$V$44</f>
        <v>0</v>
      </c>
      <c r="C181" s="1318" t="s">
        <v>3204</v>
      </c>
      <c r="D181" s="1319"/>
      <c r="E181" s="1319"/>
      <c r="F181" s="1315" t="s">
        <v>4899</v>
      </c>
      <c r="G181" s="1315" t="s">
        <v>3490</v>
      </c>
      <c r="H181" s="1315" t="s">
        <v>3189</v>
      </c>
      <c r="I181" s="1315">
        <v>22</v>
      </c>
    </row>
    <row r="182" spans="1:11" s="1315" customFormat="1" x14ac:dyDescent="0.2">
      <c r="A182" s="1316" t="s">
        <v>1431</v>
      </c>
      <c r="B182" s="1317">
        <f>'Part 2'!$AB$44</f>
        <v>0</v>
      </c>
      <c r="C182" s="1318" t="s">
        <v>3204</v>
      </c>
      <c r="D182" s="1319"/>
      <c r="E182" s="1319"/>
      <c r="F182" s="1315" t="s">
        <v>4963</v>
      </c>
      <c r="G182" s="1315" t="s">
        <v>3492</v>
      </c>
      <c r="H182" s="1315" t="s">
        <v>3189</v>
      </c>
      <c r="I182" s="1315">
        <v>23</v>
      </c>
    </row>
    <row r="183" spans="1:11" s="1315" customFormat="1" x14ac:dyDescent="0.2">
      <c r="A183" s="1316" t="s">
        <v>1432</v>
      </c>
      <c r="B183" s="1317">
        <f>'Part 2'!$G$46+'Part 2'!$S$46</f>
        <v>0</v>
      </c>
      <c r="C183" s="1318" t="s">
        <v>3204</v>
      </c>
      <c r="D183" s="1319"/>
      <c r="E183" s="1319"/>
      <c r="F183" s="1315" t="s">
        <v>4964</v>
      </c>
      <c r="G183" s="1315" t="s">
        <v>3494</v>
      </c>
      <c r="H183" s="1315" t="s">
        <v>3189</v>
      </c>
      <c r="I183" s="1315">
        <v>24</v>
      </c>
    </row>
    <row r="184" spans="1:11" s="1315" customFormat="1" x14ac:dyDescent="0.2">
      <c r="A184" s="1316" t="s">
        <v>1433</v>
      </c>
      <c r="B184" s="1317">
        <f>'Part 2'!$J$46+'Part 2'!$V$46</f>
        <v>0</v>
      </c>
      <c r="C184" s="1318" t="s">
        <v>3204</v>
      </c>
      <c r="D184" s="1319"/>
      <c r="E184" s="1319"/>
      <c r="F184" s="1315" t="s">
        <v>4965</v>
      </c>
      <c r="G184" s="1315" t="s">
        <v>3496</v>
      </c>
      <c r="H184" s="1315" t="s">
        <v>3189</v>
      </c>
      <c r="I184" s="1315">
        <v>25</v>
      </c>
    </row>
    <row r="185" spans="1:11" s="1315" customFormat="1" x14ac:dyDescent="0.2">
      <c r="A185" s="1316" t="s">
        <v>1434</v>
      </c>
      <c r="B185" s="1317">
        <f>'Part 2'!$AB$46</f>
        <v>0</v>
      </c>
      <c r="C185" s="1318" t="s">
        <v>3204</v>
      </c>
      <c r="D185" s="1319"/>
      <c r="E185" s="1319"/>
      <c r="F185" s="1315" t="s">
        <v>4966</v>
      </c>
      <c r="G185" s="1315" t="s">
        <v>3498</v>
      </c>
      <c r="H185" s="1315" t="s">
        <v>3189</v>
      </c>
      <c r="I185" s="1315">
        <v>26</v>
      </c>
    </row>
    <row r="186" spans="1:11" s="1315" customFormat="1" x14ac:dyDescent="0.2">
      <c r="A186" s="1316" t="s">
        <v>1435</v>
      </c>
      <c r="B186" s="1317">
        <f>'Part 2'!$G$50+'Part 2'!$S$50</f>
        <v>0</v>
      </c>
      <c r="C186" s="1318" t="s">
        <v>3204</v>
      </c>
      <c r="D186" s="1319"/>
      <c r="E186" s="1319"/>
      <c r="F186" s="1315" t="s">
        <v>4900</v>
      </c>
      <c r="G186" s="1315" t="s">
        <v>3500</v>
      </c>
      <c r="H186" s="1315" t="s">
        <v>3189</v>
      </c>
      <c r="I186" s="1315">
        <v>27</v>
      </c>
    </row>
    <row r="187" spans="1:11" s="1323" customFormat="1" x14ac:dyDescent="0.2">
      <c r="A187" s="1316" t="s">
        <v>1436</v>
      </c>
      <c r="B187" s="1317">
        <f>'Part 2'!$J$50+'Part 2'!$V$50</f>
        <v>0</v>
      </c>
      <c r="C187" s="1318" t="s">
        <v>3204</v>
      </c>
      <c r="D187" s="1319"/>
      <c r="E187" s="1319"/>
      <c r="F187" s="1315" t="s">
        <v>4901</v>
      </c>
      <c r="G187" s="1315" t="s">
        <v>3502</v>
      </c>
      <c r="H187" s="1315" t="s">
        <v>3189</v>
      </c>
      <c r="I187" s="1315">
        <v>28</v>
      </c>
      <c r="J187" s="1315"/>
      <c r="K187" s="1315"/>
    </row>
    <row r="188" spans="1:11" s="1315" customFormat="1" x14ac:dyDescent="0.2">
      <c r="A188" s="1316" t="s">
        <v>1437</v>
      </c>
      <c r="B188" s="1317">
        <f>'Part 2'!$AB$50</f>
        <v>0</v>
      </c>
      <c r="C188" s="1318" t="s">
        <v>3204</v>
      </c>
      <c r="D188" s="1319"/>
      <c r="E188" s="1319"/>
      <c r="F188" s="1315" t="s">
        <v>4902</v>
      </c>
      <c r="G188" s="1315" t="s">
        <v>3503</v>
      </c>
      <c r="H188" s="1315" t="s">
        <v>3189</v>
      </c>
      <c r="I188" s="1315">
        <v>29</v>
      </c>
    </row>
    <row r="189" spans="1:11" s="1315" customFormat="1" x14ac:dyDescent="0.2">
      <c r="A189" s="1316" t="s">
        <v>1438</v>
      </c>
      <c r="B189" s="1317">
        <f>'Part 2'!$G$53+'Part 2'!$S$53</f>
        <v>0</v>
      </c>
      <c r="C189" s="1318" t="s">
        <v>3204</v>
      </c>
      <c r="D189" s="1319"/>
      <c r="E189" s="1319"/>
      <c r="F189" s="1315" t="s">
        <v>4903</v>
      </c>
      <c r="G189" s="1315" t="s">
        <v>3505</v>
      </c>
      <c r="H189" s="1315" t="s">
        <v>3189</v>
      </c>
      <c r="I189" s="1315">
        <v>30</v>
      </c>
    </row>
    <row r="190" spans="1:11" s="1315" customFormat="1" x14ac:dyDescent="0.2">
      <c r="A190" s="1316" t="s">
        <v>1439</v>
      </c>
      <c r="B190" s="1317">
        <f>'Part 2'!$J$53+'Part 2'!$V$53</f>
        <v>0</v>
      </c>
      <c r="C190" s="1318" t="s">
        <v>3204</v>
      </c>
      <c r="D190" s="1319"/>
      <c r="E190" s="1319"/>
      <c r="F190" s="1315" t="s">
        <v>4904</v>
      </c>
      <c r="G190" s="1315" t="s">
        <v>3507</v>
      </c>
      <c r="H190" s="1315" t="s">
        <v>3189</v>
      </c>
      <c r="I190" s="1315">
        <v>31</v>
      </c>
    </row>
    <row r="191" spans="1:11" s="1315" customFormat="1" x14ac:dyDescent="0.2">
      <c r="A191" s="1316" t="s">
        <v>1440</v>
      </c>
      <c r="B191" s="1317">
        <f>'Part 2'!$AB$53</f>
        <v>0</v>
      </c>
      <c r="C191" s="1318" t="s">
        <v>3204</v>
      </c>
      <c r="D191" s="1319"/>
      <c r="E191" s="1319"/>
      <c r="F191" s="1315" t="s">
        <v>4905</v>
      </c>
      <c r="G191" s="1315" t="s">
        <v>3508</v>
      </c>
      <c r="H191" s="1315" t="s">
        <v>3189</v>
      </c>
      <c r="I191" s="1315">
        <v>32</v>
      </c>
    </row>
    <row r="192" spans="1:11" s="1315" customFormat="1" x14ac:dyDescent="0.2">
      <c r="A192" s="1316" t="s">
        <v>1441</v>
      </c>
      <c r="B192" s="1317">
        <f>'Part 2'!$G$56+'Part 2'!$S$56</f>
        <v>0</v>
      </c>
      <c r="C192" s="1318" t="s">
        <v>3204</v>
      </c>
      <c r="D192" s="1319"/>
      <c r="E192" s="1319"/>
      <c r="F192" s="1315" t="s">
        <v>4906</v>
      </c>
      <c r="G192" s="1315" t="s">
        <v>3510</v>
      </c>
      <c r="H192" s="1315" t="s">
        <v>3189</v>
      </c>
      <c r="I192" s="1315">
        <v>33</v>
      </c>
    </row>
    <row r="193" spans="1:11" s="1315" customFormat="1" x14ac:dyDescent="0.2">
      <c r="A193" s="1316" t="s">
        <v>1442</v>
      </c>
      <c r="B193" s="1317">
        <f>'Part 2'!$J$56+'Part 2'!$V$56</f>
        <v>0</v>
      </c>
      <c r="C193" s="1318" t="s">
        <v>3204</v>
      </c>
      <c r="D193" s="1319"/>
      <c r="E193" s="1319"/>
      <c r="F193" s="1315" t="s">
        <v>4907</v>
      </c>
      <c r="G193" s="1315" t="s">
        <v>3512</v>
      </c>
      <c r="H193" s="1315" t="s">
        <v>3189</v>
      </c>
      <c r="I193" s="1315">
        <v>34</v>
      </c>
    </row>
    <row r="194" spans="1:11" s="1315" customFormat="1" x14ac:dyDescent="0.2">
      <c r="A194" s="1316" t="s">
        <v>1443</v>
      </c>
      <c r="B194" s="1317">
        <f>'Part 2'!$AB$56</f>
        <v>0</v>
      </c>
      <c r="C194" s="1318" t="s">
        <v>3204</v>
      </c>
      <c r="D194" s="1319"/>
      <c r="E194" s="1319"/>
      <c r="F194" s="1315" t="s">
        <v>4908</v>
      </c>
      <c r="G194" s="1315" t="s">
        <v>3513</v>
      </c>
      <c r="H194" s="1315" t="s">
        <v>3189</v>
      </c>
      <c r="I194" s="1315">
        <v>35</v>
      </c>
    </row>
    <row r="195" spans="1:11" s="1315" customFormat="1" x14ac:dyDescent="0.2">
      <c r="A195" s="1316" t="s">
        <v>2227</v>
      </c>
      <c r="B195" s="1317">
        <f>'Part 2'!$G$59+'Part 2'!$S$59</f>
        <v>0</v>
      </c>
      <c r="C195" s="1318" t="s">
        <v>3204</v>
      </c>
      <c r="D195" s="1319"/>
      <c r="E195" s="1319"/>
      <c r="F195" s="1315" t="s">
        <v>4967</v>
      </c>
      <c r="G195" s="1315" t="s">
        <v>3515</v>
      </c>
      <c r="H195" s="1315" t="s">
        <v>3189</v>
      </c>
      <c r="I195" s="1315">
        <v>36</v>
      </c>
    </row>
    <row r="196" spans="1:11" s="1315" customFormat="1" x14ac:dyDescent="0.2">
      <c r="A196" s="1316" t="s">
        <v>2228</v>
      </c>
      <c r="B196" s="1317">
        <f>'Part 2'!$J$59+'Part 2'!$V$59</f>
        <v>0</v>
      </c>
      <c r="C196" s="1318" t="s">
        <v>3204</v>
      </c>
      <c r="D196" s="1319"/>
      <c r="E196" s="1319"/>
      <c r="F196" s="1315" t="s">
        <v>4968</v>
      </c>
      <c r="G196" s="1315" t="s">
        <v>3517</v>
      </c>
      <c r="H196" s="1315" t="s">
        <v>3189</v>
      </c>
      <c r="I196" s="1315">
        <v>37</v>
      </c>
    </row>
    <row r="197" spans="1:11" s="1315" customFormat="1" x14ac:dyDescent="0.2">
      <c r="A197" s="1316" t="s">
        <v>2229</v>
      </c>
      <c r="B197" s="1317">
        <f>'Part 2'!$AB$59</f>
        <v>0</v>
      </c>
      <c r="C197" s="1318" t="s">
        <v>3204</v>
      </c>
      <c r="D197" s="1319"/>
      <c r="E197" s="1319"/>
      <c r="F197" s="1315" t="s">
        <v>4969</v>
      </c>
      <c r="G197" s="1315" t="s">
        <v>3519</v>
      </c>
      <c r="H197" s="1315" t="s">
        <v>3189</v>
      </c>
      <c r="I197" s="1315">
        <v>38</v>
      </c>
    </row>
    <row r="198" spans="1:11" s="1315" customFormat="1" x14ac:dyDescent="0.2">
      <c r="A198" s="1316" t="s">
        <v>2313</v>
      </c>
      <c r="B198" s="1317">
        <f>'Part 2'!$G$62+'Part 2'!$S$62</f>
        <v>0</v>
      </c>
      <c r="C198" s="1318" t="s">
        <v>3204</v>
      </c>
      <c r="D198" s="1319"/>
      <c r="E198" s="1319"/>
      <c r="F198" s="1315" t="s">
        <v>4970</v>
      </c>
      <c r="G198" s="1315" t="s">
        <v>3520</v>
      </c>
      <c r="H198" s="1315" t="s">
        <v>3189</v>
      </c>
      <c r="I198" s="1315">
        <v>39</v>
      </c>
    </row>
    <row r="199" spans="1:11" s="1315" customFormat="1" x14ac:dyDescent="0.2">
      <c r="A199" s="1316" t="s">
        <v>2314</v>
      </c>
      <c r="B199" s="1317">
        <f>'Part 2'!$J$62+'Part 2'!$V$62</f>
        <v>0</v>
      </c>
      <c r="C199" s="1318" t="s">
        <v>3204</v>
      </c>
      <c r="D199" s="1319"/>
      <c r="E199" s="1319"/>
      <c r="F199" s="1315" t="s">
        <v>4971</v>
      </c>
      <c r="G199" s="1315" t="s">
        <v>3521</v>
      </c>
      <c r="H199" s="1315" t="s">
        <v>3189</v>
      </c>
      <c r="I199" s="1315">
        <v>40</v>
      </c>
    </row>
    <row r="200" spans="1:11" s="1315" customFormat="1" x14ac:dyDescent="0.2">
      <c r="A200" s="1316" t="s">
        <v>2315</v>
      </c>
      <c r="B200" s="1317">
        <f>'Part 2'!$AB$62</f>
        <v>0</v>
      </c>
      <c r="C200" s="1318" t="s">
        <v>3204</v>
      </c>
      <c r="D200" s="1319"/>
      <c r="E200" s="1319"/>
      <c r="F200" s="1315" t="s">
        <v>4972</v>
      </c>
      <c r="G200" s="1315" t="s">
        <v>3522</v>
      </c>
      <c r="H200" s="1315" t="s">
        <v>3189</v>
      </c>
      <c r="I200" s="1315">
        <v>41</v>
      </c>
    </row>
    <row r="201" spans="1:11" s="1380" customFormat="1" ht="15" x14ac:dyDescent="0.2">
      <c r="A201" s="1326" t="s">
        <v>5766</v>
      </c>
      <c r="B201" s="1317">
        <f>'Part 2'!$G$65+'Part 2'!$S$65</f>
        <v>0</v>
      </c>
      <c r="C201" s="1318" t="s">
        <v>3204</v>
      </c>
      <c r="D201" s="1319"/>
      <c r="E201" s="1319"/>
      <c r="F201" s="1315" t="s">
        <v>4909</v>
      </c>
      <c r="G201" s="1315" t="s">
        <v>3627</v>
      </c>
      <c r="H201" s="1315" t="s">
        <v>3189</v>
      </c>
      <c r="I201" s="1315">
        <v>111</v>
      </c>
      <c r="J201" s="1315"/>
      <c r="K201" s="1315"/>
    </row>
    <row r="202" spans="1:11" s="1380" customFormat="1" ht="15" x14ac:dyDescent="0.2">
      <c r="A202" s="1326" t="s">
        <v>5767</v>
      </c>
      <c r="B202" s="1317">
        <f>'Part 2'!$J$65+'Part 2'!$V$65</f>
        <v>0</v>
      </c>
      <c r="C202" s="1318" t="s">
        <v>3204</v>
      </c>
      <c r="D202" s="1319"/>
      <c r="E202" s="1319"/>
      <c r="F202" s="1315" t="s">
        <v>4910</v>
      </c>
      <c r="G202" s="1315" t="s">
        <v>3628</v>
      </c>
      <c r="H202" s="1315" t="s">
        <v>3189</v>
      </c>
      <c r="I202" s="1315">
        <v>112</v>
      </c>
      <c r="J202" s="1315"/>
      <c r="K202" s="1315"/>
    </row>
    <row r="203" spans="1:11" s="1380" customFormat="1" ht="15" x14ac:dyDescent="0.2">
      <c r="A203" s="1326" t="s">
        <v>5768</v>
      </c>
      <c r="B203" s="1317">
        <f>'Part 2'!$AB$65</f>
        <v>0</v>
      </c>
      <c r="C203" s="1318" t="s">
        <v>3204</v>
      </c>
      <c r="D203" s="1319"/>
      <c r="E203" s="1319"/>
      <c r="F203" s="1315" t="s">
        <v>5765</v>
      </c>
      <c r="G203" s="1315" t="s">
        <v>3629</v>
      </c>
      <c r="H203" s="1315" t="s">
        <v>3189</v>
      </c>
      <c r="I203" s="1315">
        <v>113</v>
      </c>
      <c r="J203" s="1315"/>
      <c r="K203" s="1315"/>
    </row>
    <row r="204" spans="1:11" s="1365" customFormat="1" ht="15" x14ac:dyDescent="0.2">
      <c r="A204" s="1325" t="s">
        <v>2946</v>
      </c>
      <c r="B204" s="1317">
        <v>0</v>
      </c>
      <c r="C204" s="1318" t="s">
        <v>3204</v>
      </c>
      <c r="D204" s="1319"/>
      <c r="E204" s="1319"/>
      <c r="F204" s="1315" t="s">
        <v>4973</v>
      </c>
      <c r="G204" s="1315" t="s">
        <v>3523</v>
      </c>
      <c r="H204" s="1315" t="s">
        <v>3189</v>
      </c>
      <c r="I204" s="1315">
        <v>42</v>
      </c>
      <c r="J204" s="1315"/>
      <c r="K204" s="1315"/>
    </row>
    <row r="205" spans="1:11" s="1365" customFormat="1" ht="15" x14ac:dyDescent="0.2">
      <c r="A205" s="1325" t="s">
        <v>2947</v>
      </c>
      <c r="B205" s="1317">
        <v>0</v>
      </c>
      <c r="C205" s="1318" t="s">
        <v>3204</v>
      </c>
      <c r="D205" s="1319"/>
      <c r="E205" s="1319"/>
      <c r="F205" s="1315" t="s">
        <v>4973</v>
      </c>
      <c r="G205" s="1315" t="s">
        <v>3524</v>
      </c>
      <c r="H205" s="1315" t="s">
        <v>3189</v>
      </c>
      <c r="I205" s="1315">
        <v>43</v>
      </c>
      <c r="J205" s="1315"/>
      <c r="K205" s="1315"/>
    </row>
    <row r="206" spans="1:11" s="1365" customFormat="1" ht="15" x14ac:dyDescent="0.2">
      <c r="A206" s="1325" t="s">
        <v>2948</v>
      </c>
      <c r="B206" s="1317">
        <v>0</v>
      </c>
      <c r="C206" s="1318" t="s">
        <v>3204</v>
      </c>
      <c r="D206" s="1319"/>
      <c r="E206" s="1319"/>
      <c r="F206" s="1315" t="s">
        <v>4973</v>
      </c>
      <c r="G206" s="1315" t="s">
        <v>3525</v>
      </c>
      <c r="H206" s="1315" t="s">
        <v>3189</v>
      </c>
      <c r="I206" s="1315">
        <v>44</v>
      </c>
      <c r="J206" s="1315"/>
      <c r="K206" s="1315"/>
    </row>
    <row r="207" spans="1:11" s="1315" customFormat="1" x14ac:dyDescent="0.2">
      <c r="A207" s="1316" t="s">
        <v>1444</v>
      </c>
      <c r="B207" s="1317">
        <f>'Part 2'!$G$69+'Part 2'!$S$69</f>
        <v>0</v>
      </c>
      <c r="C207" s="1318" t="s">
        <v>3204</v>
      </c>
      <c r="D207" s="1319"/>
      <c r="E207" s="1319"/>
      <c r="F207" s="1315" t="s">
        <v>4911</v>
      </c>
      <c r="G207" s="1315" t="s">
        <v>3527</v>
      </c>
      <c r="H207" s="1315" t="s">
        <v>3189</v>
      </c>
      <c r="I207" s="1315">
        <v>45</v>
      </c>
    </row>
    <row r="208" spans="1:11" s="1315" customFormat="1" x14ac:dyDescent="0.2">
      <c r="A208" s="1316" t="s">
        <v>1445</v>
      </c>
      <c r="B208" s="1317">
        <f>'Part 2'!$J$69+'Part 2'!$V$69</f>
        <v>0</v>
      </c>
      <c r="C208" s="1318" t="s">
        <v>3204</v>
      </c>
      <c r="D208" s="1319"/>
      <c r="E208" s="1319"/>
      <c r="F208" s="1315" t="s">
        <v>4912</v>
      </c>
      <c r="G208" s="1315" t="s">
        <v>3529</v>
      </c>
      <c r="H208" s="1315" t="s">
        <v>3189</v>
      </c>
      <c r="I208" s="1315">
        <v>46</v>
      </c>
    </row>
    <row r="209" spans="1:9" s="1315" customFormat="1" x14ac:dyDescent="0.2">
      <c r="A209" s="1316" t="s">
        <v>1446</v>
      </c>
      <c r="B209" s="1317">
        <f>'Part 2'!$G$72+'Part 2'!$S$72</f>
        <v>0</v>
      </c>
      <c r="C209" s="1318" t="s">
        <v>3204</v>
      </c>
      <c r="D209" s="1319"/>
      <c r="E209" s="1319"/>
      <c r="F209" s="1315" t="s">
        <v>4913</v>
      </c>
      <c r="G209" s="1315" t="s">
        <v>3531</v>
      </c>
      <c r="H209" s="1315" t="s">
        <v>3189</v>
      </c>
      <c r="I209" s="1315">
        <v>47</v>
      </c>
    </row>
    <row r="210" spans="1:9" s="1315" customFormat="1" ht="14.25" customHeight="1" x14ac:dyDescent="0.2">
      <c r="A210" s="1316" t="s">
        <v>1447</v>
      </c>
      <c r="B210" s="1317">
        <f>'Part 2'!$J$72+'Part 2'!$V$72</f>
        <v>0</v>
      </c>
      <c r="C210" s="1318" t="s">
        <v>3204</v>
      </c>
      <c r="D210" s="1319"/>
      <c r="E210" s="1319"/>
      <c r="F210" s="1315" t="s">
        <v>4914</v>
      </c>
      <c r="G210" s="1315" t="s">
        <v>3533</v>
      </c>
      <c r="H210" s="1315" t="s">
        <v>3189</v>
      </c>
      <c r="I210" s="1315">
        <v>48</v>
      </c>
    </row>
    <row r="211" spans="1:9" s="1315" customFormat="1" ht="14.25" customHeight="1" x14ac:dyDescent="0.2">
      <c r="A211" s="1316" t="s">
        <v>1448</v>
      </c>
      <c r="B211" s="1317">
        <f>'Part 2'!$G$75+'Part 2'!$S$75</f>
        <v>0</v>
      </c>
      <c r="C211" s="1318" t="s">
        <v>3204</v>
      </c>
      <c r="D211" s="1319"/>
      <c r="E211" s="1319"/>
      <c r="F211" s="1315" t="s">
        <v>4974</v>
      </c>
      <c r="G211" s="1315" t="s">
        <v>3535</v>
      </c>
      <c r="H211" s="1315" t="s">
        <v>3189</v>
      </c>
      <c r="I211" s="1315">
        <v>49</v>
      </c>
    </row>
    <row r="212" spans="1:9" s="1315" customFormat="1" ht="14.25" customHeight="1" x14ac:dyDescent="0.2">
      <c r="A212" s="1316" t="s">
        <v>1449</v>
      </c>
      <c r="B212" s="1317">
        <f>'Part 2'!$J$75+'Part 2'!$V$75</f>
        <v>0</v>
      </c>
      <c r="C212" s="1318" t="s">
        <v>3204</v>
      </c>
      <c r="D212" s="1319"/>
      <c r="E212" s="1319"/>
      <c r="F212" s="1315" t="s">
        <v>4975</v>
      </c>
      <c r="G212" s="1315" t="s">
        <v>3537</v>
      </c>
      <c r="H212" s="1315" t="s">
        <v>3189</v>
      </c>
      <c r="I212" s="1315">
        <v>50</v>
      </c>
    </row>
    <row r="213" spans="1:9" s="1315" customFormat="1" ht="14.25" customHeight="1" x14ac:dyDescent="0.2">
      <c r="A213" s="1316" t="s">
        <v>1450</v>
      </c>
      <c r="B213" s="1317">
        <f>'Part 2'!$AB$75</f>
        <v>0</v>
      </c>
      <c r="C213" s="1318" t="s">
        <v>3204</v>
      </c>
      <c r="D213" s="1319"/>
      <c r="E213" s="1319"/>
      <c r="F213" s="1315" t="s">
        <v>4976</v>
      </c>
      <c r="G213" s="1315" t="s">
        <v>3538</v>
      </c>
      <c r="H213" s="1315" t="s">
        <v>3189</v>
      </c>
      <c r="I213" s="1315">
        <v>51</v>
      </c>
    </row>
    <row r="214" spans="1:9" s="1315" customFormat="1" ht="14.25" customHeight="1" x14ac:dyDescent="0.2">
      <c r="A214" s="1316" t="s">
        <v>1451</v>
      </c>
      <c r="B214" s="1317">
        <f>'Part 2'!$G$83+'Part 2'!$S$83</f>
        <v>0</v>
      </c>
      <c r="C214" s="1318" t="s">
        <v>3204</v>
      </c>
      <c r="D214" s="1319"/>
      <c r="E214" s="1319"/>
      <c r="F214" s="1315" t="s">
        <v>4915</v>
      </c>
      <c r="G214" s="1315" t="s">
        <v>3540</v>
      </c>
      <c r="H214" s="1315" t="s">
        <v>3189</v>
      </c>
      <c r="I214" s="1315">
        <v>52</v>
      </c>
    </row>
    <row r="215" spans="1:9" s="1315" customFormat="1" ht="14.25" customHeight="1" x14ac:dyDescent="0.2">
      <c r="A215" s="1316" t="s">
        <v>1452</v>
      </c>
      <c r="B215" s="1317">
        <f>'Part 2'!$J$83+'Part 2'!$V$83</f>
        <v>0</v>
      </c>
      <c r="C215" s="1318" t="s">
        <v>3204</v>
      </c>
      <c r="D215" s="1319"/>
      <c r="E215" s="1319"/>
      <c r="F215" s="1315" t="s">
        <v>4916</v>
      </c>
      <c r="G215" s="1315" t="s">
        <v>3542</v>
      </c>
      <c r="H215" s="1315" t="s">
        <v>3189</v>
      </c>
      <c r="I215" s="1315">
        <v>53</v>
      </c>
    </row>
    <row r="216" spans="1:9" s="1315" customFormat="1" ht="14.25" customHeight="1" x14ac:dyDescent="0.2">
      <c r="A216" s="1316" t="s">
        <v>1453</v>
      </c>
      <c r="B216" s="1317">
        <f>'Part 2'!$AB$83</f>
        <v>0</v>
      </c>
      <c r="C216" s="1318" t="s">
        <v>3204</v>
      </c>
      <c r="D216" s="1319"/>
      <c r="E216" s="1319"/>
      <c r="F216" s="1315" t="s">
        <v>4917</v>
      </c>
      <c r="G216" s="1315" t="s">
        <v>3544</v>
      </c>
      <c r="H216" s="1315" t="s">
        <v>3189</v>
      </c>
      <c r="I216" s="1315">
        <v>54</v>
      </c>
    </row>
    <row r="217" spans="1:9" s="1315" customFormat="1" ht="14.25" customHeight="1" x14ac:dyDescent="0.2">
      <c r="A217" s="1316" t="s">
        <v>1454</v>
      </c>
      <c r="B217" s="1317">
        <f>'Part 2'!$G$86+'Part 2'!$S$86</f>
        <v>0</v>
      </c>
      <c r="C217" s="1318" t="s">
        <v>3204</v>
      </c>
      <c r="D217" s="1319"/>
      <c r="E217" s="1319"/>
      <c r="F217" s="1315" t="s">
        <v>4918</v>
      </c>
      <c r="G217" s="1315" t="s">
        <v>3546</v>
      </c>
      <c r="H217" s="1315" t="s">
        <v>3189</v>
      </c>
      <c r="I217" s="1315">
        <v>55</v>
      </c>
    </row>
    <row r="218" spans="1:9" s="1315" customFormat="1" ht="14.25" customHeight="1" x14ac:dyDescent="0.2">
      <c r="A218" s="1316" t="s">
        <v>1455</v>
      </c>
      <c r="B218" s="1317">
        <f>'Part 2'!$J$86+'Part 2'!$V$86</f>
        <v>0</v>
      </c>
      <c r="C218" s="1318" t="s">
        <v>3204</v>
      </c>
      <c r="D218" s="1319"/>
      <c r="E218" s="1319"/>
      <c r="F218" s="1315" t="s">
        <v>4919</v>
      </c>
      <c r="G218" s="1315" t="s">
        <v>3548</v>
      </c>
      <c r="H218" s="1315" t="s">
        <v>3189</v>
      </c>
      <c r="I218" s="1315">
        <v>56</v>
      </c>
    </row>
    <row r="219" spans="1:9" s="1315" customFormat="1" ht="14.25" customHeight="1" x14ac:dyDescent="0.2">
      <c r="A219" s="1316" t="s">
        <v>1456</v>
      </c>
      <c r="B219" s="1317">
        <f>'Part 2'!$AB$86</f>
        <v>0</v>
      </c>
      <c r="C219" s="1318" t="s">
        <v>3204</v>
      </c>
      <c r="D219" s="1319"/>
      <c r="E219" s="1319"/>
      <c r="F219" s="1315" t="s">
        <v>5777</v>
      </c>
      <c r="G219" s="1315" t="s">
        <v>3550</v>
      </c>
      <c r="H219" s="1315" t="s">
        <v>3189</v>
      </c>
      <c r="I219" s="1315">
        <v>57</v>
      </c>
    </row>
    <row r="220" spans="1:9" s="1315" customFormat="1" ht="14.25" customHeight="1" x14ac:dyDescent="0.2">
      <c r="A220" s="1316" t="s">
        <v>1457</v>
      </c>
      <c r="B220" s="1317">
        <f>'Part 2'!$G$89+'Part 2'!$S$89</f>
        <v>0</v>
      </c>
      <c r="C220" s="1318" t="s">
        <v>3204</v>
      </c>
      <c r="D220" s="1319"/>
      <c r="E220" s="1319"/>
      <c r="F220" s="1315" t="s">
        <v>4920</v>
      </c>
      <c r="G220" s="1315" t="s">
        <v>3552</v>
      </c>
      <c r="H220" s="1315" t="s">
        <v>3189</v>
      </c>
      <c r="I220" s="1315">
        <v>58</v>
      </c>
    </row>
    <row r="221" spans="1:9" s="1315" customFormat="1" ht="14.25" customHeight="1" x14ac:dyDescent="0.2">
      <c r="A221" s="1316" t="s">
        <v>1458</v>
      </c>
      <c r="B221" s="1317">
        <f>'Part 2'!$J$89+'Part 2'!$V$89</f>
        <v>0</v>
      </c>
      <c r="C221" s="1318" t="s">
        <v>3204</v>
      </c>
      <c r="D221" s="1319"/>
      <c r="E221" s="1319"/>
      <c r="F221" s="1315" t="s">
        <v>4921</v>
      </c>
      <c r="G221" s="1315" t="s">
        <v>3554</v>
      </c>
      <c r="H221" s="1315" t="s">
        <v>3189</v>
      </c>
      <c r="I221" s="1315">
        <v>59</v>
      </c>
    </row>
    <row r="222" spans="1:9" s="1315" customFormat="1" x14ac:dyDescent="0.2">
      <c r="A222" s="1316" t="s">
        <v>1459</v>
      </c>
      <c r="B222" s="1317">
        <f>'Part 2'!$G$92+'Part 2'!$S$92</f>
        <v>0</v>
      </c>
      <c r="C222" s="1318" t="s">
        <v>3204</v>
      </c>
      <c r="D222" s="1319"/>
      <c r="E222" s="1319"/>
      <c r="F222" s="1315" t="s">
        <v>4922</v>
      </c>
      <c r="G222" s="1315" t="s">
        <v>3556</v>
      </c>
      <c r="H222" s="1315" t="s">
        <v>3189</v>
      </c>
      <c r="I222" s="1315">
        <v>60</v>
      </c>
    </row>
    <row r="223" spans="1:9" s="1315" customFormat="1" x14ac:dyDescent="0.2">
      <c r="A223" s="1316" t="s">
        <v>1460</v>
      </c>
      <c r="B223" s="1317">
        <f>'Part 2'!$J$92+'Part 2'!$V$92</f>
        <v>0</v>
      </c>
      <c r="C223" s="1318" t="s">
        <v>3204</v>
      </c>
      <c r="D223" s="1319"/>
      <c r="E223" s="1319"/>
      <c r="F223" s="1315" t="s">
        <v>4923</v>
      </c>
      <c r="G223" s="1315" t="s">
        <v>3558</v>
      </c>
      <c r="H223" s="1315" t="s">
        <v>3189</v>
      </c>
      <c r="I223" s="1315">
        <v>61</v>
      </c>
    </row>
    <row r="224" spans="1:9" s="1315" customFormat="1" x14ac:dyDescent="0.2">
      <c r="A224" s="1324" t="s">
        <v>1461</v>
      </c>
      <c r="B224" s="1317">
        <f>'Part 2'!$G$96+'Part 2'!$S$96</f>
        <v>0</v>
      </c>
      <c r="C224" s="1318" t="s">
        <v>3204</v>
      </c>
      <c r="D224" s="1319"/>
      <c r="E224" s="1319"/>
      <c r="F224" s="1315" t="s">
        <v>4924</v>
      </c>
      <c r="G224" s="1315" t="s">
        <v>3560</v>
      </c>
      <c r="H224" s="1315" t="s">
        <v>3189</v>
      </c>
      <c r="I224" s="1315">
        <v>62</v>
      </c>
    </row>
    <row r="225" spans="1:11" s="1315" customFormat="1" x14ac:dyDescent="0.2">
      <c r="A225" s="1324" t="s">
        <v>1462</v>
      </c>
      <c r="B225" s="1317">
        <f>'Part 2'!$J$96+'Part 2'!$V$96</f>
        <v>0</v>
      </c>
      <c r="C225" s="1318" t="s">
        <v>3204</v>
      </c>
      <c r="D225" s="1319"/>
      <c r="E225" s="1319"/>
      <c r="F225" s="1315" t="s">
        <v>4925</v>
      </c>
      <c r="G225" s="1315" t="s">
        <v>3562</v>
      </c>
      <c r="H225" s="1315" t="s">
        <v>3189</v>
      </c>
      <c r="I225" s="1315">
        <v>63</v>
      </c>
    </row>
    <row r="226" spans="1:11" s="1315" customFormat="1" x14ac:dyDescent="0.2">
      <c r="A226" s="1324" t="s">
        <v>1463</v>
      </c>
      <c r="B226" s="1317">
        <f>'Part 2'!$AB$96</f>
        <v>0</v>
      </c>
      <c r="C226" s="1318" t="s">
        <v>3204</v>
      </c>
      <c r="D226" s="1319"/>
      <c r="E226" s="1319"/>
      <c r="F226" s="1315" t="s">
        <v>4926</v>
      </c>
      <c r="G226" s="1315" t="s">
        <v>3564</v>
      </c>
      <c r="H226" s="1315" t="s">
        <v>3189</v>
      </c>
      <c r="I226" s="1315">
        <v>64</v>
      </c>
    </row>
    <row r="227" spans="1:11" s="1315" customFormat="1" x14ac:dyDescent="0.2">
      <c r="A227" s="1316" t="s">
        <v>1464</v>
      </c>
      <c r="B227" s="1317">
        <f>'Part 2'!$G$102+'Part 2'!$S$102</f>
        <v>0</v>
      </c>
      <c r="C227" s="1318" t="s">
        <v>3204</v>
      </c>
      <c r="D227" s="1319"/>
      <c r="E227" s="1319"/>
      <c r="F227" s="1315" t="s">
        <v>4927</v>
      </c>
      <c r="G227" s="1315" t="s">
        <v>3565</v>
      </c>
      <c r="H227" s="1315" t="s">
        <v>3189</v>
      </c>
      <c r="I227" s="1315">
        <v>65</v>
      </c>
    </row>
    <row r="228" spans="1:11" s="1315" customFormat="1" x14ac:dyDescent="0.2">
      <c r="A228" s="1316" t="s">
        <v>1465</v>
      </c>
      <c r="B228" s="1317">
        <f>'Part 2'!$J$102+'Part 2'!$V$102</f>
        <v>0</v>
      </c>
      <c r="C228" s="1318" t="s">
        <v>3204</v>
      </c>
      <c r="D228" s="1319"/>
      <c r="E228" s="1319"/>
      <c r="F228" s="1315" t="s">
        <v>4928</v>
      </c>
      <c r="G228" s="1315" t="s">
        <v>3567</v>
      </c>
      <c r="H228" s="1315" t="s">
        <v>3189</v>
      </c>
      <c r="I228" s="1315">
        <v>66</v>
      </c>
    </row>
    <row r="229" spans="1:11" s="1315" customFormat="1" x14ac:dyDescent="0.2">
      <c r="A229" s="1316" t="s">
        <v>1466</v>
      </c>
      <c r="B229" s="1317">
        <f>'Part 2'!$AB$102</f>
        <v>0</v>
      </c>
      <c r="C229" s="1318" t="s">
        <v>3204</v>
      </c>
      <c r="D229" s="1319"/>
      <c r="E229" s="1319"/>
      <c r="F229" s="1315" t="s">
        <v>4929</v>
      </c>
      <c r="G229" s="1315" t="s">
        <v>3568</v>
      </c>
      <c r="H229" s="1315" t="s">
        <v>3189</v>
      </c>
      <c r="I229" s="1315">
        <v>67</v>
      </c>
    </row>
    <row r="230" spans="1:11" s="1315" customFormat="1" x14ac:dyDescent="0.2">
      <c r="A230" s="1316" t="s">
        <v>1467</v>
      </c>
      <c r="B230" s="1317">
        <f>'Part 2'!$G$105+'Part 2'!$S$105</f>
        <v>0</v>
      </c>
      <c r="C230" s="1318" t="s">
        <v>3204</v>
      </c>
      <c r="D230" s="1319"/>
      <c r="E230" s="1319"/>
      <c r="F230" s="1315" t="s">
        <v>4930</v>
      </c>
      <c r="G230" s="1315" t="s">
        <v>3569</v>
      </c>
      <c r="H230" s="1315" t="s">
        <v>3189</v>
      </c>
      <c r="I230" s="1315">
        <v>68</v>
      </c>
    </row>
    <row r="231" spans="1:11" s="1315" customFormat="1" x14ac:dyDescent="0.2">
      <c r="A231" s="1316" t="s">
        <v>1468</v>
      </c>
      <c r="B231" s="1317">
        <f>'Part 2'!$J$105+'Part 2'!$V$105</f>
        <v>0</v>
      </c>
      <c r="C231" s="1318" t="s">
        <v>3204</v>
      </c>
      <c r="D231" s="1319"/>
      <c r="E231" s="1319"/>
      <c r="F231" s="1315" t="s">
        <v>4931</v>
      </c>
      <c r="G231" s="1315" t="s">
        <v>3570</v>
      </c>
      <c r="H231" s="1315" t="s">
        <v>3189</v>
      </c>
      <c r="I231" s="1315">
        <v>69</v>
      </c>
    </row>
    <row r="232" spans="1:11" s="1315" customFormat="1" x14ac:dyDescent="0.2">
      <c r="A232" s="1316" t="s">
        <v>1469</v>
      </c>
      <c r="B232" s="1317">
        <f>'Part 2'!$AB$105</f>
        <v>0</v>
      </c>
      <c r="C232" s="1318" t="s">
        <v>3204</v>
      </c>
      <c r="D232" s="1319"/>
      <c r="E232" s="1319"/>
      <c r="F232" s="1315" t="s">
        <v>4977</v>
      </c>
      <c r="G232" s="1315" t="s">
        <v>3571</v>
      </c>
      <c r="H232" s="1315" t="s">
        <v>3189</v>
      </c>
      <c r="I232" s="1315">
        <v>70</v>
      </c>
    </row>
    <row r="233" spans="1:11" s="1315" customFormat="1" x14ac:dyDescent="0.2">
      <c r="A233" s="1316" t="s">
        <v>1470</v>
      </c>
      <c r="B233" s="1317">
        <f>'Part 2'!$G$108+'Part 2'!$S$108</f>
        <v>0</v>
      </c>
      <c r="C233" s="1318" t="s">
        <v>3204</v>
      </c>
      <c r="D233" s="1319"/>
      <c r="E233" s="1319"/>
      <c r="F233" s="1315" t="s">
        <v>4932</v>
      </c>
      <c r="G233" s="1315" t="s">
        <v>3572</v>
      </c>
      <c r="H233" s="1315" t="s">
        <v>3189</v>
      </c>
      <c r="I233" s="1315">
        <v>71</v>
      </c>
    </row>
    <row r="234" spans="1:11" s="1315" customFormat="1" x14ac:dyDescent="0.2">
      <c r="A234" s="1316" t="s">
        <v>1471</v>
      </c>
      <c r="B234" s="1317">
        <f>'Part 2'!$J$108+'Part 2'!$V$108</f>
        <v>0</v>
      </c>
      <c r="C234" s="1318" t="s">
        <v>3204</v>
      </c>
      <c r="D234" s="1319"/>
      <c r="E234" s="1319"/>
      <c r="F234" s="1315" t="s">
        <v>4933</v>
      </c>
      <c r="G234" s="1315" t="s">
        <v>3573</v>
      </c>
      <c r="H234" s="1315" t="s">
        <v>3189</v>
      </c>
      <c r="I234" s="1315">
        <v>72</v>
      </c>
    </row>
    <row r="235" spans="1:11" s="1315" customFormat="1" x14ac:dyDescent="0.2">
      <c r="A235" s="1316" t="s">
        <v>1472</v>
      </c>
      <c r="B235" s="1317">
        <f>'Part 2'!$AB$108</f>
        <v>0</v>
      </c>
      <c r="C235" s="1318" t="s">
        <v>3204</v>
      </c>
      <c r="D235" s="1319"/>
      <c r="E235" s="1319"/>
      <c r="F235" s="1315" t="s">
        <v>4978</v>
      </c>
      <c r="G235" s="1315" t="s">
        <v>3574</v>
      </c>
      <c r="H235" s="1315" t="s">
        <v>3189</v>
      </c>
      <c r="I235" s="1315">
        <v>73</v>
      </c>
    </row>
    <row r="236" spans="1:11" s="1365" customFormat="1" ht="15" x14ac:dyDescent="0.2">
      <c r="A236" s="1325" t="s">
        <v>1473</v>
      </c>
      <c r="B236" s="1317">
        <v>0</v>
      </c>
      <c r="C236" s="1318" t="s">
        <v>3204</v>
      </c>
      <c r="D236" s="1319"/>
      <c r="E236" s="1319"/>
      <c r="F236" s="1315" t="s">
        <v>4973</v>
      </c>
      <c r="G236" s="1315" t="s">
        <v>3575</v>
      </c>
      <c r="H236" s="1315" t="s">
        <v>3189</v>
      </c>
      <c r="I236" s="1315">
        <v>74</v>
      </c>
      <c r="J236" s="1315"/>
      <c r="K236" s="1315"/>
    </row>
    <row r="237" spans="1:11" s="1365" customFormat="1" ht="15" x14ac:dyDescent="0.2">
      <c r="A237" s="1325" t="s">
        <v>1474</v>
      </c>
      <c r="B237" s="1317">
        <v>0</v>
      </c>
      <c r="C237" s="1318" t="s">
        <v>3204</v>
      </c>
      <c r="D237" s="1319"/>
      <c r="E237" s="1319"/>
      <c r="F237" s="1315" t="s">
        <v>4973</v>
      </c>
      <c r="G237" s="1315" t="s">
        <v>3577</v>
      </c>
      <c r="H237" s="1315" t="s">
        <v>3189</v>
      </c>
      <c r="I237" s="1315">
        <v>75</v>
      </c>
      <c r="J237" s="1315"/>
      <c r="K237" s="1315"/>
    </row>
    <row r="238" spans="1:11" s="1365" customFormat="1" ht="15" x14ac:dyDescent="0.2">
      <c r="A238" s="1325" t="s">
        <v>1475</v>
      </c>
      <c r="B238" s="1317">
        <v>0</v>
      </c>
      <c r="C238" s="1318" t="s">
        <v>3204</v>
      </c>
      <c r="D238" s="1319"/>
      <c r="E238" s="1319"/>
      <c r="F238" s="1315" t="s">
        <v>4973</v>
      </c>
      <c r="G238" s="1315" t="s">
        <v>3578</v>
      </c>
      <c r="H238" s="1315" t="s">
        <v>3189</v>
      </c>
      <c r="I238" s="1315">
        <v>76</v>
      </c>
      <c r="J238" s="1315"/>
      <c r="K238" s="1315"/>
    </row>
    <row r="239" spans="1:11" s="1315" customFormat="1" x14ac:dyDescent="0.2">
      <c r="A239" s="1316" t="s">
        <v>1476</v>
      </c>
      <c r="B239" s="1317">
        <f>'Part 2'!$G$111+'Part 2'!$S$111</f>
        <v>0</v>
      </c>
      <c r="C239" s="1318" t="s">
        <v>3204</v>
      </c>
      <c r="D239" s="1319"/>
      <c r="E239" s="1319"/>
      <c r="F239" s="1315" t="s">
        <v>4934</v>
      </c>
      <c r="G239" s="1315" t="s">
        <v>3580</v>
      </c>
      <c r="H239" s="1315" t="s">
        <v>3189</v>
      </c>
      <c r="I239" s="1315">
        <v>77</v>
      </c>
    </row>
    <row r="240" spans="1:11" s="1315" customFormat="1" x14ac:dyDescent="0.2">
      <c r="A240" s="1316" t="s">
        <v>1477</v>
      </c>
      <c r="B240" s="1317">
        <f>'Part 2'!$J$111+'Part 2'!$V$111</f>
        <v>0</v>
      </c>
      <c r="C240" s="1318" t="s">
        <v>3204</v>
      </c>
      <c r="D240" s="1319"/>
      <c r="E240" s="1319"/>
      <c r="F240" s="1315" t="s">
        <v>4935</v>
      </c>
      <c r="G240" s="1315" t="s">
        <v>3582</v>
      </c>
      <c r="H240" s="1315" t="s">
        <v>3189</v>
      </c>
      <c r="I240" s="1315">
        <v>78</v>
      </c>
    </row>
    <row r="241" spans="1:9" s="1315" customFormat="1" x14ac:dyDescent="0.2">
      <c r="A241" s="1316" t="s">
        <v>1478</v>
      </c>
      <c r="B241" s="1317">
        <f>'Part 2'!$AB$111</f>
        <v>0</v>
      </c>
      <c r="C241" s="1318" t="s">
        <v>3204</v>
      </c>
      <c r="D241" s="1319"/>
      <c r="E241" s="1319"/>
      <c r="F241" s="1315" t="s">
        <v>4936</v>
      </c>
      <c r="G241" s="1315" t="s">
        <v>3583</v>
      </c>
      <c r="H241" s="1315" t="s">
        <v>3189</v>
      </c>
      <c r="I241" s="1315">
        <v>79</v>
      </c>
    </row>
    <row r="242" spans="1:9" s="1315" customFormat="1" x14ac:dyDescent="0.2">
      <c r="A242" s="1324" t="s">
        <v>1479</v>
      </c>
      <c r="B242" s="1317">
        <f>'Part 2'!$G$114+'Part 2'!$S$114</f>
        <v>0</v>
      </c>
      <c r="C242" s="1318" t="s">
        <v>3204</v>
      </c>
      <c r="D242" s="1319"/>
      <c r="E242" s="1319"/>
      <c r="F242" s="1315" t="s">
        <v>5778</v>
      </c>
      <c r="G242" s="1315" t="s">
        <v>3585</v>
      </c>
      <c r="H242" s="1315" t="s">
        <v>3189</v>
      </c>
      <c r="I242" s="1315">
        <v>80</v>
      </c>
    </row>
    <row r="243" spans="1:9" s="1315" customFormat="1" x14ac:dyDescent="0.2">
      <c r="A243" s="1324" t="s">
        <v>1480</v>
      </c>
      <c r="B243" s="1317">
        <f>'Part 2'!$J$114+'Part 2'!$V$114</f>
        <v>0</v>
      </c>
      <c r="C243" s="1318" t="s">
        <v>3204</v>
      </c>
      <c r="D243" s="1319"/>
      <c r="E243" s="1319"/>
      <c r="F243" s="1315" t="s">
        <v>4937</v>
      </c>
      <c r="G243" s="1315" t="s">
        <v>3587</v>
      </c>
      <c r="H243" s="1315" t="s">
        <v>3189</v>
      </c>
      <c r="I243" s="1315">
        <v>81</v>
      </c>
    </row>
    <row r="244" spans="1:9" s="1315" customFormat="1" x14ac:dyDescent="0.2">
      <c r="A244" s="1324" t="s">
        <v>1481</v>
      </c>
      <c r="B244" s="1317">
        <f>'Part 2'!$AB$114</f>
        <v>0</v>
      </c>
      <c r="C244" s="1318" t="s">
        <v>3204</v>
      </c>
      <c r="D244" s="1319"/>
      <c r="E244" s="1319"/>
      <c r="F244" s="1315" t="s">
        <v>5779</v>
      </c>
      <c r="G244" s="1315" t="s">
        <v>3588</v>
      </c>
      <c r="H244" s="1315" t="s">
        <v>3189</v>
      </c>
      <c r="I244" s="1315">
        <v>82</v>
      </c>
    </row>
    <row r="245" spans="1:9" s="1315" customFormat="1" x14ac:dyDescent="0.2">
      <c r="A245" s="1316" t="s">
        <v>1233</v>
      </c>
      <c r="B245" s="1317">
        <f>'Part 2'!$J$117+'Part 2'!$V$117</f>
        <v>0</v>
      </c>
      <c r="C245" s="1318" t="s">
        <v>3204</v>
      </c>
      <c r="D245" s="1319"/>
      <c r="E245" s="1319"/>
      <c r="F245" s="1315" t="s">
        <v>5780</v>
      </c>
      <c r="G245" s="1315" t="s">
        <v>3590</v>
      </c>
      <c r="H245" s="1315" t="s">
        <v>3189</v>
      </c>
      <c r="I245" s="1315">
        <v>83</v>
      </c>
    </row>
    <row r="246" spans="1:9" s="1315" customFormat="1" x14ac:dyDescent="0.2">
      <c r="A246" s="1316" t="s">
        <v>1234</v>
      </c>
      <c r="B246" s="1317">
        <f>'Part 2'!$G$119+'Part 2'!$S$119</f>
        <v>0</v>
      </c>
      <c r="C246" s="1318" t="s">
        <v>3204</v>
      </c>
      <c r="D246" s="1319"/>
      <c r="E246" s="1319"/>
      <c r="F246" s="1315" t="s">
        <v>5781</v>
      </c>
      <c r="G246" s="1315" t="s">
        <v>3592</v>
      </c>
      <c r="H246" s="1315" t="s">
        <v>3189</v>
      </c>
      <c r="I246" s="1315">
        <v>84</v>
      </c>
    </row>
    <row r="247" spans="1:9" s="1315" customFormat="1" x14ac:dyDescent="0.2">
      <c r="A247" s="1316" t="s">
        <v>2252</v>
      </c>
      <c r="B247" s="1317">
        <f>'Part 2'!$J$121+'Part 2'!$V$121</f>
        <v>0</v>
      </c>
      <c r="C247" s="1318" t="s">
        <v>3204</v>
      </c>
      <c r="D247" s="1319"/>
      <c r="E247" s="1319"/>
      <c r="F247" s="1315" t="s">
        <v>4938</v>
      </c>
      <c r="G247" s="1315" t="s">
        <v>3594</v>
      </c>
      <c r="H247" s="1315" t="s">
        <v>3189</v>
      </c>
      <c r="I247" s="1315">
        <v>85</v>
      </c>
    </row>
    <row r="248" spans="1:9" s="1315" customFormat="1" x14ac:dyDescent="0.2">
      <c r="A248" s="1316" t="s">
        <v>3045</v>
      </c>
      <c r="B248" s="1317">
        <f>'Part 2'!$G$123+'Part 2'!$S$123</f>
        <v>0</v>
      </c>
      <c r="C248" s="1318" t="s">
        <v>3204</v>
      </c>
      <c r="D248" s="1319"/>
      <c r="E248" s="1319"/>
      <c r="F248" s="1315" t="s">
        <v>4939</v>
      </c>
      <c r="G248" s="1315" t="s">
        <v>3595</v>
      </c>
      <c r="H248" s="1315" t="s">
        <v>3189</v>
      </c>
      <c r="I248" s="1315">
        <v>86</v>
      </c>
    </row>
    <row r="249" spans="1:9" s="1315" customFormat="1" x14ac:dyDescent="0.2">
      <c r="A249" s="1316" t="s">
        <v>3046</v>
      </c>
      <c r="B249" s="1317">
        <f>'Part 2'!$J$123+'Part 2'!$V$123</f>
        <v>0</v>
      </c>
      <c r="C249" s="1318" t="s">
        <v>3204</v>
      </c>
      <c r="D249" s="1319"/>
      <c r="E249" s="1319"/>
      <c r="F249" s="1315" t="s">
        <v>4940</v>
      </c>
      <c r="G249" s="1315" t="s">
        <v>3596</v>
      </c>
      <c r="H249" s="1315" t="s">
        <v>3189</v>
      </c>
      <c r="I249" s="1315">
        <v>87</v>
      </c>
    </row>
    <row r="250" spans="1:9" s="1315" customFormat="1" x14ac:dyDescent="0.2">
      <c r="A250" s="1316" t="s">
        <v>3047</v>
      </c>
      <c r="B250" s="1317">
        <f>'Part 2'!$AA$123</f>
        <v>0</v>
      </c>
      <c r="C250" s="1318" t="s">
        <v>3204</v>
      </c>
      <c r="D250" s="1319"/>
      <c r="E250" s="1319"/>
      <c r="F250" s="1315" t="s">
        <v>5782</v>
      </c>
      <c r="G250" s="1315" t="s">
        <v>3597</v>
      </c>
      <c r="H250" s="1315" t="s">
        <v>3189</v>
      </c>
      <c r="I250" s="1315">
        <v>88</v>
      </c>
    </row>
    <row r="251" spans="1:9" s="1315" customFormat="1" x14ac:dyDescent="0.2">
      <c r="A251" s="1316" t="s">
        <v>1482</v>
      </c>
      <c r="B251" s="1317">
        <f>'Part 2'!$G$127+'Part 2'!$S$127</f>
        <v>0</v>
      </c>
      <c r="C251" s="1318" t="s">
        <v>3204</v>
      </c>
      <c r="D251" s="1319"/>
      <c r="E251" s="1319"/>
      <c r="F251" s="1315" t="s">
        <v>4941</v>
      </c>
      <c r="G251" s="1315" t="s">
        <v>3599</v>
      </c>
      <c r="H251" s="1315" t="s">
        <v>3189</v>
      </c>
      <c r="I251" s="1315">
        <v>89</v>
      </c>
    </row>
    <row r="252" spans="1:9" s="1315" customFormat="1" x14ac:dyDescent="0.2">
      <c r="A252" s="1316" t="s">
        <v>1483</v>
      </c>
      <c r="B252" s="1317">
        <f>'Part 2'!$J$127+'Part 2'!$V$127</f>
        <v>0</v>
      </c>
      <c r="C252" s="1318" t="s">
        <v>3204</v>
      </c>
      <c r="D252" s="1319"/>
      <c r="E252" s="1319"/>
      <c r="F252" s="1315" t="s">
        <v>4942</v>
      </c>
      <c r="G252" s="1315" t="s">
        <v>3601</v>
      </c>
      <c r="H252" s="1315" t="s">
        <v>3189</v>
      </c>
      <c r="I252" s="1315">
        <v>90</v>
      </c>
    </row>
    <row r="253" spans="1:9" s="1315" customFormat="1" x14ac:dyDescent="0.2">
      <c r="A253" s="1316" t="s">
        <v>1484</v>
      </c>
      <c r="B253" s="1317">
        <f>'Part 2'!$G$130+'Part 2'!$S$130</f>
        <v>0</v>
      </c>
      <c r="C253" s="1318" t="s">
        <v>3204</v>
      </c>
      <c r="D253" s="1319"/>
      <c r="E253" s="1319"/>
      <c r="F253" s="1315" t="s">
        <v>4979</v>
      </c>
      <c r="G253" s="1315" t="s">
        <v>3603</v>
      </c>
      <c r="H253" s="1315" t="s">
        <v>3189</v>
      </c>
      <c r="I253" s="1315">
        <v>91</v>
      </c>
    </row>
    <row r="254" spans="1:9" s="1315" customFormat="1" x14ac:dyDescent="0.2">
      <c r="A254" s="1316" t="s">
        <v>1485</v>
      </c>
      <c r="B254" s="1317">
        <f>'Part 2'!$J$130+'Part 2'!$V$130</f>
        <v>0</v>
      </c>
      <c r="C254" s="1318" t="s">
        <v>3204</v>
      </c>
      <c r="D254" s="1319"/>
      <c r="E254" s="1319"/>
      <c r="F254" s="1315" t="s">
        <v>4943</v>
      </c>
      <c r="G254" s="1315" t="s">
        <v>3605</v>
      </c>
      <c r="H254" s="1315" t="s">
        <v>3189</v>
      </c>
      <c r="I254" s="1315">
        <v>92</v>
      </c>
    </row>
    <row r="255" spans="1:9" s="1315" customFormat="1" x14ac:dyDescent="0.2">
      <c r="A255" s="1316" t="s">
        <v>1486</v>
      </c>
      <c r="B255" s="1317">
        <f>'Part 2'!$G$134+'Part 2'!$S$134</f>
        <v>0</v>
      </c>
      <c r="C255" s="1318" t="s">
        <v>3204</v>
      </c>
      <c r="D255" s="1319"/>
      <c r="E255" s="1319"/>
      <c r="F255" s="1315" t="s">
        <v>4943</v>
      </c>
      <c r="G255" s="1315" t="s">
        <v>3607</v>
      </c>
      <c r="H255" s="1315" t="s">
        <v>3189</v>
      </c>
      <c r="I255" s="1315">
        <v>93</v>
      </c>
    </row>
    <row r="256" spans="1:9" s="1315" customFormat="1" x14ac:dyDescent="0.2">
      <c r="A256" s="1316" t="s">
        <v>1487</v>
      </c>
      <c r="B256" s="1317">
        <f>'Part 2'!$J$134+'Part 2'!$V$134</f>
        <v>0</v>
      </c>
      <c r="C256" s="1318" t="s">
        <v>3204</v>
      </c>
      <c r="D256" s="1319"/>
      <c r="E256" s="1319"/>
      <c r="F256" s="1315" t="s">
        <v>4944</v>
      </c>
      <c r="G256" s="1315" t="s">
        <v>3609</v>
      </c>
      <c r="H256" s="1315" t="s">
        <v>3189</v>
      </c>
      <c r="I256" s="1315">
        <v>94</v>
      </c>
    </row>
    <row r="257" spans="1:11" s="1315" customFormat="1" x14ac:dyDescent="0.2">
      <c r="A257" s="1316" t="s">
        <v>1488</v>
      </c>
      <c r="B257" s="1317">
        <f>'Part 2'!$AB$134</f>
        <v>0</v>
      </c>
      <c r="C257" s="1318" t="s">
        <v>3204</v>
      </c>
      <c r="D257" s="1319"/>
      <c r="E257" s="1319"/>
      <c r="F257" s="1315" t="s">
        <v>4980</v>
      </c>
      <c r="G257" s="1315" t="s">
        <v>3610</v>
      </c>
      <c r="H257" s="1315" t="s">
        <v>3189</v>
      </c>
      <c r="I257" s="1315">
        <v>95</v>
      </c>
    </row>
    <row r="258" spans="1:11" s="1315" customFormat="1" x14ac:dyDescent="0.2">
      <c r="A258" s="1316" t="s">
        <v>1489</v>
      </c>
      <c r="B258" s="1317">
        <f>'Part 2'!$G$141+'Part 2'!$S$141</f>
        <v>0</v>
      </c>
      <c r="C258" s="1318" t="s">
        <v>3204</v>
      </c>
      <c r="D258" s="1319"/>
      <c r="E258" s="1319"/>
      <c r="F258" s="1315" t="s">
        <v>4945</v>
      </c>
      <c r="G258" s="1315" t="s">
        <v>3614</v>
      </c>
      <c r="H258" s="1315" t="s">
        <v>3189</v>
      </c>
      <c r="I258" s="1315">
        <v>99</v>
      </c>
    </row>
    <row r="259" spans="1:11" s="1315" customFormat="1" x14ac:dyDescent="0.2">
      <c r="A259" s="1316" t="s">
        <v>1490</v>
      </c>
      <c r="B259" s="1317">
        <f>'Part 2'!$J$141+'Part 2'!$V$141</f>
        <v>0</v>
      </c>
      <c r="C259" s="1318" t="s">
        <v>3204</v>
      </c>
      <c r="D259" s="1319"/>
      <c r="E259" s="1319"/>
      <c r="F259" s="1315" t="s">
        <v>4981</v>
      </c>
      <c r="G259" s="1315" t="s">
        <v>3616</v>
      </c>
      <c r="H259" s="1315" t="s">
        <v>3189</v>
      </c>
      <c r="I259" s="1315">
        <v>100</v>
      </c>
    </row>
    <row r="260" spans="1:11" s="1315" customFormat="1" x14ac:dyDescent="0.2">
      <c r="A260" s="1316" t="s">
        <v>1491</v>
      </c>
      <c r="B260" s="1317">
        <f>'Part 2'!$AB$141</f>
        <v>0</v>
      </c>
      <c r="C260" s="1318" t="s">
        <v>3204</v>
      </c>
      <c r="D260" s="1319"/>
      <c r="E260" s="1319"/>
      <c r="F260" s="1315" t="s">
        <v>4982</v>
      </c>
      <c r="G260" s="1315" t="s">
        <v>3617</v>
      </c>
      <c r="H260" s="1315" t="s">
        <v>3189</v>
      </c>
      <c r="I260" s="1315">
        <v>101</v>
      </c>
    </row>
    <row r="261" spans="1:11" s="1315" customFormat="1" ht="15" x14ac:dyDescent="0.2">
      <c r="A261" s="1325" t="s">
        <v>1492</v>
      </c>
      <c r="B261" s="1626">
        <v>0</v>
      </c>
      <c r="C261" s="1318" t="s">
        <v>3204</v>
      </c>
      <c r="D261" s="1319"/>
      <c r="E261" s="1319"/>
      <c r="F261" s="1315" t="s">
        <v>4973</v>
      </c>
      <c r="G261" s="1315" t="s">
        <v>3619</v>
      </c>
      <c r="H261" s="1315" t="s">
        <v>3189</v>
      </c>
      <c r="I261" s="1315">
        <v>102</v>
      </c>
    </row>
    <row r="262" spans="1:11" s="1315" customFormat="1" ht="15" x14ac:dyDescent="0.2">
      <c r="A262" s="1325" t="s">
        <v>1493</v>
      </c>
      <c r="B262" s="1626">
        <v>0</v>
      </c>
      <c r="C262" s="1318" t="s">
        <v>3204</v>
      </c>
      <c r="D262" s="1319"/>
      <c r="E262" s="1319"/>
      <c r="F262" s="1315" t="s">
        <v>4973</v>
      </c>
      <c r="G262" s="1315" t="s">
        <v>3621</v>
      </c>
      <c r="H262" s="1315" t="s">
        <v>3189</v>
      </c>
      <c r="I262" s="1315">
        <v>103</v>
      </c>
    </row>
    <row r="263" spans="1:11" s="1315" customFormat="1" ht="15" x14ac:dyDescent="0.2">
      <c r="A263" s="1325" t="s">
        <v>1494</v>
      </c>
      <c r="B263" s="1626">
        <v>0</v>
      </c>
      <c r="C263" s="1318" t="s">
        <v>3204</v>
      </c>
      <c r="D263" s="1625"/>
      <c r="E263" s="1319"/>
      <c r="F263" s="1315" t="s">
        <v>4973</v>
      </c>
      <c r="G263" s="1315" t="s">
        <v>3623</v>
      </c>
      <c r="H263" s="1315" t="s">
        <v>3189</v>
      </c>
      <c r="I263" s="1315">
        <v>104</v>
      </c>
    </row>
    <row r="264" spans="1:11" s="1315" customFormat="1" x14ac:dyDescent="0.2">
      <c r="A264" s="1316" t="s">
        <v>2237</v>
      </c>
      <c r="B264" s="1317">
        <f>'Part 2'!$G$144+'Part 2'!$S$144</f>
        <v>0</v>
      </c>
      <c r="C264" s="1318" t="s">
        <v>3204</v>
      </c>
      <c r="D264" s="1319"/>
      <c r="E264" s="1319"/>
      <c r="F264" s="1315" t="s">
        <v>4946</v>
      </c>
      <c r="G264" s="1315" t="s">
        <v>3624</v>
      </c>
      <c r="H264" s="1315" t="s">
        <v>3189</v>
      </c>
      <c r="I264" s="1315">
        <v>105</v>
      </c>
    </row>
    <row r="265" spans="1:11" s="1315" customFormat="1" x14ac:dyDescent="0.2">
      <c r="A265" s="1316" t="s">
        <v>2238</v>
      </c>
      <c r="B265" s="1317">
        <f>'Part 2'!$J$144+'Part 2'!$V$144</f>
        <v>0</v>
      </c>
      <c r="C265" s="1318" t="s">
        <v>3204</v>
      </c>
      <c r="D265" s="1319"/>
      <c r="E265" s="1319"/>
      <c r="F265" s="1315" t="s">
        <v>4947</v>
      </c>
      <c r="G265" s="1315" t="s">
        <v>3625</v>
      </c>
      <c r="H265" s="1315" t="s">
        <v>3189</v>
      </c>
      <c r="I265" s="1315">
        <v>106</v>
      </c>
    </row>
    <row r="266" spans="1:11" s="1315" customFormat="1" x14ac:dyDescent="0.2">
      <c r="A266" s="1316" t="s">
        <v>2239</v>
      </c>
      <c r="B266" s="1317">
        <f>'Part 2'!$AB$144</f>
        <v>0</v>
      </c>
      <c r="C266" s="1318" t="s">
        <v>3204</v>
      </c>
      <c r="D266" s="1319"/>
      <c r="E266" s="1319"/>
      <c r="F266" s="1315" t="s">
        <v>4983</v>
      </c>
      <c r="G266" s="1315" t="s">
        <v>3626</v>
      </c>
      <c r="H266" s="1315" t="s">
        <v>3189</v>
      </c>
      <c r="I266" s="1315">
        <v>107</v>
      </c>
    </row>
    <row r="267" spans="1:11" s="1380" customFormat="1" ht="15" customHeight="1" x14ac:dyDescent="0.2">
      <c r="A267" s="1624" t="s">
        <v>2269</v>
      </c>
      <c r="B267" s="1626">
        <v>0</v>
      </c>
      <c r="C267" s="1318" t="s">
        <v>3204</v>
      </c>
      <c r="D267" s="1319"/>
      <c r="E267" s="1319"/>
      <c r="F267" s="1315" t="s">
        <v>4973</v>
      </c>
      <c r="G267" s="1315" t="s">
        <v>5460</v>
      </c>
      <c r="H267" s="1315" t="s">
        <v>3189</v>
      </c>
      <c r="I267" s="1315">
        <v>108</v>
      </c>
      <c r="J267" s="1315"/>
      <c r="K267" s="1315"/>
    </row>
    <row r="268" spans="1:11" s="1380" customFormat="1" ht="15" x14ac:dyDescent="0.2">
      <c r="A268" s="1624" t="s">
        <v>2270</v>
      </c>
      <c r="B268" s="1626">
        <v>0</v>
      </c>
      <c r="C268" s="1318" t="s">
        <v>3204</v>
      </c>
      <c r="D268" s="1319"/>
      <c r="E268" s="1319"/>
      <c r="F268" s="1315" t="s">
        <v>4973</v>
      </c>
      <c r="G268" s="1315" t="s">
        <v>5461</v>
      </c>
      <c r="H268" s="1315" t="s">
        <v>3189</v>
      </c>
      <c r="I268" s="1315">
        <v>109</v>
      </c>
      <c r="J268" s="1315"/>
      <c r="K268" s="1315"/>
    </row>
    <row r="269" spans="1:11" s="1380" customFormat="1" ht="15" x14ac:dyDescent="0.2">
      <c r="A269" s="1624" t="s">
        <v>2271</v>
      </c>
      <c r="B269" s="1626">
        <v>0</v>
      </c>
      <c r="C269" s="1318" t="s">
        <v>3204</v>
      </c>
      <c r="D269" s="1319"/>
      <c r="E269" s="1319"/>
      <c r="F269" s="1315" t="s">
        <v>4973</v>
      </c>
      <c r="G269" s="1315" t="s">
        <v>5462</v>
      </c>
      <c r="H269" s="1315" t="s">
        <v>3189</v>
      </c>
      <c r="I269" s="1315">
        <v>110</v>
      </c>
      <c r="J269" s="1315"/>
      <c r="K269" s="1315"/>
    </row>
    <row r="270" spans="1:11" s="1380" customFormat="1" ht="15" x14ac:dyDescent="0.2">
      <c r="A270" s="1325" t="s">
        <v>3155</v>
      </c>
      <c r="B270" s="1317">
        <v>0</v>
      </c>
      <c r="C270" s="1318" t="s">
        <v>3204</v>
      </c>
      <c r="D270" s="1319"/>
      <c r="E270" s="1319"/>
      <c r="F270" s="1315" t="s">
        <v>4973</v>
      </c>
      <c r="G270" s="1315" t="s">
        <v>3627</v>
      </c>
      <c r="H270" s="1315" t="s">
        <v>3189</v>
      </c>
      <c r="I270" s="1315">
        <v>111</v>
      </c>
      <c r="J270" s="1315"/>
      <c r="K270" s="1315"/>
    </row>
    <row r="271" spans="1:11" s="1380" customFormat="1" ht="15" x14ac:dyDescent="0.2">
      <c r="A271" s="1325" t="s">
        <v>3156</v>
      </c>
      <c r="B271" s="1317">
        <v>0</v>
      </c>
      <c r="C271" s="1318" t="s">
        <v>3204</v>
      </c>
      <c r="D271" s="1319"/>
      <c r="E271" s="1319"/>
      <c r="F271" s="1315" t="s">
        <v>4973</v>
      </c>
      <c r="G271" s="1315" t="s">
        <v>3628</v>
      </c>
      <c r="H271" s="1315" t="s">
        <v>3189</v>
      </c>
      <c r="I271" s="1315">
        <v>112</v>
      </c>
      <c r="J271" s="1315"/>
      <c r="K271" s="1315"/>
    </row>
    <row r="272" spans="1:11" s="1380" customFormat="1" ht="15" x14ac:dyDescent="0.2">
      <c r="A272" s="1325" t="s">
        <v>3157</v>
      </c>
      <c r="B272" s="1317">
        <v>0</v>
      </c>
      <c r="C272" s="1318" t="s">
        <v>3204</v>
      </c>
      <c r="D272" s="1319"/>
      <c r="E272" s="1319"/>
      <c r="F272" s="1315" t="s">
        <v>4973</v>
      </c>
      <c r="G272" s="1315" t="s">
        <v>3629</v>
      </c>
      <c r="H272" s="1315" t="s">
        <v>3189</v>
      </c>
      <c r="I272" s="1315">
        <v>113</v>
      </c>
      <c r="J272" s="1315"/>
      <c r="K272" s="1315"/>
    </row>
    <row r="273" spans="1:11" s="1380" customFormat="1" ht="15" x14ac:dyDescent="0.2">
      <c r="A273" s="1326" t="s">
        <v>3158</v>
      </c>
      <c r="B273" s="1317">
        <f>'Part 2'!$G$147+'Part 2'!$S$147</f>
        <v>0</v>
      </c>
      <c r="C273" s="1318" t="s">
        <v>3204</v>
      </c>
      <c r="D273" s="1319"/>
      <c r="E273" s="1319"/>
      <c r="F273" s="1315" t="s">
        <v>4948</v>
      </c>
      <c r="G273" s="1315" t="s">
        <v>3630</v>
      </c>
      <c r="H273" s="1315" t="s">
        <v>3189</v>
      </c>
      <c r="I273" s="1315">
        <v>114</v>
      </c>
      <c r="J273" s="1315"/>
      <c r="K273" s="1315"/>
    </row>
    <row r="274" spans="1:11" s="1380" customFormat="1" ht="15" x14ac:dyDescent="0.2">
      <c r="A274" s="1326" t="s">
        <v>3159</v>
      </c>
      <c r="B274" s="1317">
        <f>'Part 2'!$J$147+'Part 2'!$V$147</f>
        <v>0</v>
      </c>
      <c r="C274" s="1318" t="s">
        <v>3204</v>
      </c>
      <c r="D274" s="1319"/>
      <c r="E274" s="1319"/>
      <c r="F274" s="1315" t="s">
        <v>4949</v>
      </c>
      <c r="G274" s="1315" t="s">
        <v>3631</v>
      </c>
      <c r="H274" s="1315" t="s">
        <v>3189</v>
      </c>
      <c r="I274" s="1315">
        <v>115</v>
      </c>
      <c r="J274" s="1315"/>
      <c r="K274" s="1315"/>
    </row>
    <row r="275" spans="1:11" s="1380" customFormat="1" ht="15" x14ac:dyDescent="0.2">
      <c r="A275" s="1326" t="s">
        <v>3160</v>
      </c>
      <c r="B275" s="1317">
        <f>'Part 2'!$AB$147</f>
        <v>0</v>
      </c>
      <c r="C275" s="1318" t="s">
        <v>3204</v>
      </c>
      <c r="D275" s="1319"/>
      <c r="E275" s="1319"/>
      <c r="F275" s="1315" t="s">
        <v>4984</v>
      </c>
      <c r="G275" s="1315" t="s">
        <v>3632</v>
      </c>
      <c r="H275" s="1315" t="s">
        <v>3189</v>
      </c>
      <c r="I275" s="1315">
        <v>116</v>
      </c>
      <c r="J275" s="1315"/>
      <c r="K275" s="1315"/>
    </row>
    <row r="276" spans="1:11" s="1315" customFormat="1" x14ac:dyDescent="0.2">
      <c r="A276" s="1316" t="s">
        <v>1495</v>
      </c>
      <c r="B276" s="1317">
        <f>'Part 2'!$G$150+'Part 2'!$S$150</f>
        <v>0</v>
      </c>
      <c r="C276" s="1318" t="s">
        <v>3204</v>
      </c>
      <c r="D276" s="1319"/>
      <c r="E276" s="1319"/>
      <c r="F276" s="1315" t="s">
        <v>4950</v>
      </c>
      <c r="G276" s="1315" t="s">
        <v>3633</v>
      </c>
      <c r="H276" s="1315" t="s">
        <v>3189</v>
      </c>
      <c r="I276" s="1315">
        <v>117</v>
      </c>
      <c r="K276" s="1327"/>
    </row>
    <row r="277" spans="1:11" s="1315" customFormat="1" x14ac:dyDescent="0.2">
      <c r="A277" s="1316" t="s">
        <v>1496</v>
      </c>
      <c r="B277" s="1317">
        <f>'Part 2'!$J$150+'Part 2'!$V$150</f>
        <v>0</v>
      </c>
      <c r="C277" s="1318" t="s">
        <v>3204</v>
      </c>
      <c r="D277" s="1319"/>
      <c r="E277" s="1319"/>
      <c r="F277" s="1315" t="s">
        <v>4951</v>
      </c>
      <c r="G277" s="1315" t="s">
        <v>3634</v>
      </c>
      <c r="H277" s="1315" t="s">
        <v>3189</v>
      </c>
      <c r="I277" s="1315">
        <v>118</v>
      </c>
    </row>
    <row r="278" spans="1:11" s="1315" customFormat="1" x14ac:dyDescent="0.2">
      <c r="A278" s="1316" t="s">
        <v>1497</v>
      </c>
      <c r="B278" s="1317">
        <f>'Part 2'!$G$154+'Part 2'!$S$154</f>
        <v>0</v>
      </c>
      <c r="C278" s="1318" t="s">
        <v>3204</v>
      </c>
      <c r="D278" s="1319"/>
      <c r="E278" s="1319"/>
      <c r="F278" s="1315" t="s">
        <v>5722</v>
      </c>
      <c r="G278" s="1315" t="s">
        <v>3635</v>
      </c>
      <c r="H278" s="1315" t="s">
        <v>3189</v>
      </c>
      <c r="I278" s="1315">
        <v>119</v>
      </c>
    </row>
    <row r="279" spans="1:11" s="1315" customFormat="1" x14ac:dyDescent="0.2">
      <c r="A279" s="1316" t="s">
        <v>1498</v>
      </c>
      <c r="B279" s="1317">
        <f>'Part 2'!$J$154+'Part 2'!$V$154</f>
        <v>0</v>
      </c>
      <c r="C279" s="1318" t="s">
        <v>3204</v>
      </c>
      <c r="D279" s="1319"/>
      <c r="E279" s="1319"/>
      <c r="F279" s="1315" t="s">
        <v>4952</v>
      </c>
      <c r="G279" s="1315" t="s">
        <v>3636</v>
      </c>
      <c r="H279" s="1315" t="s">
        <v>3189</v>
      </c>
      <c r="I279" s="1315">
        <v>120</v>
      </c>
    </row>
    <row r="280" spans="1:11" s="1315" customFormat="1" x14ac:dyDescent="0.2">
      <c r="A280" s="1324" t="s">
        <v>1499</v>
      </c>
      <c r="B280" s="1317">
        <f>'Part 2'!$G$158+'Part 2'!$S$158</f>
        <v>0</v>
      </c>
      <c r="C280" s="1318" t="s">
        <v>3204</v>
      </c>
      <c r="D280" s="1319"/>
      <c r="E280" s="1319"/>
      <c r="F280" s="1315" t="s">
        <v>4953</v>
      </c>
      <c r="G280" s="1315" t="s">
        <v>3637</v>
      </c>
      <c r="H280" s="1315" t="s">
        <v>3189</v>
      </c>
      <c r="I280" s="1315">
        <v>121</v>
      </c>
    </row>
    <row r="281" spans="1:11" s="1315" customFormat="1" x14ac:dyDescent="0.2">
      <c r="A281" s="1324" t="s">
        <v>1500</v>
      </c>
      <c r="B281" s="1317">
        <f>'Part 2'!$J$158+'Part 2'!$V$158</f>
        <v>0</v>
      </c>
      <c r="C281" s="1318" t="s">
        <v>3204</v>
      </c>
      <c r="D281" s="1319"/>
      <c r="E281" s="1319"/>
      <c r="F281" s="1315" t="s">
        <v>4954</v>
      </c>
      <c r="G281" s="1315" t="s">
        <v>3638</v>
      </c>
      <c r="H281" s="1315" t="s">
        <v>3189</v>
      </c>
      <c r="I281" s="1315">
        <v>122</v>
      </c>
    </row>
    <row r="282" spans="1:11" s="1315" customFormat="1" x14ac:dyDescent="0.2">
      <c r="A282" s="1324" t="s">
        <v>1501</v>
      </c>
      <c r="B282" s="1317">
        <f>'Part 2'!$AB$158</f>
        <v>0</v>
      </c>
      <c r="C282" s="1318" t="s">
        <v>3204</v>
      </c>
      <c r="D282" s="1319"/>
      <c r="E282" s="1319"/>
      <c r="F282" s="1315" t="s">
        <v>5723</v>
      </c>
      <c r="G282" s="1315" t="s">
        <v>3639</v>
      </c>
      <c r="H282" s="1315" t="s">
        <v>3189</v>
      </c>
      <c r="I282" s="1315">
        <v>123</v>
      </c>
    </row>
    <row r="283" spans="1:11" s="1315" customFormat="1" x14ac:dyDescent="0.2">
      <c r="A283" s="1316" t="s">
        <v>1502</v>
      </c>
      <c r="B283" s="1317">
        <f>'Part 2'!$G$166+'Part 2'!$S$166</f>
        <v>0</v>
      </c>
      <c r="C283" s="1318" t="s">
        <v>3204</v>
      </c>
      <c r="D283" s="1319"/>
      <c r="E283" s="1319"/>
      <c r="F283" s="1315" t="s">
        <v>4955</v>
      </c>
      <c r="G283" s="1315" t="s">
        <v>3640</v>
      </c>
      <c r="H283" s="1315" t="s">
        <v>3189</v>
      </c>
      <c r="I283" s="1315">
        <v>124</v>
      </c>
    </row>
    <row r="284" spans="1:11" s="1315" customFormat="1" x14ac:dyDescent="0.2">
      <c r="A284" s="1316" t="s">
        <v>1503</v>
      </c>
      <c r="B284" s="1317">
        <f>'Part 2'!$J$166+'Part 2'!$V$166</f>
        <v>0</v>
      </c>
      <c r="C284" s="1318" t="s">
        <v>3204</v>
      </c>
      <c r="D284" s="1319"/>
      <c r="E284" s="1319"/>
      <c r="F284" s="1315" t="s">
        <v>4956</v>
      </c>
      <c r="G284" s="1315" t="s">
        <v>3641</v>
      </c>
      <c r="H284" s="1315" t="s">
        <v>3189</v>
      </c>
      <c r="I284" s="1315">
        <v>125</v>
      </c>
    </row>
    <row r="285" spans="1:11" s="1315" customFormat="1" x14ac:dyDescent="0.2">
      <c r="A285" s="1316" t="s">
        <v>1504</v>
      </c>
      <c r="B285" s="1317">
        <f>'Part 2'!$AB$166</f>
        <v>0</v>
      </c>
      <c r="C285" s="1318" t="s">
        <v>3204</v>
      </c>
      <c r="D285" s="1319"/>
      <c r="E285" s="1319"/>
      <c r="F285" s="1315" t="s">
        <v>4957</v>
      </c>
      <c r="G285" s="1315" t="s">
        <v>3642</v>
      </c>
      <c r="H285" s="1315" t="s">
        <v>3189</v>
      </c>
      <c r="I285" s="1315">
        <v>126</v>
      </c>
    </row>
    <row r="286" spans="1:11" s="1315" customFormat="1" x14ac:dyDescent="0.2">
      <c r="A286" s="1316" t="s">
        <v>2723</v>
      </c>
      <c r="B286" s="1317">
        <f>'Part 2'!$G$13</f>
        <v>0</v>
      </c>
      <c r="C286" s="1318" t="s">
        <v>3204</v>
      </c>
      <c r="D286" s="1319"/>
      <c r="E286" s="1319"/>
      <c r="F286" s="1315" t="s">
        <v>3449</v>
      </c>
      <c r="G286" s="1315" t="s">
        <v>3643</v>
      </c>
      <c r="H286" s="1315" t="s">
        <v>3192</v>
      </c>
      <c r="I286" s="1315">
        <v>1</v>
      </c>
    </row>
    <row r="287" spans="1:11" s="1315" customFormat="1" x14ac:dyDescent="0.2">
      <c r="A287" s="1316" t="s">
        <v>2724</v>
      </c>
      <c r="B287" s="1317">
        <f>'Part 2'!$J$13</f>
        <v>0</v>
      </c>
      <c r="C287" s="1318" t="s">
        <v>3204</v>
      </c>
      <c r="D287" s="1319"/>
      <c r="E287" s="1319"/>
      <c r="F287" s="1315" t="s">
        <v>3451</v>
      </c>
      <c r="G287" s="1315" t="s">
        <v>3644</v>
      </c>
      <c r="H287" s="1315" t="s">
        <v>3192</v>
      </c>
      <c r="I287" s="1315">
        <v>2</v>
      </c>
    </row>
    <row r="288" spans="1:11" s="1315" customFormat="1" x14ac:dyDescent="0.2">
      <c r="A288" s="1316" t="s">
        <v>2725</v>
      </c>
      <c r="B288" s="1317">
        <f>'Part 2'!$M$13</f>
        <v>0</v>
      </c>
      <c r="C288" s="1318" t="s">
        <v>3204</v>
      </c>
      <c r="D288" s="1319"/>
      <c r="E288" s="1319"/>
      <c r="F288" s="1315" t="s">
        <v>3453</v>
      </c>
      <c r="G288" s="1315" t="s">
        <v>3645</v>
      </c>
      <c r="H288" s="1315" t="s">
        <v>3192</v>
      </c>
      <c r="I288" s="1315">
        <v>3</v>
      </c>
    </row>
    <row r="289" spans="1:9" s="1315" customFormat="1" x14ac:dyDescent="0.2">
      <c r="A289" s="1324" t="s">
        <v>2726</v>
      </c>
      <c r="B289" s="1328">
        <f>'Part 2'!$D$15</f>
        <v>49.9</v>
      </c>
      <c r="C289" s="1318" t="s">
        <v>3224</v>
      </c>
      <c r="D289" s="1329"/>
      <c r="E289" s="1329"/>
      <c r="F289" s="1315" t="s">
        <v>4985</v>
      </c>
      <c r="G289" s="1315" t="s">
        <v>3646</v>
      </c>
      <c r="H289" s="1315" t="s">
        <v>3192</v>
      </c>
      <c r="I289" s="1315">
        <v>4</v>
      </c>
    </row>
    <row r="290" spans="1:9" s="1315" customFormat="1" x14ac:dyDescent="0.2">
      <c r="A290" s="1316" t="s">
        <v>2727</v>
      </c>
      <c r="B290" s="1317">
        <f>'Part 2'!$G$18</f>
        <v>0</v>
      </c>
      <c r="C290" s="1318" t="s">
        <v>3204</v>
      </c>
      <c r="D290" s="1319"/>
      <c r="E290" s="1319"/>
      <c r="F290" s="1315" t="s">
        <v>3455</v>
      </c>
      <c r="G290" s="1315" t="s">
        <v>3647</v>
      </c>
      <c r="H290" s="1315" t="s">
        <v>3192</v>
      </c>
      <c r="I290" s="1315">
        <v>5</v>
      </c>
    </row>
    <row r="291" spans="1:9" s="1315" customFormat="1" x14ac:dyDescent="0.2">
      <c r="A291" s="1316" t="s">
        <v>2728</v>
      </c>
      <c r="B291" s="1317">
        <f>'Part 2'!$J$18</f>
        <v>0</v>
      </c>
      <c r="C291" s="1318" t="s">
        <v>3204</v>
      </c>
      <c r="D291" s="1319"/>
      <c r="E291" s="1319"/>
      <c r="F291" s="1315" t="s">
        <v>3457</v>
      </c>
      <c r="G291" s="1315" t="s">
        <v>3648</v>
      </c>
      <c r="H291" s="1315" t="s">
        <v>3192</v>
      </c>
      <c r="I291" s="1315">
        <v>6</v>
      </c>
    </row>
    <row r="292" spans="1:9" s="1315" customFormat="1" x14ac:dyDescent="0.2">
      <c r="A292" s="1316" t="s">
        <v>2729</v>
      </c>
      <c r="B292" s="1317">
        <f>'Part 2'!$G$22</f>
        <v>0</v>
      </c>
      <c r="C292" s="1318" t="s">
        <v>3204</v>
      </c>
      <c r="D292" s="1319"/>
      <c r="E292" s="1319"/>
      <c r="F292" s="1315" t="s">
        <v>3461</v>
      </c>
      <c r="G292" s="1315" t="s">
        <v>3649</v>
      </c>
      <c r="H292" s="1315" t="s">
        <v>3192</v>
      </c>
      <c r="I292" s="1315">
        <v>7</v>
      </c>
    </row>
    <row r="293" spans="1:9" s="1315" customFormat="1" x14ac:dyDescent="0.2">
      <c r="A293" s="1316" t="s">
        <v>2730</v>
      </c>
      <c r="B293" s="1317">
        <f>'Part 2'!$J$22</f>
        <v>0</v>
      </c>
      <c r="C293" s="1318" t="s">
        <v>3204</v>
      </c>
      <c r="D293" s="1319"/>
      <c r="E293" s="1319"/>
      <c r="F293" s="1315" t="s">
        <v>3463</v>
      </c>
      <c r="G293" s="1315" t="s">
        <v>3650</v>
      </c>
      <c r="H293" s="1315" t="s">
        <v>3192</v>
      </c>
      <c r="I293" s="1315">
        <v>8</v>
      </c>
    </row>
    <row r="294" spans="1:9" s="1315" customFormat="1" x14ac:dyDescent="0.2">
      <c r="A294" s="1316" t="s">
        <v>2731</v>
      </c>
      <c r="B294" s="1317">
        <f>'Part 2'!$G$25</f>
        <v>0</v>
      </c>
      <c r="C294" s="1318" t="s">
        <v>3204</v>
      </c>
      <c r="D294" s="1319"/>
      <c r="E294" s="1319"/>
      <c r="F294" s="1315" t="s">
        <v>3465</v>
      </c>
      <c r="G294" s="1315" t="s">
        <v>3651</v>
      </c>
      <c r="H294" s="1315" t="s">
        <v>3192</v>
      </c>
      <c r="I294" s="1315">
        <v>9</v>
      </c>
    </row>
    <row r="295" spans="1:9" s="1315" customFormat="1" x14ac:dyDescent="0.2">
      <c r="A295" s="1316" t="s">
        <v>2732</v>
      </c>
      <c r="B295" s="1317">
        <f>'Part 2'!$J$25</f>
        <v>0</v>
      </c>
      <c r="C295" s="1318" t="s">
        <v>3204</v>
      </c>
      <c r="D295" s="1319"/>
      <c r="E295" s="1319"/>
      <c r="F295" s="1315" t="s">
        <v>3467</v>
      </c>
      <c r="G295" s="1315" t="s">
        <v>3652</v>
      </c>
      <c r="H295" s="1315" t="s">
        <v>3192</v>
      </c>
      <c r="I295" s="1315">
        <v>10</v>
      </c>
    </row>
    <row r="296" spans="1:9" s="1315" customFormat="1" x14ac:dyDescent="0.2">
      <c r="A296" s="1316" t="s">
        <v>2733</v>
      </c>
      <c r="B296" s="1317">
        <f>'Part 2'!$M$25</f>
        <v>0</v>
      </c>
      <c r="C296" s="1318" t="s">
        <v>3204</v>
      </c>
      <c r="D296" s="1319"/>
      <c r="E296" s="1319"/>
      <c r="F296" s="1315" t="s">
        <v>3469</v>
      </c>
      <c r="G296" s="1315" t="s">
        <v>3653</v>
      </c>
      <c r="H296" s="1315" t="s">
        <v>3192</v>
      </c>
      <c r="I296" s="1315">
        <v>11</v>
      </c>
    </row>
    <row r="297" spans="1:9" s="1315" customFormat="1" x14ac:dyDescent="0.2">
      <c r="A297" s="1324" t="s">
        <v>2734</v>
      </c>
      <c r="B297" s="1317">
        <f>'Part 2'!$G$29</f>
        <v>0</v>
      </c>
      <c r="C297" s="1318" t="s">
        <v>3204</v>
      </c>
      <c r="D297" s="1319"/>
      <c r="E297" s="1319"/>
      <c r="F297" s="1315" t="s">
        <v>3471</v>
      </c>
      <c r="G297" s="1315" t="s">
        <v>3654</v>
      </c>
      <c r="H297" s="1315" t="s">
        <v>3192</v>
      </c>
      <c r="I297" s="1315">
        <v>12</v>
      </c>
    </row>
    <row r="298" spans="1:9" s="1315" customFormat="1" x14ac:dyDescent="0.2">
      <c r="A298" s="1324" t="s">
        <v>2735</v>
      </c>
      <c r="B298" s="1317">
        <f>'Part 2'!$J$29</f>
        <v>0</v>
      </c>
      <c r="C298" s="1318" t="s">
        <v>3204</v>
      </c>
      <c r="D298" s="1319"/>
      <c r="E298" s="1319"/>
      <c r="F298" s="1315" t="s">
        <v>3473</v>
      </c>
      <c r="G298" s="1315" t="s">
        <v>3655</v>
      </c>
      <c r="H298" s="1315" t="s">
        <v>3192</v>
      </c>
      <c r="I298" s="1315">
        <v>13</v>
      </c>
    </row>
    <row r="299" spans="1:9" s="1315" customFormat="1" x14ac:dyDescent="0.2">
      <c r="A299" s="1324" t="s">
        <v>2736</v>
      </c>
      <c r="B299" s="1317">
        <f>'Part 2'!$M$29</f>
        <v>0</v>
      </c>
      <c r="C299" s="1318" t="s">
        <v>3204</v>
      </c>
      <c r="D299" s="1319"/>
      <c r="E299" s="1319"/>
      <c r="F299" s="1315" t="s">
        <v>3475</v>
      </c>
      <c r="G299" s="1315" t="s">
        <v>3656</v>
      </c>
      <c r="H299" s="1315" t="s">
        <v>3192</v>
      </c>
      <c r="I299" s="1315">
        <v>14</v>
      </c>
    </row>
    <row r="300" spans="1:9" s="1315" customFormat="1" x14ac:dyDescent="0.2">
      <c r="A300" s="1316" t="s">
        <v>2737</v>
      </c>
      <c r="B300" s="1317">
        <f>'Part 2'!$G$33</f>
        <v>0</v>
      </c>
      <c r="C300" s="1318" t="s">
        <v>3204</v>
      </c>
      <c r="D300" s="1319"/>
      <c r="E300" s="1319"/>
      <c r="F300" s="1315" t="s">
        <v>4986</v>
      </c>
      <c r="G300" s="1315" t="s">
        <v>3657</v>
      </c>
      <c r="H300" s="1315" t="s">
        <v>3192</v>
      </c>
      <c r="I300" s="1315">
        <v>15</v>
      </c>
    </row>
    <row r="301" spans="1:9" s="1315" customFormat="1" x14ac:dyDescent="0.2">
      <c r="A301" s="1316" t="s">
        <v>2738</v>
      </c>
      <c r="B301" s="1317">
        <f>'Part 2'!$J$33</f>
        <v>0</v>
      </c>
      <c r="C301" s="1318" t="s">
        <v>3204</v>
      </c>
      <c r="D301" s="1319"/>
      <c r="E301" s="1319"/>
      <c r="F301" s="1315" t="s">
        <v>4987</v>
      </c>
      <c r="G301" s="1315" t="s">
        <v>3658</v>
      </c>
      <c r="H301" s="1315" t="s">
        <v>3192</v>
      </c>
      <c r="I301" s="1315">
        <v>16</v>
      </c>
    </row>
    <row r="302" spans="1:9" s="1315" customFormat="1" x14ac:dyDescent="0.2">
      <c r="A302" s="1316" t="s">
        <v>2739</v>
      </c>
      <c r="B302" s="1317">
        <f>'Part 2'!$G$38</f>
        <v>0</v>
      </c>
      <c r="C302" s="1318" t="s">
        <v>3204</v>
      </c>
      <c r="D302" s="1319"/>
      <c r="E302" s="1319"/>
      <c r="F302" s="1315" t="s">
        <v>4988</v>
      </c>
      <c r="G302" s="1315" t="s">
        <v>3659</v>
      </c>
      <c r="H302" s="1315" t="s">
        <v>3192</v>
      </c>
      <c r="I302" s="1315">
        <v>17</v>
      </c>
    </row>
    <row r="303" spans="1:9" s="1315" customFormat="1" x14ac:dyDescent="0.2">
      <c r="A303" s="1316" t="s">
        <v>2740</v>
      </c>
      <c r="B303" s="1317">
        <f>'Part 2'!$J$38</f>
        <v>0</v>
      </c>
      <c r="C303" s="1318" t="s">
        <v>3204</v>
      </c>
      <c r="D303" s="1319"/>
      <c r="E303" s="1319"/>
      <c r="F303" s="1315" t="s">
        <v>4989</v>
      </c>
      <c r="G303" s="1315" t="s">
        <v>3660</v>
      </c>
      <c r="H303" s="1315" t="s">
        <v>3192</v>
      </c>
      <c r="I303" s="1315">
        <v>18</v>
      </c>
    </row>
    <row r="304" spans="1:9" s="1315" customFormat="1" x14ac:dyDescent="0.2">
      <c r="A304" s="1316" t="s">
        <v>2741</v>
      </c>
      <c r="B304" s="1317">
        <f>'Part 2'!$M$38</f>
        <v>0</v>
      </c>
      <c r="C304" s="1318" t="s">
        <v>3204</v>
      </c>
      <c r="D304" s="1319"/>
      <c r="E304" s="1319"/>
      <c r="F304" s="1315" t="s">
        <v>4990</v>
      </c>
      <c r="G304" s="1315" t="s">
        <v>3661</v>
      </c>
      <c r="H304" s="1315" t="s">
        <v>3192</v>
      </c>
      <c r="I304" s="1315">
        <v>19</v>
      </c>
    </row>
    <row r="305" spans="1:9" s="1315" customFormat="1" x14ac:dyDescent="0.2">
      <c r="A305" s="1316" t="s">
        <v>2742</v>
      </c>
      <c r="B305" s="1317">
        <f>'Part 2'!$G$44</f>
        <v>0</v>
      </c>
      <c r="C305" s="1318" t="s">
        <v>3204</v>
      </c>
      <c r="D305" s="1319"/>
      <c r="E305" s="1319"/>
      <c r="F305" s="1315" t="s">
        <v>3477</v>
      </c>
      <c r="G305" s="1315" t="s">
        <v>3662</v>
      </c>
      <c r="H305" s="1315" t="s">
        <v>3192</v>
      </c>
      <c r="I305" s="1315">
        <v>20</v>
      </c>
    </row>
    <row r="306" spans="1:9" s="1315" customFormat="1" x14ac:dyDescent="0.2">
      <c r="A306" s="1316" t="s">
        <v>2743</v>
      </c>
      <c r="B306" s="1317">
        <f>'Part 2'!$J$44</f>
        <v>0</v>
      </c>
      <c r="C306" s="1318" t="s">
        <v>3204</v>
      </c>
      <c r="D306" s="1319"/>
      <c r="E306" s="1319"/>
      <c r="F306" s="1315" t="s">
        <v>3479</v>
      </c>
      <c r="G306" s="1315" t="s">
        <v>3663</v>
      </c>
      <c r="H306" s="1315" t="s">
        <v>3192</v>
      </c>
      <c r="I306" s="1315">
        <v>21</v>
      </c>
    </row>
    <row r="307" spans="1:9" s="1315" customFormat="1" x14ac:dyDescent="0.2">
      <c r="A307" s="1316" t="s">
        <v>2744</v>
      </c>
      <c r="B307" s="1317">
        <f>'Part 2'!$M$44</f>
        <v>0</v>
      </c>
      <c r="C307" s="1318" t="s">
        <v>3204</v>
      </c>
      <c r="D307" s="1319"/>
      <c r="E307" s="1319"/>
      <c r="F307" s="1315" t="s">
        <v>4991</v>
      </c>
      <c r="G307" s="1315" t="s">
        <v>3664</v>
      </c>
      <c r="H307" s="1315" t="s">
        <v>3192</v>
      </c>
      <c r="I307" s="1315">
        <v>22</v>
      </c>
    </row>
    <row r="308" spans="1:9" s="1315" customFormat="1" x14ac:dyDescent="0.2">
      <c r="A308" s="1316" t="s">
        <v>2745</v>
      </c>
      <c r="B308" s="1317">
        <f>'Part 2'!$G$46</f>
        <v>0</v>
      </c>
      <c r="C308" s="1318" t="s">
        <v>3204</v>
      </c>
      <c r="D308" s="1319"/>
      <c r="E308" s="1319"/>
      <c r="F308" s="1315" t="s">
        <v>4992</v>
      </c>
      <c r="G308" s="1315" t="s">
        <v>3665</v>
      </c>
      <c r="H308" s="1315" t="s">
        <v>3192</v>
      </c>
      <c r="I308" s="1315">
        <v>23</v>
      </c>
    </row>
    <row r="309" spans="1:9" s="1315" customFormat="1" x14ac:dyDescent="0.2">
      <c r="A309" s="1316" t="s">
        <v>2746</v>
      </c>
      <c r="B309" s="1317">
        <f>'Part 2'!$J$46</f>
        <v>0</v>
      </c>
      <c r="C309" s="1318" t="s">
        <v>3204</v>
      </c>
      <c r="D309" s="1319"/>
      <c r="E309" s="1319"/>
      <c r="F309" s="1315" t="s">
        <v>4993</v>
      </c>
      <c r="G309" s="1315" t="s">
        <v>3666</v>
      </c>
      <c r="H309" s="1315" t="s">
        <v>3192</v>
      </c>
      <c r="I309" s="1315">
        <v>24</v>
      </c>
    </row>
    <row r="310" spans="1:9" s="1315" customFormat="1" x14ac:dyDescent="0.2">
      <c r="A310" s="1316" t="s">
        <v>2747</v>
      </c>
      <c r="B310" s="1317">
        <f>'Part 2'!$M$46</f>
        <v>0</v>
      </c>
      <c r="C310" s="1318" t="s">
        <v>3204</v>
      </c>
      <c r="D310" s="1319"/>
      <c r="E310" s="1319"/>
      <c r="F310" s="1315" t="s">
        <v>4994</v>
      </c>
      <c r="G310" s="1315" t="s">
        <v>3667</v>
      </c>
      <c r="H310" s="1315" t="s">
        <v>3192</v>
      </c>
      <c r="I310" s="1315">
        <v>25</v>
      </c>
    </row>
    <row r="311" spans="1:9" s="1315" customFormat="1" x14ac:dyDescent="0.2">
      <c r="A311" s="1316" t="s">
        <v>2748</v>
      </c>
      <c r="B311" s="1317">
        <f>'Part 2'!$G$50</f>
        <v>0</v>
      </c>
      <c r="C311" s="1318" t="s">
        <v>3204</v>
      </c>
      <c r="D311" s="1319"/>
      <c r="E311" s="1319"/>
      <c r="F311" s="1315" t="s">
        <v>3481</v>
      </c>
      <c r="G311" s="1315" t="s">
        <v>3668</v>
      </c>
      <c r="H311" s="1315" t="s">
        <v>3192</v>
      </c>
      <c r="I311" s="1315">
        <v>26</v>
      </c>
    </row>
    <row r="312" spans="1:9" s="1315" customFormat="1" x14ac:dyDescent="0.2">
      <c r="A312" s="1316" t="s">
        <v>2749</v>
      </c>
      <c r="B312" s="1317">
        <f>'Part 2'!$J$50</f>
        <v>0</v>
      </c>
      <c r="C312" s="1318" t="s">
        <v>3204</v>
      </c>
      <c r="D312" s="1319"/>
      <c r="E312" s="1319"/>
      <c r="F312" s="1315" t="s">
        <v>3483</v>
      </c>
      <c r="G312" s="1315" t="s">
        <v>3669</v>
      </c>
      <c r="H312" s="1315" t="s">
        <v>3192</v>
      </c>
      <c r="I312" s="1315">
        <v>27</v>
      </c>
    </row>
    <row r="313" spans="1:9" s="1315" customFormat="1" x14ac:dyDescent="0.2">
      <c r="A313" s="1316" t="s">
        <v>2750</v>
      </c>
      <c r="B313" s="1317">
        <f>'Part 2'!$M$50</f>
        <v>0</v>
      </c>
      <c r="C313" s="1318" t="s">
        <v>3204</v>
      </c>
      <c r="D313" s="1319"/>
      <c r="E313" s="1319"/>
      <c r="F313" s="1315" t="s">
        <v>3485</v>
      </c>
      <c r="G313" s="1315" t="s">
        <v>3670</v>
      </c>
      <c r="H313" s="1315" t="s">
        <v>3192</v>
      </c>
      <c r="I313" s="1315">
        <v>28</v>
      </c>
    </row>
    <row r="314" spans="1:9" s="1315" customFormat="1" x14ac:dyDescent="0.2">
      <c r="A314" s="1316" t="s">
        <v>2751</v>
      </c>
      <c r="B314" s="1317">
        <f>'Part 2'!$G$53</f>
        <v>0</v>
      </c>
      <c r="C314" s="1318" t="s">
        <v>3204</v>
      </c>
      <c r="D314" s="1319"/>
      <c r="E314" s="1319"/>
      <c r="F314" s="1315" t="s">
        <v>3487</v>
      </c>
      <c r="G314" s="1315" t="s">
        <v>3671</v>
      </c>
      <c r="H314" s="1315" t="s">
        <v>3192</v>
      </c>
      <c r="I314" s="1315">
        <v>29</v>
      </c>
    </row>
    <row r="315" spans="1:9" s="1315" customFormat="1" x14ac:dyDescent="0.2">
      <c r="A315" s="1316" t="s">
        <v>2752</v>
      </c>
      <c r="B315" s="1317">
        <f>'Part 2'!$J$53</f>
        <v>0</v>
      </c>
      <c r="C315" s="1318" t="s">
        <v>3204</v>
      </c>
      <c r="D315" s="1319"/>
      <c r="E315" s="1319"/>
      <c r="F315" s="1315" t="s">
        <v>3489</v>
      </c>
      <c r="G315" s="1315" t="s">
        <v>3672</v>
      </c>
      <c r="H315" s="1315" t="s">
        <v>3192</v>
      </c>
      <c r="I315" s="1315">
        <v>30</v>
      </c>
    </row>
    <row r="316" spans="1:9" s="1315" customFormat="1" x14ac:dyDescent="0.2">
      <c r="A316" s="1316" t="s">
        <v>2753</v>
      </c>
      <c r="B316" s="1317">
        <f>'Part 2'!$M$53</f>
        <v>0</v>
      </c>
      <c r="C316" s="1318" t="s">
        <v>3204</v>
      </c>
      <c r="D316" s="1319"/>
      <c r="E316" s="1319"/>
      <c r="F316" s="1315" t="s">
        <v>3491</v>
      </c>
      <c r="G316" s="1315" t="s">
        <v>3673</v>
      </c>
      <c r="H316" s="1315" t="s">
        <v>3192</v>
      </c>
      <c r="I316" s="1315">
        <v>31</v>
      </c>
    </row>
    <row r="317" spans="1:9" s="1315" customFormat="1" x14ac:dyDescent="0.2">
      <c r="A317" s="1316" t="s">
        <v>2754</v>
      </c>
      <c r="B317" s="1317">
        <f>'Part 2'!$G$56</f>
        <v>0</v>
      </c>
      <c r="C317" s="1318" t="s">
        <v>3204</v>
      </c>
      <c r="D317" s="1319"/>
      <c r="E317" s="1319"/>
      <c r="F317" s="1315" t="s">
        <v>3493</v>
      </c>
      <c r="G317" s="1315" t="s">
        <v>3674</v>
      </c>
      <c r="H317" s="1315" t="s">
        <v>3192</v>
      </c>
      <c r="I317" s="1315">
        <v>32</v>
      </c>
    </row>
    <row r="318" spans="1:9" s="1315" customFormat="1" x14ac:dyDescent="0.2">
      <c r="A318" s="1316" t="s">
        <v>2755</v>
      </c>
      <c r="B318" s="1317">
        <f>'Part 2'!$J$56</f>
        <v>0</v>
      </c>
      <c r="C318" s="1318" t="s">
        <v>3204</v>
      </c>
      <c r="D318" s="1319"/>
      <c r="E318" s="1319"/>
      <c r="F318" s="1315" t="s">
        <v>3495</v>
      </c>
      <c r="G318" s="1315" t="s">
        <v>3675</v>
      </c>
      <c r="H318" s="1315" t="s">
        <v>3192</v>
      </c>
      <c r="I318" s="1315">
        <v>33</v>
      </c>
    </row>
    <row r="319" spans="1:9" s="1315" customFormat="1" x14ac:dyDescent="0.2">
      <c r="A319" s="1316" t="s">
        <v>2756</v>
      </c>
      <c r="B319" s="1317">
        <f>'Part 2'!$M$56</f>
        <v>0</v>
      </c>
      <c r="C319" s="1318" t="s">
        <v>3204</v>
      </c>
      <c r="D319" s="1319"/>
      <c r="E319" s="1319"/>
      <c r="F319" s="1315" t="s">
        <v>3497</v>
      </c>
      <c r="G319" s="1315" t="s">
        <v>3676</v>
      </c>
      <c r="H319" s="1315" t="s">
        <v>3192</v>
      </c>
      <c r="I319" s="1315">
        <v>34</v>
      </c>
    </row>
    <row r="320" spans="1:9" s="1315" customFormat="1" x14ac:dyDescent="0.2">
      <c r="A320" s="1316" t="s">
        <v>2757</v>
      </c>
      <c r="B320" s="1317">
        <f>'Part 2'!$G$59</f>
        <v>0</v>
      </c>
      <c r="C320" s="1318" t="s">
        <v>3204</v>
      </c>
      <c r="D320" s="1319"/>
      <c r="E320" s="1319"/>
      <c r="F320" s="1315" t="s">
        <v>4995</v>
      </c>
      <c r="G320" s="1315" t="s">
        <v>3677</v>
      </c>
      <c r="H320" s="1315" t="s">
        <v>3192</v>
      </c>
      <c r="I320" s="1315">
        <v>35</v>
      </c>
    </row>
    <row r="321" spans="1:11" s="1315" customFormat="1" x14ac:dyDescent="0.2">
      <c r="A321" s="1316" t="s">
        <v>2758</v>
      </c>
      <c r="B321" s="1317">
        <f>'Part 2'!$J$59</f>
        <v>0</v>
      </c>
      <c r="C321" s="1318" t="s">
        <v>3204</v>
      </c>
      <c r="D321" s="1319"/>
      <c r="E321" s="1319"/>
      <c r="F321" s="1315" t="s">
        <v>4996</v>
      </c>
      <c r="G321" s="1315" t="s">
        <v>3678</v>
      </c>
      <c r="H321" s="1315" t="s">
        <v>3192</v>
      </c>
      <c r="I321" s="1315">
        <v>36</v>
      </c>
    </row>
    <row r="322" spans="1:11" s="1315" customFormat="1" x14ac:dyDescent="0.2">
      <c r="A322" s="1316" t="s">
        <v>2759</v>
      </c>
      <c r="B322" s="1317">
        <f>'Part 2'!$M$59</f>
        <v>0</v>
      </c>
      <c r="C322" s="1318" t="s">
        <v>3204</v>
      </c>
      <c r="D322" s="1319"/>
      <c r="E322" s="1319"/>
      <c r="F322" s="1315" t="s">
        <v>4997</v>
      </c>
      <c r="G322" s="1315" t="s">
        <v>3679</v>
      </c>
      <c r="H322" s="1315" t="s">
        <v>3192</v>
      </c>
      <c r="I322" s="1315">
        <v>37</v>
      </c>
    </row>
    <row r="323" spans="1:11" s="1315" customFormat="1" x14ac:dyDescent="0.2">
      <c r="A323" s="1316" t="s">
        <v>2817</v>
      </c>
      <c r="B323" s="1317">
        <f>'Part 2'!$G$62</f>
        <v>0</v>
      </c>
      <c r="C323" s="1318" t="s">
        <v>3204</v>
      </c>
      <c r="D323" s="1319"/>
      <c r="E323" s="1319"/>
      <c r="F323" s="1315" t="s">
        <v>4998</v>
      </c>
      <c r="G323" s="1315" t="s">
        <v>3680</v>
      </c>
      <c r="H323" s="1315" t="s">
        <v>3192</v>
      </c>
      <c r="I323" s="1315">
        <v>38</v>
      </c>
    </row>
    <row r="324" spans="1:11" s="1315" customFormat="1" x14ac:dyDescent="0.2">
      <c r="A324" s="1316" t="s">
        <v>2818</v>
      </c>
      <c r="B324" s="1317">
        <f>'Part 2'!$J$62</f>
        <v>0</v>
      </c>
      <c r="C324" s="1318" t="s">
        <v>3204</v>
      </c>
      <c r="D324" s="1319"/>
      <c r="E324" s="1319"/>
      <c r="F324" s="1315" t="s">
        <v>4999</v>
      </c>
      <c r="G324" s="1315" t="s">
        <v>3681</v>
      </c>
      <c r="H324" s="1315" t="s">
        <v>3192</v>
      </c>
      <c r="I324" s="1315">
        <v>39</v>
      </c>
    </row>
    <row r="325" spans="1:11" s="1315" customFormat="1" x14ac:dyDescent="0.2">
      <c r="A325" s="1316" t="s">
        <v>2819</v>
      </c>
      <c r="B325" s="1317">
        <f>'Part 2'!$M$62</f>
        <v>0</v>
      </c>
      <c r="C325" s="1318" t="s">
        <v>3204</v>
      </c>
      <c r="D325" s="1319"/>
      <c r="E325" s="1319"/>
      <c r="F325" s="1315" t="s">
        <v>5000</v>
      </c>
      <c r="G325" s="1315" t="s">
        <v>3682</v>
      </c>
      <c r="H325" s="1315" t="s">
        <v>3192</v>
      </c>
      <c r="I325" s="1315">
        <v>40</v>
      </c>
    </row>
    <row r="326" spans="1:11" s="1380" customFormat="1" ht="15" x14ac:dyDescent="0.2">
      <c r="A326" s="1326" t="s">
        <v>5769</v>
      </c>
      <c r="B326" s="1317">
        <f>'Part 2'!$G$65</f>
        <v>0</v>
      </c>
      <c r="C326" s="1318" t="s">
        <v>3204</v>
      </c>
      <c r="D326" s="1319"/>
      <c r="E326" s="1319"/>
      <c r="F326" s="1315" t="s">
        <v>3499</v>
      </c>
      <c r="G326" s="1315" t="s">
        <v>3746</v>
      </c>
      <c r="H326" s="1315" t="s">
        <v>3192</v>
      </c>
      <c r="I326" s="1315">
        <v>110</v>
      </c>
      <c r="J326" s="1315"/>
      <c r="K326" s="1315"/>
    </row>
    <row r="327" spans="1:11" s="1380" customFormat="1" ht="15" customHeight="1" x14ac:dyDescent="0.2">
      <c r="A327" s="1326" t="s">
        <v>5770</v>
      </c>
      <c r="B327" s="1317">
        <f>'Part 2'!$J$65</f>
        <v>0</v>
      </c>
      <c r="C327" s="1318" t="s">
        <v>3204</v>
      </c>
      <c r="D327" s="1319"/>
      <c r="E327" s="1319"/>
      <c r="F327" s="1315" t="s">
        <v>3501</v>
      </c>
      <c r="G327" s="1315" t="s">
        <v>3747</v>
      </c>
      <c r="H327" s="1315" t="s">
        <v>3192</v>
      </c>
      <c r="I327" s="1315">
        <v>111</v>
      </c>
      <c r="J327" s="1315"/>
      <c r="K327" s="1315"/>
    </row>
    <row r="328" spans="1:11" s="1380" customFormat="1" ht="15" x14ac:dyDescent="0.2">
      <c r="A328" s="1326" t="s">
        <v>5771</v>
      </c>
      <c r="B328" s="1317">
        <f>'Part 2'!$M$65</f>
        <v>0</v>
      </c>
      <c r="C328" s="1318" t="s">
        <v>3204</v>
      </c>
      <c r="D328" s="1319"/>
      <c r="E328" s="1319"/>
      <c r="F328" s="1315" t="s">
        <v>5772</v>
      </c>
      <c r="G328" s="1315" t="s">
        <v>3748</v>
      </c>
      <c r="H328" s="1315" t="s">
        <v>3192</v>
      </c>
      <c r="I328" s="1315">
        <v>112</v>
      </c>
      <c r="J328" s="1315"/>
      <c r="K328" s="1315"/>
    </row>
    <row r="329" spans="1:11" s="1365" customFormat="1" ht="15" x14ac:dyDescent="0.2">
      <c r="A329" s="1325" t="s">
        <v>2943</v>
      </c>
      <c r="B329" s="1317">
        <v>0</v>
      </c>
      <c r="C329" s="1318" t="s">
        <v>3204</v>
      </c>
      <c r="D329" s="1319"/>
      <c r="E329" s="1319"/>
      <c r="F329" s="1315" t="s">
        <v>4973</v>
      </c>
      <c r="G329" s="1315" t="s">
        <v>3683</v>
      </c>
      <c r="H329" s="1315" t="s">
        <v>3192</v>
      </c>
      <c r="I329" s="1315">
        <v>41</v>
      </c>
      <c r="J329" s="1315"/>
      <c r="K329" s="1315"/>
    </row>
    <row r="330" spans="1:11" s="1365" customFormat="1" ht="15" x14ac:dyDescent="0.2">
      <c r="A330" s="1325" t="s">
        <v>2944</v>
      </c>
      <c r="B330" s="1317">
        <v>0</v>
      </c>
      <c r="C330" s="1318" t="s">
        <v>3204</v>
      </c>
      <c r="D330" s="1319"/>
      <c r="E330" s="1319"/>
      <c r="F330" s="1315" t="s">
        <v>4973</v>
      </c>
      <c r="G330" s="1315" t="s">
        <v>3684</v>
      </c>
      <c r="H330" s="1315" t="s">
        <v>3192</v>
      </c>
      <c r="I330" s="1315">
        <v>42</v>
      </c>
      <c r="J330" s="1315"/>
      <c r="K330" s="1315"/>
    </row>
    <row r="331" spans="1:11" s="1365" customFormat="1" ht="15" x14ac:dyDescent="0.2">
      <c r="A331" s="1325" t="s">
        <v>2945</v>
      </c>
      <c r="B331" s="1317">
        <v>0</v>
      </c>
      <c r="C331" s="1318" t="s">
        <v>3204</v>
      </c>
      <c r="D331" s="1319"/>
      <c r="E331" s="1319"/>
      <c r="F331" s="1315" t="s">
        <v>4973</v>
      </c>
      <c r="G331" s="1315" t="s">
        <v>3685</v>
      </c>
      <c r="H331" s="1315" t="s">
        <v>3192</v>
      </c>
      <c r="I331" s="1315">
        <v>43</v>
      </c>
      <c r="J331" s="1315"/>
      <c r="K331" s="1315"/>
    </row>
    <row r="332" spans="1:11" s="1315" customFormat="1" x14ac:dyDescent="0.2">
      <c r="A332" s="1316" t="s">
        <v>2760</v>
      </c>
      <c r="B332" s="1317">
        <f>'Part 2'!$G$69</f>
        <v>0</v>
      </c>
      <c r="C332" s="1318" t="s">
        <v>3204</v>
      </c>
      <c r="D332" s="1319"/>
      <c r="E332" s="1319"/>
      <c r="F332" s="1315" t="s">
        <v>3504</v>
      </c>
      <c r="G332" s="1315" t="s">
        <v>3686</v>
      </c>
      <c r="H332" s="1315" t="s">
        <v>3192</v>
      </c>
      <c r="I332" s="1315">
        <v>44</v>
      </c>
    </row>
    <row r="333" spans="1:11" s="1315" customFormat="1" x14ac:dyDescent="0.2">
      <c r="A333" s="1316" t="s">
        <v>2761</v>
      </c>
      <c r="B333" s="1317">
        <f>'Part 2'!$J$69</f>
        <v>0</v>
      </c>
      <c r="C333" s="1318" t="s">
        <v>3204</v>
      </c>
      <c r="D333" s="1319"/>
      <c r="E333" s="1319"/>
      <c r="F333" s="1315" t="s">
        <v>3506</v>
      </c>
      <c r="G333" s="1315" t="s">
        <v>3687</v>
      </c>
      <c r="H333" s="1315" t="s">
        <v>3192</v>
      </c>
      <c r="I333" s="1315">
        <v>45</v>
      </c>
    </row>
    <row r="334" spans="1:11" s="1315" customFormat="1" x14ac:dyDescent="0.2">
      <c r="A334" s="1316" t="s">
        <v>2762</v>
      </c>
      <c r="B334" s="1317">
        <f>'Part 2'!$G$72</f>
        <v>0</v>
      </c>
      <c r="C334" s="1318" t="s">
        <v>3204</v>
      </c>
      <c r="D334" s="1319"/>
      <c r="E334" s="1319"/>
      <c r="F334" s="1315" t="s">
        <v>3509</v>
      </c>
      <c r="G334" s="1315" t="s">
        <v>3688</v>
      </c>
      <c r="H334" s="1315" t="s">
        <v>3192</v>
      </c>
      <c r="I334" s="1315">
        <v>46</v>
      </c>
    </row>
    <row r="335" spans="1:11" s="1315" customFormat="1" x14ac:dyDescent="0.2">
      <c r="A335" s="1316" t="s">
        <v>2763</v>
      </c>
      <c r="B335" s="1317">
        <f>'Part 2'!$J$72</f>
        <v>0</v>
      </c>
      <c r="C335" s="1318" t="s">
        <v>3204</v>
      </c>
      <c r="D335" s="1319"/>
      <c r="E335" s="1319"/>
      <c r="F335" s="1315" t="s">
        <v>3511</v>
      </c>
      <c r="G335" s="1315" t="s">
        <v>3689</v>
      </c>
      <c r="H335" s="1315" t="s">
        <v>3192</v>
      </c>
      <c r="I335" s="1315">
        <v>47</v>
      </c>
    </row>
    <row r="336" spans="1:11" s="1315" customFormat="1" x14ac:dyDescent="0.2">
      <c r="A336" s="1316" t="s">
        <v>2764</v>
      </c>
      <c r="B336" s="1317">
        <f>'Part 2'!$G$75</f>
        <v>0</v>
      </c>
      <c r="C336" s="1318" t="s">
        <v>3204</v>
      </c>
      <c r="D336" s="1319"/>
      <c r="E336" s="1319"/>
      <c r="F336" s="1315" t="s">
        <v>5001</v>
      </c>
      <c r="G336" s="1315" t="s">
        <v>3690</v>
      </c>
      <c r="H336" s="1315" t="s">
        <v>3192</v>
      </c>
      <c r="I336" s="1315">
        <v>48</v>
      </c>
    </row>
    <row r="337" spans="1:9" s="1315" customFormat="1" x14ac:dyDescent="0.2">
      <c r="A337" s="1316" t="s">
        <v>2765</v>
      </c>
      <c r="B337" s="1317">
        <f>'Part 2'!$J$75</f>
        <v>0</v>
      </c>
      <c r="C337" s="1318" t="s">
        <v>3204</v>
      </c>
      <c r="D337" s="1319"/>
      <c r="E337" s="1319"/>
      <c r="F337" s="1315" t="s">
        <v>5002</v>
      </c>
      <c r="G337" s="1315" t="s">
        <v>3691</v>
      </c>
      <c r="H337" s="1315" t="s">
        <v>3192</v>
      </c>
      <c r="I337" s="1315">
        <v>49</v>
      </c>
    </row>
    <row r="338" spans="1:9" s="1315" customFormat="1" x14ac:dyDescent="0.2">
      <c r="A338" s="1316" t="s">
        <v>2766</v>
      </c>
      <c r="B338" s="1317">
        <f>'Part 2'!$M$75</f>
        <v>0</v>
      </c>
      <c r="C338" s="1318" t="s">
        <v>3204</v>
      </c>
      <c r="D338" s="1319"/>
      <c r="E338" s="1319"/>
      <c r="F338" s="1315" t="s">
        <v>5003</v>
      </c>
      <c r="G338" s="1315" t="s">
        <v>3692</v>
      </c>
      <c r="H338" s="1315" t="s">
        <v>3192</v>
      </c>
      <c r="I338" s="1315">
        <v>50</v>
      </c>
    </row>
    <row r="339" spans="1:9" s="1315" customFormat="1" x14ac:dyDescent="0.2">
      <c r="A339" s="1316" t="s">
        <v>2767</v>
      </c>
      <c r="B339" s="1317">
        <f>'Part 2'!$G$83</f>
        <v>0</v>
      </c>
      <c r="C339" s="1318" t="s">
        <v>3204</v>
      </c>
      <c r="D339" s="1319"/>
      <c r="E339" s="1319"/>
      <c r="F339" s="1315" t="s">
        <v>3514</v>
      </c>
      <c r="G339" s="1315" t="s">
        <v>3693</v>
      </c>
      <c r="H339" s="1315" t="s">
        <v>3192</v>
      </c>
      <c r="I339" s="1315">
        <v>51</v>
      </c>
    </row>
    <row r="340" spans="1:9" s="1315" customFormat="1" x14ac:dyDescent="0.2">
      <c r="A340" s="1316" t="s">
        <v>2768</v>
      </c>
      <c r="B340" s="1317">
        <f>'Part 2'!$J$83</f>
        <v>0</v>
      </c>
      <c r="C340" s="1318" t="s">
        <v>3204</v>
      </c>
      <c r="D340" s="1319"/>
      <c r="E340" s="1319"/>
      <c r="F340" s="1315" t="s">
        <v>3516</v>
      </c>
      <c r="G340" s="1315" t="s">
        <v>3694</v>
      </c>
      <c r="H340" s="1315" t="s">
        <v>3192</v>
      </c>
      <c r="I340" s="1315">
        <v>52</v>
      </c>
    </row>
    <row r="341" spans="1:9" s="1315" customFormat="1" x14ac:dyDescent="0.2">
      <c r="A341" s="1316" t="s">
        <v>2769</v>
      </c>
      <c r="B341" s="1317">
        <f>'Part 2'!$M$83</f>
        <v>0</v>
      </c>
      <c r="C341" s="1318" t="s">
        <v>3204</v>
      </c>
      <c r="D341" s="1319"/>
      <c r="E341" s="1319"/>
      <c r="F341" s="1315" t="s">
        <v>3518</v>
      </c>
      <c r="G341" s="1315" t="s">
        <v>3695</v>
      </c>
      <c r="H341" s="1315" t="s">
        <v>3192</v>
      </c>
      <c r="I341" s="1315">
        <v>53</v>
      </c>
    </row>
    <row r="342" spans="1:9" s="1315" customFormat="1" x14ac:dyDescent="0.2">
      <c r="A342" s="1316" t="s">
        <v>2770</v>
      </c>
      <c r="B342" s="1317">
        <f>'Part 2'!$G$86</f>
        <v>0</v>
      </c>
      <c r="C342" s="1318" t="s">
        <v>3204</v>
      </c>
      <c r="D342" s="1319"/>
      <c r="E342" s="1319"/>
      <c r="F342" s="1315" t="s">
        <v>3526</v>
      </c>
      <c r="G342" s="1315" t="s">
        <v>3696</v>
      </c>
      <c r="H342" s="1315" t="s">
        <v>3192</v>
      </c>
      <c r="I342" s="1315">
        <v>54</v>
      </c>
    </row>
    <row r="343" spans="1:9" s="1315" customFormat="1" x14ac:dyDescent="0.2">
      <c r="A343" s="1316" t="s">
        <v>2771</v>
      </c>
      <c r="B343" s="1317">
        <f>'Part 2'!$J$86</f>
        <v>0</v>
      </c>
      <c r="C343" s="1318" t="s">
        <v>3204</v>
      </c>
      <c r="D343" s="1319"/>
      <c r="E343" s="1319"/>
      <c r="F343" s="1315" t="s">
        <v>3528</v>
      </c>
      <c r="G343" s="1315" t="s">
        <v>3697</v>
      </c>
      <c r="H343" s="1315" t="s">
        <v>3192</v>
      </c>
      <c r="I343" s="1315">
        <v>55</v>
      </c>
    </row>
    <row r="344" spans="1:9" s="1315" customFormat="1" x14ac:dyDescent="0.2">
      <c r="A344" s="1316" t="s">
        <v>2772</v>
      </c>
      <c r="B344" s="1317">
        <f>'Part 2'!$M$86</f>
        <v>0</v>
      </c>
      <c r="C344" s="1318" t="s">
        <v>3204</v>
      </c>
      <c r="D344" s="1319"/>
      <c r="E344" s="1319"/>
      <c r="F344" s="1315" t="s">
        <v>5783</v>
      </c>
      <c r="G344" s="1315" t="s">
        <v>3698</v>
      </c>
      <c r="H344" s="1315" t="s">
        <v>3192</v>
      </c>
      <c r="I344" s="1315">
        <v>56</v>
      </c>
    </row>
    <row r="345" spans="1:9" s="1315" customFormat="1" x14ac:dyDescent="0.2">
      <c r="A345" s="1316" t="s">
        <v>2773</v>
      </c>
      <c r="B345" s="1317">
        <f>'Part 2'!$G$89</f>
        <v>0</v>
      </c>
      <c r="C345" s="1318" t="s">
        <v>3204</v>
      </c>
      <c r="D345" s="1319"/>
      <c r="E345" s="1319"/>
      <c r="F345" s="1315" t="s">
        <v>3530</v>
      </c>
      <c r="G345" s="1315" t="s">
        <v>3699</v>
      </c>
      <c r="H345" s="1315" t="s">
        <v>3192</v>
      </c>
      <c r="I345" s="1315">
        <v>57</v>
      </c>
    </row>
    <row r="346" spans="1:9" s="1315" customFormat="1" x14ac:dyDescent="0.2">
      <c r="A346" s="1316" t="s">
        <v>2774</v>
      </c>
      <c r="B346" s="1317">
        <f>'Part 2'!$J$89</f>
        <v>0</v>
      </c>
      <c r="C346" s="1318" t="s">
        <v>3204</v>
      </c>
      <c r="D346" s="1319"/>
      <c r="E346" s="1319"/>
      <c r="F346" s="1315" t="s">
        <v>3532</v>
      </c>
      <c r="G346" s="1315" t="s">
        <v>3700</v>
      </c>
      <c r="H346" s="1315" t="s">
        <v>3192</v>
      </c>
      <c r="I346" s="1315">
        <v>58</v>
      </c>
    </row>
    <row r="347" spans="1:9" s="1315" customFormat="1" x14ac:dyDescent="0.2">
      <c r="A347" s="1316" t="s">
        <v>2775</v>
      </c>
      <c r="B347" s="1317">
        <f>'Part 2'!$G$92</f>
        <v>0</v>
      </c>
      <c r="C347" s="1318" t="s">
        <v>3204</v>
      </c>
      <c r="D347" s="1319"/>
      <c r="E347" s="1319"/>
      <c r="F347" s="1315" t="s">
        <v>3534</v>
      </c>
      <c r="G347" s="1315" t="s">
        <v>3701</v>
      </c>
      <c r="H347" s="1315" t="s">
        <v>3192</v>
      </c>
      <c r="I347" s="1315">
        <v>59</v>
      </c>
    </row>
    <row r="348" spans="1:9" s="1315" customFormat="1" x14ac:dyDescent="0.2">
      <c r="A348" s="1316" t="s">
        <v>2776</v>
      </c>
      <c r="B348" s="1317">
        <f>'Part 2'!$J$92</f>
        <v>0</v>
      </c>
      <c r="C348" s="1318" t="s">
        <v>3204</v>
      </c>
      <c r="D348" s="1319"/>
      <c r="E348" s="1319"/>
      <c r="F348" s="1315" t="s">
        <v>3536</v>
      </c>
      <c r="G348" s="1315" t="s">
        <v>3702</v>
      </c>
      <c r="H348" s="1315" t="s">
        <v>3192</v>
      </c>
      <c r="I348" s="1315">
        <v>60</v>
      </c>
    </row>
    <row r="349" spans="1:9" s="1315" customFormat="1" x14ac:dyDescent="0.2">
      <c r="A349" s="1324" t="s">
        <v>2777</v>
      </c>
      <c r="B349" s="1317">
        <f>'Part 2'!$G$96</f>
        <v>0</v>
      </c>
      <c r="C349" s="1318" t="s">
        <v>3204</v>
      </c>
      <c r="D349" s="1319"/>
      <c r="E349" s="1319"/>
      <c r="F349" s="1315" t="s">
        <v>3539</v>
      </c>
      <c r="G349" s="1315" t="s">
        <v>3703</v>
      </c>
      <c r="H349" s="1315" t="s">
        <v>3192</v>
      </c>
      <c r="I349" s="1315">
        <v>61</v>
      </c>
    </row>
    <row r="350" spans="1:9" s="1315" customFormat="1" x14ac:dyDescent="0.2">
      <c r="A350" s="1324" t="s">
        <v>2778</v>
      </c>
      <c r="B350" s="1317">
        <f>'Part 2'!$J$96</f>
        <v>0</v>
      </c>
      <c r="C350" s="1318" t="s">
        <v>3204</v>
      </c>
      <c r="D350" s="1319"/>
      <c r="E350" s="1319"/>
      <c r="F350" s="1315" t="s">
        <v>3541</v>
      </c>
      <c r="G350" s="1315" t="s">
        <v>3704</v>
      </c>
      <c r="H350" s="1315" t="s">
        <v>3192</v>
      </c>
      <c r="I350" s="1315">
        <v>62</v>
      </c>
    </row>
    <row r="351" spans="1:9" s="1315" customFormat="1" x14ac:dyDescent="0.2">
      <c r="A351" s="1324" t="s">
        <v>2779</v>
      </c>
      <c r="B351" s="1317">
        <f>'Part 2'!$M$96</f>
        <v>0</v>
      </c>
      <c r="C351" s="1318" t="s">
        <v>3204</v>
      </c>
      <c r="D351" s="1319"/>
      <c r="E351" s="1319"/>
      <c r="F351" s="1315" t="s">
        <v>3543</v>
      </c>
      <c r="G351" s="1315" t="s">
        <v>3705</v>
      </c>
      <c r="H351" s="1315" t="s">
        <v>3192</v>
      </c>
      <c r="I351" s="1315">
        <v>63</v>
      </c>
    </row>
    <row r="352" spans="1:9" s="1315" customFormat="1" x14ac:dyDescent="0.2">
      <c r="A352" s="1316" t="s">
        <v>2780</v>
      </c>
      <c r="B352" s="1317">
        <f>'Part 2'!$G$102</f>
        <v>0</v>
      </c>
      <c r="C352" s="1318" t="s">
        <v>3204</v>
      </c>
      <c r="D352" s="1319"/>
      <c r="E352" s="1319"/>
      <c r="F352" s="1315" t="s">
        <v>3545</v>
      </c>
      <c r="G352" s="1315" t="s">
        <v>3706</v>
      </c>
      <c r="H352" s="1315" t="s">
        <v>3192</v>
      </c>
      <c r="I352" s="1315">
        <v>64</v>
      </c>
    </row>
    <row r="353" spans="1:11" s="1315" customFormat="1" x14ac:dyDescent="0.2">
      <c r="A353" s="1316" t="s">
        <v>2781</v>
      </c>
      <c r="B353" s="1317">
        <f>'Part 2'!$J$102</f>
        <v>0</v>
      </c>
      <c r="C353" s="1318" t="s">
        <v>3204</v>
      </c>
      <c r="D353" s="1319"/>
      <c r="E353" s="1319"/>
      <c r="F353" s="1315" t="s">
        <v>3547</v>
      </c>
      <c r="G353" s="1315" t="s">
        <v>3707</v>
      </c>
      <c r="H353" s="1315" t="s">
        <v>3192</v>
      </c>
      <c r="I353" s="1315">
        <v>65</v>
      </c>
    </row>
    <row r="354" spans="1:11" s="1315" customFormat="1" x14ac:dyDescent="0.2">
      <c r="A354" s="1316" t="s">
        <v>2782</v>
      </c>
      <c r="B354" s="1317">
        <f>'Part 2'!$M$102</f>
        <v>0</v>
      </c>
      <c r="C354" s="1318" t="s">
        <v>3204</v>
      </c>
      <c r="D354" s="1319"/>
      <c r="E354" s="1319"/>
      <c r="F354" s="1315" t="s">
        <v>3549</v>
      </c>
      <c r="G354" s="1315" t="s">
        <v>3708</v>
      </c>
      <c r="H354" s="1315" t="s">
        <v>3192</v>
      </c>
      <c r="I354" s="1315">
        <v>66</v>
      </c>
    </row>
    <row r="355" spans="1:11" s="1315" customFormat="1" x14ac:dyDescent="0.2">
      <c r="A355" s="1316" t="s">
        <v>2783</v>
      </c>
      <c r="B355" s="1317">
        <f>'Part 2'!$G$105</f>
        <v>0</v>
      </c>
      <c r="C355" s="1318" t="s">
        <v>3204</v>
      </c>
      <c r="D355" s="1319"/>
      <c r="E355" s="1319"/>
      <c r="F355" s="1315" t="s">
        <v>3551</v>
      </c>
      <c r="G355" s="1315" t="s">
        <v>3709</v>
      </c>
      <c r="H355" s="1315" t="s">
        <v>3192</v>
      </c>
      <c r="I355" s="1315">
        <v>67</v>
      </c>
    </row>
    <row r="356" spans="1:11" s="1315" customFormat="1" x14ac:dyDescent="0.2">
      <c r="A356" s="1316" t="s">
        <v>2784</v>
      </c>
      <c r="B356" s="1317">
        <f>'Part 2'!$J$105</f>
        <v>0</v>
      </c>
      <c r="C356" s="1318" t="s">
        <v>3204</v>
      </c>
      <c r="D356" s="1319"/>
      <c r="E356" s="1319"/>
      <c r="F356" s="1315" t="s">
        <v>3553</v>
      </c>
      <c r="G356" s="1315" t="s">
        <v>3710</v>
      </c>
      <c r="H356" s="1315" t="s">
        <v>3192</v>
      </c>
      <c r="I356" s="1315">
        <v>68</v>
      </c>
    </row>
    <row r="357" spans="1:11" s="1315" customFormat="1" x14ac:dyDescent="0.2">
      <c r="A357" s="1316" t="s">
        <v>2785</v>
      </c>
      <c r="B357" s="1317">
        <f>'Part 2'!$M$105</f>
        <v>0</v>
      </c>
      <c r="C357" s="1318" t="s">
        <v>3204</v>
      </c>
      <c r="D357" s="1319"/>
      <c r="E357" s="1319"/>
      <c r="F357" s="1315" t="s">
        <v>5004</v>
      </c>
      <c r="G357" s="1315" t="s">
        <v>3711</v>
      </c>
      <c r="H357" s="1315" t="s">
        <v>3192</v>
      </c>
      <c r="I357" s="1315">
        <v>69</v>
      </c>
    </row>
    <row r="358" spans="1:11" s="1315" customFormat="1" x14ac:dyDescent="0.2">
      <c r="A358" s="1316" t="s">
        <v>2786</v>
      </c>
      <c r="B358" s="1317">
        <f>'Part 2'!$G$108</f>
        <v>0</v>
      </c>
      <c r="C358" s="1318" t="s">
        <v>3204</v>
      </c>
      <c r="D358" s="1319"/>
      <c r="E358" s="1319"/>
      <c r="F358" s="1315" t="s">
        <v>3555</v>
      </c>
      <c r="G358" s="1315" t="s">
        <v>3712</v>
      </c>
      <c r="H358" s="1315" t="s">
        <v>3192</v>
      </c>
      <c r="I358" s="1315">
        <v>70</v>
      </c>
    </row>
    <row r="359" spans="1:11" s="1315" customFormat="1" x14ac:dyDescent="0.2">
      <c r="A359" s="1316" t="s">
        <v>2787</v>
      </c>
      <c r="B359" s="1317">
        <f>'Part 2'!$J$108</f>
        <v>0</v>
      </c>
      <c r="C359" s="1318" t="s">
        <v>3204</v>
      </c>
      <c r="D359" s="1319"/>
      <c r="E359" s="1319"/>
      <c r="F359" s="1315" t="s">
        <v>3557</v>
      </c>
      <c r="G359" s="1315" t="s">
        <v>3713</v>
      </c>
      <c r="H359" s="1315" t="s">
        <v>3192</v>
      </c>
      <c r="I359" s="1315">
        <v>71</v>
      </c>
    </row>
    <row r="360" spans="1:11" s="1315" customFormat="1" x14ac:dyDescent="0.2">
      <c r="A360" s="1316" t="s">
        <v>2788</v>
      </c>
      <c r="B360" s="1317">
        <f>'Part 2'!$M$108</f>
        <v>0</v>
      </c>
      <c r="C360" s="1318" t="s">
        <v>3204</v>
      </c>
      <c r="D360" s="1319"/>
      <c r="E360" s="1319"/>
      <c r="F360" s="1315" t="s">
        <v>5005</v>
      </c>
      <c r="G360" s="1315" t="s">
        <v>3714</v>
      </c>
      <c r="H360" s="1315" t="s">
        <v>3192</v>
      </c>
      <c r="I360" s="1315">
        <v>72</v>
      </c>
    </row>
    <row r="361" spans="1:11" s="1365" customFormat="1" ht="15" customHeight="1" x14ac:dyDescent="0.2">
      <c r="A361" s="1325" t="s">
        <v>2789</v>
      </c>
      <c r="B361" s="1317">
        <v>0</v>
      </c>
      <c r="C361" s="1318" t="s">
        <v>3204</v>
      </c>
      <c r="D361" s="1319"/>
      <c r="E361" s="1319"/>
      <c r="F361" s="1315" t="s">
        <v>4973</v>
      </c>
      <c r="G361" s="1315" t="s">
        <v>3715</v>
      </c>
      <c r="H361" s="1315" t="s">
        <v>3192</v>
      </c>
      <c r="I361" s="1315">
        <v>73</v>
      </c>
      <c r="J361" s="1315"/>
      <c r="K361" s="1315"/>
    </row>
    <row r="362" spans="1:11" s="1365" customFormat="1" ht="15" x14ac:dyDescent="0.2">
      <c r="A362" s="1325" t="s">
        <v>2790</v>
      </c>
      <c r="B362" s="1317">
        <v>0</v>
      </c>
      <c r="C362" s="1318" t="s">
        <v>3204</v>
      </c>
      <c r="D362" s="1319"/>
      <c r="E362" s="1319"/>
      <c r="F362" s="1315" t="s">
        <v>4973</v>
      </c>
      <c r="G362" s="1315" t="s">
        <v>3716</v>
      </c>
      <c r="H362" s="1315" t="s">
        <v>3192</v>
      </c>
      <c r="I362" s="1315">
        <v>74</v>
      </c>
      <c r="J362" s="1315"/>
      <c r="K362" s="1315"/>
    </row>
    <row r="363" spans="1:11" s="1365" customFormat="1" ht="15" x14ac:dyDescent="0.2">
      <c r="A363" s="1325" t="s">
        <v>2791</v>
      </c>
      <c r="B363" s="1317">
        <v>0</v>
      </c>
      <c r="C363" s="1318" t="s">
        <v>3204</v>
      </c>
      <c r="D363" s="1319"/>
      <c r="E363" s="1319"/>
      <c r="F363" s="1315" t="s">
        <v>4973</v>
      </c>
      <c r="G363" s="1315" t="s">
        <v>3717</v>
      </c>
      <c r="H363" s="1315" t="s">
        <v>3192</v>
      </c>
      <c r="I363" s="1315">
        <v>75</v>
      </c>
      <c r="J363" s="1315"/>
      <c r="K363" s="1315"/>
    </row>
    <row r="364" spans="1:11" s="1315" customFormat="1" x14ac:dyDescent="0.2">
      <c r="A364" s="1316" t="s">
        <v>2792</v>
      </c>
      <c r="B364" s="1317">
        <f>'Part 2'!$G$111</f>
        <v>0</v>
      </c>
      <c r="C364" s="1318" t="s">
        <v>3204</v>
      </c>
      <c r="D364" s="1319"/>
      <c r="E364" s="1319"/>
      <c r="F364" s="1315" t="s">
        <v>3559</v>
      </c>
      <c r="G364" s="1315" t="s">
        <v>3718</v>
      </c>
      <c r="H364" s="1315" t="s">
        <v>3192</v>
      </c>
      <c r="I364" s="1315">
        <v>76</v>
      </c>
    </row>
    <row r="365" spans="1:11" s="1315" customFormat="1" x14ac:dyDescent="0.2">
      <c r="A365" s="1316" t="s">
        <v>2793</v>
      </c>
      <c r="B365" s="1317">
        <f>'Part 2'!$J$111</f>
        <v>0</v>
      </c>
      <c r="C365" s="1318" t="s">
        <v>3204</v>
      </c>
      <c r="D365" s="1319"/>
      <c r="E365" s="1319"/>
      <c r="F365" s="1315" t="s">
        <v>3561</v>
      </c>
      <c r="G365" s="1315" t="s">
        <v>3719</v>
      </c>
      <c r="H365" s="1315" t="s">
        <v>3192</v>
      </c>
      <c r="I365" s="1315">
        <v>77</v>
      </c>
    </row>
    <row r="366" spans="1:11" s="1315" customFormat="1" x14ac:dyDescent="0.2">
      <c r="A366" s="1316" t="s">
        <v>2794</v>
      </c>
      <c r="B366" s="1317">
        <f>'Part 2'!$M$111</f>
        <v>0</v>
      </c>
      <c r="C366" s="1318" t="s">
        <v>3204</v>
      </c>
      <c r="D366" s="1319"/>
      <c r="E366" s="1319"/>
      <c r="F366" s="1315" t="s">
        <v>3563</v>
      </c>
      <c r="G366" s="1315" t="s">
        <v>3720</v>
      </c>
      <c r="H366" s="1315" t="s">
        <v>3192</v>
      </c>
      <c r="I366" s="1315">
        <v>78</v>
      </c>
    </row>
    <row r="367" spans="1:11" s="1315" customFormat="1" x14ac:dyDescent="0.2">
      <c r="A367" s="1324" t="s">
        <v>2795</v>
      </c>
      <c r="B367" s="1317">
        <f>'Part 2'!$G$114</f>
        <v>0</v>
      </c>
      <c r="C367" s="1318" t="s">
        <v>3204</v>
      </c>
      <c r="D367" s="1319"/>
      <c r="E367" s="1319"/>
      <c r="F367" s="1315" t="s">
        <v>5784</v>
      </c>
      <c r="G367" s="1315" t="s">
        <v>3721</v>
      </c>
      <c r="H367" s="1315" t="s">
        <v>3192</v>
      </c>
      <c r="I367" s="1315">
        <v>79</v>
      </c>
    </row>
    <row r="368" spans="1:11" s="1315" customFormat="1" x14ac:dyDescent="0.2">
      <c r="A368" s="1324" t="s">
        <v>2796</v>
      </c>
      <c r="B368" s="1317">
        <f>'Part 2'!$J$114</f>
        <v>0</v>
      </c>
      <c r="C368" s="1318" t="s">
        <v>3204</v>
      </c>
      <c r="D368" s="1319"/>
      <c r="E368" s="1319"/>
      <c r="F368" s="1315" t="s">
        <v>3566</v>
      </c>
      <c r="G368" s="1315" t="s">
        <v>3722</v>
      </c>
      <c r="H368" s="1315" t="s">
        <v>3192</v>
      </c>
      <c r="I368" s="1315">
        <v>80</v>
      </c>
    </row>
    <row r="369" spans="1:9" s="1315" customFormat="1" x14ac:dyDescent="0.2">
      <c r="A369" s="1324" t="s">
        <v>2797</v>
      </c>
      <c r="B369" s="1317">
        <f>'Part 2'!$M$114</f>
        <v>0</v>
      </c>
      <c r="C369" s="1318" t="s">
        <v>3204</v>
      </c>
      <c r="D369" s="1319"/>
      <c r="E369" s="1319"/>
      <c r="F369" s="1315" t="s">
        <v>5785</v>
      </c>
      <c r="G369" s="1315" t="s">
        <v>3723</v>
      </c>
      <c r="H369" s="1315" t="s">
        <v>3192</v>
      </c>
      <c r="I369" s="1315">
        <v>81</v>
      </c>
    </row>
    <row r="370" spans="1:9" s="1315" customFormat="1" x14ac:dyDescent="0.2">
      <c r="A370" s="1316" t="s">
        <v>2798</v>
      </c>
      <c r="B370" s="1317">
        <f>'Part 2'!$J$117</f>
        <v>0</v>
      </c>
      <c r="C370" s="1318" t="s">
        <v>3204</v>
      </c>
      <c r="D370" s="1319"/>
      <c r="E370" s="1319"/>
      <c r="F370" s="1315" t="s">
        <v>5786</v>
      </c>
      <c r="G370" s="1315" t="s">
        <v>3724</v>
      </c>
      <c r="H370" s="1315" t="s">
        <v>3192</v>
      </c>
      <c r="I370" s="1315">
        <v>82</v>
      </c>
    </row>
    <row r="371" spans="1:9" s="1315" customFormat="1" x14ac:dyDescent="0.2">
      <c r="A371" s="1316" t="s">
        <v>2799</v>
      </c>
      <c r="B371" s="1317">
        <f>'Part 2'!$G$119</f>
        <v>0</v>
      </c>
      <c r="C371" s="1318" t="s">
        <v>3204</v>
      </c>
      <c r="D371" s="1319"/>
      <c r="E371" s="1319"/>
      <c r="F371" s="1315" t="s">
        <v>5787</v>
      </c>
      <c r="G371" s="1315" t="s">
        <v>3725</v>
      </c>
      <c r="H371" s="1315" t="s">
        <v>3192</v>
      </c>
      <c r="I371" s="1315">
        <v>83</v>
      </c>
    </row>
    <row r="372" spans="1:9" s="1315" customFormat="1" x14ac:dyDescent="0.2">
      <c r="A372" s="1316" t="s">
        <v>2800</v>
      </c>
      <c r="B372" s="1317">
        <f>'Part 2'!$J$121</f>
        <v>0</v>
      </c>
      <c r="C372" s="1318" t="s">
        <v>3204</v>
      </c>
      <c r="D372" s="1319"/>
      <c r="E372" s="1319"/>
      <c r="F372" s="1315" t="s">
        <v>3576</v>
      </c>
      <c r="G372" s="1315" t="s">
        <v>3726</v>
      </c>
      <c r="H372" s="1315" t="s">
        <v>3192</v>
      </c>
      <c r="I372" s="1315">
        <v>84</v>
      </c>
    </row>
    <row r="373" spans="1:9" s="1315" customFormat="1" x14ac:dyDescent="0.2">
      <c r="A373" s="1316" t="s">
        <v>3048</v>
      </c>
      <c r="B373" s="1317">
        <f>'Part 2'!$G$123</f>
        <v>0</v>
      </c>
      <c r="C373" s="1318" t="s">
        <v>3204</v>
      </c>
      <c r="D373" s="1319"/>
      <c r="E373" s="1319"/>
      <c r="F373" s="1315" t="s">
        <v>3579</v>
      </c>
      <c r="G373" s="1315" t="s">
        <v>3727</v>
      </c>
      <c r="H373" s="1315" t="s">
        <v>3192</v>
      </c>
      <c r="I373" s="1315">
        <v>85</v>
      </c>
    </row>
    <row r="374" spans="1:9" s="1315" customFormat="1" x14ac:dyDescent="0.2">
      <c r="A374" s="1316" t="s">
        <v>3049</v>
      </c>
      <c r="B374" s="1317">
        <f>'Part 2'!$J$123</f>
        <v>0</v>
      </c>
      <c r="C374" s="1318" t="s">
        <v>3204</v>
      </c>
      <c r="D374" s="1319"/>
      <c r="E374" s="1319"/>
      <c r="F374" s="1315" t="s">
        <v>3581</v>
      </c>
      <c r="G374" s="1315" t="s">
        <v>3728</v>
      </c>
      <c r="H374" s="1315" t="s">
        <v>3192</v>
      </c>
      <c r="I374" s="1315">
        <v>86</v>
      </c>
    </row>
    <row r="375" spans="1:9" s="1315" customFormat="1" x14ac:dyDescent="0.2">
      <c r="A375" s="1316" t="s">
        <v>3050</v>
      </c>
      <c r="B375" s="1317">
        <f>'Part 2'!$M$123</f>
        <v>0</v>
      </c>
      <c r="C375" s="1318" t="s">
        <v>3204</v>
      </c>
      <c r="D375" s="1319"/>
      <c r="E375" s="1319"/>
      <c r="F375" s="1315" t="s">
        <v>5788</v>
      </c>
      <c r="G375" s="1315" t="s">
        <v>3729</v>
      </c>
      <c r="H375" s="1315" t="s">
        <v>3192</v>
      </c>
      <c r="I375" s="1315">
        <v>87</v>
      </c>
    </row>
    <row r="376" spans="1:9" s="1315" customFormat="1" x14ac:dyDescent="0.2">
      <c r="A376" s="1316" t="s">
        <v>2801</v>
      </c>
      <c r="B376" s="1317">
        <f>'Part 2'!$G$127</f>
        <v>0</v>
      </c>
      <c r="C376" s="1318" t="s">
        <v>3204</v>
      </c>
      <c r="D376" s="1319"/>
      <c r="E376" s="1319"/>
      <c r="F376" s="1315" t="s">
        <v>3584</v>
      </c>
      <c r="G376" s="1315" t="s">
        <v>3730</v>
      </c>
      <c r="H376" s="1315" t="s">
        <v>3192</v>
      </c>
      <c r="I376" s="1315">
        <v>88</v>
      </c>
    </row>
    <row r="377" spans="1:9" s="1315" customFormat="1" x14ac:dyDescent="0.2">
      <c r="A377" s="1316" t="s">
        <v>2802</v>
      </c>
      <c r="B377" s="1317">
        <f>'Part 2'!$J$127</f>
        <v>0</v>
      </c>
      <c r="C377" s="1318" t="s">
        <v>3204</v>
      </c>
      <c r="D377" s="1319"/>
      <c r="E377" s="1319"/>
      <c r="F377" s="1315" t="s">
        <v>3586</v>
      </c>
      <c r="G377" s="1315" t="s">
        <v>3731</v>
      </c>
      <c r="H377" s="1315" t="s">
        <v>3192</v>
      </c>
      <c r="I377" s="1315">
        <v>89</v>
      </c>
    </row>
    <row r="378" spans="1:9" s="1315" customFormat="1" x14ac:dyDescent="0.2">
      <c r="A378" s="1316" t="s">
        <v>2803</v>
      </c>
      <c r="B378" s="1317">
        <f>'Part 2'!$G$130</f>
        <v>0</v>
      </c>
      <c r="C378" s="1318" t="s">
        <v>3204</v>
      </c>
      <c r="D378" s="1319"/>
      <c r="E378" s="1319"/>
      <c r="F378" s="1315" t="s">
        <v>5006</v>
      </c>
      <c r="G378" s="1315" t="s">
        <v>3732</v>
      </c>
      <c r="H378" s="1315" t="s">
        <v>3192</v>
      </c>
      <c r="I378" s="1315">
        <v>90</v>
      </c>
    </row>
    <row r="379" spans="1:9" s="1315" customFormat="1" x14ac:dyDescent="0.2">
      <c r="A379" s="1316" t="s">
        <v>2804</v>
      </c>
      <c r="B379" s="1317">
        <f>'Part 2'!$J$130</f>
        <v>0</v>
      </c>
      <c r="C379" s="1318" t="s">
        <v>3204</v>
      </c>
      <c r="D379" s="1319"/>
      <c r="E379" s="1319"/>
      <c r="F379" s="1315" t="s">
        <v>3589</v>
      </c>
      <c r="G379" s="1315" t="s">
        <v>3733</v>
      </c>
      <c r="H379" s="1315" t="s">
        <v>3192</v>
      </c>
      <c r="I379" s="1315">
        <v>91</v>
      </c>
    </row>
    <row r="380" spans="1:9" s="1315" customFormat="1" x14ac:dyDescent="0.2">
      <c r="A380" s="1316" t="s">
        <v>2805</v>
      </c>
      <c r="B380" s="1317">
        <f>'Part 2'!$G$134</f>
        <v>0</v>
      </c>
      <c r="C380" s="1318" t="s">
        <v>3204</v>
      </c>
      <c r="D380" s="1319"/>
      <c r="E380" s="1319"/>
      <c r="F380" s="1315" t="s">
        <v>3591</v>
      </c>
      <c r="G380" s="1315" t="s">
        <v>3734</v>
      </c>
      <c r="H380" s="1315" t="s">
        <v>3192</v>
      </c>
      <c r="I380" s="1315">
        <v>92</v>
      </c>
    </row>
    <row r="381" spans="1:9" s="1315" customFormat="1" x14ac:dyDescent="0.2">
      <c r="A381" s="1316" t="s">
        <v>2806</v>
      </c>
      <c r="B381" s="1317">
        <f>'Part 2'!$J$134</f>
        <v>0</v>
      </c>
      <c r="C381" s="1318" t="s">
        <v>3204</v>
      </c>
      <c r="D381" s="1319"/>
      <c r="E381" s="1319"/>
      <c r="F381" s="1315" t="s">
        <v>5007</v>
      </c>
      <c r="G381" s="1315" t="s">
        <v>3735</v>
      </c>
      <c r="H381" s="1315" t="s">
        <v>3192</v>
      </c>
      <c r="I381" s="1315">
        <v>93</v>
      </c>
    </row>
    <row r="382" spans="1:9" s="1315" customFormat="1" x14ac:dyDescent="0.2">
      <c r="A382" s="1316" t="s">
        <v>2807</v>
      </c>
      <c r="B382" s="1317">
        <f>'Part 2'!$M$134</f>
        <v>0</v>
      </c>
      <c r="C382" s="1318" t="s">
        <v>3204</v>
      </c>
      <c r="D382" s="1319"/>
      <c r="E382" s="1319"/>
      <c r="F382" s="1315" t="s">
        <v>5008</v>
      </c>
      <c r="G382" s="1315" t="s">
        <v>3736</v>
      </c>
      <c r="H382" s="1315" t="s">
        <v>3192</v>
      </c>
      <c r="I382" s="1315">
        <v>94</v>
      </c>
    </row>
    <row r="383" spans="1:9" s="1315" customFormat="1" x14ac:dyDescent="0.2">
      <c r="A383" s="1316" t="s">
        <v>2808</v>
      </c>
      <c r="B383" s="1317">
        <f>'Part 2'!$G$141</f>
        <v>0</v>
      </c>
      <c r="C383" s="1318" t="s">
        <v>3204</v>
      </c>
      <c r="D383" s="1319"/>
      <c r="E383" s="1319"/>
      <c r="F383" s="1315" t="s">
        <v>3593</v>
      </c>
      <c r="G383" s="1315" t="s">
        <v>3737</v>
      </c>
      <c r="H383" s="1315" t="s">
        <v>3192</v>
      </c>
      <c r="I383" s="1315">
        <v>98</v>
      </c>
    </row>
    <row r="384" spans="1:9" s="1315" customFormat="1" x14ac:dyDescent="0.2">
      <c r="A384" s="1316" t="s">
        <v>2809</v>
      </c>
      <c r="B384" s="1317">
        <f>'Part 2'!$J$141</f>
        <v>0</v>
      </c>
      <c r="C384" s="1318" t="s">
        <v>3204</v>
      </c>
      <c r="D384" s="1319"/>
      <c r="E384" s="1319"/>
      <c r="F384" s="1315" t="s">
        <v>5009</v>
      </c>
      <c r="G384" s="1315" t="s">
        <v>3738</v>
      </c>
      <c r="H384" s="1315" t="s">
        <v>3192</v>
      </c>
      <c r="I384" s="1315">
        <v>99</v>
      </c>
    </row>
    <row r="385" spans="1:11" s="1315" customFormat="1" x14ac:dyDescent="0.2">
      <c r="A385" s="1316" t="s">
        <v>2810</v>
      </c>
      <c r="B385" s="1317">
        <f>'Part 2'!$M$141</f>
        <v>0</v>
      </c>
      <c r="C385" s="1318" t="s">
        <v>3204</v>
      </c>
      <c r="D385" s="1319"/>
      <c r="E385" s="1319"/>
      <c r="F385" s="1315" t="s">
        <v>5010</v>
      </c>
      <c r="G385" s="1315" t="s">
        <v>3739</v>
      </c>
      <c r="H385" s="1315" t="s">
        <v>3192</v>
      </c>
      <c r="I385" s="1315">
        <v>100</v>
      </c>
    </row>
    <row r="386" spans="1:11" s="1315" customFormat="1" ht="15" x14ac:dyDescent="0.2">
      <c r="A386" s="1325" t="s">
        <v>2811</v>
      </c>
      <c r="B386" s="1626">
        <v>0</v>
      </c>
      <c r="C386" s="1318" t="s">
        <v>3204</v>
      </c>
      <c r="D386" s="1319"/>
      <c r="E386" s="1319"/>
      <c r="F386" s="1315" t="s">
        <v>4973</v>
      </c>
      <c r="G386" s="1315" t="s">
        <v>3740</v>
      </c>
      <c r="H386" s="1315" t="s">
        <v>3192</v>
      </c>
      <c r="I386" s="1315">
        <v>101</v>
      </c>
    </row>
    <row r="387" spans="1:11" s="1315" customFormat="1" ht="15" x14ac:dyDescent="0.2">
      <c r="A387" s="1325" t="s">
        <v>2812</v>
      </c>
      <c r="B387" s="1626">
        <v>0</v>
      </c>
      <c r="C387" s="1318" t="s">
        <v>3204</v>
      </c>
      <c r="D387" s="1319"/>
      <c r="E387" s="1319"/>
      <c r="F387" s="1315" t="s">
        <v>4973</v>
      </c>
      <c r="G387" s="1315" t="s">
        <v>3741</v>
      </c>
      <c r="H387" s="1315" t="s">
        <v>3192</v>
      </c>
      <c r="I387" s="1315">
        <v>102</v>
      </c>
    </row>
    <row r="388" spans="1:11" s="1315" customFormat="1" ht="15" x14ac:dyDescent="0.2">
      <c r="A388" s="1325" t="s">
        <v>2813</v>
      </c>
      <c r="B388" s="1626">
        <v>0</v>
      </c>
      <c r="C388" s="1318" t="s">
        <v>3204</v>
      </c>
      <c r="D388" s="1319"/>
      <c r="E388" s="1319"/>
      <c r="F388" s="1315" t="s">
        <v>4973</v>
      </c>
      <c r="G388" s="1315" t="s">
        <v>3742</v>
      </c>
      <c r="H388" s="1315" t="s">
        <v>3192</v>
      </c>
      <c r="I388" s="1315">
        <v>103</v>
      </c>
    </row>
    <row r="389" spans="1:11" s="1315" customFormat="1" x14ac:dyDescent="0.2">
      <c r="A389" s="1316" t="s">
        <v>2814</v>
      </c>
      <c r="B389" s="1317">
        <f>'Part 2'!$G$144</f>
        <v>0</v>
      </c>
      <c r="C389" s="1318" t="s">
        <v>3204</v>
      </c>
      <c r="D389" s="1319"/>
      <c r="E389" s="1319"/>
      <c r="F389" s="1315" t="s">
        <v>3598</v>
      </c>
      <c r="G389" s="1315" t="s">
        <v>3743</v>
      </c>
      <c r="H389" s="1315" t="s">
        <v>3192</v>
      </c>
      <c r="I389" s="1315">
        <v>104</v>
      </c>
    </row>
    <row r="390" spans="1:11" s="1315" customFormat="1" x14ac:dyDescent="0.2">
      <c r="A390" s="1316" t="s">
        <v>2815</v>
      </c>
      <c r="B390" s="1317">
        <f>'Part 2'!$J$144</f>
        <v>0</v>
      </c>
      <c r="C390" s="1318" t="s">
        <v>3204</v>
      </c>
      <c r="D390" s="1319"/>
      <c r="E390" s="1319"/>
      <c r="F390" s="1315" t="s">
        <v>3600</v>
      </c>
      <c r="G390" s="1315" t="s">
        <v>3744</v>
      </c>
      <c r="H390" s="1315" t="s">
        <v>3192</v>
      </c>
      <c r="I390" s="1315">
        <v>105</v>
      </c>
    </row>
    <row r="391" spans="1:11" s="1315" customFormat="1" x14ac:dyDescent="0.2">
      <c r="A391" s="1316" t="s">
        <v>2816</v>
      </c>
      <c r="B391" s="1317">
        <f>'Part 2'!$M$144</f>
        <v>0</v>
      </c>
      <c r="C391" s="1318" t="s">
        <v>3204</v>
      </c>
      <c r="D391" s="1319"/>
      <c r="E391" s="1319"/>
      <c r="F391" s="1315" t="s">
        <v>5011</v>
      </c>
      <c r="G391" s="1315" t="s">
        <v>3745</v>
      </c>
      <c r="H391" s="1315" t="s">
        <v>3192</v>
      </c>
      <c r="I391" s="1315">
        <v>106</v>
      </c>
    </row>
    <row r="392" spans="1:11" s="1380" customFormat="1" ht="15" x14ac:dyDescent="0.2">
      <c r="A392" s="1624" t="s">
        <v>2820</v>
      </c>
      <c r="B392" s="1626">
        <v>0</v>
      </c>
      <c r="C392" s="1318" t="s">
        <v>3204</v>
      </c>
      <c r="D392" s="1316"/>
      <c r="E392" s="1316"/>
      <c r="F392" s="1315" t="s">
        <v>4973</v>
      </c>
      <c r="G392" s="1316" t="s">
        <v>5457</v>
      </c>
      <c r="H392" s="1315" t="s">
        <v>3192</v>
      </c>
      <c r="I392" s="1315">
        <v>107</v>
      </c>
      <c r="J392" s="1316"/>
      <c r="K392" s="1316"/>
    </row>
    <row r="393" spans="1:11" s="1380" customFormat="1" ht="15" x14ac:dyDescent="0.2">
      <c r="A393" s="1624" t="s">
        <v>2821</v>
      </c>
      <c r="B393" s="1626">
        <v>0</v>
      </c>
      <c r="C393" s="1318" t="s">
        <v>3204</v>
      </c>
      <c r="D393" s="1316"/>
      <c r="E393" s="1316"/>
      <c r="F393" s="1315" t="s">
        <v>4973</v>
      </c>
      <c r="G393" s="1316" t="s">
        <v>5458</v>
      </c>
      <c r="H393" s="1315" t="s">
        <v>3192</v>
      </c>
      <c r="I393" s="1315">
        <v>108</v>
      </c>
      <c r="J393" s="1316"/>
      <c r="K393" s="1316"/>
    </row>
    <row r="394" spans="1:11" s="1380" customFormat="1" ht="15" x14ac:dyDescent="0.2">
      <c r="A394" s="1624" t="s">
        <v>2822</v>
      </c>
      <c r="B394" s="1626">
        <v>0</v>
      </c>
      <c r="C394" s="1318" t="s">
        <v>3204</v>
      </c>
      <c r="D394" s="1316"/>
      <c r="E394" s="1316"/>
      <c r="F394" s="1315" t="s">
        <v>4973</v>
      </c>
      <c r="G394" s="1316" t="s">
        <v>5459</v>
      </c>
      <c r="H394" s="1315" t="s">
        <v>3192</v>
      </c>
      <c r="I394" s="1315">
        <v>109</v>
      </c>
      <c r="J394" s="1316"/>
      <c r="K394" s="1316"/>
    </row>
    <row r="395" spans="1:11" s="1380" customFormat="1" ht="15" x14ac:dyDescent="0.2">
      <c r="A395" s="1325" t="s">
        <v>3161</v>
      </c>
      <c r="B395" s="1317">
        <v>0</v>
      </c>
      <c r="C395" s="1318" t="s">
        <v>3204</v>
      </c>
      <c r="D395" s="1319"/>
      <c r="E395" s="1319"/>
      <c r="F395" s="1315" t="s">
        <v>4973</v>
      </c>
      <c r="G395" s="1315" t="s">
        <v>3746</v>
      </c>
      <c r="H395" s="1315" t="s">
        <v>3192</v>
      </c>
      <c r="I395" s="1315">
        <v>110</v>
      </c>
      <c r="J395" s="1315"/>
      <c r="K395" s="1315"/>
    </row>
    <row r="396" spans="1:11" s="1380" customFormat="1" ht="15" customHeight="1" x14ac:dyDescent="0.2">
      <c r="A396" s="1325" t="s">
        <v>3162</v>
      </c>
      <c r="B396" s="1317">
        <v>0</v>
      </c>
      <c r="C396" s="1318" t="s">
        <v>3204</v>
      </c>
      <c r="D396" s="1319"/>
      <c r="E396" s="1319"/>
      <c r="F396" s="1315" t="s">
        <v>4973</v>
      </c>
      <c r="G396" s="1315" t="s">
        <v>3747</v>
      </c>
      <c r="H396" s="1315" t="s">
        <v>3192</v>
      </c>
      <c r="I396" s="1315">
        <v>111</v>
      </c>
      <c r="J396" s="1315"/>
      <c r="K396" s="1315"/>
    </row>
    <row r="397" spans="1:11" s="1380" customFormat="1" ht="15" x14ac:dyDescent="0.2">
      <c r="A397" s="1325" t="s">
        <v>3163</v>
      </c>
      <c r="B397" s="1317">
        <v>0</v>
      </c>
      <c r="C397" s="1318" t="s">
        <v>3204</v>
      </c>
      <c r="D397" s="1319"/>
      <c r="E397" s="1319"/>
      <c r="F397" s="1315" t="s">
        <v>4973</v>
      </c>
      <c r="G397" s="1315" t="s">
        <v>3748</v>
      </c>
      <c r="H397" s="1315" t="s">
        <v>3192</v>
      </c>
      <c r="I397" s="1315">
        <v>112</v>
      </c>
      <c r="J397" s="1315"/>
      <c r="K397" s="1315"/>
    </row>
    <row r="398" spans="1:11" s="1380" customFormat="1" ht="15" x14ac:dyDescent="0.2">
      <c r="A398" s="1326" t="s">
        <v>3164</v>
      </c>
      <c r="B398" s="1317">
        <f>'Part 2'!$G$147</f>
        <v>0</v>
      </c>
      <c r="C398" s="1318" t="s">
        <v>3204</v>
      </c>
      <c r="D398" s="1319"/>
      <c r="E398" s="1319"/>
      <c r="F398" s="1315" t="s">
        <v>3602</v>
      </c>
      <c r="G398" s="1315" t="s">
        <v>3749</v>
      </c>
      <c r="H398" s="1315" t="s">
        <v>3192</v>
      </c>
      <c r="I398" s="1315">
        <v>113</v>
      </c>
      <c r="J398" s="1315"/>
      <c r="K398" s="1315"/>
    </row>
    <row r="399" spans="1:11" s="1380" customFormat="1" ht="15" x14ac:dyDescent="0.2">
      <c r="A399" s="1326" t="s">
        <v>3165</v>
      </c>
      <c r="B399" s="1317">
        <f>'Part 2'!$J$147</f>
        <v>0</v>
      </c>
      <c r="C399" s="1318" t="s">
        <v>3204</v>
      </c>
      <c r="D399" s="1319"/>
      <c r="E399" s="1319"/>
      <c r="F399" s="1315" t="s">
        <v>3604</v>
      </c>
      <c r="G399" s="1315" t="s">
        <v>3750</v>
      </c>
      <c r="H399" s="1315" t="s">
        <v>3192</v>
      </c>
      <c r="I399" s="1315">
        <v>114</v>
      </c>
      <c r="J399" s="1315"/>
      <c r="K399" s="1315"/>
    </row>
    <row r="400" spans="1:11" s="1380" customFormat="1" ht="15" x14ac:dyDescent="0.2">
      <c r="A400" s="1326" t="s">
        <v>3166</v>
      </c>
      <c r="B400" s="1317">
        <f>'Part 2'!$M$147</f>
        <v>0</v>
      </c>
      <c r="C400" s="1318" t="s">
        <v>3204</v>
      </c>
      <c r="D400" s="1319"/>
      <c r="E400" s="1319"/>
      <c r="F400" s="1315" t="s">
        <v>5012</v>
      </c>
      <c r="G400" s="1315" t="s">
        <v>3751</v>
      </c>
      <c r="H400" s="1315" t="s">
        <v>3192</v>
      </c>
      <c r="I400" s="1315">
        <v>115</v>
      </c>
      <c r="J400" s="1315"/>
      <c r="K400" s="1315"/>
    </row>
    <row r="401" spans="1:11" s="1315" customFormat="1" x14ac:dyDescent="0.2">
      <c r="A401" s="1316" t="s">
        <v>2823</v>
      </c>
      <c r="B401" s="1317">
        <f>'Part 2'!$G$150</f>
        <v>0</v>
      </c>
      <c r="C401" s="1318" t="s">
        <v>3204</v>
      </c>
      <c r="D401" s="1319"/>
      <c r="E401" s="1319"/>
      <c r="F401" s="1315" t="s">
        <v>3606</v>
      </c>
      <c r="G401" s="1315" t="s">
        <v>3752</v>
      </c>
      <c r="H401" s="1315" t="s">
        <v>3192</v>
      </c>
      <c r="I401" s="1315">
        <v>116</v>
      </c>
      <c r="K401" s="1327"/>
    </row>
    <row r="402" spans="1:11" s="1315" customFormat="1" x14ac:dyDescent="0.2">
      <c r="A402" s="1316" t="s">
        <v>2824</v>
      </c>
      <c r="B402" s="1317">
        <f>'Part 2'!$J$150</f>
        <v>0</v>
      </c>
      <c r="C402" s="1318" t="s">
        <v>3204</v>
      </c>
      <c r="D402" s="1319"/>
      <c r="E402" s="1319"/>
      <c r="F402" s="1315" t="s">
        <v>3608</v>
      </c>
      <c r="G402" s="1315" t="s">
        <v>3753</v>
      </c>
      <c r="H402" s="1315" t="s">
        <v>3192</v>
      </c>
      <c r="I402" s="1315">
        <v>117</v>
      </c>
    </row>
    <row r="403" spans="1:11" s="1315" customFormat="1" x14ac:dyDescent="0.2">
      <c r="A403" s="1316" t="s">
        <v>2825</v>
      </c>
      <c r="B403" s="1317">
        <f>'Part 2'!$G$154</f>
        <v>0</v>
      </c>
      <c r="C403" s="1318" t="s">
        <v>3204</v>
      </c>
      <c r="D403" s="1319"/>
      <c r="E403" s="1319"/>
      <c r="F403" s="1315" t="s">
        <v>3611</v>
      </c>
      <c r="G403" s="1315" t="s">
        <v>3754</v>
      </c>
      <c r="H403" s="1315" t="s">
        <v>3192</v>
      </c>
      <c r="I403" s="1315">
        <v>118</v>
      </c>
    </row>
    <row r="404" spans="1:11" s="1315" customFormat="1" x14ac:dyDescent="0.2">
      <c r="A404" s="1316" t="s">
        <v>2826</v>
      </c>
      <c r="B404" s="1317">
        <f>'Part 2'!$J$154</f>
        <v>0</v>
      </c>
      <c r="C404" s="1318" t="s">
        <v>3204</v>
      </c>
      <c r="D404" s="1319"/>
      <c r="E404" s="1319"/>
      <c r="F404" s="1315" t="s">
        <v>3612</v>
      </c>
      <c r="G404" s="1315" t="s">
        <v>3755</v>
      </c>
      <c r="H404" s="1315" t="s">
        <v>3192</v>
      </c>
      <c r="I404" s="1315">
        <v>119</v>
      </c>
    </row>
    <row r="405" spans="1:11" s="1315" customFormat="1" x14ac:dyDescent="0.2">
      <c r="A405" s="1324" t="s">
        <v>2827</v>
      </c>
      <c r="B405" s="1317">
        <f>'Part 2'!$G$158</f>
        <v>0</v>
      </c>
      <c r="C405" s="1318" t="s">
        <v>3204</v>
      </c>
      <c r="D405" s="1319"/>
      <c r="E405" s="1319"/>
      <c r="F405" s="1315" t="s">
        <v>3613</v>
      </c>
      <c r="G405" s="1315" t="s">
        <v>3756</v>
      </c>
      <c r="H405" s="1315" t="s">
        <v>3192</v>
      </c>
      <c r="I405" s="1315">
        <v>120</v>
      </c>
    </row>
    <row r="406" spans="1:11" s="1315" customFormat="1" x14ac:dyDescent="0.2">
      <c r="A406" s="1324" t="s">
        <v>2828</v>
      </c>
      <c r="B406" s="1317">
        <f>'Part 2'!$J$158</f>
        <v>0</v>
      </c>
      <c r="C406" s="1318" t="s">
        <v>3204</v>
      </c>
      <c r="D406" s="1319"/>
      <c r="E406" s="1319"/>
      <c r="F406" s="1315" t="s">
        <v>3615</v>
      </c>
      <c r="G406" s="1315" t="s">
        <v>3757</v>
      </c>
      <c r="H406" s="1315" t="s">
        <v>3192</v>
      </c>
      <c r="I406" s="1315">
        <v>121</v>
      </c>
    </row>
    <row r="407" spans="1:11" s="1315" customFormat="1" x14ac:dyDescent="0.2">
      <c r="A407" s="1324" t="s">
        <v>2829</v>
      </c>
      <c r="B407" s="1317">
        <f>'Part 2'!$M$158</f>
        <v>0</v>
      </c>
      <c r="C407" s="1318" t="s">
        <v>3204</v>
      </c>
      <c r="D407" s="1319"/>
      <c r="E407" s="1319"/>
      <c r="F407" s="1315" t="s">
        <v>5724</v>
      </c>
      <c r="G407" s="1315" t="s">
        <v>3758</v>
      </c>
      <c r="H407" s="1315" t="s">
        <v>3192</v>
      </c>
      <c r="I407" s="1315">
        <v>122</v>
      </c>
    </row>
    <row r="408" spans="1:11" s="1315" customFormat="1" x14ac:dyDescent="0.2">
      <c r="A408" s="1316" t="s">
        <v>3025</v>
      </c>
      <c r="B408" s="1317">
        <f>'Part 2'!$G$166</f>
        <v>0</v>
      </c>
      <c r="C408" s="1318" t="s">
        <v>3204</v>
      </c>
      <c r="D408" s="1319"/>
      <c r="E408" s="1319"/>
      <c r="F408" s="1315" t="s">
        <v>3618</v>
      </c>
      <c r="G408" s="1315" t="s">
        <v>3759</v>
      </c>
      <c r="H408" s="1315" t="s">
        <v>3192</v>
      </c>
      <c r="I408" s="1315">
        <v>123</v>
      </c>
    </row>
    <row r="409" spans="1:11" s="1315" customFormat="1" x14ac:dyDescent="0.2">
      <c r="A409" s="1316" t="s">
        <v>3026</v>
      </c>
      <c r="B409" s="1317">
        <f>'Part 2'!$J$166</f>
        <v>0</v>
      </c>
      <c r="C409" s="1318" t="s">
        <v>3204</v>
      </c>
      <c r="D409" s="1319"/>
      <c r="E409" s="1319"/>
      <c r="F409" s="1315" t="s">
        <v>3620</v>
      </c>
      <c r="G409" s="1315" t="s">
        <v>3760</v>
      </c>
      <c r="H409" s="1315" t="s">
        <v>3192</v>
      </c>
      <c r="I409" s="1315">
        <v>124</v>
      </c>
    </row>
    <row r="410" spans="1:11" s="1315" customFormat="1" x14ac:dyDescent="0.2">
      <c r="A410" s="1316" t="s">
        <v>3027</v>
      </c>
      <c r="B410" s="1317">
        <f>'Part 2'!$M$166</f>
        <v>0</v>
      </c>
      <c r="C410" s="1318" t="s">
        <v>3204</v>
      </c>
      <c r="D410" s="1319"/>
      <c r="E410" s="1319"/>
      <c r="F410" s="1315" t="s">
        <v>3622</v>
      </c>
      <c r="G410" s="1315" t="s">
        <v>3761</v>
      </c>
      <c r="H410" s="1315" t="s">
        <v>3192</v>
      </c>
      <c r="I410" s="1315">
        <v>125</v>
      </c>
    </row>
    <row r="411" spans="1:11" s="1315" customFormat="1" x14ac:dyDescent="0.2">
      <c r="A411" s="1316" t="s">
        <v>2833</v>
      </c>
      <c r="B411" s="1317">
        <f>'Part 2'!$S$13</f>
        <v>0</v>
      </c>
      <c r="C411" s="1318" t="s">
        <v>3204</v>
      </c>
      <c r="D411" s="1319"/>
      <c r="E411" s="1319"/>
      <c r="F411" s="1315" t="s">
        <v>3447</v>
      </c>
      <c r="G411" s="1315" t="s">
        <v>3762</v>
      </c>
      <c r="H411" s="1315" t="s">
        <v>3191</v>
      </c>
      <c r="I411" s="1315">
        <v>1</v>
      </c>
    </row>
    <row r="412" spans="1:11" s="1315" customFormat="1" x14ac:dyDescent="0.2">
      <c r="A412" s="1316" t="s">
        <v>2834</v>
      </c>
      <c r="B412" s="1317">
        <f>'Part 2'!$V$13</f>
        <v>0</v>
      </c>
      <c r="C412" s="1318" t="s">
        <v>3204</v>
      </c>
      <c r="D412" s="1319"/>
      <c r="E412" s="1319"/>
      <c r="F412" s="1315" t="s">
        <v>5013</v>
      </c>
      <c r="G412" s="1315" t="s">
        <v>3763</v>
      </c>
      <c r="H412" s="1315" t="s">
        <v>3191</v>
      </c>
      <c r="I412" s="1315">
        <v>2</v>
      </c>
    </row>
    <row r="413" spans="1:11" s="1315" customFormat="1" x14ac:dyDescent="0.2">
      <c r="A413" s="1316" t="s">
        <v>2835</v>
      </c>
      <c r="B413" s="1317">
        <f>'Part 2'!$Y$13</f>
        <v>0</v>
      </c>
      <c r="C413" s="1318" t="s">
        <v>3204</v>
      </c>
      <c r="D413" s="1319"/>
      <c r="E413" s="1319"/>
      <c r="F413" s="1315" t="s">
        <v>5014</v>
      </c>
      <c r="G413" s="1315" t="s">
        <v>3764</v>
      </c>
      <c r="H413" s="1315" t="s">
        <v>3191</v>
      </c>
      <c r="I413" s="1315">
        <v>3</v>
      </c>
    </row>
    <row r="414" spans="1:11" s="1315" customFormat="1" x14ac:dyDescent="0.2">
      <c r="A414" s="1324" t="s">
        <v>2836</v>
      </c>
      <c r="B414" s="1328">
        <f>'Part 2'!$P$15</f>
        <v>55.5</v>
      </c>
      <c r="C414" s="1318" t="s">
        <v>3224</v>
      </c>
      <c r="D414" s="1329"/>
      <c r="E414" s="1329"/>
      <c r="F414" s="1315" t="s">
        <v>4985</v>
      </c>
      <c r="G414" s="1315" t="s">
        <v>3765</v>
      </c>
      <c r="H414" s="1315" t="s">
        <v>3191</v>
      </c>
      <c r="I414" s="1315">
        <v>4</v>
      </c>
    </row>
    <row r="415" spans="1:11" s="1315" customFormat="1" x14ac:dyDescent="0.2">
      <c r="A415" s="1316" t="s">
        <v>2837</v>
      </c>
      <c r="B415" s="1317">
        <f>'Part 2'!$S$18</f>
        <v>0</v>
      </c>
      <c r="C415" s="1318" t="s">
        <v>3204</v>
      </c>
      <c r="D415" s="1319"/>
      <c r="E415" s="1319"/>
      <c r="F415" s="1315" t="s">
        <v>5015</v>
      </c>
      <c r="G415" s="1315" t="s">
        <v>3766</v>
      </c>
      <c r="H415" s="1315" t="s">
        <v>3191</v>
      </c>
      <c r="I415" s="1315">
        <v>5</v>
      </c>
    </row>
    <row r="416" spans="1:11" s="1315" customFormat="1" x14ac:dyDescent="0.2">
      <c r="A416" s="1316" t="s">
        <v>2838</v>
      </c>
      <c r="B416" s="1317">
        <f>'Part 2'!$V$18</f>
        <v>0</v>
      </c>
      <c r="C416" s="1318" t="s">
        <v>3204</v>
      </c>
      <c r="D416" s="1319"/>
      <c r="E416" s="1319"/>
      <c r="F416" s="1315" t="s">
        <v>5016</v>
      </c>
      <c r="G416" s="1315" t="s">
        <v>3767</v>
      </c>
      <c r="H416" s="1315" t="s">
        <v>3191</v>
      </c>
      <c r="I416" s="1315">
        <v>6</v>
      </c>
    </row>
    <row r="417" spans="1:9" s="1315" customFormat="1" x14ac:dyDescent="0.2">
      <c r="A417" s="1316" t="s">
        <v>2839</v>
      </c>
      <c r="B417" s="1317">
        <f>'Part 2'!$S$22</f>
        <v>0</v>
      </c>
      <c r="C417" s="1318" t="s">
        <v>3204</v>
      </c>
      <c r="D417" s="1319"/>
      <c r="E417" s="1319"/>
      <c r="F417" s="1315" t="s">
        <v>5017</v>
      </c>
      <c r="G417" s="1315" t="s">
        <v>3768</v>
      </c>
      <c r="H417" s="1315" t="s">
        <v>3191</v>
      </c>
      <c r="I417" s="1315">
        <v>7</v>
      </c>
    </row>
    <row r="418" spans="1:9" s="1315" customFormat="1" x14ac:dyDescent="0.2">
      <c r="A418" s="1316" t="s">
        <v>2840</v>
      </c>
      <c r="B418" s="1317">
        <f>'Part 2'!$V$22</f>
        <v>0</v>
      </c>
      <c r="C418" s="1318" t="s">
        <v>3204</v>
      </c>
      <c r="D418" s="1319"/>
      <c r="E418" s="1319"/>
      <c r="F418" s="1315" t="s">
        <v>5018</v>
      </c>
      <c r="G418" s="1315" t="s">
        <v>3769</v>
      </c>
      <c r="H418" s="1315" t="s">
        <v>3191</v>
      </c>
      <c r="I418" s="1315">
        <v>8</v>
      </c>
    </row>
    <row r="419" spans="1:9" s="1315" customFormat="1" x14ac:dyDescent="0.2">
      <c r="A419" s="1316" t="s">
        <v>2841</v>
      </c>
      <c r="B419" s="1317">
        <f>'Part 2'!$S$25</f>
        <v>0</v>
      </c>
      <c r="C419" s="1318" t="s">
        <v>3204</v>
      </c>
      <c r="D419" s="1319"/>
      <c r="E419" s="1319"/>
      <c r="F419" s="1315" t="s">
        <v>5019</v>
      </c>
      <c r="G419" s="1315" t="s">
        <v>3770</v>
      </c>
      <c r="H419" s="1315" t="s">
        <v>3191</v>
      </c>
      <c r="I419" s="1315">
        <v>9</v>
      </c>
    </row>
    <row r="420" spans="1:9" s="1315" customFormat="1" x14ac:dyDescent="0.2">
      <c r="A420" s="1316" t="s">
        <v>2842</v>
      </c>
      <c r="B420" s="1317">
        <f>'Part 2'!$V$25</f>
        <v>0</v>
      </c>
      <c r="C420" s="1318" t="s">
        <v>3204</v>
      </c>
      <c r="D420" s="1319"/>
      <c r="E420" s="1319"/>
      <c r="F420" s="1315" t="s">
        <v>5020</v>
      </c>
      <c r="G420" s="1315" t="s">
        <v>3771</v>
      </c>
      <c r="H420" s="1315" t="s">
        <v>3191</v>
      </c>
      <c r="I420" s="1315">
        <v>10</v>
      </c>
    </row>
    <row r="421" spans="1:9" s="1315" customFormat="1" x14ac:dyDescent="0.2">
      <c r="A421" s="1316" t="s">
        <v>2843</v>
      </c>
      <c r="B421" s="1317">
        <f>'Part 2'!$Y$25</f>
        <v>0</v>
      </c>
      <c r="C421" s="1318" t="s">
        <v>3204</v>
      </c>
      <c r="D421" s="1319"/>
      <c r="E421" s="1319"/>
      <c r="F421" s="1315" t="s">
        <v>5021</v>
      </c>
      <c r="G421" s="1315" t="s">
        <v>3772</v>
      </c>
      <c r="H421" s="1315" t="s">
        <v>3191</v>
      </c>
      <c r="I421" s="1315">
        <v>11</v>
      </c>
    </row>
    <row r="422" spans="1:9" s="1315" customFormat="1" x14ac:dyDescent="0.2">
      <c r="A422" s="1324" t="s">
        <v>2844</v>
      </c>
      <c r="B422" s="1317">
        <f>'Part 2'!$S$29</f>
        <v>0</v>
      </c>
      <c r="C422" s="1318" t="s">
        <v>3204</v>
      </c>
      <c r="D422" s="1319"/>
      <c r="E422" s="1319"/>
      <c r="F422" s="1315" t="s">
        <v>5022</v>
      </c>
      <c r="G422" s="1315" t="s">
        <v>3773</v>
      </c>
      <c r="H422" s="1315" t="s">
        <v>3191</v>
      </c>
      <c r="I422" s="1315">
        <v>12</v>
      </c>
    </row>
    <row r="423" spans="1:9" s="1315" customFormat="1" x14ac:dyDescent="0.2">
      <c r="A423" s="1324" t="s">
        <v>2845</v>
      </c>
      <c r="B423" s="1317">
        <f>'Part 2'!$V$29</f>
        <v>0</v>
      </c>
      <c r="C423" s="1318" t="s">
        <v>3204</v>
      </c>
      <c r="D423" s="1319"/>
      <c r="E423" s="1319"/>
      <c r="F423" s="1315" t="s">
        <v>5023</v>
      </c>
      <c r="G423" s="1315" t="s">
        <v>3774</v>
      </c>
      <c r="H423" s="1315" t="s">
        <v>3191</v>
      </c>
      <c r="I423" s="1315">
        <v>13</v>
      </c>
    </row>
    <row r="424" spans="1:9" s="1315" customFormat="1" x14ac:dyDescent="0.2">
      <c r="A424" s="1324" t="s">
        <v>2846</v>
      </c>
      <c r="B424" s="1317">
        <f>'Part 2'!$Y$29</f>
        <v>0</v>
      </c>
      <c r="C424" s="1318" t="s">
        <v>3204</v>
      </c>
      <c r="D424" s="1319"/>
      <c r="E424" s="1319"/>
      <c r="F424" s="1315" t="s">
        <v>5024</v>
      </c>
      <c r="G424" s="1315" t="s">
        <v>3775</v>
      </c>
      <c r="H424" s="1315" t="s">
        <v>3191</v>
      </c>
      <c r="I424" s="1315">
        <v>14</v>
      </c>
    </row>
    <row r="425" spans="1:9" s="1315" customFormat="1" x14ac:dyDescent="0.2">
      <c r="A425" s="1316" t="s">
        <v>2847</v>
      </c>
      <c r="B425" s="1317">
        <f>'Part 2'!$S$33</f>
        <v>0</v>
      </c>
      <c r="C425" s="1318" t="s">
        <v>3204</v>
      </c>
      <c r="D425" s="1319"/>
      <c r="E425" s="1319"/>
      <c r="F425" s="1315" t="s">
        <v>5025</v>
      </c>
      <c r="G425" s="1315" t="s">
        <v>3776</v>
      </c>
      <c r="H425" s="1315" t="s">
        <v>3191</v>
      </c>
      <c r="I425" s="1315">
        <v>15</v>
      </c>
    </row>
    <row r="426" spans="1:9" s="1315" customFormat="1" x14ac:dyDescent="0.2">
      <c r="A426" s="1316" t="s">
        <v>2848</v>
      </c>
      <c r="B426" s="1317">
        <f>'Part 2'!$V$33</f>
        <v>0</v>
      </c>
      <c r="C426" s="1318" t="s">
        <v>3204</v>
      </c>
      <c r="D426" s="1319"/>
      <c r="E426" s="1319"/>
      <c r="F426" s="1315" t="s">
        <v>5026</v>
      </c>
      <c r="G426" s="1315" t="s">
        <v>3777</v>
      </c>
      <c r="H426" s="1315" t="s">
        <v>3191</v>
      </c>
      <c r="I426" s="1315">
        <v>16</v>
      </c>
    </row>
    <row r="427" spans="1:9" s="1315" customFormat="1" x14ac:dyDescent="0.2">
      <c r="A427" s="1316" t="s">
        <v>2849</v>
      </c>
      <c r="B427" s="1317">
        <f>'Part 2'!$S$38</f>
        <v>0</v>
      </c>
      <c r="C427" s="1318" t="s">
        <v>3204</v>
      </c>
      <c r="D427" s="1319"/>
      <c r="E427" s="1319"/>
      <c r="F427" s="1315" t="s">
        <v>5027</v>
      </c>
      <c r="G427" s="1315" t="s">
        <v>3778</v>
      </c>
      <c r="H427" s="1315" t="s">
        <v>3191</v>
      </c>
      <c r="I427" s="1315">
        <v>17</v>
      </c>
    </row>
    <row r="428" spans="1:9" s="1315" customFormat="1" x14ac:dyDescent="0.2">
      <c r="A428" s="1316" t="s">
        <v>2850</v>
      </c>
      <c r="B428" s="1317">
        <f>'Part 2'!$V$38</f>
        <v>0</v>
      </c>
      <c r="C428" s="1318" t="s">
        <v>3204</v>
      </c>
      <c r="D428" s="1319"/>
      <c r="E428" s="1319"/>
      <c r="F428" s="1315" t="s">
        <v>5028</v>
      </c>
      <c r="G428" s="1315" t="s">
        <v>3779</v>
      </c>
      <c r="H428" s="1315" t="s">
        <v>3191</v>
      </c>
      <c r="I428" s="1315">
        <v>18</v>
      </c>
    </row>
    <row r="429" spans="1:9" s="1315" customFormat="1" x14ac:dyDescent="0.2">
      <c r="A429" s="1316" t="s">
        <v>2851</v>
      </c>
      <c r="B429" s="1317">
        <f>'Part 2'!$Y$38</f>
        <v>0</v>
      </c>
      <c r="C429" s="1318" t="s">
        <v>3204</v>
      </c>
      <c r="D429" s="1319"/>
      <c r="E429" s="1319"/>
      <c r="F429" s="1315" t="s">
        <v>5029</v>
      </c>
      <c r="G429" s="1315" t="s">
        <v>3780</v>
      </c>
      <c r="H429" s="1315" t="s">
        <v>3191</v>
      </c>
      <c r="I429" s="1315">
        <v>19</v>
      </c>
    </row>
    <row r="430" spans="1:9" s="1315" customFormat="1" x14ac:dyDescent="0.2">
      <c r="A430" s="1316" t="s">
        <v>2852</v>
      </c>
      <c r="B430" s="1317">
        <f>'Part 2'!$S$44</f>
        <v>0</v>
      </c>
      <c r="C430" s="1318" t="s">
        <v>3204</v>
      </c>
      <c r="D430" s="1319"/>
      <c r="E430" s="1319"/>
      <c r="F430" s="1315" t="s">
        <v>5030</v>
      </c>
      <c r="G430" s="1315" t="s">
        <v>3781</v>
      </c>
      <c r="H430" s="1315" t="s">
        <v>3191</v>
      </c>
      <c r="I430" s="1315">
        <v>20</v>
      </c>
    </row>
    <row r="431" spans="1:9" s="1315" customFormat="1" x14ac:dyDescent="0.2">
      <c r="A431" s="1316" t="s">
        <v>2853</v>
      </c>
      <c r="B431" s="1317">
        <f>'Part 2'!$V$44</f>
        <v>0</v>
      </c>
      <c r="C431" s="1318" t="s">
        <v>3204</v>
      </c>
      <c r="D431" s="1319"/>
      <c r="E431" s="1319"/>
      <c r="F431" s="1315" t="s">
        <v>5031</v>
      </c>
      <c r="G431" s="1315" t="s">
        <v>3782</v>
      </c>
      <c r="H431" s="1315" t="s">
        <v>3191</v>
      </c>
      <c r="I431" s="1315">
        <v>21</v>
      </c>
    </row>
    <row r="432" spans="1:9" s="1315" customFormat="1" x14ac:dyDescent="0.2">
      <c r="A432" s="1316" t="s">
        <v>2854</v>
      </c>
      <c r="B432" s="1317">
        <f>'Part 2'!$Y$44</f>
        <v>0</v>
      </c>
      <c r="C432" s="1318" t="s">
        <v>3204</v>
      </c>
      <c r="D432" s="1319"/>
      <c r="E432" s="1319"/>
      <c r="F432" s="1315" t="s">
        <v>5032</v>
      </c>
      <c r="G432" s="1315" t="s">
        <v>3783</v>
      </c>
      <c r="H432" s="1315" t="s">
        <v>3191</v>
      </c>
      <c r="I432" s="1315">
        <v>22</v>
      </c>
    </row>
    <row r="433" spans="1:11" s="1315" customFormat="1" x14ac:dyDescent="0.2">
      <c r="A433" s="1316" t="s">
        <v>2855</v>
      </c>
      <c r="B433" s="1317">
        <f>'Part 2'!$S$46</f>
        <v>0</v>
      </c>
      <c r="C433" s="1318" t="s">
        <v>3204</v>
      </c>
      <c r="D433" s="1319"/>
      <c r="E433" s="1319"/>
      <c r="F433" s="1315" t="s">
        <v>5033</v>
      </c>
      <c r="G433" s="1315" t="s">
        <v>3784</v>
      </c>
      <c r="H433" s="1315" t="s">
        <v>3191</v>
      </c>
      <c r="I433" s="1315">
        <v>23</v>
      </c>
    </row>
    <row r="434" spans="1:11" s="1315" customFormat="1" x14ac:dyDescent="0.2">
      <c r="A434" s="1316" t="s">
        <v>2856</v>
      </c>
      <c r="B434" s="1317">
        <f>'Part 2'!$V$46</f>
        <v>0</v>
      </c>
      <c r="C434" s="1318" t="s">
        <v>3204</v>
      </c>
      <c r="D434" s="1319"/>
      <c r="E434" s="1319"/>
      <c r="F434" s="1315" t="s">
        <v>5034</v>
      </c>
      <c r="G434" s="1315" t="s">
        <v>3785</v>
      </c>
      <c r="H434" s="1315" t="s">
        <v>3191</v>
      </c>
      <c r="I434" s="1315">
        <v>24</v>
      </c>
    </row>
    <row r="435" spans="1:11" s="1315" customFormat="1" x14ac:dyDescent="0.2">
      <c r="A435" s="1316" t="s">
        <v>2857</v>
      </c>
      <c r="B435" s="1317">
        <f>'Part 2'!$Y$46</f>
        <v>0</v>
      </c>
      <c r="C435" s="1318" t="s">
        <v>3204</v>
      </c>
      <c r="D435" s="1319"/>
      <c r="E435" s="1319"/>
      <c r="F435" s="1315" t="s">
        <v>5035</v>
      </c>
      <c r="G435" s="1315" t="s">
        <v>3786</v>
      </c>
      <c r="H435" s="1315" t="s">
        <v>3191</v>
      </c>
      <c r="I435" s="1315">
        <v>25</v>
      </c>
    </row>
    <row r="436" spans="1:11" s="1315" customFormat="1" x14ac:dyDescent="0.2">
      <c r="A436" s="1316" t="s">
        <v>2858</v>
      </c>
      <c r="B436" s="1317">
        <f>'Part 2'!$S$50</f>
        <v>0</v>
      </c>
      <c r="C436" s="1318" t="s">
        <v>3204</v>
      </c>
      <c r="D436" s="1319"/>
      <c r="E436" s="1319"/>
      <c r="F436" s="1315" t="s">
        <v>5036</v>
      </c>
      <c r="G436" s="1315" t="s">
        <v>3787</v>
      </c>
      <c r="H436" s="1315" t="s">
        <v>3191</v>
      </c>
      <c r="I436" s="1315">
        <v>26</v>
      </c>
    </row>
    <row r="437" spans="1:11" s="1315" customFormat="1" x14ac:dyDescent="0.2">
      <c r="A437" s="1316" t="s">
        <v>2859</v>
      </c>
      <c r="B437" s="1317">
        <f>'Part 2'!$V$50</f>
        <v>0</v>
      </c>
      <c r="C437" s="1318" t="s">
        <v>3204</v>
      </c>
      <c r="D437" s="1319"/>
      <c r="E437" s="1319"/>
      <c r="F437" s="1315" t="s">
        <v>5037</v>
      </c>
      <c r="G437" s="1315" t="s">
        <v>3788</v>
      </c>
      <c r="H437" s="1315" t="s">
        <v>3191</v>
      </c>
      <c r="I437" s="1315">
        <v>27</v>
      </c>
    </row>
    <row r="438" spans="1:11" s="1315" customFormat="1" x14ac:dyDescent="0.2">
      <c r="A438" s="1316" t="s">
        <v>2860</v>
      </c>
      <c r="B438" s="1317">
        <f>'Part 2'!$Y$50</f>
        <v>0</v>
      </c>
      <c r="C438" s="1318" t="s">
        <v>3204</v>
      </c>
      <c r="D438" s="1319"/>
      <c r="E438" s="1319"/>
      <c r="F438" s="1315" t="s">
        <v>5038</v>
      </c>
      <c r="G438" s="1315" t="s">
        <v>3789</v>
      </c>
      <c r="H438" s="1315" t="s">
        <v>3191</v>
      </c>
      <c r="I438" s="1315">
        <v>28</v>
      </c>
    </row>
    <row r="439" spans="1:11" s="1315" customFormat="1" x14ac:dyDescent="0.2">
      <c r="A439" s="1316" t="s">
        <v>2861</v>
      </c>
      <c r="B439" s="1317">
        <f>'Part 2'!$S$53</f>
        <v>0</v>
      </c>
      <c r="C439" s="1318" t="s">
        <v>3204</v>
      </c>
      <c r="D439" s="1319"/>
      <c r="E439" s="1319"/>
      <c r="F439" s="1315" t="s">
        <v>5039</v>
      </c>
      <c r="G439" s="1315" t="s">
        <v>3790</v>
      </c>
      <c r="H439" s="1315" t="s">
        <v>3191</v>
      </c>
      <c r="I439" s="1315">
        <v>29</v>
      </c>
    </row>
    <row r="440" spans="1:11" s="1315" customFormat="1" x14ac:dyDescent="0.2">
      <c r="A440" s="1316" t="s">
        <v>2862</v>
      </c>
      <c r="B440" s="1317">
        <f>'Part 2'!$V$53</f>
        <v>0</v>
      </c>
      <c r="C440" s="1318" t="s">
        <v>3204</v>
      </c>
      <c r="D440" s="1319"/>
      <c r="E440" s="1319"/>
      <c r="F440" s="1315" t="s">
        <v>5040</v>
      </c>
      <c r="G440" s="1315" t="s">
        <v>3791</v>
      </c>
      <c r="H440" s="1315" t="s">
        <v>3191</v>
      </c>
      <c r="I440" s="1315">
        <v>30</v>
      </c>
    </row>
    <row r="441" spans="1:11" s="1315" customFormat="1" x14ac:dyDescent="0.2">
      <c r="A441" s="1316" t="s">
        <v>2863</v>
      </c>
      <c r="B441" s="1317">
        <f>'Part 2'!$Y$53</f>
        <v>0</v>
      </c>
      <c r="C441" s="1318" t="s">
        <v>3204</v>
      </c>
      <c r="D441" s="1319"/>
      <c r="E441" s="1319"/>
      <c r="F441" s="1315" t="s">
        <v>5041</v>
      </c>
      <c r="G441" s="1315" t="s">
        <v>3792</v>
      </c>
      <c r="H441" s="1315" t="s">
        <v>3191</v>
      </c>
      <c r="I441" s="1315">
        <v>31</v>
      </c>
    </row>
    <row r="442" spans="1:11" s="1315" customFormat="1" x14ac:dyDescent="0.2">
      <c r="A442" s="1316" t="s">
        <v>2864</v>
      </c>
      <c r="B442" s="1317">
        <f>'Part 2'!$S$56</f>
        <v>0</v>
      </c>
      <c r="C442" s="1318" t="s">
        <v>3204</v>
      </c>
      <c r="D442" s="1319"/>
      <c r="E442" s="1319"/>
      <c r="F442" s="1315" t="s">
        <v>5042</v>
      </c>
      <c r="G442" s="1315" t="s">
        <v>3793</v>
      </c>
      <c r="H442" s="1315" t="s">
        <v>3191</v>
      </c>
      <c r="I442" s="1315">
        <v>32</v>
      </c>
    </row>
    <row r="443" spans="1:11" s="1316" customFormat="1" x14ac:dyDescent="0.2">
      <c r="A443" s="1316" t="s">
        <v>2865</v>
      </c>
      <c r="B443" s="1317">
        <f>'Part 2'!$V$56</f>
        <v>0</v>
      </c>
      <c r="C443" s="1318" t="s">
        <v>3204</v>
      </c>
      <c r="D443" s="1319"/>
      <c r="E443" s="1319"/>
      <c r="F443" s="1315" t="s">
        <v>5043</v>
      </c>
      <c r="G443" s="1315" t="s">
        <v>3794</v>
      </c>
      <c r="H443" s="1315" t="s">
        <v>3191</v>
      </c>
      <c r="I443" s="1315">
        <v>33</v>
      </c>
      <c r="J443" s="1315"/>
      <c r="K443" s="1315"/>
    </row>
    <row r="444" spans="1:11" s="1316" customFormat="1" x14ac:dyDescent="0.2">
      <c r="A444" s="1316" t="s">
        <v>2866</v>
      </c>
      <c r="B444" s="1317">
        <f>'Part 2'!$Y$56</f>
        <v>0</v>
      </c>
      <c r="C444" s="1318" t="s">
        <v>3204</v>
      </c>
      <c r="D444" s="1319"/>
      <c r="E444" s="1319"/>
      <c r="F444" s="1315" t="s">
        <v>5044</v>
      </c>
      <c r="G444" s="1315" t="s">
        <v>3795</v>
      </c>
      <c r="H444" s="1315" t="s">
        <v>3191</v>
      </c>
      <c r="I444" s="1315">
        <v>34</v>
      </c>
      <c r="J444" s="1315"/>
      <c r="K444" s="1315"/>
    </row>
    <row r="445" spans="1:11" s="1316" customFormat="1" x14ac:dyDescent="0.2">
      <c r="A445" s="1316" t="s">
        <v>2867</v>
      </c>
      <c r="B445" s="1317">
        <f>'Part 2'!$S$59</f>
        <v>0</v>
      </c>
      <c r="C445" s="1318" t="s">
        <v>3204</v>
      </c>
      <c r="D445" s="1319"/>
      <c r="E445" s="1319"/>
      <c r="F445" s="1315" t="s">
        <v>5045</v>
      </c>
      <c r="G445" s="1315" t="s">
        <v>3796</v>
      </c>
      <c r="H445" s="1315" t="s">
        <v>3191</v>
      </c>
      <c r="I445" s="1315">
        <v>35</v>
      </c>
      <c r="J445" s="1315"/>
      <c r="K445" s="1315"/>
    </row>
    <row r="446" spans="1:11" s="1315" customFormat="1" x14ac:dyDescent="0.2">
      <c r="A446" s="1316" t="s">
        <v>2868</v>
      </c>
      <c r="B446" s="1317">
        <f>'Part 2'!$V$59</f>
        <v>0</v>
      </c>
      <c r="C446" s="1318" t="s">
        <v>3204</v>
      </c>
      <c r="D446" s="1319"/>
      <c r="E446" s="1319"/>
      <c r="F446" s="1315" t="s">
        <v>5046</v>
      </c>
      <c r="G446" s="1315" t="s">
        <v>3797</v>
      </c>
      <c r="H446" s="1315" t="s">
        <v>3191</v>
      </c>
      <c r="I446" s="1315">
        <v>36</v>
      </c>
    </row>
    <row r="447" spans="1:11" s="1315" customFormat="1" x14ac:dyDescent="0.2">
      <c r="A447" s="1316" t="s">
        <v>2869</v>
      </c>
      <c r="B447" s="1317">
        <f>'Part 2'!$Y$59</f>
        <v>0</v>
      </c>
      <c r="C447" s="1318" t="s">
        <v>3204</v>
      </c>
      <c r="D447" s="1319"/>
      <c r="E447" s="1319"/>
      <c r="F447" s="1315" t="s">
        <v>5047</v>
      </c>
      <c r="G447" s="1315" t="s">
        <v>3798</v>
      </c>
      <c r="H447" s="1315" t="s">
        <v>3191</v>
      </c>
      <c r="I447" s="1315">
        <v>37</v>
      </c>
    </row>
    <row r="448" spans="1:11" s="1315" customFormat="1" x14ac:dyDescent="0.2">
      <c r="A448" s="1316" t="s">
        <v>2927</v>
      </c>
      <c r="B448" s="1317">
        <f>'Part 2'!$S$62</f>
        <v>0</v>
      </c>
      <c r="C448" s="1318" t="s">
        <v>3204</v>
      </c>
      <c r="D448" s="1319"/>
      <c r="E448" s="1319"/>
      <c r="F448" s="1315" t="s">
        <v>5048</v>
      </c>
      <c r="G448" s="1315" t="s">
        <v>3799</v>
      </c>
      <c r="H448" s="1315" t="s">
        <v>3191</v>
      </c>
      <c r="I448" s="1315">
        <v>38</v>
      </c>
    </row>
    <row r="449" spans="1:11" s="1315" customFormat="1" x14ac:dyDescent="0.2">
      <c r="A449" s="1316" t="s">
        <v>2928</v>
      </c>
      <c r="B449" s="1317">
        <f>'Part 2'!$V$62</f>
        <v>0</v>
      </c>
      <c r="C449" s="1318" t="s">
        <v>3204</v>
      </c>
      <c r="D449" s="1319"/>
      <c r="E449" s="1319"/>
      <c r="F449" s="1315" t="s">
        <v>5049</v>
      </c>
      <c r="G449" s="1315" t="s">
        <v>3800</v>
      </c>
      <c r="H449" s="1315" t="s">
        <v>3191</v>
      </c>
      <c r="I449" s="1315">
        <v>39</v>
      </c>
    </row>
    <row r="450" spans="1:11" s="1315" customFormat="1" x14ac:dyDescent="0.2">
      <c r="A450" s="1316" t="s">
        <v>2929</v>
      </c>
      <c r="B450" s="1317">
        <f>'Part 2'!$Y$62</f>
        <v>0</v>
      </c>
      <c r="C450" s="1318" t="s">
        <v>3204</v>
      </c>
      <c r="D450" s="1319"/>
      <c r="E450" s="1319"/>
      <c r="F450" s="1315" t="s">
        <v>5050</v>
      </c>
      <c r="G450" s="1315" t="s">
        <v>3801</v>
      </c>
      <c r="H450" s="1315" t="s">
        <v>3191</v>
      </c>
      <c r="I450" s="1315">
        <v>40</v>
      </c>
    </row>
    <row r="451" spans="1:11" s="1380" customFormat="1" ht="15" x14ac:dyDescent="0.2">
      <c r="A451" s="1326" t="s">
        <v>5773</v>
      </c>
      <c r="B451" s="1317">
        <f>'Part 2'!$S$65</f>
        <v>0</v>
      </c>
      <c r="C451" s="1318" t="s">
        <v>3204</v>
      </c>
      <c r="D451" s="1319"/>
      <c r="E451" s="1319"/>
      <c r="F451" s="1315" t="s">
        <v>5051</v>
      </c>
      <c r="G451" s="1315" t="s">
        <v>3867</v>
      </c>
      <c r="H451" s="1315" t="s">
        <v>3191</v>
      </c>
      <c r="I451" s="1315">
        <v>110</v>
      </c>
      <c r="J451" s="1315"/>
      <c r="K451" s="1315"/>
    </row>
    <row r="452" spans="1:11" s="1380" customFormat="1" ht="15" x14ac:dyDescent="0.2">
      <c r="A452" s="1326" t="s">
        <v>5774</v>
      </c>
      <c r="B452" s="1317">
        <f>'Part 2'!$V$65</f>
        <v>0</v>
      </c>
      <c r="C452" s="1318" t="s">
        <v>3204</v>
      </c>
      <c r="D452" s="1319"/>
      <c r="E452" s="1319"/>
      <c r="F452" s="1315" t="s">
        <v>5052</v>
      </c>
      <c r="G452" s="1315" t="s">
        <v>3868</v>
      </c>
      <c r="H452" s="1315" t="s">
        <v>3191</v>
      </c>
      <c r="I452" s="1315">
        <v>111</v>
      </c>
      <c r="J452" s="1315"/>
      <c r="K452" s="1315"/>
    </row>
    <row r="453" spans="1:11" s="1380" customFormat="1" ht="15" x14ac:dyDescent="0.2">
      <c r="A453" s="1326" t="s">
        <v>5775</v>
      </c>
      <c r="B453" s="1317">
        <f>'Part 2'!$Y$65</f>
        <v>0</v>
      </c>
      <c r="C453" s="1318" t="s">
        <v>3204</v>
      </c>
      <c r="D453" s="1319"/>
      <c r="E453" s="1319"/>
      <c r="F453" s="1315" t="s">
        <v>5776</v>
      </c>
      <c r="G453" s="1315" t="s">
        <v>3869</v>
      </c>
      <c r="H453" s="1315" t="s">
        <v>3191</v>
      </c>
      <c r="I453" s="1315">
        <v>112</v>
      </c>
      <c r="J453" s="1315"/>
      <c r="K453" s="1315"/>
    </row>
    <row r="454" spans="1:11" s="1365" customFormat="1" ht="15" x14ac:dyDescent="0.2">
      <c r="A454" s="1325" t="s">
        <v>2940</v>
      </c>
      <c r="B454" s="1317">
        <v>0</v>
      </c>
      <c r="C454" s="1318" t="s">
        <v>3204</v>
      </c>
      <c r="D454" s="1319"/>
      <c r="E454" s="1319"/>
      <c r="F454" s="1315" t="s">
        <v>4973</v>
      </c>
      <c r="G454" s="1315" t="s">
        <v>3802</v>
      </c>
      <c r="H454" s="1315" t="s">
        <v>3191</v>
      </c>
      <c r="I454" s="1315">
        <v>41</v>
      </c>
      <c r="J454" s="1315"/>
      <c r="K454" s="1315"/>
    </row>
    <row r="455" spans="1:11" s="1365" customFormat="1" ht="15" x14ac:dyDescent="0.2">
      <c r="A455" s="1325" t="s">
        <v>2941</v>
      </c>
      <c r="B455" s="1317">
        <v>0</v>
      </c>
      <c r="C455" s="1318" t="s">
        <v>3204</v>
      </c>
      <c r="D455" s="1319"/>
      <c r="E455" s="1319"/>
      <c r="F455" s="1315" t="s">
        <v>4973</v>
      </c>
      <c r="G455" s="1315" t="s">
        <v>3803</v>
      </c>
      <c r="H455" s="1315" t="s">
        <v>3191</v>
      </c>
      <c r="I455" s="1315">
        <v>42</v>
      </c>
      <c r="J455" s="1315"/>
      <c r="K455" s="1315"/>
    </row>
    <row r="456" spans="1:11" s="1365" customFormat="1" ht="15" x14ac:dyDescent="0.2">
      <c r="A456" s="1325" t="s">
        <v>2942</v>
      </c>
      <c r="B456" s="1317">
        <v>0</v>
      </c>
      <c r="C456" s="1318" t="s">
        <v>3204</v>
      </c>
      <c r="D456" s="1319"/>
      <c r="E456" s="1319"/>
      <c r="F456" s="1315" t="s">
        <v>4973</v>
      </c>
      <c r="G456" s="1315" t="s">
        <v>3804</v>
      </c>
      <c r="H456" s="1315" t="s">
        <v>3191</v>
      </c>
      <c r="I456" s="1315">
        <v>43</v>
      </c>
      <c r="J456" s="1315"/>
      <c r="K456" s="1315"/>
    </row>
    <row r="457" spans="1:11" s="1315" customFormat="1" x14ac:dyDescent="0.2">
      <c r="A457" s="1316" t="s">
        <v>2870</v>
      </c>
      <c r="B457" s="1317">
        <f>'Part 2'!$S$69</f>
        <v>0</v>
      </c>
      <c r="C457" s="1318" t="s">
        <v>3204</v>
      </c>
      <c r="D457" s="1319"/>
      <c r="E457" s="1319"/>
      <c r="F457" s="1315" t="s">
        <v>5053</v>
      </c>
      <c r="G457" s="1315" t="s">
        <v>3805</v>
      </c>
      <c r="H457" s="1315" t="s">
        <v>3191</v>
      </c>
      <c r="I457" s="1315">
        <v>44</v>
      </c>
    </row>
    <row r="458" spans="1:11" s="1315" customFormat="1" x14ac:dyDescent="0.2">
      <c r="A458" s="1316" t="s">
        <v>2871</v>
      </c>
      <c r="B458" s="1317">
        <f>'Part 2'!$V$69</f>
        <v>0</v>
      </c>
      <c r="C458" s="1318" t="s">
        <v>3204</v>
      </c>
      <c r="D458" s="1319"/>
      <c r="E458" s="1319"/>
      <c r="F458" s="1315" t="s">
        <v>5054</v>
      </c>
      <c r="G458" s="1315" t="s">
        <v>3806</v>
      </c>
      <c r="H458" s="1315" t="s">
        <v>3191</v>
      </c>
      <c r="I458" s="1315">
        <v>45</v>
      </c>
    </row>
    <row r="459" spans="1:11" s="1315" customFormat="1" x14ac:dyDescent="0.2">
      <c r="A459" s="1316" t="s">
        <v>2872</v>
      </c>
      <c r="B459" s="1317">
        <f>'Part 2'!$S$72</f>
        <v>0</v>
      </c>
      <c r="C459" s="1318" t="s">
        <v>3204</v>
      </c>
      <c r="D459" s="1319"/>
      <c r="E459" s="1319"/>
      <c r="F459" s="1315" t="s">
        <v>5055</v>
      </c>
      <c r="G459" s="1315" t="s">
        <v>3807</v>
      </c>
      <c r="H459" s="1315" t="s">
        <v>3191</v>
      </c>
      <c r="I459" s="1315">
        <v>46</v>
      </c>
    </row>
    <row r="460" spans="1:11" s="1315" customFormat="1" x14ac:dyDescent="0.2">
      <c r="A460" s="1316" t="s">
        <v>2873</v>
      </c>
      <c r="B460" s="1317">
        <f>'Part 2'!$V$72</f>
        <v>0</v>
      </c>
      <c r="C460" s="1318" t="s">
        <v>3204</v>
      </c>
      <c r="D460" s="1319"/>
      <c r="E460" s="1319"/>
      <c r="F460" s="1315" t="s">
        <v>5056</v>
      </c>
      <c r="G460" s="1315" t="s">
        <v>3808</v>
      </c>
      <c r="H460" s="1315" t="s">
        <v>3191</v>
      </c>
      <c r="I460" s="1315">
        <v>47</v>
      </c>
    </row>
    <row r="461" spans="1:11" s="1315" customFormat="1" x14ac:dyDescent="0.2">
      <c r="A461" s="1316" t="s">
        <v>2874</v>
      </c>
      <c r="B461" s="1317">
        <f>'Part 2'!$S$75</f>
        <v>0</v>
      </c>
      <c r="C461" s="1318" t="s">
        <v>3204</v>
      </c>
      <c r="D461" s="1319"/>
      <c r="E461" s="1319"/>
      <c r="F461" s="1315" t="s">
        <v>5057</v>
      </c>
      <c r="G461" s="1315" t="s">
        <v>3809</v>
      </c>
      <c r="H461" s="1315" t="s">
        <v>3191</v>
      </c>
      <c r="I461" s="1315">
        <v>48</v>
      </c>
    </row>
    <row r="462" spans="1:11" s="1315" customFormat="1" x14ac:dyDescent="0.2">
      <c r="A462" s="1316" t="s">
        <v>2875</v>
      </c>
      <c r="B462" s="1317">
        <f>'Part 2'!$V$75</f>
        <v>0</v>
      </c>
      <c r="C462" s="1318" t="s">
        <v>3204</v>
      </c>
      <c r="D462" s="1319"/>
      <c r="E462" s="1319"/>
      <c r="F462" s="1315" t="s">
        <v>5058</v>
      </c>
      <c r="G462" s="1315" t="s">
        <v>3810</v>
      </c>
      <c r="H462" s="1315" t="s">
        <v>3191</v>
      </c>
      <c r="I462" s="1315">
        <v>49</v>
      </c>
    </row>
    <row r="463" spans="1:11" s="1315" customFormat="1" x14ac:dyDescent="0.2">
      <c r="A463" s="1316" t="s">
        <v>2876</v>
      </c>
      <c r="B463" s="1317">
        <f>'Part 2'!$Y$75</f>
        <v>0</v>
      </c>
      <c r="C463" s="1318" t="s">
        <v>3204</v>
      </c>
      <c r="D463" s="1319"/>
      <c r="E463" s="1319"/>
      <c r="F463" s="1315" t="s">
        <v>5059</v>
      </c>
      <c r="G463" s="1315" t="s">
        <v>3811</v>
      </c>
      <c r="H463" s="1315" t="s">
        <v>3191</v>
      </c>
      <c r="I463" s="1315">
        <v>50</v>
      </c>
    </row>
    <row r="464" spans="1:11" s="1315" customFormat="1" x14ac:dyDescent="0.2">
      <c r="A464" s="1316" t="s">
        <v>2877</v>
      </c>
      <c r="B464" s="1317">
        <f>'Part 2'!$S$83</f>
        <v>0</v>
      </c>
      <c r="C464" s="1318" t="s">
        <v>3204</v>
      </c>
      <c r="D464" s="1319"/>
      <c r="E464" s="1319"/>
      <c r="F464" s="1315" t="s">
        <v>5060</v>
      </c>
      <c r="G464" s="1315" t="s">
        <v>3812</v>
      </c>
      <c r="H464" s="1315" t="s">
        <v>3191</v>
      </c>
      <c r="I464" s="1315">
        <v>51</v>
      </c>
    </row>
    <row r="465" spans="1:9" s="1315" customFormat="1" x14ac:dyDescent="0.2">
      <c r="A465" s="1316" t="s">
        <v>2878</v>
      </c>
      <c r="B465" s="1317">
        <f>'Part 2'!$V$83</f>
        <v>0</v>
      </c>
      <c r="C465" s="1318" t="s">
        <v>3204</v>
      </c>
      <c r="D465" s="1319"/>
      <c r="E465" s="1319"/>
      <c r="F465" s="1315" t="s">
        <v>5061</v>
      </c>
      <c r="G465" s="1315" t="s">
        <v>3813</v>
      </c>
      <c r="H465" s="1315" t="s">
        <v>3191</v>
      </c>
      <c r="I465" s="1315">
        <v>52</v>
      </c>
    </row>
    <row r="466" spans="1:9" s="1315" customFormat="1" x14ac:dyDescent="0.2">
      <c r="A466" s="1316" t="s">
        <v>2879</v>
      </c>
      <c r="B466" s="1317">
        <f>'Part 2'!$Y$83</f>
        <v>0</v>
      </c>
      <c r="C466" s="1318" t="s">
        <v>3204</v>
      </c>
      <c r="D466" s="1319"/>
      <c r="E466" s="1319"/>
      <c r="F466" s="1315" t="s">
        <v>5062</v>
      </c>
      <c r="G466" s="1315" t="s">
        <v>3814</v>
      </c>
      <c r="H466" s="1315" t="s">
        <v>3191</v>
      </c>
      <c r="I466" s="1315">
        <v>53</v>
      </c>
    </row>
    <row r="467" spans="1:9" s="1315" customFormat="1" x14ac:dyDescent="0.2">
      <c r="A467" s="1316" t="s">
        <v>2880</v>
      </c>
      <c r="B467" s="1317">
        <f>'Part 2'!$S$86</f>
        <v>0</v>
      </c>
      <c r="C467" s="1318" t="s">
        <v>3204</v>
      </c>
      <c r="D467" s="1319"/>
      <c r="E467" s="1319"/>
      <c r="F467" s="1315" t="s">
        <v>5063</v>
      </c>
      <c r="G467" s="1315" t="s">
        <v>3815</v>
      </c>
      <c r="H467" s="1315" t="s">
        <v>3191</v>
      </c>
      <c r="I467" s="1315">
        <v>54</v>
      </c>
    </row>
    <row r="468" spans="1:9" s="1315" customFormat="1" x14ac:dyDescent="0.2">
      <c r="A468" s="1316" t="s">
        <v>2881</v>
      </c>
      <c r="B468" s="1317">
        <f>'Part 2'!$V$86</f>
        <v>0</v>
      </c>
      <c r="C468" s="1318" t="s">
        <v>3204</v>
      </c>
      <c r="D468" s="1319"/>
      <c r="E468" s="1319"/>
      <c r="F468" s="1315" t="s">
        <v>5064</v>
      </c>
      <c r="G468" s="1315" t="s">
        <v>3816</v>
      </c>
      <c r="H468" s="1315" t="s">
        <v>3191</v>
      </c>
      <c r="I468" s="1315">
        <v>55</v>
      </c>
    </row>
    <row r="469" spans="1:9" s="1315" customFormat="1" x14ac:dyDescent="0.2">
      <c r="A469" s="1316" t="s">
        <v>2882</v>
      </c>
      <c r="B469" s="1317">
        <f>'Part 2'!$Y$86</f>
        <v>0</v>
      </c>
      <c r="C469" s="1318" t="s">
        <v>3204</v>
      </c>
      <c r="D469" s="1319"/>
      <c r="E469" s="1319"/>
      <c r="F469" s="1315" t="s">
        <v>5789</v>
      </c>
      <c r="G469" s="1315" t="s">
        <v>3817</v>
      </c>
      <c r="H469" s="1315" t="s">
        <v>3191</v>
      </c>
      <c r="I469" s="1315">
        <v>56</v>
      </c>
    </row>
    <row r="470" spans="1:9" s="1315" customFormat="1" x14ac:dyDescent="0.2">
      <c r="A470" s="1316" t="s">
        <v>2883</v>
      </c>
      <c r="B470" s="1317">
        <f>'Part 2'!$S$89</f>
        <v>0</v>
      </c>
      <c r="C470" s="1318" t="s">
        <v>3204</v>
      </c>
      <c r="D470" s="1319"/>
      <c r="E470" s="1319"/>
      <c r="F470" s="1315" t="s">
        <v>5065</v>
      </c>
      <c r="G470" s="1315" t="s">
        <v>3818</v>
      </c>
      <c r="H470" s="1315" t="s">
        <v>3191</v>
      </c>
      <c r="I470" s="1315">
        <v>57</v>
      </c>
    </row>
    <row r="471" spans="1:9" s="1315" customFormat="1" x14ac:dyDescent="0.2">
      <c r="A471" s="1316" t="s">
        <v>2884</v>
      </c>
      <c r="B471" s="1317">
        <f>'Part 2'!$V$89</f>
        <v>0</v>
      </c>
      <c r="C471" s="1318" t="s">
        <v>3204</v>
      </c>
      <c r="D471" s="1319"/>
      <c r="E471" s="1319"/>
      <c r="F471" s="1315" t="s">
        <v>5066</v>
      </c>
      <c r="G471" s="1315" t="s">
        <v>3819</v>
      </c>
      <c r="H471" s="1315" t="s">
        <v>3191</v>
      </c>
      <c r="I471" s="1315">
        <v>58</v>
      </c>
    </row>
    <row r="472" spans="1:9" s="1315" customFormat="1" x14ac:dyDescent="0.2">
      <c r="A472" s="1316" t="s">
        <v>2885</v>
      </c>
      <c r="B472" s="1317">
        <f>'Part 2'!$S$92</f>
        <v>0</v>
      </c>
      <c r="C472" s="1318" t="s">
        <v>3204</v>
      </c>
      <c r="D472" s="1319"/>
      <c r="E472" s="1319"/>
      <c r="F472" s="1315" t="s">
        <v>5067</v>
      </c>
      <c r="G472" s="1315" t="s">
        <v>3820</v>
      </c>
      <c r="H472" s="1315" t="s">
        <v>3191</v>
      </c>
      <c r="I472" s="1315">
        <v>59</v>
      </c>
    </row>
    <row r="473" spans="1:9" s="1315" customFormat="1" x14ac:dyDescent="0.2">
      <c r="A473" s="1316" t="s">
        <v>2886</v>
      </c>
      <c r="B473" s="1317">
        <f>'Part 2'!$V$92</f>
        <v>0</v>
      </c>
      <c r="C473" s="1318" t="s">
        <v>3204</v>
      </c>
      <c r="D473" s="1319"/>
      <c r="E473" s="1319"/>
      <c r="F473" s="1315" t="s">
        <v>5068</v>
      </c>
      <c r="G473" s="1315" t="s">
        <v>3821</v>
      </c>
      <c r="H473" s="1315" t="s">
        <v>3191</v>
      </c>
      <c r="I473" s="1315">
        <v>60</v>
      </c>
    </row>
    <row r="474" spans="1:9" s="1315" customFormat="1" x14ac:dyDescent="0.2">
      <c r="A474" s="1324" t="s">
        <v>2887</v>
      </c>
      <c r="B474" s="1317">
        <f>'Part 2'!$S$96</f>
        <v>0</v>
      </c>
      <c r="C474" s="1318" t="s">
        <v>3204</v>
      </c>
      <c r="D474" s="1319"/>
      <c r="E474" s="1319"/>
      <c r="F474" s="1315" t="s">
        <v>5069</v>
      </c>
      <c r="G474" s="1315" t="s">
        <v>3822</v>
      </c>
      <c r="H474" s="1315" t="s">
        <v>3191</v>
      </c>
      <c r="I474" s="1315">
        <v>61</v>
      </c>
    </row>
    <row r="475" spans="1:9" s="1315" customFormat="1" x14ac:dyDescent="0.2">
      <c r="A475" s="1324" t="s">
        <v>2888</v>
      </c>
      <c r="B475" s="1317">
        <f>'Part 2'!$V$96</f>
        <v>0</v>
      </c>
      <c r="C475" s="1318" t="s">
        <v>3204</v>
      </c>
      <c r="D475" s="1319"/>
      <c r="E475" s="1319"/>
      <c r="F475" s="1315" t="s">
        <v>5070</v>
      </c>
      <c r="G475" s="1315" t="s">
        <v>3823</v>
      </c>
      <c r="H475" s="1315" t="s">
        <v>3191</v>
      </c>
      <c r="I475" s="1315">
        <v>62</v>
      </c>
    </row>
    <row r="476" spans="1:9" s="1315" customFormat="1" x14ac:dyDescent="0.2">
      <c r="A476" s="1324" t="s">
        <v>2889</v>
      </c>
      <c r="B476" s="1317">
        <f>'Part 2'!$Y$96</f>
        <v>0</v>
      </c>
      <c r="C476" s="1318" t="s">
        <v>3204</v>
      </c>
      <c r="D476" s="1319"/>
      <c r="E476" s="1319"/>
      <c r="F476" s="1315" t="s">
        <v>5071</v>
      </c>
      <c r="G476" s="1315" t="s">
        <v>3824</v>
      </c>
      <c r="H476" s="1315" t="s">
        <v>3191</v>
      </c>
      <c r="I476" s="1315">
        <v>63</v>
      </c>
    </row>
    <row r="477" spans="1:9" s="1315" customFormat="1" x14ac:dyDescent="0.2">
      <c r="A477" s="1316" t="s">
        <v>2890</v>
      </c>
      <c r="B477" s="1317">
        <f>'Part 2'!$S$102</f>
        <v>0</v>
      </c>
      <c r="C477" s="1318" t="s">
        <v>3204</v>
      </c>
      <c r="D477" s="1319"/>
      <c r="E477" s="1319"/>
      <c r="F477" s="1315" t="s">
        <v>5072</v>
      </c>
      <c r="G477" s="1315" t="s">
        <v>3825</v>
      </c>
      <c r="H477" s="1315" t="s">
        <v>3191</v>
      </c>
      <c r="I477" s="1315">
        <v>64</v>
      </c>
    </row>
    <row r="478" spans="1:9" s="1315" customFormat="1" x14ac:dyDescent="0.2">
      <c r="A478" s="1316" t="s">
        <v>2891</v>
      </c>
      <c r="B478" s="1317">
        <f>'Part 2'!$V$102</f>
        <v>0</v>
      </c>
      <c r="C478" s="1318" t="s">
        <v>3204</v>
      </c>
      <c r="D478" s="1319"/>
      <c r="E478" s="1319"/>
      <c r="F478" s="1315" t="s">
        <v>5073</v>
      </c>
      <c r="G478" s="1315" t="s">
        <v>3826</v>
      </c>
      <c r="H478" s="1315" t="s">
        <v>3191</v>
      </c>
      <c r="I478" s="1315">
        <v>65</v>
      </c>
    </row>
    <row r="479" spans="1:9" s="1315" customFormat="1" x14ac:dyDescent="0.2">
      <c r="A479" s="1316" t="s">
        <v>2892</v>
      </c>
      <c r="B479" s="1317">
        <f>'Part 2'!$Y$102</f>
        <v>0</v>
      </c>
      <c r="C479" s="1318" t="s">
        <v>3204</v>
      </c>
      <c r="D479" s="1319"/>
      <c r="E479" s="1319"/>
      <c r="F479" s="1315" t="s">
        <v>5074</v>
      </c>
      <c r="G479" s="1315" t="s">
        <v>3827</v>
      </c>
      <c r="H479" s="1315" t="s">
        <v>3191</v>
      </c>
      <c r="I479" s="1315">
        <v>66</v>
      </c>
    </row>
    <row r="480" spans="1:9" s="1315" customFormat="1" x14ac:dyDescent="0.2">
      <c r="A480" s="1316" t="s">
        <v>2893</v>
      </c>
      <c r="B480" s="1317">
        <f>'Part 2'!$S$105</f>
        <v>0</v>
      </c>
      <c r="C480" s="1318" t="s">
        <v>3204</v>
      </c>
      <c r="D480" s="1319"/>
      <c r="E480" s="1319"/>
      <c r="F480" s="1315" t="s">
        <v>5075</v>
      </c>
      <c r="G480" s="1315" t="s">
        <v>3828</v>
      </c>
      <c r="H480" s="1315" t="s">
        <v>3191</v>
      </c>
      <c r="I480" s="1315">
        <v>67</v>
      </c>
    </row>
    <row r="481" spans="1:11" s="1315" customFormat="1" x14ac:dyDescent="0.2">
      <c r="A481" s="1316" t="s">
        <v>2894</v>
      </c>
      <c r="B481" s="1317">
        <f>'Part 2'!$V$105</f>
        <v>0</v>
      </c>
      <c r="C481" s="1318" t="s">
        <v>3204</v>
      </c>
      <c r="D481" s="1319"/>
      <c r="E481" s="1319"/>
      <c r="F481" s="1315" t="s">
        <v>5076</v>
      </c>
      <c r="G481" s="1315" t="s">
        <v>3829</v>
      </c>
      <c r="H481" s="1315" t="s">
        <v>3191</v>
      </c>
      <c r="I481" s="1315">
        <v>68</v>
      </c>
    </row>
    <row r="482" spans="1:11" s="1315" customFormat="1" x14ac:dyDescent="0.2">
      <c r="A482" s="1316" t="s">
        <v>2895</v>
      </c>
      <c r="B482" s="1317">
        <f>'Part 2'!$Y$105</f>
        <v>0</v>
      </c>
      <c r="C482" s="1318" t="s">
        <v>3204</v>
      </c>
      <c r="D482" s="1319"/>
      <c r="E482" s="1319"/>
      <c r="F482" s="1315" t="s">
        <v>5077</v>
      </c>
      <c r="G482" s="1315" t="s">
        <v>3830</v>
      </c>
      <c r="H482" s="1315" t="s">
        <v>3191</v>
      </c>
      <c r="I482" s="1315">
        <v>69</v>
      </c>
    </row>
    <row r="483" spans="1:11" s="1315" customFormat="1" x14ac:dyDescent="0.2">
      <c r="A483" s="1316" t="s">
        <v>2896</v>
      </c>
      <c r="B483" s="1317">
        <f>'Part 2'!$S$108</f>
        <v>0</v>
      </c>
      <c r="C483" s="1318" t="s">
        <v>3204</v>
      </c>
      <c r="D483" s="1319"/>
      <c r="E483" s="1319"/>
      <c r="F483" s="1315" t="s">
        <v>5078</v>
      </c>
      <c r="G483" s="1315" t="s">
        <v>3831</v>
      </c>
      <c r="H483" s="1315" t="s">
        <v>3191</v>
      </c>
      <c r="I483" s="1315">
        <v>70</v>
      </c>
    </row>
    <row r="484" spans="1:11" s="1315" customFormat="1" x14ac:dyDescent="0.2">
      <c r="A484" s="1316" t="s">
        <v>2897</v>
      </c>
      <c r="B484" s="1317">
        <f>'Part 2'!$V$108</f>
        <v>0</v>
      </c>
      <c r="C484" s="1318" t="s">
        <v>3204</v>
      </c>
      <c r="D484" s="1319"/>
      <c r="E484" s="1319"/>
      <c r="F484" s="1315" t="s">
        <v>5079</v>
      </c>
      <c r="G484" s="1315" t="s">
        <v>3832</v>
      </c>
      <c r="H484" s="1315" t="s">
        <v>3191</v>
      </c>
      <c r="I484" s="1315">
        <v>71</v>
      </c>
    </row>
    <row r="485" spans="1:11" s="1315" customFormat="1" x14ac:dyDescent="0.2">
      <c r="A485" s="1316" t="s">
        <v>2898</v>
      </c>
      <c r="B485" s="1317">
        <f>'Part 2'!$Y$108</f>
        <v>0</v>
      </c>
      <c r="C485" s="1318" t="s">
        <v>3204</v>
      </c>
      <c r="D485" s="1319"/>
      <c r="E485" s="1319"/>
      <c r="F485" s="1315" t="s">
        <v>5080</v>
      </c>
      <c r="G485" s="1315" t="s">
        <v>3833</v>
      </c>
      <c r="H485" s="1315" t="s">
        <v>3191</v>
      </c>
      <c r="I485" s="1315">
        <v>72</v>
      </c>
    </row>
    <row r="486" spans="1:11" s="1365" customFormat="1" ht="15" x14ac:dyDescent="0.2">
      <c r="A486" s="1325" t="s">
        <v>2899</v>
      </c>
      <c r="B486" s="1317">
        <v>0</v>
      </c>
      <c r="C486" s="1318" t="s">
        <v>3204</v>
      </c>
      <c r="D486" s="1319"/>
      <c r="E486" s="1319"/>
      <c r="F486" s="1315" t="s">
        <v>4973</v>
      </c>
      <c r="G486" s="1315" t="s">
        <v>3834</v>
      </c>
      <c r="H486" s="1315" t="s">
        <v>3191</v>
      </c>
      <c r="I486" s="1315">
        <v>73</v>
      </c>
      <c r="J486" s="1315"/>
      <c r="K486" s="1315"/>
    </row>
    <row r="487" spans="1:11" s="1365" customFormat="1" ht="15" x14ac:dyDescent="0.2">
      <c r="A487" s="1325" t="s">
        <v>2900</v>
      </c>
      <c r="B487" s="1317">
        <v>0</v>
      </c>
      <c r="C487" s="1318" t="s">
        <v>3204</v>
      </c>
      <c r="D487" s="1319"/>
      <c r="E487" s="1319"/>
      <c r="F487" s="1315" t="s">
        <v>4973</v>
      </c>
      <c r="G487" s="1315" t="s">
        <v>3835</v>
      </c>
      <c r="H487" s="1315" t="s">
        <v>3191</v>
      </c>
      <c r="I487" s="1315">
        <v>74</v>
      </c>
      <c r="J487" s="1315"/>
      <c r="K487" s="1315"/>
    </row>
    <row r="488" spans="1:11" s="1365" customFormat="1" ht="15" x14ac:dyDescent="0.2">
      <c r="A488" s="1325" t="s">
        <v>2901</v>
      </c>
      <c r="B488" s="1317">
        <v>0</v>
      </c>
      <c r="C488" s="1318" t="s">
        <v>3204</v>
      </c>
      <c r="D488" s="1319"/>
      <c r="E488" s="1319"/>
      <c r="F488" s="1315" t="s">
        <v>4973</v>
      </c>
      <c r="G488" s="1315" t="s">
        <v>3836</v>
      </c>
      <c r="H488" s="1315" t="s">
        <v>3191</v>
      </c>
      <c r="I488" s="1315">
        <v>75</v>
      </c>
      <c r="J488" s="1315"/>
      <c r="K488" s="1315"/>
    </row>
    <row r="489" spans="1:11" s="1315" customFormat="1" x14ac:dyDescent="0.2">
      <c r="A489" s="1316" t="s">
        <v>2902</v>
      </c>
      <c r="B489" s="1317">
        <f>'Part 2'!$S$111</f>
        <v>0</v>
      </c>
      <c r="C489" s="1318" t="s">
        <v>3204</v>
      </c>
      <c r="D489" s="1319"/>
      <c r="E489" s="1319"/>
      <c r="F489" s="1315" t="s">
        <v>5081</v>
      </c>
      <c r="G489" s="1315" t="s">
        <v>3837</v>
      </c>
      <c r="H489" s="1315" t="s">
        <v>3191</v>
      </c>
      <c r="I489" s="1315">
        <v>76</v>
      </c>
    </row>
    <row r="490" spans="1:11" s="1315" customFormat="1" x14ac:dyDescent="0.2">
      <c r="A490" s="1316" t="s">
        <v>2903</v>
      </c>
      <c r="B490" s="1317">
        <f>'Part 2'!$V$111</f>
        <v>0</v>
      </c>
      <c r="C490" s="1318" t="s">
        <v>3204</v>
      </c>
      <c r="D490" s="1319"/>
      <c r="E490" s="1319"/>
      <c r="F490" s="1315" t="s">
        <v>5082</v>
      </c>
      <c r="G490" s="1315" t="s">
        <v>3838</v>
      </c>
      <c r="H490" s="1315" t="s">
        <v>3191</v>
      </c>
      <c r="I490" s="1315">
        <v>77</v>
      </c>
    </row>
    <row r="491" spans="1:11" s="1315" customFormat="1" x14ac:dyDescent="0.2">
      <c r="A491" s="1316" t="s">
        <v>2904</v>
      </c>
      <c r="B491" s="1317">
        <f>'Part 2'!$Y$111</f>
        <v>0</v>
      </c>
      <c r="C491" s="1318" t="s">
        <v>3204</v>
      </c>
      <c r="D491" s="1319"/>
      <c r="E491" s="1319"/>
      <c r="F491" s="1315" t="s">
        <v>5083</v>
      </c>
      <c r="G491" s="1315" t="s">
        <v>3839</v>
      </c>
      <c r="H491" s="1315" t="s">
        <v>3191</v>
      </c>
      <c r="I491" s="1315">
        <v>78</v>
      </c>
    </row>
    <row r="492" spans="1:11" s="1315" customFormat="1" x14ac:dyDescent="0.2">
      <c r="A492" s="1324" t="s">
        <v>2905</v>
      </c>
      <c r="B492" s="1317">
        <f>'Part 2'!$S$114</f>
        <v>0</v>
      </c>
      <c r="C492" s="1318" t="s">
        <v>3204</v>
      </c>
      <c r="D492" s="1319"/>
      <c r="E492" s="1319"/>
      <c r="F492" s="1315" t="s">
        <v>5790</v>
      </c>
      <c r="G492" s="1315" t="s">
        <v>3840</v>
      </c>
      <c r="H492" s="1315" t="s">
        <v>3191</v>
      </c>
      <c r="I492" s="1315">
        <v>79</v>
      </c>
    </row>
    <row r="493" spans="1:11" s="1315" customFormat="1" x14ac:dyDescent="0.2">
      <c r="A493" s="1324" t="s">
        <v>2906</v>
      </c>
      <c r="B493" s="1317">
        <f>'Part 2'!$V$114</f>
        <v>0</v>
      </c>
      <c r="C493" s="1318" t="s">
        <v>3204</v>
      </c>
      <c r="D493" s="1319"/>
      <c r="E493" s="1319"/>
      <c r="F493" s="1315" t="s">
        <v>5084</v>
      </c>
      <c r="G493" s="1315" t="s">
        <v>3841</v>
      </c>
      <c r="H493" s="1315" t="s">
        <v>3191</v>
      </c>
      <c r="I493" s="1315">
        <v>80</v>
      </c>
    </row>
    <row r="494" spans="1:11" s="1315" customFormat="1" x14ac:dyDescent="0.2">
      <c r="A494" s="1324" t="s">
        <v>2907</v>
      </c>
      <c r="B494" s="1317">
        <f>'Part 2'!$Y$114</f>
        <v>0</v>
      </c>
      <c r="C494" s="1318" t="s">
        <v>3204</v>
      </c>
      <c r="D494" s="1319"/>
      <c r="E494" s="1319"/>
      <c r="F494" s="1315" t="s">
        <v>5791</v>
      </c>
      <c r="G494" s="1315" t="s">
        <v>3842</v>
      </c>
      <c r="H494" s="1315" t="s">
        <v>3191</v>
      </c>
      <c r="I494" s="1315">
        <v>81</v>
      </c>
    </row>
    <row r="495" spans="1:11" s="1315" customFormat="1" x14ac:dyDescent="0.2">
      <c r="A495" s="1316" t="s">
        <v>2908</v>
      </c>
      <c r="B495" s="1317">
        <f>'Part 2'!$V$117</f>
        <v>0</v>
      </c>
      <c r="C495" s="1318" t="s">
        <v>3204</v>
      </c>
      <c r="D495" s="1319"/>
      <c r="E495" s="1319"/>
      <c r="F495" s="1315" t="s">
        <v>5792</v>
      </c>
      <c r="G495" s="1315" t="s">
        <v>3843</v>
      </c>
      <c r="H495" s="1315" t="s">
        <v>3191</v>
      </c>
      <c r="I495" s="1315">
        <v>82</v>
      </c>
    </row>
    <row r="496" spans="1:11" s="1315" customFormat="1" x14ac:dyDescent="0.2">
      <c r="A496" s="1316" t="s">
        <v>2909</v>
      </c>
      <c r="B496" s="1317">
        <f>'Part 2'!$S$119</f>
        <v>0</v>
      </c>
      <c r="C496" s="1318" t="s">
        <v>3204</v>
      </c>
      <c r="D496" s="1319"/>
      <c r="E496" s="1319"/>
      <c r="F496" s="1315" t="s">
        <v>5793</v>
      </c>
      <c r="G496" s="1315" t="s">
        <v>3844</v>
      </c>
      <c r="H496" s="1315" t="s">
        <v>3191</v>
      </c>
      <c r="I496" s="1315">
        <v>83</v>
      </c>
    </row>
    <row r="497" spans="1:9" s="1315" customFormat="1" x14ac:dyDescent="0.2">
      <c r="A497" s="1316" t="s">
        <v>2910</v>
      </c>
      <c r="B497" s="1317">
        <f>'Part 2'!$V$121</f>
        <v>0</v>
      </c>
      <c r="C497" s="1318" t="s">
        <v>3204</v>
      </c>
      <c r="D497" s="1319"/>
      <c r="E497" s="1319"/>
      <c r="F497" s="1315" t="s">
        <v>5085</v>
      </c>
      <c r="G497" s="1315" t="s">
        <v>3845</v>
      </c>
      <c r="H497" s="1315" t="s">
        <v>3191</v>
      </c>
      <c r="I497" s="1315">
        <v>84</v>
      </c>
    </row>
    <row r="498" spans="1:9" s="1315" customFormat="1" x14ac:dyDescent="0.2">
      <c r="A498" s="1316" t="s">
        <v>3051</v>
      </c>
      <c r="B498" s="1317">
        <f>'Part 2'!$S$123</f>
        <v>0</v>
      </c>
      <c r="C498" s="1318" t="s">
        <v>3204</v>
      </c>
      <c r="D498" s="1319"/>
      <c r="E498" s="1319"/>
      <c r="F498" s="1315" t="s">
        <v>3846</v>
      </c>
      <c r="G498" s="1315" t="s">
        <v>3847</v>
      </c>
      <c r="H498" s="1315" t="s">
        <v>3191</v>
      </c>
      <c r="I498" s="1315">
        <v>85</v>
      </c>
    </row>
    <row r="499" spans="1:9" s="1315" customFormat="1" x14ac:dyDescent="0.2">
      <c r="A499" s="1316" t="s">
        <v>3052</v>
      </c>
      <c r="B499" s="1317">
        <f>'Part 2'!$V$123</f>
        <v>0</v>
      </c>
      <c r="C499" s="1318" t="s">
        <v>3204</v>
      </c>
      <c r="D499" s="1319"/>
      <c r="E499" s="1319"/>
      <c r="F499" s="1315" t="s">
        <v>3848</v>
      </c>
      <c r="G499" s="1315" t="s">
        <v>3849</v>
      </c>
      <c r="H499" s="1315" t="s">
        <v>3191</v>
      </c>
      <c r="I499" s="1315">
        <v>86</v>
      </c>
    </row>
    <row r="500" spans="1:9" s="1315" customFormat="1" x14ac:dyDescent="0.2">
      <c r="A500" s="1316" t="s">
        <v>3053</v>
      </c>
      <c r="B500" s="1317">
        <f>'Part 2'!$Y$123</f>
        <v>0</v>
      </c>
      <c r="C500" s="1318" t="s">
        <v>3204</v>
      </c>
      <c r="D500" s="1319"/>
      <c r="E500" s="1319"/>
      <c r="F500" s="1315" t="s">
        <v>5794</v>
      </c>
      <c r="G500" s="1315" t="s">
        <v>3850</v>
      </c>
      <c r="H500" s="1315" t="s">
        <v>3191</v>
      </c>
      <c r="I500" s="1315">
        <v>87</v>
      </c>
    </row>
    <row r="501" spans="1:9" s="1315" customFormat="1" x14ac:dyDescent="0.2">
      <c r="A501" s="1316" t="s">
        <v>2911</v>
      </c>
      <c r="B501" s="1317">
        <f>'Part 2'!$S$127</f>
        <v>0</v>
      </c>
      <c r="C501" s="1318" t="s">
        <v>3204</v>
      </c>
      <c r="D501" s="1319"/>
      <c r="E501" s="1319"/>
      <c r="F501" s="1315" t="s">
        <v>5086</v>
      </c>
      <c r="G501" s="1315" t="s">
        <v>3851</v>
      </c>
      <c r="H501" s="1315" t="s">
        <v>3191</v>
      </c>
      <c r="I501" s="1315">
        <v>88</v>
      </c>
    </row>
    <row r="502" spans="1:9" s="1315" customFormat="1" x14ac:dyDescent="0.2">
      <c r="A502" s="1316" t="s">
        <v>2912</v>
      </c>
      <c r="B502" s="1317">
        <f>'Part 2'!$V$127</f>
        <v>0</v>
      </c>
      <c r="C502" s="1318" t="s">
        <v>3204</v>
      </c>
      <c r="D502" s="1319"/>
      <c r="E502" s="1319"/>
      <c r="F502" s="1315" t="s">
        <v>5087</v>
      </c>
      <c r="G502" s="1315" t="s">
        <v>3852</v>
      </c>
      <c r="H502" s="1315" t="s">
        <v>3191</v>
      </c>
      <c r="I502" s="1315">
        <v>89</v>
      </c>
    </row>
    <row r="503" spans="1:9" s="1315" customFormat="1" x14ac:dyDescent="0.2">
      <c r="A503" s="1316" t="s">
        <v>2913</v>
      </c>
      <c r="B503" s="1317">
        <f>'Part 2'!$S$130</f>
        <v>0</v>
      </c>
      <c r="C503" s="1318" t="s">
        <v>3204</v>
      </c>
      <c r="D503" s="1319"/>
      <c r="E503" s="1319"/>
      <c r="F503" s="1315" t="s">
        <v>5089</v>
      </c>
      <c r="G503" s="1315" t="s">
        <v>3853</v>
      </c>
      <c r="H503" s="1315" t="s">
        <v>3191</v>
      </c>
      <c r="I503" s="1315">
        <v>90</v>
      </c>
    </row>
    <row r="504" spans="1:9" s="1315" customFormat="1" x14ac:dyDescent="0.2">
      <c r="A504" s="1316" t="s">
        <v>2914</v>
      </c>
      <c r="B504" s="1317">
        <f>'Part 2'!$V$130</f>
        <v>0</v>
      </c>
      <c r="C504" s="1318" t="s">
        <v>3204</v>
      </c>
      <c r="D504" s="1319"/>
      <c r="E504" s="1319"/>
      <c r="F504" s="1315" t="s">
        <v>5088</v>
      </c>
      <c r="G504" s="1315" t="s">
        <v>3854</v>
      </c>
      <c r="H504" s="1315" t="s">
        <v>3191</v>
      </c>
      <c r="I504" s="1315">
        <v>91</v>
      </c>
    </row>
    <row r="505" spans="1:9" s="1315" customFormat="1" x14ac:dyDescent="0.2">
      <c r="A505" s="1316" t="s">
        <v>2915</v>
      </c>
      <c r="B505" s="1317">
        <f>'Part 2'!$S$134</f>
        <v>0</v>
      </c>
      <c r="C505" s="1318" t="s">
        <v>3204</v>
      </c>
      <c r="D505" s="1319"/>
      <c r="E505" s="1319"/>
      <c r="F505" s="1315" t="s">
        <v>5091</v>
      </c>
      <c r="G505" s="1315" t="s">
        <v>3855</v>
      </c>
      <c r="H505" s="1315" t="s">
        <v>3191</v>
      </c>
      <c r="I505" s="1315">
        <v>92</v>
      </c>
    </row>
    <row r="506" spans="1:9" s="1315" customFormat="1" x14ac:dyDescent="0.2">
      <c r="A506" s="1316" t="s">
        <v>2916</v>
      </c>
      <c r="B506" s="1317">
        <f>'Part 2'!$V$134</f>
        <v>0</v>
      </c>
      <c r="C506" s="1318" t="s">
        <v>3204</v>
      </c>
      <c r="D506" s="1319"/>
      <c r="E506" s="1319"/>
      <c r="F506" s="1315" t="s">
        <v>5090</v>
      </c>
      <c r="G506" s="1315" t="s">
        <v>3856</v>
      </c>
      <c r="H506" s="1315" t="s">
        <v>3191</v>
      </c>
      <c r="I506" s="1315">
        <v>93</v>
      </c>
    </row>
    <row r="507" spans="1:9" s="1315" customFormat="1" x14ac:dyDescent="0.2">
      <c r="A507" s="1316" t="s">
        <v>2917</v>
      </c>
      <c r="B507" s="1317">
        <f>'Part 2'!$Y$134</f>
        <v>0</v>
      </c>
      <c r="C507" s="1318" t="s">
        <v>3204</v>
      </c>
      <c r="D507" s="1319"/>
      <c r="E507" s="1319"/>
      <c r="F507" s="1315" t="s">
        <v>5092</v>
      </c>
      <c r="G507" s="1315" t="s">
        <v>3857</v>
      </c>
      <c r="H507" s="1315" t="s">
        <v>3191</v>
      </c>
      <c r="I507" s="1315">
        <v>94</v>
      </c>
    </row>
    <row r="508" spans="1:9" s="1315" customFormat="1" x14ac:dyDescent="0.2">
      <c r="A508" s="1316" t="s">
        <v>2918</v>
      </c>
      <c r="B508" s="1317">
        <f>'Part 2'!$S$141</f>
        <v>0</v>
      </c>
      <c r="C508" s="1318" t="s">
        <v>3204</v>
      </c>
      <c r="D508" s="1319"/>
      <c r="E508" s="1319"/>
      <c r="F508" s="1315" t="s">
        <v>5093</v>
      </c>
      <c r="G508" s="1315" t="s">
        <v>3858</v>
      </c>
      <c r="H508" s="1315" t="s">
        <v>3191</v>
      </c>
      <c r="I508" s="1315">
        <v>98</v>
      </c>
    </row>
    <row r="509" spans="1:9" s="1315" customFormat="1" x14ac:dyDescent="0.2">
      <c r="A509" s="1316" t="s">
        <v>2919</v>
      </c>
      <c r="B509" s="1317">
        <f>'Part 2'!$V$141</f>
        <v>0</v>
      </c>
      <c r="C509" s="1318" t="s">
        <v>3204</v>
      </c>
      <c r="D509" s="1319"/>
      <c r="E509" s="1319"/>
      <c r="F509" s="1315" t="s">
        <v>5094</v>
      </c>
      <c r="G509" s="1315" t="s">
        <v>3859</v>
      </c>
      <c r="H509" s="1315" t="s">
        <v>3191</v>
      </c>
      <c r="I509" s="1315">
        <v>99</v>
      </c>
    </row>
    <row r="510" spans="1:9" s="1315" customFormat="1" x14ac:dyDescent="0.2">
      <c r="A510" s="1316" t="s">
        <v>2920</v>
      </c>
      <c r="B510" s="1317">
        <f>'Part 2'!$Y$141</f>
        <v>0</v>
      </c>
      <c r="C510" s="1318" t="s">
        <v>3204</v>
      </c>
      <c r="D510" s="1319"/>
      <c r="E510" s="1319"/>
      <c r="F510" s="1315" t="s">
        <v>5095</v>
      </c>
      <c r="G510" s="1315" t="s">
        <v>3860</v>
      </c>
      <c r="H510" s="1315" t="s">
        <v>3191</v>
      </c>
      <c r="I510" s="1315">
        <v>100</v>
      </c>
    </row>
    <row r="511" spans="1:9" s="1315" customFormat="1" ht="15" x14ac:dyDescent="0.2">
      <c r="A511" s="1325" t="s">
        <v>2921</v>
      </c>
      <c r="B511" s="1626">
        <v>0</v>
      </c>
      <c r="C511" s="1318" t="s">
        <v>3204</v>
      </c>
      <c r="D511" s="1319"/>
      <c r="E511" s="1319"/>
      <c r="F511" s="1315" t="s">
        <v>4973</v>
      </c>
      <c r="G511" s="1315" t="s">
        <v>3861</v>
      </c>
      <c r="H511" s="1315" t="s">
        <v>3191</v>
      </c>
      <c r="I511" s="1315">
        <v>101</v>
      </c>
    </row>
    <row r="512" spans="1:9" s="1315" customFormat="1" ht="15" x14ac:dyDescent="0.2">
      <c r="A512" s="1325" t="s">
        <v>2922</v>
      </c>
      <c r="B512" s="1626">
        <v>0</v>
      </c>
      <c r="C512" s="1318" t="s">
        <v>3204</v>
      </c>
      <c r="D512" s="1319"/>
      <c r="E512" s="1319"/>
      <c r="F512" s="1315" t="s">
        <v>4973</v>
      </c>
      <c r="G512" s="1315" t="s">
        <v>3862</v>
      </c>
      <c r="H512" s="1315" t="s">
        <v>3191</v>
      </c>
      <c r="I512" s="1315">
        <v>102</v>
      </c>
    </row>
    <row r="513" spans="1:11" s="1315" customFormat="1" ht="15" x14ac:dyDescent="0.2">
      <c r="A513" s="1325" t="s">
        <v>2923</v>
      </c>
      <c r="B513" s="1626">
        <v>0</v>
      </c>
      <c r="C513" s="1318" t="s">
        <v>3204</v>
      </c>
      <c r="D513" s="1319"/>
      <c r="E513" s="1319"/>
      <c r="F513" s="1315" t="s">
        <v>4973</v>
      </c>
      <c r="G513" s="1315" t="s">
        <v>3863</v>
      </c>
      <c r="H513" s="1315" t="s">
        <v>3191</v>
      </c>
      <c r="I513" s="1315">
        <v>103</v>
      </c>
    </row>
    <row r="514" spans="1:11" s="1315" customFormat="1" x14ac:dyDescent="0.2">
      <c r="A514" s="1316" t="s">
        <v>2924</v>
      </c>
      <c r="B514" s="1317">
        <f>'Part 2'!$S$144</f>
        <v>0</v>
      </c>
      <c r="C514" s="1318" t="s">
        <v>3204</v>
      </c>
      <c r="D514" s="1319"/>
      <c r="E514" s="1319"/>
      <c r="F514" s="1315" t="s">
        <v>5096</v>
      </c>
      <c r="G514" s="1315" t="s">
        <v>3864</v>
      </c>
      <c r="H514" s="1315" t="s">
        <v>3191</v>
      </c>
      <c r="I514" s="1315">
        <v>104</v>
      </c>
    </row>
    <row r="515" spans="1:11" s="1315" customFormat="1" x14ac:dyDescent="0.2">
      <c r="A515" s="1316" t="s">
        <v>2925</v>
      </c>
      <c r="B515" s="1317">
        <f>'Part 2'!$V$144</f>
        <v>0</v>
      </c>
      <c r="C515" s="1318" t="s">
        <v>3204</v>
      </c>
      <c r="D515" s="1319"/>
      <c r="E515" s="1319"/>
      <c r="F515" s="1315" t="s">
        <v>5097</v>
      </c>
      <c r="G515" s="1315" t="s">
        <v>3865</v>
      </c>
      <c r="H515" s="1315" t="s">
        <v>3191</v>
      </c>
      <c r="I515" s="1315">
        <v>105</v>
      </c>
    </row>
    <row r="516" spans="1:11" s="1315" customFormat="1" x14ac:dyDescent="0.2">
      <c r="A516" s="1316" t="s">
        <v>2926</v>
      </c>
      <c r="B516" s="1317">
        <f>'Part 2'!$Y$144</f>
        <v>0</v>
      </c>
      <c r="C516" s="1318" t="s">
        <v>3204</v>
      </c>
      <c r="D516" s="1319"/>
      <c r="E516" s="1319"/>
      <c r="F516" s="1315" t="s">
        <v>5098</v>
      </c>
      <c r="G516" s="1315" t="s">
        <v>3866</v>
      </c>
      <c r="H516" s="1315" t="s">
        <v>3191</v>
      </c>
      <c r="I516" s="1315">
        <v>106</v>
      </c>
    </row>
    <row r="517" spans="1:11" s="1380" customFormat="1" ht="15" x14ac:dyDescent="0.2">
      <c r="A517" s="1624" t="s">
        <v>2930</v>
      </c>
      <c r="B517" s="1626">
        <v>0</v>
      </c>
      <c r="C517" s="1318" t="s">
        <v>3204</v>
      </c>
      <c r="D517" s="1319"/>
      <c r="E517" s="1319"/>
      <c r="F517" s="1315" t="s">
        <v>4973</v>
      </c>
      <c r="G517" s="1315" t="s">
        <v>5454</v>
      </c>
      <c r="H517" s="1315" t="s">
        <v>3191</v>
      </c>
      <c r="I517" s="1315">
        <v>107</v>
      </c>
      <c r="J517" s="1315"/>
      <c r="K517" s="1315"/>
    </row>
    <row r="518" spans="1:11" s="1380" customFormat="1" ht="15" x14ac:dyDescent="0.2">
      <c r="A518" s="1624" t="s">
        <v>2931</v>
      </c>
      <c r="B518" s="1626">
        <v>0</v>
      </c>
      <c r="C518" s="1318" t="s">
        <v>3204</v>
      </c>
      <c r="D518" s="1319"/>
      <c r="E518" s="1319"/>
      <c r="F518" s="1315" t="s">
        <v>4973</v>
      </c>
      <c r="G518" s="1315" t="s">
        <v>5455</v>
      </c>
      <c r="H518" s="1315" t="s">
        <v>3191</v>
      </c>
      <c r="I518" s="1315">
        <v>108</v>
      </c>
      <c r="J518" s="1315"/>
      <c r="K518" s="1315"/>
    </row>
    <row r="519" spans="1:11" s="1380" customFormat="1" ht="15" x14ac:dyDescent="0.2">
      <c r="A519" s="1624" t="s">
        <v>2932</v>
      </c>
      <c r="B519" s="1626">
        <v>0</v>
      </c>
      <c r="C519" s="1318" t="s">
        <v>3204</v>
      </c>
      <c r="D519" s="1319"/>
      <c r="E519" s="1319"/>
      <c r="F519" s="1315" t="s">
        <v>4973</v>
      </c>
      <c r="G519" s="1315" t="s">
        <v>5456</v>
      </c>
      <c r="H519" s="1315" t="s">
        <v>3191</v>
      </c>
      <c r="I519" s="1315">
        <v>109</v>
      </c>
      <c r="J519" s="1315"/>
      <c r="K519" s="1315"/>
    </row>
    <row r="520" spans="1:11" s="1380" customFormat="1" ht="15" x14ac:dyDescent="0.2">
      <c r="A520" s="1325" t="s">
        <v>3167</v>
      </c>
      <c r="B520" s="1317">
        <v>0</v>
      </c>
      <c r="C520" s="1318" t="s">
        <v>3204</v>
      </c>
      <c r="D520" s="1319"/>
      <c r="E520" s="1319"/>
      <c r="F520" s="1315" t="s">
        <v>4973</v>
      </c>
      <c r="G520" s="1315" t="s">
        <v>3867</v>
      </c>
      <c r="H520" s="1315" t="s">
        <v>3191</v>
      </c>
      <c r="I520" s="1315">
        <v>110</v>
      </c>
      <c r="J520" s="1315"/>
      <c r="K520" s="1315"/>
    </row>
    <row r="521" spans="1:11" s="1380" customFormat="1" ht="15" x14ac:dyDescent="0.2">
      <c r="A521" s="1325" t="s">
        <v>3168</v>
      </c>
      <c r="B521" s="1317">
        <v>0</v>
      </c>
      <c r="C521" s="1318" t="s">
        <v>3204</v>
      </c>
      <c r="D521" s="1319"/>
      <c r="E521" s="1319"/>
      <c r="F521" s="1315" t="s">
        <v>4973</v>
      </c>
      <c r="G521" s="1315" t="s">
        <v>3868</v>
      </c>
      <c r="H521" s="1315" t="s">
        <v>3191</v>
      </c>
      <c r="I521" s="1315">
        <v>111</v>
      </c>
      <c r="J521" s="1315"/>
      <c r="K521" s="1315"/>
    </row>
    <row r="522" spans="1:11" s="1380" customFormat="1" ht="15" x14ac:dyDescent="0.2">
      <c r="A522" s="1325" t="s">
        <v>3169</v>
      </c>
      <c r="B522" s="1317">
        <v>0</v>
      </c>
      <c r="C522" s="1318" t="s">
        <v>3204</v>
      </c>
      <c r="D522" s="1319"/>
      <c r="E522" s="1319"/>
      <c r="F522" s="1315" t="s">
        <v>4973</v>
      </c>
      <c r="G522" s="1315" t="s">
        <v>3869</v>
      </c>
      <c r="H522" s="1315" t="s">
        <v>3191</v>
      </c>
      <c r="I522" s="1315">
        <v>112</v>
      </c>
      <c r="J522" s="1315"/>
      <c r="K522" s="1315"/>
    </row>
    <row r="523" spans="1:11" s="1380" customFormat="1" ht="15" x14ac:dyDescent="0.2">
      <c r="A523" s="1326" t="s">
        <v>3170</v>
      </c>
      <c r="B523" s="1317">
        <f>'Part 2'!$S$147</f>
        <v>0</v>
      </c>
      <c r="C523" s="1318" t="s">
        <v>3204</v>
      </c>
      <c r="D523" s="1319"/>
      <c r="E523" s="1319"/>
      <c r="F523" s="1315" t="s">
        <v>5099</v>
      </c>
      <c r="G523" s="1315" t="s">
        <v>3870</v>
      </c>
      <c r="H523" s="1315" t="s">
        <v>3191</v>
      </c>
      <c r="I523" s="1315">
        <v>113</v>
      </c>
      <c r="J523" s="1315"/>
      <c r="K523" s="1315"/>
    </row>
    <row r="524" spans="1:11" s="1380" customFormat="1" ht="15" x14ac:dyDescent="0.2">
      <c r="A524" s="1326" t="s">
        <v>3171</v>
      </c>
      <c r="B524" s="1317">
        <f>'Part 2'!$V$147</f>
        <v>0</v>
      </c>
      <c r="C524" s="1318" t="s">
        <v>3204</v>
      </c>
      <c r="D524" s="1319"/>
      <c r="E524" s="1319"/>
      <c r="F524" s="1315" t="s">
        <v>5100</v>
      </c>
      <c r="G524" s="1315" t="s">
        <v>3871</v>
      </c>
      <c r="H524" s="1315" t="s">
        <v>3191</v>
      </c>
      <c r="I524" s="1315">
        <v>114</v>
      </c>
      <c r="J524" s="1315"/>
      <c r="K524" s="1315"/>
    </row>
    <row r="525" spans="1:11" s="1380" customFormat="1" ht="15" customHeight="1" x14ac:dyDescent="0.2">
      <c r="A525" s="1326" t="s">
        <v>3172</v>
      </c>
      <c r="B525" s="1317">
        <f>'Part 2'!$Y$147</f>
        <v>0</v>
      </c>
      <c r="C525" s="1318" t="s">
        <v>3204</v>
      </c>
      <c r="D525" s="1319"/>
      <c r="E525" s="1319"/>
      <c r="F525" s="1315" t="s">
        <v>5101</v>
      </c>
      <c r="G525" s="1315" t="s">
        <v>3872</v>
      </c>
      <c r="H525" s="1315" t="s">
        <v>3191</v>
      </c>
      <c r="I525" s="1315">
        <v>115</v>
      </c>
      <c r="J525" s="1315"/>
      <c r="K525" s="1315"/>
    </row>
    <row r="526" spans="1:11" s="1315" customFormat="1" x14ac:dyDescent="0.2">
      <c r="A526" s="1316" t="s">
        <v>2933</v>
      </c>
      <c r="B526" s="1317">
        <f>'Part 2'!$S$150</f>
        <v>0</v>
      </c>
      <c r="C526" s="1318" t="s">
        <v>3204</v>
      </c>
      <c r="D526" s="1319"/>
      <c r="E526" s="1319"/>
      <c r="F526" s="1315" t="s">
        <v>5102</v>
      </c>
      <c r="G526" s="1315" t="s">
        <v>3873</v>
      </c>
      <c r="H526" s="1315" t="s">
        <v>3191</v>
      </c>
      <c r="I526" s="1315">
        <v>116</v>
      </c>
      <c r="K526" s="1327"/>
    </row>
    <row r="527" spans="1:11" s="1315" customFormat="1" x14ac:dyDescent="0.2">
      <c r="A527" s="1316" t="s">
        <v>2934</v>
      </c>
      <c r="B527" s="1317">
        <f>'Part 2'!$V$150</f>
        <v>0</v>
      </c>
      <c r="C527" s="1318" t="s">
        <v>3204</v>
      </c>
      <c r="D527" s="1319"/>
      <c r="E527" s="1319"/>
      <c r="F527" s="1315" t="s">
        <v>5103</v>
      </c>
      <c r="G527" s="1315" t="s">
        <v>3874</v>
      </c>
      <c r="H527" s="1315" t="s">
        <v>3191</v>
      </c>
      <c r="I527" s="1315">
        <v>117</v>
      </c>
    </row>
    <row r="528" spans="1:11" s="1315" customFormat="1" x14ac:dyDescent="0.2">
      <c r="A528" s="1316" t="s">
        <v>2935</v>
      </c>
      <c r="B528" s="1317">
        <f>'Part 2'!$S$154</f>
        <v>0</v>
      </c>
      <c r="C528" s="1318" t="s">
        <v>3204</v>
      </c>
      <c r="D528" s="1319"/>
      <c r="E528" s="1319"/>
      <c r="F528" s="1315" t="s">
        <v>5104</v>
      </c>
      <c r="G528" s="1315" t="s">
        <v>3875</v>
      </c>
      <c r="H528" s="1315" t="s">
        <v>3191</v>
      </c>
      <c r="I528" s="1315">
        <v>118</v>
      </c>
    </row>
    <row r="529" spans="1:11" s="1315" customFormat="1" x14ac:dyDescent="0.2">
      <c r="A529" s="1316" t="s">
        <v>2936</v>
      </c>
      <c r="B529" s="1317">
        <f>'Part 2'!$V$154</f>
        <v>0</v>
      </c>
      <c r="C529" s="1318" t="s">
        <v>3204</v>
      </c>
      <c r="D529" s="1319"/>
      <c r="E529" s="1319"/>
      <c r="F529" s="1315" t="s">
        <v>5105</v>
      </c>
      <c r="G529" s="1315" t="s">
        <v>3876</v>
      </c>
      <c r="H529" s="1315" t="s">
        <v>3191</v>
      </c>
      <c r="I529" s="1315">
        <v>119</v>
      </c>
    </row>
    <row r="530" spans="1:11" s="1315" customFormat="1" x14ac:dyDescent="0.2">
      <c r="A530" s="1324" t="s">
        <v>2937</v>
      </c>
      <c r="B530" s="1317">
        <f>'Part 2'!$S$158</f>
        <v>0</v>
      </c>
      <c r="C530" s="1318" t="s">
        <v>3204</v>
      </c>
      <c r="D530" s="1319"/>
      <c r="E530" s="1319"/>
      <c r="F530" s="1315" t="s">
        <v>5106</v>
      </c>
      <c r="G530" s="1315" t="s">
        <v>3877</v>
      </c>
      <c r="H530" s="1315" t="s">
        <v>3191</v>
      </c>
      <c r="I530" s="1315">
        <v>120</v>
      </c>
    </row>
    <row r="531" spans="1:11" s="1315" customFormat="1" x14ac:dyDescent="0.2">
      <c r="A531" s="1324" t="s">
        <v>2938</v>
      </c>
      <c r="B531" s="1317">
        <f>'Part 2'!$V$158</f>
        <v>0</v>
      </c>
      <c r="C531" s="1318" t="s">
        <v>3204</v>
      </c>
      <c r="D531" s="1319"/>
      <c r="E531" s="1319"/>
      <c r="F531" s="1315" t="s">
        <v>5107</v>
      </c>
      <c r="G531" s="1315" t="s">
        <v>3878</v>
      </c>
      <c r="H531" s="1315" t="s">
        <v>3191</v>
      </c>
      <c r="I531" s="1315">
        <v>121</v>
      </c>
    </row>
    <row r="532" spans="1:11" s="1315" customFormat="1" x14ac:dyDescent="0.2">
      <c r="A532" s="1324" t="s">
        <v>2939</v>
      </c>
      <c r="B532" s="1317">
        <f>'Part 2'!$Y$158</f>
        <v>0</v>
      </c>
      <c r="C532" s="1318" t="s">
        <v>3204</v>
      </c>
      <c r="D532" s="1319"/>
      <c r="E532" s="1319"/>
      <c r="F532" s="1315" t="s">
        <v>5725</v>
      </c>
      <c r="G532" s="1315" t="s">
        <v>3879</v>
      </c>
      <c r="H532" s="1315" t="s">
        <v>3191</v>
      </c>
      <c r="I532" s="1315">
        <v>122</v>
      </c>
    </row>
    <row r="533" spans="1:11" s="1315" customFormat="1" x14ac:dyDescent="0.2">
      <c r="A533" s="1316" t="s">
        <v>2830</v>
      </c>
      <c r="B533" s="1317">
        <f>'Part 2'!$S$166</f>
        <v>0</v>
      </c>
      <c r="C533" s="1318" t="s">
        <v>3204</v>
      </c>
      <c r="D533" s="1319"/>
      <c r="E533" s="1319"/>
      <c r="F533" s="1315" t="s">
        <v>5108</v>
      </c>
      <c r="G533" s="1315" t="s">
        <v>3880</v>
      </c>
      <c r="H533" s="1315" t="s">
        <v>3191</v>
      </c>
      <c r="I533" s="1315">
        <v>123</v>
      </c>
    </row>
    <row r="534" spans="1:11" s="1315" customFormat="1" x14ac:dyDescent="0.2">
      <c r="A534" s="1316" t="s">
        <v>2831</v>
      </c>
      <c r="B534" s="1317">
        <f>'Part 2'!$V$166</f>
        <v>0</v>
      </c>
      <c r="C534" s="1318" t="s">
        <v>3204</v>
      </c>
      <c r="D534" s="1319"/>
      <c r="E534" s="1319"/>
      <c r="F534" s="1315" t="s">
        <v>5109</v>
      </c>
      <c r="G534" s="1315" t="s">
        <v>3881</v>
      </c>
      <c r="H534" s="1315" t="s">
        <v>3191</v>
      </c>
      <c r="I534" s="1315">
        <v>124</v>
      </c>
    </row>
    <row r="535" spans="1:11" s="1315" customFormat="1" x14ac:dyDescent="0.2">
      <c r="A535" s="1316" t="s">
        <v>2832</v>
      </c>
      <c r="B535" s="1317">
        <f>'Part 2'!$Y$166</f>
        <v>0</v>
      </c>
      <c r="C535" s="1318" t="s">
        <v>3204</v>
      </c>
      <c r="D535" s="1319"/>
      <c r="E535" s="1319"/>
      <c r="F535" s="1315" t="s">
        <v>5110</v>
      </c>
      <c r="G535" s="1315" t="s">
        <v>3882</v>
      </c>
      <c r="H535" s="1315" t="s">
        <v>3191</v>
      </c>
      <c r="I535" s="1315">
        <v>125</v>
      </c>
    </row>
    <row r="536" spans="1:11" s="1315" customFormat="1" x14ac:dyDescent="0.2">
      <c r="A536" s="1303" t="s">
        <v>1505</v>
      </c>
      <c r="B536" s="1299">
        <f>'Part 3'!$G$12</f>
        <v>0</v>
      </c>
      <c r="C536" s="1304" t="s">
        <v>3186</v>
      </c>
      <c r="D536" s="1301"/>
      <c r="E536" s="1301"/>
      <c r="F536" s="1302" t="s">
        <v>3883</v>
      </c>
      <c r="G536" s="1302" t="s">
        <v>3884</v>
      </c>
      <c r="H536" s="1302" t="s">
        <v>3190</v>
      </c>
      <c r="I536" s="1302">
        <v>1</v>
      </c>
      <c r="J536" s="1302"/>
      <c r="K536" s="1302"/>
    </row>
    <row r="537" spans="1:11" s="1315" customFormat="1" x14ac:dyDescent="0.2">
      <c r="A537" s="1303" t="s">
        <v>1506</v>
      </c>
      <c r="B537" s="1299">
        <f>'Part 3'!$J$12</f>
        <v>0</v>
      </c>
      <c r="C537" s="1304" t="s">
        <v>3204</v>
      </c>
      <c r="D537" s="1301"/>
      <c r="E537" s="1301"/>
      <c r="F537" s="1302" t="s">
        <v>3885</v>
      </c>
      <c r="G537" s="1302" t="s">
        <v>3886</v>
      </c>
      <c r="H537" s="1302" t="s">
        <v>3190</v>
      </c>
      <c r="I537" s="1302">
        <v>2</v>
      </c>
      <c r="J537" s="1302"/>
      <c r="K537" s="1302"/>
    </row>
    <row r="538" spans="1:11" s="1315" customFormat="1" x14ac:dyDescent="0.2">
      <c r="A538" s="1303" t="s">
        <v>1507</v>
      </c>
      <c r="B538" s="1299">
        <f>'Part 3'!$M$12</f>
        <v>0</v>
      </c>
      <c r="C538" s="1304" t="s">
        <v>3186</v>
      </c>
      <c r="D538" s="1301"/>
      <c r="E538" s="1301"/>
      <c r="F538" s="1302" t="s">
        <v>3887</v>
      </c>
      <c r="G538" s="1302" t="s">
        <v>3888</v>
      </c>
      <c r="H538" s="1302" t="s">
        <v>3190</v>
      </c>
      <c r="I538" s="1302">
        <v>3</v>
      </c>
      <c r="J538" s="1302"/>
      <c r="K538" s="1302"/>
    </row>
    <row r="539" spans="1:11" s="1315" customFormat="1" x14ac:dyDescent="0.2">
      <c r="A539" s="1303" t="s">
        <v>1508</v>
      </c>
      <c r="B539" s="1299">
        <f>'Part 3'!$G$17</f>
        <v>0</v>
      </c>
      <c r="C539" s="1304" t="s">
        <v>3204</v>
      </c>
      <c r="D539" s="1301"/>
      <c r="E539" s="1301"/>
      <c r="F539" s="1302" t="s">
        <v>3889</v>
      </c>
      <c r="G539" s="1302" t="s">
        <v>3890</v>
      </c>
      <c r="H539" s="1302" t="s">
        <v>3190</v>
      </c>
      <c r="I539" s="1302">
        <v>4</v>
      </c>
      <c r="J539" s="1302"/>
      <c r="K539" s="1302"/>
    </row>
    <row r="540" spans="1:11" s="1315" customFormat="1" x14ac:dyDescent="0.2">
      <c r="A540" s="1303" t="s">
        <v>1509</v>
      </c>
      <c r="B540" s="1299">
        <f>'Part 3'!$J$17</f>
        <v>0</v>
      </c>
      <c r="C540" s="1304" t="s">
        <v>3204</v>
      </c>
      <c r="D540" s="1301"/>
      <c r="E540" s="1301"/>
      <c r="F540" s="1302" t="s">
        <v>3891</v>
      </c>
      <c r="G540" s="1302" t="s">
        <v>3892</v>
      </c>
      <c r="H540" s="1302" t="s">
        <v>3190</v>
      </c>
      <c r="I540" s="1302">
        <v>5</v>
      </c>
      <c r="J540" s="1302"/>
      <c r="K540" s="1302"/>
    </row>
    <row r="541" spans="1:11" s="1315" customFormat="1" x14ac:dyDescent="0.2">
      <c r="A541" s="1303" t="s">
        <v>1510</v>
      </c>
      <c r="B541" s="1299">
        <f>'Part 3'!$M$17</f>
        <v>0</v>
      </c>
      <c r="C541" s="1304" t="s">
        <v>3204</v>
      </c>
      <c r="D541" s="1301"/>
      <c r="E541" s="1301"/>
      <c r="F541" s="1302" t="s">
        <v>3893</v>
      </c>
      <c r="G541" s="1302" t="s">
        <v>3894</v>
      </c>
      <c r="H541" s="1302" t="s">
        <v>3190</v>
      </c>
      <c r="I541" s="1302">
        <v>6</v>
      </c>
      <c r="J541" s="1302"/>
      <c r="K541" s="1302"/>
    </row>
    <row r="542" spans="1:11" s="1315" customFormat="1" x14ac:dyDescent="0.2">
      <c r="A542" s="1303" t="s">
        <v>1511</v>
      </c>
      <c r="B542" s="1299">
        <f>'Part 3'!$G$20</f>
        <v>0</v>
      </c>
      <c r="C542" s="1304" t="s">
        <v>3204</v>
      </c>
      <c r="D542" s="1301"/>
      <c r="E542" s="1301"/>
      <c r="F542" s="1302" t="s">
        <v>3895</v>
      </c>
      <c r="G542" s="1302" t="s">
        <v>3896</v>
      </c>
      <c r="H542" s="1302" t="s">
        <v>3190</v>
      </c>
      <c r="I542" s="1302">
        <v>7</v>
      </c>
      <c r="J542" s="1302"/>
      <c r="K542" s="1302"/>
    </row>
    <row r="543" spans="1:11" s="1315" customFormat="1" x14ac:dyDescent="0.2">
      <c r="A543" s="1303" t="s">
        <v>1512</v>
      </c>
      <c r="B543" s="1299">
        <f>'Part 3'!$J$20</f>
        <v>0</v>
      </c>
      <c r="C543" s="1304" t="s">
        <v>3204</v>
      </c>
      <c r="D543" s="1301"/>
      <c r="E543" s="1301"/>
      <c r="F543" s="1302" t="s">
        <v>3897</v>
      </c>
      <c r="G543" s="1302" t="s">
        <v>3898</v>
      </c>
      <c r="H543" s="1302" t="s">
        <v>3190</v>
      </c>
      <c r="I543" s="1302">
        <v>8</v>
      </c>
      <c r="J543" s="1302"/>
      <c r="K543" s="1302"/>
    </row>
    <row r="544" spans="1:11" s="1315" customFormat="1" x14ac:dyDescent="0.2">
      <c r="A544" s="1303" t="s">
        <v>1513</v>
      </c>
      <c r="B544" s="1299">
        <f>'Part 3'!$M$20</f>
        <v>0</v>
      </c>
      <c r="C544" s="1304" t="s">
        <v>3204</v>
      </c>
      <c r="D544" s="1301"/>
      <c r="E544" s="1301"/>
      <c r="F544" s="1302" t="s">
        <v>3899</v>
      </c>
      <c r="G544" s="1302" t="s">
        <v>3900</v>
      </c>
      <c r="H544" s="1302" t="s">
        <v>3190</v>
      </c>
      <c r="I544" s="1302">
        <v>9</v>
      </c>
      <c r="J544" s="1302"/>
      <c r="K544" s="1302"/>
    </row>
    <row r="545" spans="1:11" s="1315" customFormat="1" x14ac:dyDescent="0.2">
      <c r="A545" s="1303" t="s">
        <v>1514</v>
      </c>
      <c r="B545" s="1299">
        <f>'Part 3'!$G$25</f>
        <v>0</v>
      </c>
      <c r="C545" s="1304" t="s">
        <v>3186</v>
      </c>
      <c r="D545" s="1301"/>
      <c r="E545" s="1301"/>
      <c r="F545" s="1302" t="s">
        <v>3901</v>
      </c>
      <c r="G545" s="1302" t="s">
        <v>3902</v>
      </c>
      <c r="H545" s="1302" t="s">
        <v>3190</v>
      </c>
      <c r="I545" s="1302">
        <v>10</v>
      </c>
      <c r="J545" s="1302"/>
      <c r="K545" s="1302"/>
    </row>
    <row r="546" spans="1:11" s="1315" customFormat="1" x14ac:dyDescent="0.2">
      <c r="A546" s="1303" t="s">
        <v>1515</v>
      </c>
      <c r="B546" s="1299">
        <f>'Part 3'!$J$25</f>
        <v>0</v>
      </c>
      <c r="C546" s="1304" t="s">
        <v>3204</v>
      </c>
      <c r="D546" s="1301"/>
      <c r="E546" s="1301"/>
      <c r="F546" s="1302" t="s">
        <v>3903</v>
      </c>
      <c r="G546" s="1302" t="s">
        <v>3904</v>
      </c>
      <c r="H546" s="1302" t="s">
        <v>3190</v>
      </c>
      <c r="I546" s="1302">
        <v>11</v>
      </c>
      <c r="J546" s="1302"/>
      <c r="K546" s="1302"/>
    </row>
    <row r="547" spans="1:11" s="1315" customFormat="1" x14ac:dyDescent="0.2">
      <c r="A547" s="1303" t="s">
        <v>1516</v>
      </c>
      <c r="B547" s="1299">
        <f>'Part 3'!$M$25</f>
        <v>0</v>
      </c>
      <c r="C547" s="1304" t="s">
        <v>3186</v>
      </c>
      <c r="D547" s="1301"/>
      <c r="E547" s="1301"/>
      <c r="F547" s="1302" t="s">
        <v>3905</v>
      </c>
      <c r="G547" s="1302" t="s">
        <v>3906</v>
      </c>
      <c r="H547" s="1302" t="s">
        <v>3190</v>
      </c>
      <c r="I547" s="1302">
        <v>12</v>
      </c>
      <c r="J547" s="1302"/>
      <c r="K547" s="1302"/>
    </row>
    <row r="548" spans="1:11" s="1315" customFormat="1" x14ac:dyDescent="0.2">
      <c r="A548" s="1303" t="s">
        <v>1517</v>
      </c>
      <c r="B548" s="1299">
        <f>'Part 3'!$G$33</f>
        <v>0</v>
      </c>
      <c r="C548" s="1304" t="s">
        <v>3204</v>
      </c>
      <c r="D548" s="1301"/>
      <c r="E548" s="1301"/>
      <c r="F548" s="1302" t="s">
        <v>3907</v>
      </c>
      <c r="G548" s="1302" t="s">
        <v>3908</v>
      </c>
      <c r="H548" s="1302" t="s">
        <v>3190</v>
      </c>
      <c r="I548" s="1302">
        <v>37</v>
      </c>
      <c r="J548" s="1302"/>
      <c r="K548" s="1302"/>
    </row>
    <row r="549" spans="1:11" s="1315" customFormat="1" x14ac:dyDescent="0.2">
      <c r="A549" s="1303" t="s">
        <v>1518</v>
      </c>
      <c r="B549" s="1299">
        <f>'Part 3'!$J$33</f>
        <v>0</v>
      </c>
      <c r="C549" s="1304" t="s">
        <v>3204</v>
      </c>
      <c r="D549" s="1301"/>
      <c r="E549" s="1301"/>
      <c r="F549" s="1302" t="s">
        <v>3909</v>
      </c>
      <c r="G549" s="1302" t="s">
        <v>3910</v>
      </c>
      <c r="H549" s="1302" t="s">
        <v>3190</v>
      </c>
      <c r="I549" s="1302">
        <v>38</v>
      </c>
      <c r="J549" s="1302"/>
      <c r="K549" s="1302"/>
    </row>
    <row r="550" spans="1:11" s="1315" customFormat="1" x14ac:dyDescent="0.2">
      <c r="A550" s="1303" t="s">
        <v>1519</v>
      </c>
      <c r="B550" s="1299">
        <f>'Part 3'!$M$33</f>
        <v>0</v>
      </c>
      <c r="C550" s="1304" t="s">
        <v>3204</v>
      </c>
      <c r="D550" s="1301"/>
      <c r="E550" s="1301"/>
      <c r="F550" s="1302" t="s">
        <v>3911</v>
      </c>
      <c r="G550" s="1302" t="s">
        <v>3912</v>
      </c>
      <c r="H550" s="1302" t="s">
        <v>3190</v>
      </c>
      <c r="I550" s="1302">
        <v>39</v>
      </c>
      <c r="J550" s="1302"/>
      <c r="K550" s="1302"/>
    </row>
    <row r="551" spans="1:11" s="1315" customFormat="1" x14ac:dyDescent="0.2">
      <c r="A551" s="1308" t="s">
        <v>1520</v>
      </c>
      <c r="B551" s="1299">
        <f>'Part 3'!$G$35</f>
        <v>0</v>
      </c>
      <c r="C551" s="1304" t="s">
        <v>3204</v>
      </c>
      <c r="D551" s="1301"/>
      <c r="E551" s="1301"/>
      <c r="F551" s="1302" t="s">
        <v>3913</v>
      </c>
      <c r="G551" s="1302" t="s">
        <v>3914</v>
      </c>
      <c r="H551" s="1302" t="s">
        <v>3190</v>
      </c>
      <c r="I551" s="1302">
        <v>40</v>
      </c>
      <c r="J551" s="1302"/>
      <c r="K551" s="1302"/>
    </row>
    <row r="552" spans="1:11" s="1315" customFormat="1" x14ac:dyDescent="0.2">
      <c r="A552" s="1308" t="s">
        <v>1521</v>
      </c>
      <c r="B552" s="1299">
        <f>'Part 3'!$J$35</f>
        <v>0</v>
      </c>
      <c r="C552" s="1304" t="s">
        <v>3204</v>
      </c>
      <c r="D552" s="1301"/>
      <c r="E552" s="1301"/>
      <c r="F552" s="1302" t="s">
        <v>3915</v>
      </c>
      <c r="G552" s="1302" t="s">
        <v>3916</v>
      </c>
      <c r="H552" s="1302" t="s">
        <v>3190</v>
      </c>
      <c r="I552" s="1302">
        <v>41</v>
      </c>
      <c r="J552" s="1302"/>
      <c r="K552" s="1302"/>
    </row>
    <row r="553" spans="1:11" s="1315" customFormat="1" x14ac:dyDescent="0.2">
      <c r="A553" s="1308" t="s">
        <v>1522</v>
      </c>
      <c r="B553" s="1299">
        <f>'Part 3'!$M$35</f>
        <v>0</v>
      </c>
      <c r="C553" s="1304" t="s">
        <v>3204</v>
      </c>
      <c r="D553" s="1301"/>
      <c r="E553" s="1301"/>
      <c r="F553" s="1302" t="s">
        <v>3917</v>
      </c>
      <c r="G553" s="1302" t="s">
        <v>3918</v>
      </c>
      <c r="H553" s="1302" t="s">
        <v>3190</v>
      </c>
      <c r="I553" s="1302">
        <v>42</v>
      </c>
      <c r="J553" s="1302"/>
      <c r="K553" s="1302"/>
    </row>
    <row r="554" spans="1:11" s="1315" customFormat="1" x14ac:dyDescent="0.2">
      <c r="A554" s="1303" t="s">
        <v>1523</v>
      </c>
      <c r="B554" s="1299">
        <f>'Part 3'!$J$37</f>
        <v>0</v>
      </c>
      <c r="C554" s="1304" t="s">
        <v>3204</v>
      </c>
      <c r="D554" s="1301"/>
      <c r="E554" s="1301"/>
      <c r="F554" s="1302" t="s">
        <v>3919</v>
      </c>
      <c r="G554" s="1302" t="s">
        <v>3920</v>
      </c>
      <c r="H554" s="1302" t="s">
        <v>3190</v>
      </c>
      <c r="I554" s="1302">
        <v>43</v>
      </c>
      <c r="J554" s="1302"/>
      <c r="K554" s="1302"/>
    </row>
    <row r="555" spans="1:11" s="1315" customFormat="1" x14ac:dyDescent="0.2">
      <c r="A555" s="1303" t="s">
        <v>1524</v>
      </c>
      <c r="B555" s="1299">
        <f>'Part 3'!$J$39</f>
        <v>0</v>
      </c>
      <c r="C555" s="1304" t="s">
        <v>3204</v>
      </c>
      <c r="D555" s="1301"/>
      <c r="E555" s="1301"/>
      <c r="F555" s="1302" t="s">
        <v>3921</v>
      </c>
      <c r="G555" s="1302" t="s">
        <v>3922</v>
      </c>
      <c r="H555" s="1302" t="s">
        <v>3190</v>
      </c>
      <c r="I555" s="1302">
        <v>44</v>
      </c>
      <c r="J555" s="1302"/>
      <c r="K555" s="1302"/>
    </row>
    <row r="556" spans="1:11" s="1315" customFormat="1" x14ac:dyDescent="0.2">
      <c r="A556" s="1308" t="s">
        <v>1525</v>
      </c>
      <c r="B556" s="1299">
        <f>'Part 3'!$J$43</f>
        <v>0</v>
      </c>
      <c r="C556" s="1304" t="s">
        <v>3204</v>
      </c>
      <c r="D556" s="1301"/>
      <c r="E556" s="1301"/>
      <c r="F556" s="1302" t="s">
        <v>3923</v>
      </c>
      <c r="G556" s="1302" t="s">
        <v>3924</v>
      </c>
      <c r="H556" s="1302" t="s">
        <v>3190</v>
      </c>
      <c r="I556" s="1302">
        <v>45</v>
      </c>
      <c r="J556" s="1302"/>
      <c r="K556" s="1302"/>
    </row>
    <row r="557" spans="1:11" s="1315" customFormat="1" x14ac:dyDescent="0.2">
      <c r="A557" s="1308" t="s">
        <v>1526</v>
      </c>
      <c r="B557" s="1299">
        <f>'Part 3'!$M$43</f>
        <v>0</v>
      </c>
      <c r="C557" s="1304" t="s">
        <v>3204</v>
      </c>
      <c r="D557" s="1301"/>
      <c r="E557" s="1301"/>
      <c r="F557" s="1302" t="s">
        <v>5111</v>
      </c>
      <c r="G557" s="1302" t="s">
        <v>950</v>
      </c>
      <c r="H557" s="1302" t="s">
        <v>3190</v>
      </c>
      <c r="I557" s="1302">
        <v>46</v>
      </c>
      <c r="J557" s="1302"/>
      <c r="K557" s="1302"/>
    </row>
    <row r="558" spans="1:11" s="1315" customFormat="1" x14ac:dyDescent="0.2">
      <c r="A558" s="1308" t="s">
        <v>1527</v>
      </c>
      <c r="B558" s="1299">
        <f>'Part 3'!$G$48</f>
        <v>0</v>
      </c>
      <c r="C558" s="1304" t="s">
        <v>3204</v>
      </c>
      <c r="D558" s="1301"/>
      <c r="E558" s="1301"/>
      <c r="F558" s="1302" t="s">
        <v>3925</v>
      </c>
      <c r="G558" s="1302" t="s">
        <v>3926</v>
      </c>
      <c r="H558" s="1302" t="s">
        <v>3190</v>
      </c>
      <c r="I558" s="1302">
        <v>47</v>
      </c>
      <c r="J558" s="1302"/>
      <c r="K558" s="1302"/>
    </row>
    <row r="559" spans="1:11" s="1315" customFormat="1" x14ac:dyDescent="0.2">
      <c r="A559" s="1308" t="s">
        <v>1528</v>
      </c>
      <c r="B559" s="1299">
        <f>'Part 3'!$J$48</f>
        <v>0</v>
      </c>
      <c r="C559" s="1304" t="s">
        <v>3204</v>
      </c>
      <c r="D559" s="1301"/>
      <c r="E559" s="1301"/>
      <c r="F559" s="1302" t="s">
        <v>3927</v>
      </c>
      <c r="G559" s="1302" t="s">
        <v>3928</v>
      </c>
      <c r="H559" s="1302" t="s">
        <v>3190</v>
      </c>
      <c r="I559" s="1302">
        <v>48</v>
      </c>
      <c r="J559" s="1302"/>
      <c r="K559" s="1302"/>
    </row>
    <row r="560" spans="1:11" s="1315" customFormat="1" x14ac:dyDescent="0.2">
      <c r="A560" s="1308" t="s">
        <v>1529</v>
      </c>
      <c r="B560" s="1299">
        <f>'Part 3'!$M$48</f>
        <v>0</v>
      </c>
      <c r="C560" s="1304" t="s">
        <v>3204</v>
      </c>
      <c r="D560" s="1301"/>
      <c r="E560" s="1301"/>
      <c r="F560" s="1302" t="s">
        <v>3929</v>
      </c>
      <c r="G560" s="1302" t="s">
        <v>3930</v>
      </c>
      <c r="H560" s="1302" t="s">
        <v>3190</v>
      </c>
      <c r="I560" s="1302">
        <v>49</v>
      </c>
      <c r="J560" s="1302"/>
      <c r="K560" s="1302"/>
    </row>
    <row r="561" spans="1:11" s="1315" customFormat="1" x14ac:dyDescent="0.2">
      <c r="A561" s="1308" t="s">
        <v>1530</v>
      </c>
      <c r="B561" s="1299">
        <f>'Part 3'!$G$53</f>
        <v>0</v>
      </c>
      <c r="C561" s="1304" t="s">
        <v>3204</v>
      </c>
      <c r="D561" s="1301"/>
      <c r="E561" s="1301"/>
      <c r="F561" s="1302" t="s">
        <v>3931</v>
      </c>
      <c r="G561" s="1302" t="s">
        <v>3932</v>
      </c>
      <c r="H561" s="1302" t="s">
        <v>3190</v>
      </c>
      <c r="I561" s="1302">
        <v>50</v>
      </c>
      <c r="J561" s="1302"/>
      <c r="K561" s="1302"/>
    </row>
    <row r="562" spans="1:11" s="1315" customFormat="1" x14ac:dyDescent="0.2">
      <c r="A562" s="1308" t="s">
        <v>1531</v>
      </c>
      <c r="B562" s="1299">
        <f>'Part 3'!$J$53</f>
        <v>0</v>
      </c>
      <c r="C562" s="1304" t="s">
        <v>3204</v>
      </c>
      <c r="D562" s="1301"/>
      <c r="E562" s="1301"/>
      <c r="F562" s="1302" t="s">
        <v>3933</v>
      </c>
      <c r="G562" s="1302" t="s">
        <v>3934</v>
      </c>
      <c r="H562" s="1302" t="s">
        <v>3190</v>
      </c>
      <c r="I562" s="1302">
        <v>51</v>
      </c>
      <c r="J562" s="1302"/>
      <c r="K562" s="1302"/>
    </row>
    <row r="563" spans="1:11" s="1315" customFormat="1" x14ac:dyDescent="0.2">
      <c r="A563" s="1308" t="s">
        <v>1532</v>
      </c>
      <c r="B563" s="1299">
        <f>'Part 3'!$M$53</f>
        <v>0</v>
      </c>
      <c r="C563" s="1304" t="s">
        <v>3204</v>
      </c>
      <c r="D563" s="1301"/>
      <c r="E563" s="1301"/>
      <c r="F563" s="1302" t="s">
        <v>3935</v>
      </c>
      <c r="G563" s="1302" t="s">
        <v>3936</v>
      </c>
      <c r="H563" s="1302" t="s">
        <v>3190</v>
      </c>
      <c r="I563" s="1302">
        <v>52</v>
      </c>
      <c r="J563" s="1302"/>
      <c r="K563" s="1302"/>
    </row>
    <row r="564" spans="1:11" s="1315" customFormat="1" x14ac:dyDescent="0.2">
      <c r="A564" s="1308" t="s">
        <v>1533</v>
      </c>
      <c r="B564" s="1299">
        <f>'Part 3'!$G$56</f>
        <v>0</v>
      </c>
      <c r="C564" s="1304" t="s">
        <v>3204</v>
      </c>
      <c r="D564" s="1301"/>
      <c r="E564" s="1301"/>
      <c r="F564" s="1302" t="s">
        <v>3937</v>
      </c>
      <c r="G564" s="1302" t="s">
        <v>3938</v>
      </c>
      <c r="H564" s="1302" t="s">
        <v>3190</v>
      </c>
      <c r="I564" s="1302">
        <v>53</v>
      </c>
      <c r="J564" s="1302"/>
      <c r="K564" s="1302"/>
    </row>
    <row r="565" spans="1:11" s="1315" customFormat="1" x14ac:dyDescent="0.2">
      <c r="A565" s="1308" t="s">
        <v>1534</v>
      </c>
      <c r="B565" s="1299">
        <f>'Part 3'!$M$56</f>
        <v>0</v>
      </c>
      <c r="C565" s="1304" t="s">
        <v>3204</v>
      </c>
      <c r="D565" s="1301"/>
      <c r="E565" s="1301"/>
      <c r="F565" s="1302" t="s">
        <v>3939</v>
      </c>
      <c r="G565" s="1302" t="s">
        <v>3940</v>
      </c>
      <c r="H565" s="1302" t="s">
        <v>3190</v>
      </c>
      <c r="I565" s="1302">
        <v>54</v>
      </c>
      <c r="J565" s="1302"/>
      <c r="K565" s="1302"/>
    </row>
    <row r="566" spans="1:11" s="1315" customFormat="1" x14ac:dyDescent="0.2">
      <c r="A566" s="1308" t="s">
        <v>1535</v>
      </c>
      <c r="B566" s="1299">
        <f>'Part 3'!$G$60</f>
        <v>0</v>
      </c>
      <c r="C566" s="1304" t="s">
        <v>3204</v>
      </c>
      <c r="D566" s="1301"/>
      <c r="E566" s="1301"/>
      <c r="F566" s="1302" t="s">
        <v>3941</v>
      </c>
      <c r="G566" s="1302" t="s">
        <v>3942</v>
      </c>
      <c r="H566" s="1302" t="s">
        <v>3190</v>
      </c>
      <c r="I566" s="1302">
        <v>55</v>
      </c>
      <c r="J566" s="1302"/>
      <c r="K566" s="1302"/>
    </row>
    <row r="567" spans="1:11" s="1315" customFormat="1" x14ac:dyDescent="0.2">
      <c r="A567" s="1308" t="s">
        <v>1536</v>
      </c>
      <c r="B567" s="1299">
        <f>'Part 3'!$J$60</f>
        <v>0</v>
      </c>
      <c r="C567" s="1304" t="s">
        <v>3204</v>
      </c>
      <c r="D567" s="1301"/>
      <c r="E567" s="1301"/>
      <c r="F567" s="1302" t="s">
        <v>3943</v>
      </c>
      <c r="G567" s="1302" t="s">
        <v>3944</v>
      </c>
      <c r="H567" s="1302" t="s">
        <v>3190</v>
      </c>
      <c r="I567" s="1302">
        <v>56</v>
      </c>
      <c r="J567" s="1302"/>
      <c r="K567" s="1302"/>
    </row>
    <row r="568" spans="1:11" s="1315" customFormat="1" x14ac:dyDescent="0.2">
      <c r="A568" s="1308" t="s">
        <v>1537</v>
      </c>
      <c r="B568" s="1299">
        <f>'Part 3'!$M$60</f>
        <v>0</v>
      </c>
      <c r="C568" s="1304" t="s">
        <v>3204</v>
      </c>
      <c r="D568" s="1301"/>
      <c r="E568" s="1301"/>
      <c r="F568" s="1302" t="s">
        <v>3945</v>
      </c>
      <c r="G568" s="1302" t="s">
        <v>3946</v>
      </c>
      <c r="H568" s="1302" t="s">
        <v>3190</v>
      </c>
      <c r="I568" s="1302">
        <v>57</v>
      </c>
      <c r="J568" s="1302"/>
      <c r="K568" s="1302"/>
    </row>
    <row r="569" spans="1:11" s="1365" customFormat="1" ht="15" customHeight="1" x14ac:dyDescent="0.25">
      <c r="A569" s="1594" t="s">
        <v>1235</v>
      </c>
      <c r="B569" s="1595">
        <v>0</v>
      </c>
      <c r="C569" s="1596" t="s">
        <v>3204</v>
      </c>
      <c r="D569" s="1597"/>
      <c r="E569" s="1597"/>
      <c r="F569" s="1598" t="s">
        <v>5726</v>
      </c>
      <c r="G569" s="1598" t="s">
        <v>3947</v>
      </c>
      <c r="H569" s="1598" t="s">
        <v>3193</v>
      </c>
      <c r="I569" s="1598">
        <v>1</v>
      </c>
      <c r="J569" s="1598"/>
      <c r="K569" s="1598"/>
    </row>
    <row r="570" spans="1:11" s="1365" customFormat="1" ht="14.25" customHeight="1" x14ac:dyDescent="0.25">
      <c r="A570" s="1587" t="s">
        <v>5704</v>
      </c>
      <c r="B570" s="1588" t="e">
        <f>'Part 4'!J7</f>
        <v>#N/A</v>
      </c>
      <c r="C570" s="1589" t="s">
        <v>3204</v>
      </c>
      <c r="D570" s="1590"/>
      <c r="E570" s="1590"/>
      <c r="F570" s="1591" t="s">
        <v>5727</v>
      </c>
      <c r="G570" s="1591" t="s">
        <v>3947</v>
      </c>
      <c r="H570" s="1591" t="s">
        <v>3193</v>
      </c>
      <c r="I570" s="1591">
        <v>2</v>
      </c>
      <c r="J570" s="1591"/>
      <c r="K570" s="1591"/>
    </row>
    <row r="571" spans="1:11" s="1365" customFormat="1" ht="14.25" customHeight="1" x14ac:dyDescent="0.25">
      <c r="A571" s="1587" t="s">
        <v>5696</v>
      </c>
      <c r="B571" s="1588">
        <f>'Part 4'!J9</f>
        <v>0</v>
      </c>
      <c r="C571" s="1589" t="s">
        <v>3204</v>
      </c>
      <c r="D571" s="1590"/>
      <c r="E571" s="1590"/>
      <c r="F571" s="1591" t="s">
        <v>5728</v>
      </c>
      <c r="G571" s="1591" t="s">
        <v>5698</v>
      </c>
      <c r="H571" s="1591" t="s">
        <v>3193</v>
      </c>
      <c r="I571" s="1591">
        <v>3</v>
      </c>
      <c r="J571" s="1591"/>
      <c r="K571" s="1591"/>
    </row>
    <row r="572" spans="1:11" s="1365" customFormat="1" ht="14.25" customHeight="1" x14ac:dyDescent="0.25">
      <c r="A572" s="1587" t="s">
        <v>5697</v>
      </c>
      <c r="B572" s="1588" t="e">
        <f>'Part 4'!J11</f>
        <v>#N/A</v>
      </c>
      <c r="C572" s="1589" t="s">
        <v>3204</v>
      </c>
      <c r="D572" s="1590"/>
      <c r="E572" s="1590"/>
      <c r="F572" s="1591" t="s">
        <v>5729</v>
      </c>
      <c r="G572" s="1591" t="s">
        <v>5699</v>
      </c>
      <c r="H572" s="1591" t="s">
        <v>3193</v>
      </c>
      <c r="I572" s="1591">
        <v>4</v>
      </c>
      <c r="J572" s="1591"/>
      <c r="K572" s="1591"/>
    </row>
    <row r="573" spans="1:11" s="1599" customFormat="1" ht="15" x14ac:dyDescent="0.25">
      <c r="A573" s="1330" t="s">
        <v>1538</v>
      </c>
      <c r="B573" s="1331">
        <f>'Part 4'!$H$14</f>
        <v>0</v>
      </c>
      <c r="C573" s="1332" t="s">
        <v>3204</v>
      </c>
      <c r="D573" s="1333"/>
      <c r="E573" s="1333"/>
      <c r="F573" s="1334" t="s">
        <v>5730</v>
      </c>
      <c r="G573" s="1334" t="s">
        <v>3948</v>
      </c>
      <c r="H573" s="1334" t="s">
        <v>3193</v>
      </c>
      <c r="I573" s="1334">
        <v>5</v>
      </c>
      <c r="J573" s="1334"/>
      <c r="K573" s="1334"/>
    </row>
    <row r="574" spans="1:11" s="1592" customFormat="1" ht="15" x14ac:dyDescent="0.25">
      <c r="A574" s="1330" t="s">
        <v>1539</v>
      </c>
      <c r="B574" s="1331">
        <f>'Part 4'!$H$16</f>
        <v>0</v>
      </c>
      <c r="C574" s="1332" t="s">
        <v>3204</v>
      </c>
      <c r="D574" s="1333"/>
      <c r="E574" s="1333"/>
      <c r="F574" s="1334" t="s">
        <v>5731</v>
      </c>
      <c r="G574" s="1334" t="s">
        <v>3949</v>
      </c>
      <c r="H574" s="1334" t="s">
        <v>3193</v>
      </c>
      <c r="I574" s="1334">
        <v>6</v>
      </c>
      <c r="J574" s="1334"/>
      <c r="K574" s="1334"/>
    </row>
    <row r="575" spans="1:11" s="1592" customFormat="1" ht="15" x14ac:dyDescent="0.25">
      <c r="A575" s="1330" t="s">
        <v>1540</v>
      </c>
      <c r="B575" s="1331">
        <f>'Part 4'!$H$18</f>
        <v>0</v>
      </c>
      <c r="C575" s="1332" t="s">
        <v>3204</v>
      </c>
      <c r="D575" s="1333"/>
      <c r="E575" s="1333"/>
      <c r="F575" s="1334" t="s">
        <v>5732</v>
      </c>
      <c r="G575" s="1334" t="s">
        <v>3950</v>
      </c>
      <c r="H575" s="1334" t="s">
        <v>3193</v>
      </c>
      <c r="I575" s="1334">
        <v>7</v>
      </c>
      <c r="J575" s="1334"/>
      <c r="K575" s="1334"/>
    </row>
    <row r="576" spans="1:11" s="1592" customFormat="1" ht="15" x14ac:dyDescent="0.25">
      <c r="A576" s="1330" t="s">
        <v>1541</v>
      </c>
      <c r="B576" s="1331">
        <f>'Part 4'!$H$20</f>
        <v>0</v>
      </c>
      <c r="C576" s="1332" t="s">
        <v>3204</v>
      </c>
      <c r="D576" s="1333"/>
      <c r="E576" s="1333"/>
      <c r="F576" s="1334" t="s">
        <v>5733</v>
      </c>
      <c r="G576" s="1334" t="s">
        <v>3951</v>
      </c>
      <c r="H576" s="1334" t="s">
        <v>3193</v>
      </c>
      <c r="I576" s="1334">
        <v>8</v>
      </c>
      <c r="J576" s="1334"/>
      <c r="K576" s="1334"/>
    </row>
    <row r="577" spans="1:11" s="1315" customFormat="1" x14ac:dyDescent="0.2">
      <c r="A577" s="1330" t="s">
        <v>1542</v>
      </c>
      <c r="B577" s="1331">
        <f>'Part 4'!$H$22</f>
        <v>0</v>
      </c>
      <c r="C577" s="1332" t="s">
        <v>3204</v>
      </c>
      <c r="D577" s="1333"/>
      <c r="E577" s="1333"/>
      <c r="F577" s="1334" t="s">
        <v>5734</v>
      </c>
      <c r="G577" s="1334" t="s">
        <v>3952</v>
      </c>
      <c r="H577" s="1334" t="s">
        <v>3193</v>
      </c>
      <c r="I577" s="1334">
        <v>9</v>
      </c>
      <c r="J577" s="1334"/>
      <c r="K577" s="1334"/>
    </row>
    <row r="578" spans="1:11" s="1315" customFormat="1" x14ac:dyDescent="0.2">
      <c r="A578" s="1330" t="s">
        <v>1543</v>
      </c>
      <c r="B578" s="1331">
        <f>'Part 4'!$J$24</f>
        <v>0</v>
      </c>
      <c r="C578" s="1332" t="s">
        <v>3204</v>
      </c>
      <c r="D578" s="1333"/>
      <c r="E578" s="1333"/>
      <c r="F578" s="1334" t="s">
        <v>5735</v>
      </c>
      <c r="G578" s="1334" t="s">
        <v>3953</v>
      </c>
      <c r="H578" s="1334" t="s">
        <v>3193</v>
      </c>
      <c r="I578" s="1334">
        <v>10</v>
      </c>
      <c r="J578" s="1334"/>
      <c r="K578" s="1334"/>
    </row>
    <row r="579" spans="1:11" s="1315" customFormat="1" x14ac:dyDescent="0.2">
      <c r="A579" s="1335" t="s">
        <v>1544</v>
      </c>
      <c r="B579" s="1331">
        <f>'Part 4'!$H$27</f>
        <v>0</v>
      </c>
      <c r="C579" s="1332" t="s">
        <v>3204</v>
      </c>
      <c r="D579" s="1333"/>
      <c r="E579" s="1333"/>
      <c r="F579" s="1334" t="s">
        <v>5736</v>
      </c>
      <c r="G579" s="1334" t="s">
        <v>3954</v>
      </c>
      <c r="H579" s="1334" t="s">
        <v>3193</v>
      </c>
      <c r="I579" s="1334">
        <v>11</v>
      </c>
      <c r="J579" s="1334"/>
      <c r="K579" s="1334"/>
    </row>
    <row r="580" spans="1:11" s="1315" customFormat="1" x14ac:dyDescent="0.2">
      <c r="A580" s="1335" t="s">
        <v>1545</v>
      </c>
      <c r="B580" s="1331">
        <f>'Part 4'!$H$29</f>
        <v>0</v>
      </c>
      <c r="C580" s="1332" t="s">
        <v>3204</v>
      </c>
      <c r="D580" s="1333"/>
      <c r="E580" s="1333"/>
      <c r="F580" s="1334" t="s">
        <v>5737</v>
      </c>
      <c r="G580" s="1334" t="s">
        <v>3955</v>
      </c>
      <c r="H580" s="1334" t="s">
        <v>3193</v>
      </c>
      <c r="I580" s="1334">
        <v>12</v>
      </c>
      <c r="J580" s="1334"/>
      <c r="K580" s="1334"/>
    </row>
    <row r="581" spans="1:11" s="1315" customFormat="1" x14ac:dyDescent="0.2">
      <c r="A581" s="1335" t="s">
        <v>1546</v>
      </c>
      <c r="B581" s="1331" t="e">
        <f>'Part 4'!$H$31</f>
        <v>#N/A</v>
      </c>
      <c r="C581" s="1332" t="s">
        <v>3204</v>
      </c>
      <c r="D581" s="1333"/>
      <c r="E581" s="1333"/>
      <c r="F581" s="1334" t="s">
        <v>5738</v>
      </c>
      <c r="G581" s="1334" t="s">
        <v>3956</v>
      </c>
      <c r="H581" s="1334" t="s">
        <v>3193</v>
      </c>
      <c r="I581" s="1334">
        <v>13</v>
      </c>
      <c r="J581" s="1334"/>
      <c r="K581" s="1334"/>
    </row>
    <row r="582" spans="1:11" s="1315" customFormat="1" x14ac:dyDescent="0.2">
      <c r="A582" s="1335" t="s">
        <v>1547</v>
      </c>
      <c r="B582" s="1331" t="e">
        <f>'Part 4'!$J$33</f>
        <v>#N/A</v>
      </c>
      <c r="C582" s="1332" t="s">
        <v>3204</v>
      </c>
      <c r="D582" s="1333"/>
      <c r="E582" s="1333"/>
      <c r="F582" s="1334" t="s">
        <v>5739</v>
      </c>
      <c r="G582" s="1334" t="s">
        <v>3957</v>
      </c>
      <c r="H582" s="1334" t="s">
        <v>3193</v>
      </c>
      <c r="I582" s="1334">
        <v>14</v>
      </c>
      <c r="J582" s="1334"/>
      <c r="K582" s="1334"/>
    </row>
    <row r="583" spans="1:11" s="1315" customFormat="1" x14ac:dyDescent="0.2">
      <c r="A583" s="1335" t="s">
        <v>1548</v>
      </c>
      <c r="B583" s="1331">
        <f>'Part 4'!$H$36</f>
        <v>0</v>
      </c>
      <c r="C583" s="1332" t="s">
        <v>3204</v>
      </c>
      <c r="D583" s="1333"/>
      <c r="E583" s="1333"/>
      <c r="F583" s="1334" t="s">
        <v>5740</v>
      </c>
      <c r="G583" s="1334" t="s">
        <v>3958</v>
      </c>
      <c r="H583" s="1334" t="s">
        <v>3193</v>
      </c>
      <c r="I583" s="1334">
        <v>15</v>
      </c>
      <c r="J583" s="1334"/>
      <c r="K583" s="1334"/>
    </row>
    <row r="584" spans="1:11" s="1315" customFormat="1" x14ac:dyDescent="0.2">
      <c r="A584" s="1335" t="s">
        <v>1549</v>
      </c>
      <c r="B584" s="1331">
        <f>'Part 4'!$H$38</f>
        <v>0</v>
      </c>
      <c r="C584" s="1332" t="s">
        <v>3204</v>
      </c>
      <c r="D584" s="1333"/>
      <c r="E584" s="1333"/>
      <c r="F584" s="1334" t="s">
        <v>5741</v>
      </c>
      <c r="G584" s="1334" t="s">
        <v>3959</v>
      </c>
      <c r="H584" s="1334" t="s">
        <v>3193</v>
      </c>
      <c r="I584" s="1334">
        <v>16</v>
      </c>
      <c r="J584" s="1334"/>
      <c r="K584" s="1334"/>
    </row>
    <row r="585" spans="1:11" s="1315" customFormat="1" x14ac:dyDescent="0.2">
      <c r="A585" s="1330" t="s">
        <v>1550</v>
      </c>
      <c r="B585" s="1331">
        <f>'Part 4'!$H$41</f>
        <v>0</v>
      </c>
      <c r="C585" s="1332" t="s">
        <v>3204</v>
      </c>
      <c r="D585" s="1333"/>
      <c r="E585" s="1333"/>
      <c r="F585" s="1334" t="s">
        <v>5742</v>
      </c>
      <c r="G585" s="1334" t="s">
        <v>3960</v>
      </c>
      <c r="H585" s="1334" t="s">
        <v>3193</v>
      </c>
      <c r="I585" s="1334">
        <v>17</v>
      </c>
      <c r="J585" s="1334"/>
      <c r="K585" s="1334"/>
    </row>
    <row r="586" spans="1:11" s="1315" customFormat="1" x14ac:dyDescent="0.2">
      <c r="A586" s="1335" t="s">
        <v>1551</v>
      </c>
      <c r="B586" s="1331">
        <f>'Part 4'!$H$44</f>
        <v>0</v>
      </c>
      <c r="C586" s="1332" t="s">
        <v>3204</v>
      </c>
      <c r="D586" s="1333"/>
      <c r="E586" s="1333"/>
      <c r="F586" s="1334" t="s">
        <v>5743</v>
      </c>
      <c r="G586" s="1334" t="s">
        <v>3961</v>
      </c>
      <c r="H586" s="1334" t="s">
        <v>3193</v>
      </c>
      <c r="I586" s="1334">
        <v>18</v>
      </c>
      <c r="J586" s="1334"/>
      <c r="K586" s="1334"/>
    </row>
    <row r="587" spans="1:11" s="1315" customFormat="1" x14ac:dyDescent="0.2">
      <c r="A587" s="1335" t="s">
        <v>1552</v>
      </c>
      <c r="B587" s="1331">
        <f>'Part 4'!$H$46</f>
        <v>0</v>
      </c>
      <c r="C587" s="1332" t="s">
        <v>3204</v>
      </c>
      <c r="D587" s="1333"/>
      <c r="E587" s="1333"/>
      <c r="F587" s="1334" t="s">
        <v>5744</v>
      </c>
      <c r="G587" s="1334" t="s">
        <v>3962</v>
      </c>
      <c r="H587" s="1334" t="s">
        <v>3193</v>
      </c>
      <c r="I587" s="1334">
        <v>19</v>
      </c>
      <c r="J587" s="1334"/>
      <c r="K587" s="1334"/>
    </row>
    <row r="588" spans="1:11" s="1315" customFormat="1" x14ac:dyDescent="0.2">
      <c r="A588" s="1335" t="s">
        <v>1553</v>
      </c>
      <c r="B588" s="1331">
        <f>'Part 4'!$H$49</f>
        <v>0</v>
      </c>
      <c r="C588" s="1332" t="s">
        <v>3204</v>
      </c>
      <c r="D588" s="1333"/>
      <c r="E588" s="1333"/>
      <c r="F588" s="1334" t="s">
        <v>5745</v>
      </c>
      <c r="G588" s="1334" t="s">
        <v>3963</v>
      </c>
      <c r="H588" s="1334" t="s">
        <v>3193</v>
      </c>
      <c r="I588" s="1334">
        <v>20</v>
      </c>
      <c r="J588" s="1334"/>
      <c r="K588" s="1334"/>
    </row>
    <row r="589" spans="1:11" s="1315" customFormat="1" x14ac:dyDescent="0.2">
      <c r="A589" s="1335" t="s">
        <v>1554</v>
      </c>
      <c r="B589" s="1331" t="e">
        <f>'Part 4'!$H$51</f>
        <v>#N/A</v>
      </c>
      <c r="C589" s="1332" t="s">
        <v>3204</v>
      </c>
      <c r="D589" s="1333"/>
      <c r="E589" s="1333"/>
      <c r="F589" s="1334" t="s">
        <v>5746</v>
      </c>
      <c r="G589" s="1334" t="s">
        <v>3964</v>
      </c>
      <c r="H589" s="1334" t="s">
        <v>3193</v>
      </c>
      <c r="I589" s="1334">
        <v>21</v>
      </c>
      <c r="J589" s="1334"/>
      <c r="K589" s="1334"/>
    </row>
    <row r="590" spans="1:11" s="1315" customFormat="1" x14ac:dyDescent="0.2">
      <c r="A590" s="1335" t="s">
        <v>1555</v>
      </c>
      <c r="B590" s="1331" t="e">
        <f>'Part 4'!$J$53</f>
        <v>#N/A</v>
      </c>
      <c r="C590" s="1332" t="s">
        <v>3204</v>
      </c>
      <c r="D590" s="1333"/>
      <c r="E590" s="1333"/>
      <c r="F590" s="1334" t="s">
        <v>5747</v>
      </c>
      <c r="G590" s="1334" t="s">
        <v>3965</v>
      </c>
      <c r="H590" s="1334" t="s">
        <v>3193</v>
      </c>
      <c r="I590" s="1334">
        <v>22</v>
      </c>
      <c r="J590" s="1334"/>
      <c r="K590" s="1334"/>
    </row>
    <row r="591" spans="1:11" s="1315" customFormat="1" x14ac:dyDescent="0.2">
      <c r="A591" s="1330" t="s">
        <v>1236</v>
      </c>
      <c r="B591" s="1331" t="e">
        <f>'Part 4'!$J$58</f>
        <v>#N/A</v>
      </c>
      <c r="C591" s="1332" t="s">
        <v>3204</v>
      </c>
      <c r="D591" s="1333"/>
      <c r="E591" s="1333"/>
      <c r="F591" s="1334" t="s">
        <v>5748</v>
      </c>
      <c r="G591" s="1334" t="s">
        <v>3967</v>
      </c>
      <c r="H591" s="1334" t="s">
        <v>3193</v>
      </c>
      <c r="I591" s="1334">
        <v>23</v>
      </c>
      <c r="J591" s="1334"/>
      <c r="K591" s="1334"/>
    </row>
    <row r="592" spans="1:11" s="1315" customFormat="1" x14ac:dyDescent="0.2">
      <c r="A592" s="1330" t="s">
        <v>2274</v>
      </c>
      <c r="B592" s="1336">
        <f>'Part 4'!F65</f>
        <v>1</v>
      </c>
      <c r="C592" s="1332" t="s">
        <v>3224</v>
      </c>
      <c r="D592" s="1333"/>
      <c r="E592" s="1333"/>
      <c r="F592" s="1334" t="s">
        <v>3966</v>
      </c>
      <c r="G592" s="1334" t="s">
        <v>3969</v>
      </c>
      <c r="H592" s="1334" t="s">
        <v>3193</v>
      </c>
      <c r="I592" s="1334">
        <v>24</v>
      </c>
      <c r="J592" s="1334"/>
      <c r="K592" s="1334"/>
    </row>
    <row r="593" spans="1:11" s="1315" customFormat="1" x14ac:dyDescent="0.2">
      <c r="A593" s="1330" t="s">
        <v>2275</v>
      </c>
      <c r="B593" s="1336">
        <f>'Part 4'!H65</f>
        <v>0</v>
      </c>
      <c r="C593" s="1332" t="s">
        <v>3224</v>
      </c>
      <c r="D593" s="1333"/>
      <c r="E593" s="1333"/>
      <c r="F593" s="1334" t="s">
        <v>5112</v>
      </c>
      <c r="G593" s="1334" t="s">
        <v>3969</v>
      </c>
      <c r="H593" s="1334" t="s">
        <v>3193</v>
      </c>
      <c r="I593" s="1334">
        <v>25</v>
      </c>
      <c r="J593" s="1334"/>
      <c r="K593" s="1334"/>
    </row>
    <row r="594" spans="1:11" s="1315" customFormat="1" x14ac:dyDescent="0.2">
      <c r="A594" s="1330" t="s">
        <v>2276</v>
      </c>
      <c r="B594" s="1336">
        <f>'Part 4'!J65</f>
        <v>0</v>
      </c>
      <c r="C594" s="1332" t="s">
        <v>3224</v>
      </c>
      <c r="D594" s="1333"/>
      <c r="E594" s="1333"/>
      <c r="F594" s="1334" t="s">
        <v>5113</v>
      </c>
      <c r="G594" s="1334" t="s">
        <v>3969</v>
      </c>
      <c r="H594" s="1334" t="s">
        <v>3193</v>
      </c>
      <c r="I594" s="1334">
        <v>26</v>
      </c>
      <c r="J594" s="1334"/>
      <c r="K594" s="1334"/>
    </row>
    <row r="595" spans="1:11" s="1315" customFormat="1" x14ac:dyDescent="0.2">
      <c r="A595" s="1330" t="s">
        <v>2277</v>
      </c>
      <c r="B595" s="1336">
        <f>'Part 4'!L65</f>
        <v>0</v>
      </c>
      <c r="C595" s="1332" t="s">
        <v>3224</v>
      </c>
      <c r="D595" s="1333"/>
      <c r="E595" s="1333"/>
      <c r="F595" s="1334" t="s">
        <v>5114</v>
      </c>
      <c r="G595" s="1334" t="s">
        <v>3969</v>
      </c>
      <c r="H595" s="1334" t="s">
        <v>3193</v>
      </c>
      <c r="I595" s="1334">
        <v>27</v>
      </c>
      <c r="J595" s="1334"/>
      <c r="K595" s="1334"/>
    </row>
    <row r="596" spans="1:11" s="1315" customFormat="1" x14ac:dyDescent="0.2">
      <c r="A596" s="1330" t="s">
        <v>2278</v>
      </c>
      <c r="B596" s="1336">
        <f>'Part 4'!N65</f>
        <v>1</v>
      </c>
      <c r="C596" s="1332" t="s">
        <v>3224</v>
      </c>
      <c r="D596" s="1333"/>
      <c r="E596" s="1333"/>
      <c r="F596" s="1334" t="s">
        <v>5115</v>
      </c>
      <c r="G596" s="1334" t="s">
        <v>3969</v>
      </c>
      <c r="H596" s="1334" t="s">
        <v>3193</v>
      </c>
      <c r="I596" s="1334">
        <v>28</v>
      </c>
      <c r="J596" s="1334"/>
      <c r="K596" s="1334"/>
    </row>
    <row r="597" spans="1:11" s="1315" customFormat="1" x14ac:dyDescent="0.2">
      <c r="A597" s="1330" t="s">
        <v>2279</v>
      </c>
      <c r="B597" s="1331" t="e">
        <f>'Part 4'!F67</f>
        <v>#N/A</v>
      </c>
      <c r="C597" s="1332" t="s">
        <v>3204</v>
      </c>
      <c r="D597" s="1333"/>
      <c r="E597" s="1333"/>
      <c r="F597" s="1334" t="s">
        <v>3968</v>
      </c>
      <c r="G597" s="1334" t="s">
        <v>3975</v>
      </c>
      <c r="H597" s="1334" t="s">
        <v>3193</v>
      </c>
      <c r="I597" s="1334">
        <v>29</v>
      </c>
      <c r="J597" s="1334"/>
      <c r="K597" s="1334"/>
    </row>
    <row r="598" spans="1:11" s="1315" customFormat="1" x14ac:dyDescent="0.2">
      <c r="A598" s="1330" t="s">
        <v>2280</v>
      </c>
      <c r="B598" s="1331" t="e">
        <f>'Part 4'!H67</f>
        <v>#N/A</v>
      </c>
      <c r="C598" s="1332" t="s">
        <v>3204</v>
      </c>
      <c r="D598" s="1333"/>
      <c r="E598" s="1333"/>
      <c r="F598" s="1334" t="s">
        <v>3970</v>
      </c>
      <c r="G598" s="1334" t="s">
        <v>3977</v>
      </c>
      <c r="H598" s="1334" t="s">
        <v>3193</v>
      </c>
      <c r="I598" s="1334">
        <v>30</v>
      </c>
      <c r="J598" s="1334"/>
      <c r="K598" s="1334"/>
    </row>
    <row r="599" spans="1:11" s="1315" customFormat="1" x14ac:dyDescent="0.2">
      <c r="A599" s="1330" t="s">
        <v>2281</v>
      </c>
      <c r="B599" s="1331" t="e">
        <f>'Part 4'!J67</f>
        <v>#N/A</v>
      </c>
      <c r="C599" s="1332" t="s">
        <v>3204</v>
      </c>
      <c r="D599" s="1333"/>
      <c r="E599" s="1333"/>
      <c r="F599" s="1334" t="s">
        <v>3971</v>
      </c>
      <c r="G599" s="1334" t="s">
        <v>3979</v>
      </c>
      <c r="H599" s="1334" t="s">
        <v>3193</v>
      </c>
      <c r="I599" s="1334">
        <v>31</v>
      </c>
      <c r="J599" s="1334"/>
      <c r="K599" s="1334"/>
    </row>
    <row r="600" spans="1:11" s="1315" customFormat="1" x14ac:dyDescent="0.2">
      <c r="A600" s="1330" t="s">
        <v>2282</v>
      </c>
      <c r="B600" s="1331" t="e">
        <f>'Part 4'!L67</f>
        <v>#N/A</v>
      </c>
      <c r="C600" s="1332" t="s">
        <v>3204</v>
      </c>
      <c r="D600" s="1333"/>
      <c r="E600" s="1333"/>
      <c r="F600" s="1334" t="s">
        <v>3972</v>
      </c>
      <c r="G600" s="1334" t="s">
        <v>3981</v>
      </c>
      <c r="H600" s="1334" t="s">
        <v>3193</v>
      </c>
      <c r="I600" s="1334">
        <v>32</v>
      </c>
      <c r="J600" s="1334"/>
      <c r="K600" s="1334"/>
    </row>
    <row r="601" spans="1:11" s="1315" customFormat="1" x14ac:dyDescent="0.2">
      <c r="A601" s="1330" t="s">
        <v>2283</v>
      </c>
      <c r="B601" s="1331" t="e">
        <f>'Part 4'!N67</f>
        <v>#N/A</v>
      </c>
      <c r="C601" s="1332" t="s">
        <v>3204</v>
      </c>
      <c r="D601" s="1333"/>
      <c r="E601" s="1333"/>
      <c r="F601" s="1334" t="s">
        <v>3973</v>
      </c>
      <c r="G601" s="1334" t="s">
        <v>3983</v>
      </c>
      <c r="H601" s="1334" t="s">
        <v>3193</v>
      </c>
      <c r="I601" s="1334">
        <v>33</v>
      </c>
      <c r="J601" s="1334"/>
      <c r="K601" s="1334"/>
    </row>
    <row r="602" spans="1:11" s="1315" customFormat="1" x14ac:dyDescent="0.2">
      <c r="A602" s="1330" t="s">
        <v>2284</v>
      </c>
      <c r="B602" s="1336">
        <f>'Part 4'!F69</f>
        <v>1</v>
      </c>
      <c r="C602" s="1332" t="s">
        <v>3224</v>
      </c>
      <c r="D602" s="1333"/>
      <c r="E602" s="1333"/>
      <c r="F602" s="1334" t="s">
        <v>3974</v>
      </c>
      <c r="G602" s="1334" t="s">
        <v>3985</v>
      </c>
      <c r="H602" s="1334" t="s">
        <v>3193</v>
      </c>
      <c r="I602" s="1334">
        <v>34</v>
      </c>
      <c r="J602" s="1334"/>
      <c r="K602" s="1334"/>
    </row>
    <row r="603" spans="1:11" s="1315" customFormat="1" x14ac:dyDescent="0.2">
      <c r="A603" s="1330" t="s">
        <v>2285</v>
      </c>
      <c r="B603" s="1336">
        <f>'Part 4'!H69</f>
        <v>0</v>
      </c>
      <c r="C603" s="1332" t="s">
        <v>3224</v>
      </c>
      <c r="D603" s="1333"/>
      <c r="E603" s="1333"/>
      <c r="F603" s="1334" t="s">
        <v>3976</v>
      </c>
      <c r="G603" s="1334" t="s">
        <v>3987</v>
      </c>
      <c r="H603" s="1334" t="s">
        <v>3193</v>
      </c>
      <c r="I603" s="1334">
        <v>35</v>
      </c>
      <c r="J603" s="1334"/>
      <c r="K603" s="1334"/>
    </row>
    <row r="604" spans="1:11" s="1315" customFormat="1" x14ac:dyDescent="0.2">
      <c r="A604" s="1330" t="s">
        <v>2286</v>
      </c>
      <c r="B604" s="1336">
        <f>'Part 4'!J69</f>
        <v>0</v>
      </c>
      <c r="C604" s="1332" t="s">
        <v>3224</v>
      </c>
      <c r="D604" s="1333"/>
      <c r="E604" s="1333"/>
      <c r="F604" s="1334" t="s">
        <v>3978</v>
      </c>
      <c r="G604" s="1334" t="s">
        <v>3989</v>
      </c>
      <c r="H604" s="1334" t="s">
        <v>3193</v>
      </c>
      <c r="I604" s="1334">
        <v>36</v>
      </c>
      <c r="J604" s="1334"/>
      <c r="K604" s="1334"/>
    </row>
    <row r="605" spans="1:11" s="1315" customFormat="1" x14ac:dyDescent="0.2">
      <c r="A605" s="1330" t="s">
        <v>2287</v>
      </c>
      <c r="B605" s="1336">
        <f>'Part 4'!L69</f>
        <v>0</v>
      </c>
      <c r="C605" s="1332" t="s">
        <v>3224</v>
      </c>
      <c r="D605" s="1333"/>
      <c r="E605" s="1333"/>
      <c r="F605" s="1334" t="s">
        <v>3980</v>
      </c>
      <c r="G605" s="1334" t="s">
        <v>3991</v>
      </c>
      <c r="H605" s="1334" t="s">
        <v>3193</v>
      </c>
      <c r="I605" s="1334">
        <v>37</v>
      </c>
      <c r="J605" s="1334"/>
      <c r="K605" s="1334"/>
    </row>
    <row r="606" spans="1:11" s="1315" customFormat="1" x14ac:dyDescent="0.2">
      <c r="A606" s="1330" t="s">
        <v>2288</v>
      </c>
      <c r="B606" s="1336">
        <f>'Part 4'!N69</f>
        <v>1</v>
      </c>
      <c r="C606" s="1332" t="s">
        <v>3224</v>
      </c>
      <c r="D606" s="1333"/>
      <c r="E606" s="1333"/>
      <c r="F606" s="1334" t="s">
        <v>3982</v>
      </c>
      <c r="G606" s="1334" t="s">
        <v>3993</v>
      </c>
      <c r="H606" s="1334" t="s">
        <v>3193</v>
      </c>
      <c r="I606" s="1334">
        <v>38</v>
      </c>
      <c r="J606" s="1334"/>
      <c r="K606" s="1334"/>
    </row>
    <row r="607" spans="1:11" s="1315" customFormat="1" x14ac:dyDescent="0.2">
      <c r="A607" s="1330" t="s">
        <v>2289</v>
      </c>
      <c r="B607" s="1331" t="e">
        <f>'Part 4'!F71</f>
        <v>#N/A</v>
      </c>
      <c r="C607" s="1332" t="s">
        <v>3204</v>
      </c>
      <c r="D607" s="1333"/>
      <c r="E607" s="1333"/>
      <c r="F607" s="1334" t="s">
        <v>3984</v>
      </c>
      <c r="G607" s="1334" t="s">
        <v>3995</v>
      </c>
      <c r="H607" s="1334" t="s">
        <v>3193</v>
      </c>
      <c r="I607" s="1334">
        <v>39</v>
      </c>
      <c r="J607" s="1334"/>
      <c r="K607" s="1334"/>
    </row>
    <row r="608" spans="1:11" s="1315" customFormat="1" x14ac:dyDescent="0.2">
      <c r="A608" s="1330" t="s">
        <v>2290</v>
      </c>
      <c r="B608" s="1331" t="e">
        <f>'Part 4'!H71</f>
        <v>#N/A</v>
      </c>
      <c r="C608" s="1332" t="s">
        <v>3204</v>
      </c>
      <c r="D608" s="1333"/>
      <c r="E608" s="1333"/>
      <c r="F608" s="1334" t="s">
        <v>3986</v>
      </c>
      <c r="G608" s="1334" t="s">
        <v>3997</v>
      </c>
      <c r="H608" s="1334" t="s">
        <v>3193</v>
      </c>
      <c r="I608" s="1334">
        <v>40</v>
      </c>
      <c r="J608" s="1334"/>
      <c r="K608" s="1334"/>
    </row>
    <row r="609" spans="1:11" s="1302" customFormat="1" x14ac:dyDescent="0.2">
      <c r="A609" s="1330" t="s">
        <v>2291</v>
      </c>
      <c r="B609" s="1331" t="e">
        <f>'Part 4'!J71</f>
        <v>#N/A</v>
      </c>
      <c r="C609" s="1332" t="s">
        <v>3204</v>
      </c>
      <c r="D609" s="1333"/>
      <c r="E609" s="1333"/>
      <c r="F609" s="1334" t="s">
        <v>3988</v>
      </c>
      <c r="G609" s="1334" t="s">
        <v>3999</v>
      </c>
      <c r="H609" s="1334" t="s">
        <v>3193</v>
      </c>
      <c r="I609" s="1334">
        <v>41</v>
      </c>
      <c r="J609" s="1334"/>
      <c r="K609" s="1334"/>
    </row>
    <row r="610" spans="1:11" s="1302" customFormat="1" x14ac:dyDescent="0.2">
      <c r="A610" s="1330" t="s">
        <v>2292</v>
      </c>
      <c r="B610" s="1331" t="e">
        <f>'Part 4'!L71</f>
        <v>#N/A</v>
      </c>
      <c r="C610" s="1332" t="s">
        <v>3204</v>
      </c>
      <c r="D610" s="1333"/>
      <c r="E610" s="1333"/>
      <c r="F610" s="1334" t="s">
        <v>3990</v>
      </c>
      <c r="G610" s="1334" t="s">
        <v>4001</v>
      </c>
      <c r="H610" s="1334" t="s">
        <v>3193</v>
      </c>
      <c r="I610" s="1334">
        <v>42</v>
      </c>
      <c r="J610" s="1334"/>
      <c r="K610" s="1334"/>
    </row>
    <row r="611" spans="1:11" s="1302" customFormat="1" x14ac:dyDescent="0.2">
      <c r="A611" s="1330" t="s">
        <v>2293</v>
      </c>
      <c r="B611" s="1331" t="e">
        <f>'Part 4'!N71</f>
        <v>#N/A</v>
      </c>
      <c r="C611" s="1332" t="s">
        <v>3204</v>
      </c>
      <c r="D611" s="1333"/>
      <c r="E611" s="1333"/>
      <c r="F611" s="1334" t="s">
        <v>3992</v>
      </c>
      <c r="G611" s="1334" t="s">
        <v>4003</v>
      </c>
      <c r="H611" s="1334" t="s">
        <v>3193</v>
      </c>
      <c r="I611" s="1334">
        <v>43</v>
      </c>
      <c r="J611" s="1334"/>
      <c r="K611" s="1334"/>
    </row>
    <row r="612" spans="1:11" s="1302" customFormat="1" x14ac:dyDescent="0.2">
      <c r="A612" s="1330" t="s">
        <v>2294</v>
      </c>
      <c r="B612" s="1331" t="e">
        <f>'Part 4'!F73</f>
        <v>#N/A</v>
      </c>
      <c r="C612" s="1332" t="s">
        <v>3204</v>
      </c>
      <c r="D612" s="1333"/>
      <c r="E612" s="1333"/>
      <c r="F612" s="1334" t="s">
        <v>3994</v>
      </c>
      <c r="G612" s="1334" t="s">
        <v>4004</v>
      </c>
      <c r="H612" s="1334" t="s">
        <v>3193</v>
      </c>
      <c r="I612" s="1334">
        <v>44</v>
      </c>
      <c r="J612" s="1334"/>
      <c r="K612" s="1334"/>
    </row>
    <row r="613" spans="1:11" s="1302" customFormat="1" x14ac:dyDescent="0.2">
      <c r="A613" s="1330" t="s">
        <v>2295</v>
      </c>
      <c r="B613" s="1331" t="e">
        <f>'Part 4'!H73</f>
        <v>#N/A</v>
      </c>
      <c r="C613" s="1332" t="s">
        <v>3204</v>
      </c>
      <c r="D613" s="1333"/>
      <c r="E613" s="1333"/>
      <c r="F613" s="1334" t="s">
        <v>3996</v>
      </c>
      <c r="G613" s="1334" t="s">
        <v>4005</v>
      </c>
      <c r="H613" s="1334" t="s">
        <v>3193</v>
      </c>
      <c r="I613" s="1334">
        <v>45</v>
      </c>
      <c r="J613" s="1334"/>
      <c r="K613" s="1334"/>
    </row>
    <row r="614" spans="1:11" s="1302" customFormat="1" x14ac:dyDescent="0.2">
      <c r="A614" s="1330" t="s">
        <v>2296</v>
      </c>
      <c r="B614" s="1331" t="e">
        <f>'Part 4'!J73</f>
        <v>#N/A</v>
      </c>
      <c r="C614" s="1332" t="s">
        <v>3204</v>
      </c>
      <c r="D614" s="1333"/>
      <c r="E614" s="1333"/>
      <c r="F614" s="1334" t="s">
        <v>3998</v>
      </c>
      <c r="G614" s="1334" t="s">
        <v>4006</v>
      </c>
      <c r="H614" s="1334" t="s">
        <v>3193</v>
      </c>
      <c r="I614" s="1334">
        <v>46</v>
      </c>
      <c r="J614" s="1334"/>
      <c r="K614" s="1334"/>
    </row>
    <row r="615" spans="1:11" s="1302" customFormat="1" x14ac:dyDescent="0.2">
      <c r="A615" s="1330" t="s">
        <v>2297</v>
      </c>
      <c r="B615" s="1331" t="e">
        <f>'Part 4'!L73</f>
        <v>#N/A</v>
      </c>
      <c r="C615" s="1332" t="s">
        <v>3204</v>
      </c>
      <c r="D615" s="1333"/>
      <c r="E615" s="1333"/>
      <c r="F615" s="1334" t="s">
        <v>4000</v>
      </c>
      <c r="G615" s="1334" t="s">
        <v>4007</v>
      </c>
      <c r="H615" s="1334" t="s">
        <v>3193</v>
      </c>
      <c r="I615" s="1334">
        <v>47</v>
      </c>
      <c r="J615" s="1334"/>
      <c r="K615" s="1334"/>
    </row>
    <row r="616" spans="1:11" s="1302" customFormat="1" x14ac:dyDescent="0.2">
      <c r="A616" s="1330" t="s">
        <v>2298</v>
      </c>
      <c r="B616" s="1331" t="e">
        <f>'Part 4'!N73</f>
        <v>#N/A</v>
      </c>
      <c r="C616" s="1332" t="s">
        <v>3204</v>
      </c>
      <c r="D616" s="1333"/>
      <c r="E616" s="1333"/>
      <c r="F616" s="1334" t="s">
        <v>4002</v>
      </c>
      <c r="G616" s="1334" t="s">
        <v>4008</v>
      </c>
      <c r="H616" s="1334" t="s">
        <v>3193</v>
      </c>
      <c r="I616" s="1334">
        <v>48</v>
      </c>
      <c r="J616" s="1334"/>
      <c r="K616" s="1334"/>
    </row>
    <row r="617" spans="1:11" s="1302" customFormat="1" x14ac:dyDescent="0.2">
      <c r="A617" s="1330" t="s">
        <v>1556</v>
      </c>
      <c r="B617" s="1331" t="e">
        <f>'Part 4'!C76</f>
        <v>#N/A</v>
      </c>
      <c r="C617" s="1332" t="s">
        <v>3202</v>
      </c>
      <c r="D617" s="1333"/>
      <c r="E617" s="1333"/>
      <c r="F617" s="1334" t="s">
        <v>5117</v>
      </c>
      <c r="G617" s="1334" t="s">
        <v>4009</v>
      </c>
      <c r="H617" s="1334" t="s">
        <v>3193</v>
      </c>
      <c r="I617" s="1334">
        <v>49</v>
      </c>
      <c r="J617" s="1334"/>
      <c r="K617" s="1334"/>
    </row>
    <row r="618" spans="1:11" s="1302" customFormat="1" x14ac:dyDescent="0.2">
      <c r="A618" s="1330" t="s">
        <v>1557</v>
      </c>
      <c r="B618" s="1331" t="e">
        <f>'Part 4'!C77</f>
        <v>#N/A</v>
      </c>
      <c r="C618" s="1332" t="s">
        <v>3202</v>
      </c>
      <c r="D618" s="1333"/>
      <c r="E618" s="1333"/>
      <c r="F618" s="1334" t="s">
        <v>5118</v>
      </c>
      <c r="G618" s="1334" t="s">
        <v>4010</v>
      </c>
      <c r="H618" s="1334" t="s">
        <v>3193</v>
      </c>
      <c r="I618" s="1334">
        <v>50</v>
      </c>
      <c r="J618" s="1334"/>
      <c r="K618" s="1334"/>
    </row>
    <row r="619" spans="1:11" s="1302" customFormat="1" x14ac:dyDescent="0.2">
      <c r="A619" s="1330" t="s">
        <v>1558</v>
      </c>
      <c r="B619" s="1331" t="e">
        <f>'Part 4'!C78</f>
        <v>#N/A</v>
      </c>
      <c r="C619" s="1332" t="s">
        <v>3202</v>
      </c>
      <c r="D619" s="1333"/>
      <c r="E619" s="1333"/>
      <c r="F619" s="1334" t="s">
        <v>5119</v>
      </c>
      <c r="G619" s="1334" t="s">
        <v>4011</v>
      </c>
      <c r="H619" s="1334" t="s">
        <v>3193</v>
      </c>
      <c r="I619" s="1334">
        <v>51</v>
      </c>
      <c r="J619" s="1334"/>
      <c r="K619" s="1334"/>
    </row>
    <row r="620" spans="1:11" s="1302" customFormat="1" x14ac:dyDescent="0.2">
      <c r="A620" s="1330" t="s">
        <v>1559</v>
      </c>
      <c r="B620" s="1331" t="str">
        <f>'Part 4'!C79</f>
        <v>Please enter comments here</v>
      </c>
      <c r="C620" s="1332" t="s">
        <v>3202</v>
      </c>
      <c r="D620" s="1333"/>
      <c r="E620" s="1333"/>
      <c r="F620" s="1334" t="s">
        <v>5116</v>
      </c>
      <c r="G620" s="1334" t="s">
        <v>4012</v>
      </c>
      <c r="H620" s="1334" t="s">
        <v>3193</v>
      </c>
      <c r="I620" s="1334">
        <v>52</v>
      </c>
      <c r="J620" s="1334"/>
      <c r="K620" s="1334"/>
    </row>
    <row r="621" spans="1:11" s="1302" customFormat="1" x14ac:dyDescent="0.2">
      <c r="A621" s="1337" t="s">
        <v>2949</v>
      </c>
      <c r="B621" s="1338">
        <f>adj_factor</f>
        <v>0.26853707414829658</v>
      </c>
      <c r="C621" s="1339" t="s">
        <v>3224</v>
      </c>
      <c r="D621" s="1340"/>
      <c r="E621" s="1340"/>
      <c r="F621" s="1290" t="s">
        <v>4839</v>
      </c>
      <c r="G621" s="1290" t="s">
        <v>4013</v>
      </c>
      <c r="H621" s="1290" t="s">
        <v>4840</v>
      </c>
      <c r="I621" s="1290">
        <v>1</v>
      </c>
      <c r="J621" s="1290"/>
      <c r="K621" s="1290"/>
    </row>
    <row r="622" spans="1:11" s="1302" customFormat="1" x14ac:dyDescent="0.2">
      <c r="A622" s="1337" t="s">
        <v>2950</v>
      </c>
      <c r="B622" s="1338">
        <f>adj_factor_supp</f>
        <v>0.16756756756756758</v>
      </c>
      <c r="C622" s="1339" t="s">
        <v>3224</v>
      </c>
      <c r="D622" s="1340"/>
      <c r="E622" s="1340"/>
      <c r="F622" s="1290" t="s">
        <v>4014</v>
      </c>
      <c r="G622" s="1290" t="s">
        <v>4015</v>
      </c>
      <c r="H622" s="1290" t="s">
        <v>4840</v>
      </c>
      <c r="I622" s="1290">
        <v>2</v>
      </c>
      <c r="J622" s="1290"/>
      <c r="K622" s="1290"/>
    </row>
    <row r="623" spans="1:11" s="1302" customFormat="1" x14ac:dyDescent="0.2">
      <c r="A623" s="1337" t="s">
        <v>2316</v>
      </c>
      <c r="B623" s="1341">
        <f>INDEX(TierSplit!CN:CN,MATCH(Import_LA_Code,Ref_LA_Codes2,0))</f>
        <v>0</v>
      </c>
      <c r="C623" s="1339" t="s">
        <v>3224</v>
      </c>
      <c r="D623" s="1340"/>
      <c r="E623" s="1340"/>
      <c r="F623" s="1290" t="s">
        <v>4017</v>
      </c>
      <c r="G623" s="1290" t="s">
        <v>4016</v>
      </c>
      <c r="H623" s="1290" t="s">
        <v>4840</v>
      </c>
      <c r="I623" s="1290">
        <v>3</v>
      </c>
      <c r="J623" s="1290"/>
      <c r="K623" s="1290"/>
    </row>
    <row r="624" spans="1:11" s="1302" customFormat="1" x14ac:dyDescent="0.2">
      <c r="A624" s="1337" t="s">
        <v>2317</v>
      </c>
      <c r="B624" s="1341">
        <f>INDEX(TierSplit!CQ:CQ,MATCH(Import_LA_Code,Ref_LA_Codes2,0))</f>
        <v>0</v>
      </c>
      <c r="C624" s="1339" t="s">
        <v>3224</v>
      </c>
      <c r="D624" s="1340"/>
      <c r="E624" s="1340"/>
      <c r="F624" s="1290" t="s">
        <v>4019</v>
      </c>
      <c r="G624" s="1290" t="s">
        <v>4018</v>
      </c>
      <c r="H624" s="1290" t="s">
        <v>4840</v>
      </c>
      <c r="I624" s="1290">
        <v>4</v>
      </c>
      <c r="J624" s="1290"/>
      <c r="K624" s="1290"/>
    </row>
    <row r="625" spans="1:11" s="1302" customFormat="1" x14ac:dyDescent="0.2">
      <c r="A625" s="1337" t="s">
        <v>2318</v>
      </c>
      <c r="B625" s="1341">
        <f>Local_Share_Total</f>
        <v>0</v>
      </c>
      <c r="C625" s="1339" t="s">
        <v>3224</v>
      </c>
      <c r="D625" s="1340"/>
      <c r="E625" s="1340"/>
      <c r="F625" s="1290" t="s">
        <v>4021</v>
      </c>
      <c r="G625" s="1290" t="s">
        <v>4020</v>
      </c>
      <c r="H625" s="1290" t="s">
        <v>4840</v>
      </c>
      <c r="I625" s="1290">
        <v>5</v>
      </c>
      <c r="J625" s="1290"/>
      <c r="K625" s="1290"/>
    </row>
    <row r="626" spans="1:11" s="1302" customFormat="1" x14ac:dyDescent="0.2">
      <c r="A626" s="1337" t="s">
        <v>2319</v>
      </c>
      <c r="B626" s="1342">
        <f>INDEX(TierSplit!CJ:CJ,MATCH(Import_LA_Code,Ref_LA_Codes2,0))</f>
        <v>0.75</v>
      </c>
      <c r="C626" s="1339" t="s">
        <v>3224</v>
      </c>
      <c r="D626" s="1340"/>
      <c r="E626" s="1340"/>
      <c r="F626" s="1290" t="s">
        <v>4023</v>
      </c>
      <c r="G626" s="1290" t="s">
        <v>4022</v>
      </c>
      <c r="H626" s="1290" t="s">
        <v>4840</v>
      </c>
      <c r="I626" s="1290">
        <v>6</v>
      </c>
      <c r="J626" s="1290"/>
      <c r="K626" s="1290"/>
    </row>
    <row r="627" spans="1:11" s="1302" customFormat="1" x14ac:dyDescent="0.2">
      <c r="A627" s="1337" t="s">
        <v>2320</v>
      </c>
      <c r="B627" s="1343" t="e">
        <f>INDEX(Data!BL:BL,MATCH(Import_LA_Code,Ref_LA_Codes,0))</f>
        <v>#N/A</v>
      </c>
      <c r="C627" s="1339" t="s">
        <v>3204</v>
      </c>
      <c r="D627" s="1340"/>
      <c r="E627" s="1340"/>
      <c r="F627" s="1290" t="s">
        <v>4025</v>
      </c>
      <c r="G627" s="1290" t="s">
        <v>4024</v>
      </c>
      <c r="H627" s="1290" t="s">
        <v>4840</v>
      </c>
      <c r="I627" s="1290">
        <v>7</v>
      </c>
      <c r="J627" s="1290"/>
      <c r="K627" s="1290"/>
    </row>
    <row r="628" spans="1:11" s="1302" customFormat="1" x14ac:dyDescent="0.2">
      <c r="A628" s="1337" t="s">
        <v>2321</v>
      </c>
      <c r="B628" s="1343" t="e">
        <f>INDEX(Data!BM:BM,MATCH(Import_LA_Code,Ref_LA_Codes,0))</f>
        <v>#N/A</v>
      </c>
      <c r="C628" s="1339" t="s">
        <v>3204</v>
      </c>
      <c r="D628" s="1340"/>
      <c r="E628" s="1340"/>
      <c r="F628" s="1290" t="s">
        <v>4027</v>
      </c>
      <c r="G628" s="1290" t="s">
        <v>4026</v>
      </c>
      <c r="H628" s="1290" t="s">
        <v>4840</v>
      </c>
      <c r="I628" s="1290">
        <v>8</v>
      </c>
      <c r="J628" s="1290"/>
      <c r="K628" s="1290"/>
    </row>
    <row r="629" spans="1:11" s="1302" customFormat="1" x14ac:dyDescent="0.2">
      <c r="A629" s="1337" t="s">
        <v>2322</v>
      </c>
      <c r="B629" s="1341">
        <f>INDEX(TierSplit!C:C,MATCH(Import_LA_Code,Ref_LA_Codes2,0))</f>
        <v>0</v>
      </c>
      <c r="C629" s="1339" t="s">
        <v>3224</v>
      </c>
      <c r="D629" s="1340"/>
      <c r="E629" s="1340"/>
      <c r="F629" s="1290" t="s">
        <v>4029</v>
      </c>
      <c r="G629" s="1290" t="s">
        <v>4028</v>
      </c>
      <c r="H629" s="1290" t="s">
        <v>4840</v>
      </c>
      <c r="I629" s="1290">
        <v>9</v>
      </c>
      <c r="J629" s="1290"/>
      <c r="K629" s="1290"/>
    </row>
    <row r="630" spans="1:11" s="1302" customFormat="1" x14ac:dyDescent="0.2">
      <c r="A630" s="1337" t="s">
        <v>2327</v>
      </c>
      <c r="B630" s="1341">
        <f>INDEX(TierSplit!F:F,MATCH(Import_LA_Code,Ref_LA_Codes2,0))</f>
        <v>0</v>
      </c>
      <c r="C630" s="1339" t="s">
        <v>3224</v>
      </c>
      <c r="D630" s="1340"/>
      <c r="E630" s="1340"/>
      <c r="F630" s="1290" t="s">
        <v>4031</v>
      </c>
      <c r="G630" s="1290" t="s">
        <v>4030</v>
      </c>
      <c r="H630" s="1290" t="s">
        <v>4840</v>
      </c>
      <c r="I630" s="1290">
        <v>10</v>
      </c>
      <c r="J630" s="1290"/>
      <c r="K630" s="1290"/>
    </row>
    <row r="631" spans="1:11" s="1302" customFormat="1" x14ac:dyDescent="0.2">
      <c r="A631" s="1337" t="s">
        <v>2323</v>
      </c>
      <c r="B631" s="1341">
        <f>INDEX(TierSplit!I:I,MATCH(Import_LA_Code,Ref_LA_Codes2,0))</f>
        <v>0</v>
      </c>
      <c r="C631" s="1339" t="s">
        <v>3224</v>
      </c>
      <c r="D631" s="1340"/>
      <c r="E631" s="1340"/>
      <c r="F631" s="1290" t="s">
        <v>4033</v>
      </c>
      <c r="G631" s="1290" t="s">
        <v>4032</v>
      </c>
      <c r="H631" s="1290" t="s">
        <v>4840</v>
      </c>
      <c r="I631" s="1290">
        <v>11</v>
      </c>
      <c r="J631" s="1290"/>
      <c r="K631" s="1290"/>
    </row>
    <row r="632" spans="1:11" s="1302" customFormat="1" x14ac:dyDescent="0.2">
      <c r="A632" s="1337" t="s">
        <v>2324</v>
      </c>
      <c r="B632" s="1341">
        <f>1-B625</f>
        <v>1</v>
      </c>
      <c r="C632" s="1339" t="s">
        <v>3224</v>
      </c>
      <c r="D632" s="1340"/>
      <c r="E632" s="1340"/>
      <c r="F632" s="1290" t="s">
        <v>4035</v>
      </c>
      <c r="G632" s="1290" t="s">
        <v>4034</v>
      </c>
      <c r="H632" s="1290" t="s">
        <v>4840</v>
      </c>
      <c r="I632" s="1290">
        <v>12</v>
      </c>
      <c r="J632" s="1290"/>
      <c r="K632" s="1290"/>
    </row>
    <row r="633" spans="1:11" s="1302" customFormat="1" x14ac:dyDescent="0.2">
      <c r="A633" s="1337" t="s">
        <v>2661</v>
      </c>
      <c r="B633" s="1341">
        <f>INDEX(TierSplit!K:K,MATCH(Import_LA_Code,Ref_LA_Codes2,0))</f>
        <v>0</v>
      </c>
      <c r="C633" s="1339" t="s">
        <v>3224</v>
      </c>
      <c r="D633" s="1340"/>
      <c r="E633" s="1340"/>
      <c r="F633" s="1290" t="s">
        <v>4037</v>
      </c>
      <c r="G633" s="1290" t="s">
        <v>4036</v>
      </c>
      <c r="H633" s="1290" t="s">
        <v>4840</v>
      </c>
      <c r="I633" s="1290">
        <v>13</v>
      </c>
      <c r="J633" s="1290"/>
      <c r="K633" s="1290"/>
    </row>
    <row r="634" spans="1:11" s="1302" customFormat="1" x14ac:dyDescent="0.2">
      <c r="A634" s="1337" t="s">
        <v>2662</v>
      </c>
      <c r="B634" s="1341">
        <f>INDEX(TierSplit!N:N,MATCH(Import_LA_Code,Ref_LA_Codes2,0))</f>
        <v>0</v>
      </c>
      <c r="C634" s="1339" t="s">
        <v>3224</v>
      </c>
      <c r="D634" s="1340"/>
      <c r="E634" s="1340"/>
      <c r="F634" s="1290" t="s">
        <v>4039</v>
      </c>
      <c r="G634" s="1290" t="s">
        <v>4038</v>
      </c>
      <c r="H634" s="1290" t="s">
        <v>4840</v>
      </c>
      <c r="I634" s="1290">
        <v>14</v>
      </c>
      <c r="J634" s="1290"/>
      <c r="K634" s="1290"/>
    </row>
    <row r="635" spans="1:11" s="1302" customFormat="1" x14ac:dyDescent="0.2">
      <c r="A635" s="1337" t="s">
        <v>2663</v>
      </c>
      <c r="B635" s="1341">
        <f>INDEX(TierSplit!Q:Q,MATCH(Import_LA_Code,Ref_LA_Codes2,0))</f>
        <v>0</v>
      </c>
      <c r="C635" s="1339" t="s">
        <v>3224</v>
      </c>
      <c r="D635" s="1340"/>
      <c r="E635" s="1340"/>
      <c r="F635" s="1290" t="s">
        <v>4041</v>
      </c>
      <c r="G635" s="1290" t="s">
        <v>4040</v>
      </c>
      <c r="H635" s="1290" t="s">
        <v>4840</v>
      </c>
      <c r="I635" s="1290">
        <v>15</v>
      </c>
      <c r="J635" s="1290"/>
      <c r="K635" s="1290"/>
    </row>
    <row r="636" spans="1:11" s="1302" customFormat="1" x14ac:dyDescent="0.2">
      <c r="A636" s="1337" t="s">
        <v>2664</v>
      </c>
      <c r="B636" s="1341">
        <f>1-B633-B634-B635</f>
        <v>1</v>
      </c>
      <c r="C636" s="1339" t="s">
        <v>3224</v>
      </c>
      <c r="D636" s="1340"/>
      <c r="E636" s="1340"/>
      <c r="F636" s="1290" t="s">
        <v>4045</v>
      </c>
      <c r="G636" s="1290" t="s">
        <v>4042</v>
      </c>
      <c r="H636" s="1290" t="s">
        <v>4840</v>
      </c>
      <c r="I636" s="1290">
        <v>16</v>
      </c>
      <c r="J636" s="1290"/>
      <c r="K636" s="1290"/>
    </row>
    <row r="637" spans="1:11" s="1302" customFormat="1" x14ac:dyDescent="0.2">
      <c r="A637" s="1337" t="s">
        <v>2325</v>
      </c>
      <c r="B637" s="1343" t="e">
        <f>INDEX(Data!D:D,MATCH(Import_LA_Code,Ref_LA_Codes,0))</f>
        <v>#N/A</v>
      </c>
      <c r="C637" s="1339" t="s">
        <v>3204</v>
      </c>
      <c r="D637" s="1340"/>
      <c r="E637" s="1340"/>
      <c r="F637" s="1290" t="s">
        <v>4841</v>
      </c>
      <c r="G637" s="1290" t="s">
        <v>4043</v>
      </c>
      <c r="H637" s="1290" t="s">
        <v>4840</v>
      </c>
      <c r="I637" s="1290">
        <v>17</v>
      </c>
      <c r="J637" s="1290"/>
      <c r="K637" s="1290"/>
    </row>
    <row r="638" spans="1:11" s="1302" customFormat="1" x14ac:dyDescent="0.2">
      <c r="A638" s="1337" t="s">
        <v>2326</v>
      </c>
      <c r="B638" s="1343">
        <f>'Part 1'!W279</f>
        <v>0</v>
      </c>
      <c r="C638" s="1339" t="s">
        <v>3198</v>
      </c>
      <c r="D638" s="1340"/>
      <c r="E638" s="1340"/>
      <c r="F638" s="1290" t="s">
        <v>4047</v>
      </c>
      <c r="G638" s="1290" t="s">
        <v>4044</v>
      </c>
      <c r="H638" s="1290" t="s">
        <v>4840</v>
      </c>
      <c r="I638" s="1290">
        <v>18</v>
      </c>
      <c r="J638" s="1290"/>
      <c r="K638" s="1290"/>
    </row>
    <row r="639" spans="1:11" s="1302" customFormat="1" x14ac:dyDescent="0.2">
      <c r="A639" s="1337" t="s">
        <v>2660</v>
      </c>
      <c r="B639" s="1343">
        <f>'Supplementary Information'!$K$68</f>
        <v>0</v>
      </c>
      <c r="C639" s="1339" t="s">
        <v>3204</v>
      </c>
      <c r="D639" s="1340"/>
      <c r="E639" s="1340"/>
      <c r="F639" s="1290" t="s">
        <v>4049</v>
      </c>
      <c r="G639" s="1290" t="s">
        <v>4046</v>
      </c>
      <c r="H639" s="1290" t="s">
        <v>4840</v>
      </c>
      <c r="I639" s="1290">
        <v>19</v>
      </c>
      <c r="J639" s="1290"/>
      <c r="K639" s="1290"/>
    </row>
    <row r="640" spans="1:11" s="1302" customFormat="1" x14ac:dyDescent="0.2">
      <c r="A640" s="1337" t="s">
        <v>2671</v>
      </c>
      <c r="B640" s="1342">
        <f>SBRR_Supplement</f>
        <v>5.6000000000000001E-2</v>
      </c>
      <c r="C640" s="1339" t="s">
        <v>3224</v>
      </c>
      <c r="D640" s="1340"/>
      <c r="E640" s="1340"/>
      <c r="F640" s="1290" t="s">
        <v>4842</v>
      </c>
      <c r="G640" s="1290" t="s">
        <v>4048</v>
      </c>
      <c r="H640" s="1290" t="s">
        <v>4840</v>
      </c>
      <c r="I640" s="1290">
        <v>20</v>
      </c>
      <c r="J640" s="1290"/>
      <c r="K640" s="1290"/>
    </row>
    <row r="641" spans="1:11" s="1302" customFormat="1" x14ac:dyDescent="0.2">
      <c r="A641" s="1290" t="s">
        <v>3084</v>
      </c>
      <c r="B641" s="1342">
        <f>SBRR_supp_historic</f>
        <v>1.2999999999999999E-2</v>
      </c>
      <c r="C641" s="1339" t="s">
        <v>3224</v>
      </c>
      <c r="D641" s="1340"/>
      <c r="E641" s="1340"/>
      <c r="F641" s="1290" t="s">
        <v>4843</v>
      </c>
      <c r="G641" s="1290" t="s">
        <v>4050</v>
      </c>
      <c r="H641" s="1290" t="s">
        <v>4840</v>
      </c>
      <c r="I641" s="1290">
        <v>21</v>
      </c>
      <c r="J641" s="1290"/>
      <c r="K641" s="1290"/>
    </row>
    <row r="642" spans="1:11" s="1334" customFormat="1" x14ac:dyDescent="0.2">
      <c r="A642" s="1337" t="s">
        <v>3019</v>
      </c>
      <c r="B642" s="1342">
        <f>small_share_baa</f>
        <v>0</v>
      </c>
      <c r="C642" s="1339" t="s">
        <v>3224</v>
      </c>
      <c r="D642" s="1340"/>
      <c r="E642" s="1340"/>
      <c r="F642" s="1290" t="s">
        <v>4844</v>
      </c>
      <c r="G642" s="1290" t="s">
        <v>4051</v>
      </c>
      <c r="H642" s="1290" t="s">
        <v>4840</v>
      </c>
      <c r="I642" s="1290">
        <v>22</v>
      </c>
      <c r="J642" s="1290"/>
      <c r="K642" s="1290"/>
    </row>
    <row r="643" spans="1:11" s="1334" customFormat="1" x14ac:dyDescent="0.2">
      <c r="A643" s="1337" t="s">
        <v>3020</v>
      </c>
      <c r="B643" s="1342">
        <f>small_share_da</f>
        <v>0</v>
      </c>
      <c r="C643" s="1339" t="s">
        <v>3224</v>
      </c>
      <c r="D643" s="1340"/>
      <c r="E643" s="1340"/>
      <c r="F643" s="1290" t="s">
        <v>4845</v>
      </c>
      <c r="G643" s="1290" t="s">
        <v>4052</v>
      </c>
      <c r="H643" s="1290" t="s">
        <v>4840</v>
      </c>
      <c r="I643" s="1290">
        <v>23</v>
      </c>
      <c r="J643" s="1290"/>
      <c r="K643" s="1290"/>
    </row>
    <row r="644" spans="1:11" s="1334" customFormat="1" x14ac:dyDescent="0.2">
      <c r="A644" s="1337" t="s">
        <v>3021</v>
      </c>
      <c r="B644" s="1342">
        <f>small_share_total</f>
        <v>0</v>
      </c>
      <c r="C644" s="1339" t="s">
        <v>3224</v>
      </c>
      <c r="D644" s="1340"/>
      <c r="E644" s="1340"/>
      <c r="F644" s="1290" t="s">
        <v>4846</v>
      </c>
      <c r="G644" s="1290" t="s">
        <v>4053</v>
      </c>
      <c r="H644" s="1290" t="s">
        <v>4840</v>
      </c>
      <c r="I644" s="1290">
        <v>24</v>
      </c>
      <c r="J644" s="1290"/>
      <c r="K644" s="1290"/>
    </row>
    <row r="645" spans="1:11" s="1334" customFormat="1" x14ac:dyDescent="0.2">
      <c r="A645" s="1337" t="s">
        <v>3022</v>
      </c>
      <c r="B645" s="1342">
        <f>standard_share_baa</f>
        <v>0</v>
      </c>
      <c r="C645" s="1339" t="s">
        <v>3224</v>
      </c>
      <c r="D645" s="1340"/>
      <c r="E645" s="1340"/>
      <c r="F645" s="1290" t="s">
        <v>4847</v>
      </c>
      <c r="G645" s="1290" t="s">
        <v>4054</v>
      </c>
      <c r="H645" s="1290" t="s">
        <v>4840</v>
      </c>
      <c r="I645" s="1290">
        <v>25</v>
      </c>
      <c r="J645" s="1290"/>
      <c r="K645" s="1290"/>
    </row>
    <row r="646" spans="1:11" s="1334" customFormat="1" x14ac:dyDescent="0.2">
      <c r="A646" s="1337" t="s">
        <v>3023</v>
      </c>
      <c r="B646" s="1342">
        <f>standard_share_da</f>
        <v>0</v>
      </c>
      <c r="C646" s="1339" t="s">
        <v>3224</v>
      </c>
      <c r="D646" s="1340"/>
      <c r="E646" s="1340"/>
      <c r="F646" s="1290" t="s">
        <v>4848</v>
      </c>
      <c r="G646" s="1290" t="s">
        <v>4055</v>
      </c>
      <c r="H646" s="1290" t="s">
        <v>4840</v>
      </c>
      <c r="I646" s="1290">
        <v>26</v>
      </c>
      <c r="J646" s="1290"/>
      <c r="K646" s="1290"/>
    </row>
    <row r="647" spans="1:11" s="1334" customFormat="1" x14ac:dyDescent="0.2">
      <c r="A647" s="1337" t="s">
        <v>3024</v>
      </c>
      <c r="B647" s="1342">
        <f>standard_share_total</f>
        <v>0</v>
      </c>
      <c r="C647" s="1339" t="s">
        <v>3224</v>
      </c>
      <c r="D647" s="1340"/>
      <c r="E647" s="1340"/>
      <c r="F647" s="1290" t="s">
        <v>4849</v>
      </c>
      <c r="G647" s="1290" t="s">
        <v>4056</v>
      </c>
      <c r="H647" s="1290" t="s">
        <v>4840</v>
      </c>
      <c r="I647" s="1290">
        <v>27</v>
      </c>
      <c r="J647" s="1290"/>
      <c r="K647" s="1290"/>
    </row>
    <row r="648" spans="1:11" s="1380" customFormat="1" x14ac:dyDescent="0.2">
      <c r="A648" s="1344" t="s">
        <v>1560</v>
      </c>
      <c r="B648" s="1345">
        <f>'Supplementary Information'!$H$24</f>
        <v>0</v>
      </c>
      <c r="C648" s="1346" t="s">
        <v>3204</v>
      </c>
      <c r="D648" s="1347"/>
      <c r="E648" s="1347"/>
      <c r="F648" s="1348" t="s">
        <v>4057</v>
      </c>
      <c r="G648" s="1348" t="s">
        <v>4058</v>
      </c>
      <c r="H648" s="1348" t="s">
        <v>3194</v>
      </c>
      <c r="I648" s="1348">
        <v>1</v>
      </c>
      <c r="J648" s="1348"/>
      <c r="K648" s="1348"/>
    </row>
    <row r="649" spans="1:11" s="1380" customFormat="1" x14ac:dyDescent="0.2">
      <c r="A649" s="1344" t="s">
        <v>1561</v>
      </c>
      <c r="B649" s="1345">
        <f>'Supplementary Information'!$H$26</f>
        <v>0</v>
      </c>
      <c r="C649" s="1346" t="s">
        <v>3204</v>
      </c>
      <c r="D649" s="1347"/>
      <c r="E649" s="1347"/>
      <c r="F649" s="1348" t="s">
        <v>4059</v>
      </c>
      <c r="G649" s="1348" t="s">
        <v>4060</v>
      </c>
      <c r="H649" s="1348" t="s">
        <v>3194</v>
      </c>
      <c r="I649" s="1348">
        <v>2</v>
      </c>
      <c r="J649" s="1348"/>
      <c r="K649" s="1348"/>
    </row>
    <row r="650" spans="1:11" s="1380" customFormat="1" x14ac:dyDescent="0.2">
      <c r="A650" s="1344" t="s">
        <v>1562</v>
      </c>
      <c r="B650" s="1345">
        <f>'Supplementary Information'!$H$28</f>
        <v>0</v>
      </c>
      <c r="C650" s="1346" t="s">
        <v>3204</v>
      </c>
      <c r="D650" s="1347"/>
      <c r="E650" s="1347"/>
      <c r="F650" s="1348" t="s">
        <v>4061</v>
      </c>
      <c r="G650" s="1348" t="s">
        <v>4062</v>
      </c>
      <c r="H650" s="1348" t="s">
        <v>3194</v>
      </c>
      <c r="I650" s="1348">
        <v>3</v>
      </c>
      <c r="J650" s="1348"/>
      <c r="K650" s="1348"/>
    </row>
    <row r="651" spans="1:11" s="1380" customFormat="1" x14ac:dyDescent="0.2">
      <c r="A651" s="1344" t="s">
        <v>2230</v>
      </c>
      <c r="B651" s="1345">
        <f>'Supplementary Information'!H31</f>
        <v>0</v>
      </c>
      <c r="C651" s="1346" t="s">
        <v>3204</v>
      </c>
      <c r="D651" s="1347"/>
      <c r="E651" s="1347"/>
      <c r="F651" s="1348" t="s">
        <v>5120</v>
      </c>
      <c r="G651" s="1348" t="s">
        <v>4064</v>
      </c>
      <c r="H651" s="1348" t="s">
        <v>3194</v>
      </c>
      <c r="I651" s="1348">
        <v>4</v>
      </c>
      <c r="J651" s="1348"/>
      <c r="K651" s="1348"/>
    </row>
    <row r="652" spans="1:11" s="1380" customFormat="1" x14ac:dyDescent="0.2">
      <c r="A652" s="1344" t="s">
        <v>1563</v>
      </c>
      <c r="B652" s="1345">
        <f>'Supplementary Information'!$H$33</f>
        <v>0</v>
      </c>
      <c r="C652" s="1346" t="s">
        <v>3204</v>
      </c>
      <c r="D652" s="1347"/>
      <c r="E652" s="1347"/>
      <c r="F652" s="1348" t="s">
        <v>4063</v>
      </c>
      <c r="G652" s="1348" t="s">
        <v>4066</v>
      </c>
      <c r="H652" s="1348" t="s">
        <v>3194</v>
      </c>
      <c r="I652" s="1348">
        <v>5</v>
      </c>
      <c r="J652" s="1348"/>
      <c r="K652" s="1348"/>
    </row>
    <row r="653" spans="1:11" s="1380" customFormat="1" x14ac:dyDescent="0.2">
      <c r="A653" s="1344" t="s">
        <v>1564</v>
      </c>
      <c r="B653" s="1345">
        <f>'Supplementary Information'!$H$35</f>
        <v>0</v>
      </c>
      <c r="C653" s="1346" t="s">
        <v>3204</v>
      </c>
      <c r="D653" s="1347"/>
      <c r="E653" s="1347"/>
      <c r="F653" s="1348" t="s">
        <v>4065</v>
      </c>
      <c r="G653" s="1348" t="s">
        <v>4068</v>
      </c>
      <c r="H653" s="1348" t="s">
        <v>3194</v>
      </c>
      <c r="I653" s="1348">
        <v>6</v>
      </c>
      <c r="J653" s="1348"/>
      <c r="K653" s="1348"/>
    </row>
    <row r="654" spans="1:11" s="1380" customFormat="1" x14ac:dyDescent="0.2">
      <c r="A654" s="1344" t="s">
        <v>1565</v>
      </c>
      <c r="B654" s="1345">
        <f>'Supplementary Information'!$H$37</f>
        <v>0</v>
      </c>
      <c r="C654" s="1346" t="s">
        <v>3204</v>
      </c>
      <c r="D654" s="1347"/>
      <c r="E654" s="1347"/>
      <c r="F654" s="1348" t="s">
        <v>5121</v>
      </c>
      <c r="G654" s="1348" t="s">
        <v>4069</v>
      </c>
      <c r="H654" s="1348" t="s">
        <v>3194</v>
      </c>
      <c r="I654" s="1348">
        <v>7</v>
      </c>
      <c r="J654" s="1348"/>
      <c r="K654" s="1348"/>
    </row>
    <row r="655" spans="1:11" s="1380" customFormat="1" x14ac:dyDescent="0.2">
      <c r="A655" s="1344" t="s">
        <v>1566</v>
      </c>
      <c r="B655" s="1345">
        <f>'Supplementary Information'!$H$39</f>
        <v>0</v>
      </c>
      <c r="C655" s="1346" t="s">
        <v>3204</v>
      </c>
      <c r="D655" s="1347"/>
      <c r="E655" s="1347"/>
      <c r="F655" s="1348" t="s">
        <v>5122</v>
      </c>
      <c r="G655" s="1348" t="s">
        <v>4070</v>
      </c>
      <c r="H655" s="1348" t="s">
        <v>3194</v>
      </c>
      <c r="I655" s="1348">
        <v>8</v>
      </c>
      <c r="J655" s="1348"/>
      <c r="K655" s="1348"/>
    </row>
    <row r="656" spans="1:11" s="1380" customFormat="1" x14ac:dyDescent="0.2">
      <c r="A656" s="1344" t="s">
        <v>1567</v>
      </c>
      <c r="B656" s="1345">
        <f>'Supplementary Information'!$H$41</f>
        <v>0</v>
      </c>
      <c r="C656" s="1346" t="s">
        <v>3204</v>
      </c>
      <c r="D656" s="1347"/>
      <c r="E656" s="1347"/>
      <c r="F656" s="1348" t="s">
        <v>5123</v>
      </c>
      <c r="G656" s="1348" t="s">
        <v>4071</v>
      </c>
      <c r="H656" s="1348" t="s">
        <v>3194</v>
      </c>
      <c r="I656" s="1348">
        <v>9</v>
      </c>
      <c r="J656" s="1348"/>
      <c r="K656" s="1348"/>
    </row>
    <row r="657" spans="1:11" s="1380" customFormat="1" x14ac:dyDescent="0.2">
      <c r="A657" s="1344" t="s">
        <v>1568</v>
      </c>
      <c r="B657" s="1345">
        <f>'Supplementary Information'!$H$43</f>
        <v>0</v>
      </c>
      <c r="C657" s="1346" t="s">
        <v>3204</v>
      </c>
      <c r="D657" s="1347"/>
      <c r="E657" s="1347"/>
      <c r="F657" s="1348" t="s">
        <v>5124</v>
      </c>
      <c r="G657" s="1348" t="s">
        <v>4072</v>
      </c>
      <c r="H657" s="1348" t="s">
        <v>3194</v>
      </c>
      <c r="I657" s="1348">
        <v>10</v>
      </c>
      <c r="J657" s="1348"/>
      <c r="K657" s="1348"/>
    </row>
    <row r="658" spans="1:11" s="1380" customFormat="1" x14ac:dyDescent="0.2">
      <c r="A658" s="1344" t="s">
        <v>1569</v>
      </c>
      <c r="B658" s="1345">
        <f>'Supplementary Information'!$H$45</f>
        <v>0</v>
      </c>
      <c r="C658" s="1346" t="s">
        <v>3204</v>
      </c>
      <c r="D658" s="1347"/>
      <c r="E658" s="1347"/>
      <c r="F658" s="1348" t="s">
        <v>5125</v>
      </c>
      <c r="G658" s="1348" t="s">
        <v>4073</v>
      </c>
      <c r="H658" s="1348" t="s">
        <v>3194</v>
      </c>
      <c r="I658" s="1348">
        <v>11</v>
      </c>
      <c r="J658" s="1348"/>
      <c r="K658" s="1348"/>
    </row>
    <row r="659" spans="1:11" s="1380" customFormat="1" x14ac:dyDescent="0.2">
      <c r="A659" s="1344" t="s">
        <v>1570</v>
      </c>
      <c r="B659" s="1345">
        <f>'Supplementary Information'!$H$47</f>
        <v>0</v>
      </c>
      <c r="C659" s="1346" t="s">
        <v>3204</v>
      </c>
      <c r="D659" s="1347"/>
      <c r="E659" s="1347"/>
      <c r="F659" s="1348" t="s">
        <v>5126</v>
      </c>
      <c r="G659" s="1348" t="s">
        <v>4074</v>
      </c>
      <c r="H659" s="1348" t="s">
        <v>3194</v>
      </c>
      <c r="I659" s="1348">
        <v>12</v>
      </c>
      <c r="J659" s="1348"/>
      <c r="K659" s="1348"/>
    </row>
    <row r="660" spans="1:11" s="1380" customFormat="1" ht="15" customHeight="1" x14ac:dyDescent="0.2">
      <c r="A660" s="1344" t="s">
        <v>1572</v>
      </c>
      <c r="B660" s="1345">
        <f>'Supplementary Information'!$H$50</f>
        <v>0</v>
      </c>
      <c r="C660" s="1346" t="s">
        <v>3204</v>
      </c>
      <c r="D660" s="1347"/>
      <c r="E660" s="1347"/>
      <c r="F660" s="1348" t="s">
        <v>4067</v>
      </c>
      <c r="G660" s="1348" t="s">
        <v>4058</v>
      </c>
      <c r="H660" s="1348" t="s">
        <v>3194</v>
      </c>
      <c r="I660" s="1348">
        <v>14</v>
      </c>
      <c r="J660" s="1348"/>
      <c r="K660" s="1348"/>
    </row>
    <row r="661" spans="1:11" s="1380" customFormat="1" x14ac:dyDescent="0.2">
      <c r="A661" s="1344" t="s">
        <v>1573</v>
      </c>
      <c r="B661" s="1345">
        <f>'Supplementary Information'!$H$52</f>
        <v>0</v>
      </c>
      <c r="C661" s="1346" t="s">
        <v>3204</v>
      </c>
      <c r="D661" s="1347"/>
      <c r="E661" s="1347"/>
      <c r="F661" s="1348" t="s">
        <v>4075</v>
      </c>
      <c r="G661" s="1348" t="s">
        <v>4077</v>
      </c>
      <c r="H661" s="1348" t="s">
        <v>3194</v>
      </c>
      <c r="I661" s="1348">
        <v>15</v>
      </c>
      <c r="J661" s="1348"/>
      <c r="K661" s="1348"/>
    </row>
    <row r="662" spans="1:11" s="1380" customFormat="1" x14ac:dyDescent="0.2">
      <c r="A662" s="1344" t="s">
        <v>1574</v>
      </c>
      <c r="B662" s="1345">
        <f>'Supplementary Information'!$H$54</f>
        <v>0</v>
      </c>
      <c r="C662" s="1346" t="s">
        <v>3204</v>
      </c>
      <c r="D662" s="1347"/>
      <c r="E662" s="1347"/>
      <c r="F662" s="1348" t="s">
        <v>4076</v>
      </c>
      <c r="G662" s="1348" t="s">
        <v>4060</v>
      </c>
      <c r="H662" s="1348" t="s">
        <v>3194</v>
      </c>
      <c r="I662" s="1348">
        <v>16</v>
      </c>
      <c r="J662" s="1348"/>
      <c r="K662" s="1348"/>
    </row>
    <row r="663" spans="1:11" s="1365" customFormat="1" ht="14.25" customHeight="1" x14ac:dyDescent="0.25">
      <c r="A663" s="1349" t="s">
        <v>1575</v>
      </c>
      <c r="B663" s="1345">
        <v>0</v>
      </c>
      <c r="C663" s="1346" t="s">
        <v>3204</v>
      </c>
      <c r="D663" s="1347"/>
      <c r="E663" s="1347"/>
      <c r="F663" s="1348" t="s">
        <v>5127</v>
      </c>
      <c r="G663" s="1348" t="s">
        <v>4080</v>
      </c>
      <c r="H663" s="1348" t="s">
        <v>3194</v>
      </c>
      <c r="I663" s="1348">
        <v>17</v>
      </c>
      <c r="J663" s="1348"/>
      <c r="K663" s="1348"/>
    </row>
    <row r="664" spans="1:11" s="1380" customFormat="1" x14ac:dyDescent="0.2">
      <c r="A664" s="1344" t="s">
        <v>1576</v>
      </c>
      <c r="B664" s="1345">
        <f>'Supplementary Information'!$H$56</f>
        <v>0</v>
      </c>
      <c r="C664" s="1346" t="s">
        <v>3204</v>
      </c>
      <c r="D664" s="1347"/>
      <c r="E664" s="1347"/>
      <c r="F664" s="1348" t="s">
        <v>4078</v>
      </c>
      <c r="G664" s="1348" t="s">
        <v>4082</v>
      </c>
      <c r="H664" s="1348" t="s">
        <v>3194</v>
      </c>
      <c r="I664" s="1348">
        <v>18</v>
      </c>
      <c r="J664" s="1348"/>
      <c r="K664" s="1348"/>
    </row>
    <row r="665" spans="1:11" s="1380" customFormat="1" x14ac:dyDescent="0.2">
      <c r="A665" s="1344" t="s">
        <v>1577</v>
      </c>
      <c r="B665" s="1345">
        <f>'Supplementary Information'!$H$58</f>
        <v>0</v>
      </c>
      <c r="C665" s="1346" t="s">
        <v>3204</v>
      </c>
      <c r="D665" s="1347"/>
      <c r="E665" s="1347"/>
      <c r="F665" s="1348" t="s">
        <v>4079</v>
      </c>
      <c r="G665" s="1348" t="s">
        <v>4084</v>
      </c>
      <c r="H665" s="1348" t="s">
        <v>3194</v>
      </c>
      <c r="I665" s="1348">
        <v>19</v>
      </c>
      <c r="J665" s="1348"/>
      <c r="K665" s="1348"/>
    </row>
    <row r="666" spans="1:11" s="1380" customFormat="1" x14ac:dyDescent="0.2">
      <c r="A666" s="1344" t="s">
        <v>1578</v>
      </c>
      <c r="B666" s="1345">
        <f>'Supplementary Information'!$H$60</f>
        <v>0</v>
      </c>
      <c r="C666" s="1346" t="s">
        <v>3204</v>
      </c>
      <c r="D666" s="1347"/>
      <c r="E666" s="1347"/>
      <c r="F666" s="1348" t="s">
        <v>4081</v>
      </c>
      <c r="G666" s="1348" t="s">
        <v>4086</v>
      </c>
      <c r="H666" s="1348" t="s">
        <v>3194</v>
      </c>
      <c r="I666" s="1348">
        <v>20</v>
      </c>
      <c r="J666" s="1348"/>
      <c r="K666" s="1348"/>
    </row>
    <row r="667" spans="1:11" s="1500" customFormat="1" ht="15" x14ac:dyDescent="0.25">
      <c r="A667" s="1349" t="s">
        <v>1579</v>
      </c>
      <c r="B667" s="1345">
        <v>0</v>
      </c>
      <c r="C667" s="1346" t="s">
        <v>3204</v>
      </c>
      <c r="D667" s="1347"/>
      <c r="E667" s="1347"/>
      <c r="F667" s="1348" t="s">
        <v>5127</v>
      </c>
      <c r="G667" s="1348" t="s">
        <v>4088</v>
      </c>
      <c r="H667" s="1348" t="s">
        <v>3194</v>
      </c>
      <c r="I667" s="1348">
        <v>21</v>
      </c>
      <c r="J667" s="1348"/>
      <c r="K667" s="1348"/>
    </row>
    <row r="668" spans="1:11" s="1380" customFormat="1" x14ac:dyDescent="0.2">
      <c r="A668" s="1344" t="s">
        <v>1580</v>
      </c>
      <c r="B668" s="1345">
        <f>'Supplementary Information'!$H$64</f>
        <v>0</v>
      </c>
      <c r="C668" s="1346" t="s">
        <v>3204</v>
      </c>
      <c r="D668" s="1347"/>
      <c r="E668" s="1347"/>
      <c r="F668" s="1348" t="s">
        <v>4083</v>
      </c>
      <c r="G668" s="1348" t="s">
        <v>4090</v>
      </c>
      <c r="H668" s="1348" t="s">
        <v>3194</v>
      </c>
      <c r="I668" s="1348">
        <v>22</v>
      </c>
      <c r="J668" s="1348"/>
      <c r="K668" s="1348"/>
    </row>
    <row r="669" spans="1:11" s="1380" customFormat="1" x14ac:dyDescent="0.2">
      <c r="A669" s="1344" t="s">
        <v>1581</v>
      </c>
      <c r="B669" s="1345">
        <f>'Supplementary Information'!$H$66</f>
        <v>0</v>
      </c>
      <c r="C669" s="1346" t="s">
        <v>3204</v>
      </c>
      <c r="D669" s="1347"/>
      <c r="E669" s="1347"/>
      <c r="F669" s="1348" t="s">
        <v>4085</v>
      </c>
      <c r="G669" s="1348" t="s">
        <v>4092</v>
      </c>
      <c r="H669" s="1348" t="s">
        <v>3194</v>
      </c>
      <c r="I669" s="1348">
        <v>23</v>
      </c>
      <c r="J669" s="1348"/>
      <c r="K669" s="1348"/>
    </row>
    <row r="670" spans="1:11" s="1380" customFormat="1" x14ac:dyDescent="0.2">
      <c r="A670" s="1344" t="s">
        <v>1571</v>
      </c>
      <c r="B670" s="1345">
        <f>'Supplementary Information'!$H$68</f>
        <v>0</v>
      </c>
      <c r="C670" s="1346" t="s">
        <v>3204</v>
      </c>
      <c r="D670" s="1347"/>
      <c r="E670" s="1347"/>
      <c r="F670" s="1348" t="s">
        <v>4087</v>
      </c>
      <c r="G670" s="1348" t="s">
        <v>4094</v>
      </c>
      <c r="H670" s="1348" t="s">
        <v>3194</v>
      </c>
      <c r="I670" s="1348">
        <v>24</v>
      </c>
      <c r="J670" s="1348"/>
      <c r="K670" s="1348"/>
    </row>
    <row r="671" spans="1:11" s="1380" customFormat="1" x14ac:dyDescent="0.2">
      <c r="A671" s="1344" t="s">
        <v>2951</v>
      </c>
      <c r="B671" s="1345">
        <f>'Supplementary Information'!$H$70</f>
        <v>0</v>
      </c>
      <c r="C671" s="1346" t="s">
        <v>3204</v>
      </c>
      <c r="D671" s="1347"/>
      <c r="E671" s="1347"/>
      <c r="F671" s="1348" t="s">
        <v>4089</v>
      </c>
      <c r="G671" s="1348" t="s">
        <v>4095</v>
      </c>
      <c r="H671" s="1348" t="s">
        <v>3194</v>
      </c>
      <c r="I671" s="1348">
        <v>25</v>
      </c>
      <c r="J671" s="1348"/>
      <c r="K671" s="1348"/>
    </row>
    <row r="672" spans="1:11" s="1380" customFormat="1" x14ac:dyDescent="0.2">
      <c r="A672" s="1344" t="s">
        <v>1582</v>
      </c>
      <c r="B672" s="1345">
        <f>'Supplementary Information'!$H$73</f>
        <v>0</v>
      </c>
      <c r="C672" s="1346" t="s">
        <v>3204</v>
      </c>
      <c r="D672" s="1347"/>
      <c r="E672" s="1347"/>
      <c r="F672" s="1348" t="s">
        <v>4091</v>
      </c>
      <c r="G672" s="1348" t="s">
        <v>4096</v>
      </c>
      <c r="H672" s="1348" t="s">
        <v>3194</v>
      </c>
      <c r="I672" s="1348">
        <v>26</v>
      </c>
      <c r="J672" s="1348"/>
      <c r="K672" s="1348"/>
    </row>
    <row r="673" spans="1:11" s="1380" customFormat="1" x14ac:dyDescent="0.2">
      <c r="A673" s="1344" t="s">
        <v>1583</v>
      </c>
      <c r="B673" s="1345">
        <f>'Supplementary Information'!$H$75</f>
        <v>0</v>
      </c>
      <c r="C673" s="1346" t="s">
        <v>3204</v>
      </c>
      <c r="D673" s="1347"/>
      <c r="E673" s="1347"/>
      <c r="F673" s="1348" t="s">
        <v>4093</v>
      </c>
      <c r="G673" s="1348" t="s">
        <v>4097</v>
      </c>
      <c r="H673" s="1348" t="s">
        <v>3194</v>
      </c>
      <c r="I673" s="1348">
        <v>27</v>
      </c>
      <c r="J673" s="1348"/>
      <c r="K673" s="1348"/>
    </row>
    <row r="674" spans="1:11" s="1380" customFormat="1" x14ac:dyDescent="0.2">
      <c r="A674" s="1344" t="s">
        <v>1584</v>
      </c>
      <c r="B674" s="1345">
        <f>'Supplementary Information'!$H$78</f>
        <v>0</v>
      </c>
      <c r="C674" s="1346" t="s">
        <v>3204</v>
      </c>
      <c r="D674" s="1347"/>
      <c r="E674" s="1347"/>
      <c r="F674" s="1348" t="s">
        <v>5749</v>
      </c>
      <c r="G674" s="1348" t="s">
        <v>4098</v>
      </c>
      <c r="H674" s="1348" t="s">
        <v>3194</v>
      </c>
      <c r="I674" s="1348">
        <v>28</v>
      </c>
      <c r="J674" s="1348"/>
      <c r="K674" s="1348"/>
    </row>
    <row r="675" spans="1:11" s="1380" customFormat="1" x14ac:dyDescent="0.2">
      <c r="A675" s="1344" t="s">
        <v>1585</v>
      </c>
      <c r="B675" s="1345">
        <f>'Supplementary Information'!$H$80</f>
        <v>0</v>
      </c>
      <c r="C675" s="1346" t="s">
        <v>3204</v>
      </c>
      <c r="D675" s="1347"/>
      <c r="E675" s="1347"/>
      <c r="F675" s="1348" t="s">
        <v>5750</v>
      </c>
      <c r="G675" s="1348" t="s">
        <v>4099</v>
      </c>
      <c r="H675" s="1348" t="s">
        <v>3194</v>
      </c>
      <c r="I675" s="1348">
        <v>29</v>
      </c>
      <c r="J675" s="1348"/>
      <c r="K675" s="1348"/>
    </row>
    <row r="676" spans="1:11" s="1380" customFormat="1" ht="15" customHeight="1" x14ac:dyDescent="0.2">
      <c r="A676" s="1344" t="s">
        <v>1586</v>
      </c>
      <c r="B676" s="1345">
        <f>'Supplementary Information'!$H$82</f>
        <v>0</v>
      </c>
      <c r="C676" s="1346" t="s">
        <v>3204</v>
      </c>
      <c r="D676" s="1347"/>
      <c r="E676" s="1347"/>
      <c r="F676" s="1348" t="s">
        <v>5128</v>
      </c>
      <c r="G676" s="1348" t="s">
        <v>4100</v>
      </c>
      <c r="H676" s="1348" t="s">
        <v>3194</v>
      </c>
      <c r="I676" s="1348">
        <v>30</v>
      </c>
      <c r="J676" s="1348"/>
      <c r="K676" s="1348"/>
    </row>
    <row r="677" spans="1:11" s="1365" customFormat="1" ht="15" customHeight="1" x14ac:dyDescent="0.25">
      <c r="A677" s="1349" t="s">
        <v>2952</v>
      </c>
      <c r="B677" s="1345">
        <v>0</v>
      </c>
      <c r="C677" s="1346" t="s">
        <v>3204</v>
      </c>
      <c r="D677" s="1347"/>
      <c r="E677" s="1347"/>
      <c r="F677" s="1348" t="s">
        <v>5127</v>
      </c>
      <c r="G677" s="1348" t="s">
        <v>4101</v>
      </c>
      <c r="H677" s="1348" t="s">
        <v>3194</v>
      </c>
      <c r="I677" s="1348">
        <v>31</v>
      </c>
      <c r="J677" s="1348"/>
      <c r="K677" s="1348"/>
    </row>
    <row r="678" spans="1:11" s="1365" customFormat="1" ht="15" customHeight="1" x14ac:dyDescent="0.25">
      <c r="A678" s="1349" t="s">
        <v>2953</v>
      </c>
      <c r="B678" s="1345">
        <v>0</v>
      </c>
      <c r="C678" s="1346" t="s">
        <v>3204</v>
      </c>
      <c r="D678" s="1347"/>
      <c r="E678" s="1347"/>
      <c r="F678" s="1348" t="s">
        <v>5127</v>
      </c>
      <c r="G678" s="1348" t="s">
        <v>4102</v>
      </c>
      <c r="H678" s="1348" t="s">
        <v>3194</v>
      </c>
      <c r="I678" s="1348">
        <v>32</v>
      </c>
      <c r="J678" s="1348"/>
      <c r="K678" s="1348"/>
    </row>
    <row r="679" spans="1:11" s="1365" customFormat="1" ht="15" customHeight="1" x14ac:dyDescent="0.25">
      <c r="A679" s="1349" t="s">
        <v>2954</v>
      </c>
      <c r="B679" s="1345">
        <v>0</v>
      </c>
      <c r="C679" s="1346" t="s">
        <v>3204</v>
      </c>
      <c r="D679" s="1347"/>
      <c r="E679" s="1347"/>
      <c r="F679" s="1348" t="s">
        <v>5127</v>
      </c>
      <c r="G679" s="1348" t="s">
        <v>4103</v>
      </c>
      <c r="H679" s="1348" t="s">
        <v>3194</v>
      </c>
      <c r="I679" s="1348">
        <v>33</v>
      </c>
      <c r="J679" s="1348"/>
      <c r="K679" s="1348"/>
    </row>
    <row r="680" spans="1:11" s="1500" customFormat="1" ht="15" x14ac:dyDescent="0.25">
      <c r="A680" s="1349" t="s">
        <v>2955</v>
      </c>
      <c r="B680" s="1345">
        <v>0</v>
      </c>
      <c r="C680" s="1346" t="s">
        <v>3204</v>
      </c>
      <c r="D680" s="1347"/>
      <c r="E680" s="1347"/>
      <c r="F680" s="1348" t="s">
        <v>5127</v>
      </c>
      <c r="G680" s="1348" t="s">
        <v>4104</v>
      </c>
      <c r="H680" s="1348" t="s">
        <v>3194</v>
      </c>
      <c r="I680" s="1348">
        <v>34</v>
      </c>
      <c r="J680" s="1348"/>
      <c r="K680" s="1348"/>
    </row>
    <row r="681" spans="1:11" s="1365" customFormat="1" ht="15" customHeight="1" x14ac:dyDescent="0.25">
      <c r="A681" s="1349" t="s">
        <v>2956</v>
      </c>
      <c r="B681" s="1345">
        <v>0</v>
      </c>
      <c r="C681" s="1346" t="s">
        <v>3204</v>
      </c>
      <c r="D681" s="1347"/>
      <c r="E681" s="1347"/>
      <c r="F681" s="1348" t="s">
        <v>5127</v>
      </c>
      <c r="G681" s="1348" t="s">
        <v>4105</v>
      </c>
      <c r="H681" s="1348" t="s">
        <v>3194</v>
      </c>
      <c r="I681" s="1348">
        <v>35</v>
      </c>
      <c r="J681" s="1348"/>
      <c r="K681" s="1348"/>
    </row>
    <row r="682" spans="1:11" s="1380" customFormat="1" x14ac:dyDescent="0.2">
      <c r="A682" s="1344" t="s">
        <v>1587</v>
      </c>
      <c r="B682" s="1345">
        <f>'Supplementary Information'!$H$91</f>
        <v>0</v>
      </c>
      <c r="C682" s="1346" t="s">
        <v>3204</v>
      </c>
      <c r="D682" s="1347"/>
      <c r="E682" s="1347"/>
      <c r="F682" s="1348" t="s">
        <v>5129</v>
      </c>
      <c r="G682" s="1348" t="s">
        <v>4106</v>
      </c>
      <c r="H682" s="1348" t="s">
        <v>3194</v>
      </c>
      <c r="I682" s="1348">
        <v>36</v>
      </c>
      <c r="J682" s="1348"/>
      <c r="K682" s="1348"/>
    </row>
    <row r="683" spans="1:11" s="1380" customFormat="1" x14ac:dyDescent="0.2">
      <c r="A683" s="1344" t="s">
        <v>1588</v>
      </c>
      <c r="B683" s="1345">
        <f>'Supplementary Information'!$H$94</f>
        <v>0</v>
      </c>
      <c r="C683" s="1346" t="s">
        <v>3204</v>
      </c>
      <c r="D683" s="1347"/>
      <c r="E683" s="1347"/>
      <c r="F683" s="1348" t="s">
        <v>5130</v>
      </c>
      <c r="G683" s="1348" t="s">
        <v>4107</v>
      </c>
      <c r="H683" s="1348" t="s">
        <v>3194</v>
      </c>
      <c r="I683" s="1348">
        <v>37</v>
      </c>
      <c r="J683" s="1348"/>
      <c r="K683" s="1348"/>
    </row>
    <row r="684" spans="1:11" s="1380" customFormat="1" x14ac:dyDescent="0.2">
      <c r="A684" s="1344" t="s">
        <v>1589</v>
      </c>
      <c r="B684" s="1345">
        <f>'Supplementary Information'!$H$96</f>
        <v>0</v>
      </c>
      <c r="C684" s="1346" t="s">
        <v>3204</v>
      </c>
      <c r="D684" s="1347"/>
      <c r="E684" s="1347"/>
      <c r="F684" s="1348" t="s">
        <v>5131</v>
      </c>
      <c r="G684" s="1348" t="s">
        <v>4108</v>
      </c>
      <c r="H684" s="1348" t="s">
        <v>3194</v>
      </c>
      <c r="I684" s="1348">
        <v>38</v>
      </c>
      <c r="J684" s="1348"/>
      <c r="K684" s="1348"/>
    </row>
    <row r="685" spans="1:11" s="1380" customFormat="1" x14ac:dyDescent="0.2">
      <c r="A685" s="1344" t="s">
        <v>1590</v>
      </c>
      <c r="B685" s="1345">
        <f>'Supplementary Information'!$H$98</f>
        <v>0</v>
      </c>
      <c r="C685" s="1346" t="s">
        <v>3204</v>
      </c>
      <c r="D685" s="1347"/>
      <c r="E685" s="1347"/>
      <c r="F685" s="1348" t="s">
        <v>5132</v>
      </c>
      <c r="G685" s="1348" t="s">
        <v>4109</v>
      </c>
      <c r="H685" s="1348" t="s">
        <v>3194</v>
      </c>
      <c r="I685" s="1348">
        <v>39</v>
      </c>
      <c r="J685" s="1348"/>
      <c r="K685" s="1348"/>
    </row>
    <row r="686" spans="1:11" s="1380" customFormat="1" x14ac:dyDescent="0.2">
      <c r="A686" s="1344" t="s">
        <v>1591</v>
      </c>
      <c r="B686" s="1345">
        <f>'Supplementary Information'!$H$100</f>
        <v>0</v>
      </c>
      <c r="C686" s="1346" t="s">
        <v>3204</v>
      </c>
      <c r="D686" s="1347"/>
      <c r="E686" s="1347"/>
      <c r="F686" s="1348" t="s">
        <v>5133</v>
      </c>
      <c r="G686" s="1348" t="s">
        <v>4110</v>
      </c>
      <c r="H686" s="1348" t="s">
        <v>3194</v>
      </c>
      <c r="I686" s="1348">
        <v>40</v>
      </c>
      <c r="J686" s="1348"/>
      <c r="K686" s="1348"/>
    </row>
    <row r="687" spans="1:11" s="1380" customFormat="1" x14ac:dyDescent="0.2">
      <c r="A687" s="1344" t="s">
        <v>1592</v>
      </c>
      <c r="B687" s="1345">
        <f>'Supplementary Information'!$H$102</f>
        <v>0</v>
      </c>
      <c r="C687" s="1346" t="s">
        <v>3204</v>
      </c>
      <c r="D687" s="1347"/>
      <c r="E687" s="1347"/>
      <c r="F687" s="1348" t="s">
        <v>5134</v>
      </c>
      <c r="G687" s="1348" t="s">
        <v>4111</v>
      </c>
      <c r="H687" s="1348" t="s">
        <v>3194</v>
      </c>
      <c r="I687" s="1348">
        <v>41</v>
      </c>
      <c r="J687" s="1348"/>
      <c r="K687" s="1348"/>
    </row>
    <row r="688" spans="1:11" s="1380" customFormat="1" x14ac:dyDescent="0.2">
      <c r="A688" s="1344" t="s">
        <v>1593</v>
      </c>
      <c r="B688" s="1345">
        <f>'Supplementary Information'!$H$104</f>
        <v>0</v>
      </c>
      <c r="C688" s="1346" t="s">
        <v>3204</v>
      </c>
      <c r="D688" s="1347"/>
      <c r="E688" s="1347"/>
      <c r="F688" s="1348" t="s">
        <v>5135</v>
      </c>
      <c r="G688" s="1348" t="s">
        <v>4112</v>
      </c>
      <c r="H688" s="1348" t="s">
        <v>3194</v>
      </c>
      <c r="I688" s="1348">
        <v>42</v>
      </c>
      <c r="J688" s="1348"/>
      <c r="K688" s="1348"/>
    </row>
    <row r="689" spans="1:11" s="1380" customFormat="1" x14ac:dyDescent="0.2">
      <c r="A689" s="1344" t="s">
        <v>1594</v>
      </c>
      <c r="B689" s="1345">
        <f>'Supplementary Information'!$H$107</f>
        <v>0</v>
      </c>
      <c r="C689" s="1346" t="s">
        <v>3204</v>
      </c>
      <c r="D689" s="1347"/>
      <c r="E689" s="1347"/>
      <c r="F689" s="1348" t="s">
        <v>5136</v>
      </c>
      <c r="G689" s="1348" t="s">
        <v>4113</v>
      </c>
      <c r="H689" s="1348" t="s">
        <v>3194</v>
      </c>
      <c r="I689" s="1348">
        <v>43</v>
      </c>
      <c r="J689" s="1348"/>
      <c r="K689" s="1348"/>
    </row>
    <row r="690" spans="1:11" s="1380" customFormat="1" x14ac:dyDescent="0.2">
      <c r="A690" s="1344" t="s">
        <v>1595</v>
      </c>
      <c r="B690" s="1345">
        <f>'Supplementary Information'!$H$109</f>
        <v>0</v>
      </c>
      <c r="C690" s="1346" t="s">
        <v>3204</v>
      </c>
      <c r="D690" s="1347"/>
      <c r="E690" s="1347"/>
      <c r="F690" s="1348" t="s">
        <v>5138</v>
      </c>
      <c r="G690" s="1348" t="s">
        <v>4114</v>
      </c>
      <c r="H690" s="1348" t="s">
        <v>3194</v>
      </c>
      <c r="I690" s="1348">
        <v>44</v>
      </c>
      <c r="J690" s="1348"/>
      <c r="K690" s="1348"/>
    </row>
    <row r="691" spans="1:11" s="1380" customFormat="1" x14ac:dyDescent="0.2">
      <c r="A691" s="1344" t="s">
        <v>1596</v>
      </c>
      <c r="B691" s="1345">
        <f>'Supplementary Information'!$H$111</f>
        <v>0</v>
      </c>
      <c r="C691" s="1346" t="s">
        <v>3204</v>
      </c>
      <c r="D691" s="1347"/>
      <c r="E691" s="1347"/>
      <c r="F691" s="1348" t="s">
        <v>5139</v>
      </c>
      <c r="G691" s="1348" t="s">
        <v>4115</v>
      </c>
      <c r="H691" s="1348" t="s">
        <v>3194</v>
      </c>
      <c r="I691" s="1348">
        <v>45</v>
      </c>
      <c r="J691" s="1348"/>
      <c r="K691" s="1348"/>
    </row>
    <row r="692" spans="1:11" s="1380" customFormat="1" x14ac:dyDescent="0.2">
      <c r="A692" s="1344" t="s">
        <v>3037</v>
      </c>
      <c r="B692" s="1345">
        <f>'Supplementary Information'!$H$115</f>
        <v>0</v>
      </c>
      <c r="C692" s="1346" t="s">
        <v>3204</v>
      </c>
      <c r="D692" s="1347"/>
      <c r="E692" s="1347"/>
      <c r="F692" s="1348" t="s">
        <v>5137</v>
      </c>
      <c r="G692" s="1348" t="s">
        <v>4116</v>
      </c>
      <c r="H692" s="1348" t="s">
        <v>3194</v>
      </c>
      <c r="I692" s="1348">
        <v>46</v>
      </c>
      <c r="J692" s="1348"/>
      <c r="K692" s="1348"/>
    </row>
    <row r="693" spans="1:11" s="1380" customFormat="1" x14ac:dyDescent="0.2">
      <c r="A693" s="1344" t="s">
        <v>3038</v>
      </c>
      <c r="B693" s="1345">
        <f>'Supplementary Information'!$H$118</f>
        <v>0</v>
      </c>
      <c r="C693" s="1346" t="s">
        <v>3204</v>
      </c>
      <c r="D693" s="1347"/>
      <c r="E693" s="1347"/>
      <c r="F693" s="1348" t="s">
        <v>5140</v>
      </c>
      <c r="G693" s="1348" t="s">
        <v>4117</v>
      </c>
      <c r="H693" s="1348" t="s">
        <v>3194</v>
      </c>
      <c r="I693" s="1348">
        <v>47</v>
      </c>
      <c r="J693" s="1348"/>
      <c r="K693" s="1348"/>
    </row>
    <row r="694" spans="1:11" s="1380" customFormat="1" ht="15" customHeight="1" x14ac:dyDescent="0.2">
      <c r="A694" s="1344" t="s">
        <v>3039</v>
      </c>
      <c r="B694" s="1345">
        <f>'Supplementary Information'!$H$121</f>
        <v>0</v>
      </c>
      <c r="C694" s="1346" t="s">
        <v>3204</v>
      </c>
      <c r="D694" s="1347"/>
      <c r="E694" s="1347"/>
      <c r="F694" s="1348" t="s">
        <v>5141</v>
      </c>
      <c r="G694" s="1348" t="s">
        <v>4118</v>
      </c>
      <c r="H694" s="1348" t="s">
        <v>3194</v>
      </c>
      <c r="I694" s="1348">
        <v>48</v>
      </c>
      <c r="J694" s="1348"/>
      <c r="K694" s="1348"/>
    </row>
    <row r="695" spans="1:11" s="1380" customFormat="1" x14ac:dyDescent="0.2">
      <c r="A695" s="1344" t="s">
        <v>1237</v>
      </c>
      <c r="B695" s="1350">
        <f>'Supplementary Information'!$H$124</f>
        <v>0</v>
      </c>
      <c r="C695" s="1351" t="s">
        <v>3202</v>
      </c>
      <c r="D695" s="1352"/>
      <c r="E695" s="1352"/>
      <c r="F695" s="1348" t="s">
        <v>5142</v>
      </c>
      <c r="G695" s="1348" t="s">
        <v>491</v>
      </c>
      <c r="H695" s="1348" t="s">
        <v>3194</v>
      </c>
      <c r="I695" s="1348">
        <v>49</v>
      </c>
      <c r="J695" s="1348"/>
      <c r="K695" s="1348"/>
    </row>
    <row r="696" spans="1:11" s="1380" customFormat="1" x14ac:dyDescent="0.2">
      <c r="A696" s="1344" t="s">
        <v>1238</v>
      </c>
      <c r="B696" s="1353">
        <f>'Supplementary Information'!B128</f>
        <v>0</v>
      </c>
      <c r="C696" s="1351" t="s">
        <v>3202</v>
      </c>
      <c r="D696" s="1352"/>
      <c r="E696" s="1352"/>
      <c r="F696" s="1348" t="s">
        <v>5143</v>
      </c>
      <c r="G696" s="1348" t="s">
        <v>4119</v>
      </c>
      <c r="H696" s="1348" t="s">
        <v>3194</v>
      </c>
      <c r="I696" s="1348">
        <v>50</v>
      </c>
      <c r="J696" s="1348"/>
      <c r="K696" s="1348"/>
    </row>
    <row r="697" spans="1:11" s="1334" customFormat="1" x14ac:dyDescent="0.2">
      <c r="A697" s="1354" t="s">
        <v>1239</v>
      </c>
      <c r="B697" s="1355">
        <f>IF('Part 3 DA summary'!$C13="",0,'Part 3 DA summary'!$C13)</f>
        <v>0</v>
      </c>
      <c r="C697" s="1356" t="s">
        <v>3202</v>
      </c>
      <c r="D697" s="1354"/>
      <c r="E697" s="1354"/>
      <c r="F697" s="1354" t="s">
        <v>4120</v>
      </c>
      <c r="G697" s="1354" t="s">
        <v>4121</v>
      </c>
      <c r="H697" s="1354" t="s">
        <v>3195</v>
      </c>
      <c r="I697" s="1354">
        <v>1</v>
      </c>
      <c r="J697" s="1354"/>
      <c r="K697" s="1354"/>
    </row>
    <row r="698" spans="1:11" s="1334" customFormat="1" x14ac:dyDescent="0.2">
      <c r="A698" s="1354" t="s">
        <v>1240</v>
      </c>
      <c r="B698" s="1355">
        <f>IF('Part 3 DA summary'!$C14="",0,'Part 3 DA summary'!$C14)</f>
        <v>0</v>
      </c>
      <c r="C698" s="1356" t="s">
        <v>3202</v>
      </c>
      <c r="D698" s="1354"/>
      <c r="E698" s="1354"/>
      <c r="F698" s="1354" t="s">
        <v>4120</v>
      </c>
      <c r="G698" s="1354" t="s">
        <v>4122</v>
      </c>
      <c r="H698" s="1354" t="s">
        <v>3195</v>
      </c>
      <c r="I698" s="1354">
        <v>2</v>
      </c>
      <c r="J698" s="1354"/>
      <c r="K698" s="1354"/>
    </row>
    <row r="699" spans="1:11" s="1334" customFormat="1" x14ac:dyDescent="0.2">
      <c r="A699" s="1354" t="s">
        <v>1241</v>
      </c>
      <c r="B699" s="1355">
        <f>IF('Part 3 DA summary'!$C15="",0,'Part 3 DA summary'!$C15)</f>
        <v>0</v>
      </c>
      <c r="C699" s="1356" t="s">
        <v>3202</v>
      </c>
      <c r="D699" s="1354"/>
      <c r="E699" s="1354"/>
      <c r="F699" s="1354" t="s">
        <v>4120</v>
      </c>
      <c r="G699" s="1354" t="s">
        <v>4123</v>
      </c>
      <c r="H699" s="1354" t="s">
        <v>3195</v>
      </c>
      <c r="I699" s="1354">
        <v>3</v>
      </c>
      <c r="J699" s="1354"/>
      <c r="K699" s="1354"/>
    </row>
    <row r="700" spans="1:11" s="1334" customFormat="1" x14ac:dyDescent="0.2">
      <c r="A700" s="1354" t="s">
        <v>1242</v>
      </c>
      <c r="B700" s="1355">
        <f>IF('Part 3 DA summary'!$C16="",0,'Part 3 DA summary'!$C16)</f>
        <v>0</v>
      </c>
      <c r="C700" s="1356" t="s">
        <v>3202</v>
      </c>
      <c r="D700" s="1354"/>
      <c r="E700" s="1354"/>
      <c r="F700" s="1354" t="s">
        <v>4120</v>
      </c>
      <c r="G700" s="1354" t="s">
        <v>4124</v>
      </c>
      <c r="H700" s="1354" t="s">
        <v>3195</v>
      </c>
      <c r="I700" s="1354">
        <v>4</v>
      </c>
      <c r="J700" s="1354"/>
      <c r="K700" s="1354"/>
    </row>
    <row r="701" spans="1:11" s="1334" customFormat="1" x14ac:dyDescent="0.2">
      <c r="A701" s="1354" t="s">
        <v>1243</v>
      </c>
      <c r="B701" s="1355">
        <f>IF('Part 3 DA summary'!$C17="",0,'Part 3 DA summary'!$C17)</f>
        <v>0</v>
      </c>
      <c r="C701" s="1356" t="s">
        <v>3202</v>
      </c>
      <c r="D701" s="1354"/>
      <c r="E701" s="1354"/>
      <c r="F701" s="1354" t="s">
        <v>4120</v>
      </c>
      <c r="G701" s="1354" t="s">
        <v>4125</v>
      </c>
      <c r="H701" s="1354" t="s">
        <v>3195</v>
      </c>
      <c r="I701" s="1354">
        <v>5</v>
      </c>
      <c r="J701" s="1354"/>
      <c r="K701" s="1354"/>
    </row>
    <row r="702" spans="1:11" s="1334" customFormat="1" x14ac:dyDescent="0.2">
      <c r="A702" s="1354" t="s">
        <v>1244</v>
      </c>
      <c r="B702" s="1355">
        <f>IF('Part 3 DA summary'!$C18="",0,'Part 3 DA summary'!$C18)</f>
        <v>0</v>
      </c>
      <c r="C702" s="1356" t="s">
        <v>3202</v>
      </c>
      <c r="D702" s="1354"/>
      <c r="E702" s="1354"/>
      <c r="F702" s="1354" t="s">
        <v>4120</v>
      </c>
      <c r="G702" s="1354" t="s">
        <v>4126</v>
      </c>
      <c r="H702" s="1354" t="s">
        <v>3195</v>
      </c>
      <c r="I702" s="1354">
        <v>6</v>
      </c>
      <c r="J702" s="1354"/>
      <c r="K702" s="1354"/>
    </row>
    <row r="703" spans="1:11" s="1334" customFormat="1" x14ac:dyDescent="0.2">
      <c r="A703" s="1354" t="s">
        <v>1245</v>
      </c>
      <c r="B703" s="1355">
        <f>IF('Part 3 DA summary'!$C19="",0,'Part 3 DA summary'!$C19)</f>
        <v>0</v>
      </c>
      <c r="C703" s="1356" t="s">
        <v>3202</v>
      </c>
      <c r="D703" s="1354"/>
      <c r="E703" s="1354"/>
      <c r="F703" s="1354" t="s">
        <v>4120</v>
      </c>
      <c r="G703" s="1354" t="s">
        <v>4127</v>
      </c>
      <c r="H703" s="1354" t="s">
        <v>3195</v>
      </c>
      <c r="I703" s="1354">
        <v>7</v>
      </c>
      <c r="J703" s="1354"/>
      <c r="K703" s="1354"/>
    </row>
    <row r="704" spans="1:11" s="1334" customFormat="1" x14ac:dyDescent="0.2">
      <c r="A704" s="1354" t="s">
        <v>1246</v>
      </c>
      <c r="B704" s="1355">
        <f>IF('Part 3 DA summary'!$C20="",0,'Part 3 DA summary'!$C20)</f>
        <v>0</v>
      </c>
      <c r="C704" s="1356" t="s">
        <v>3202</v>
      </c>
      <c r="D704" s="1354"/>
      <c r="E704" s="1354"/>
      <c r="F704" s="1354" t="s">
        <v>4120</v>
      </c>
      <c r="G704" s="1354" t="s">
        <v>4128</v>
      </c>
      <c r="H704" s="1354" t="s">
        <v>3195</v>
      </c>
      <c r="I704" s="1354">
        <v>8</v>
      </c>
      <c r="J704" s="1354"/>
      <c r="K704" s="1354"/>
    </row>
    <row r="705" spans="1:11" s="1334" customFormat="1" x14ac:dyDescent="0.2">
      <c r="A705" s="1354" t="s">
        <v>1247</v>
      </c>
      <c r="B705" s="1355">
        <f>IF('Part 3 DA summary'!$C21="",0,'Part 3 DA summary'!$C21)</f>
        <v>0</v>
      </c>
      <c r="C705" s="1356" t="s">
        <v>3202</v>
      </c>
      <c r="D705" s="1354"/>
      <c r="E705" s="1354"/>
      <c r="F705" s="1354" t="s">
        <v>4120</v>
      </c>
      <c r="G705" s="1354" t="s">
        <v>4129</v>
      </c>
      <c r="H705" s="1354" t="s">
        <v>3195</v>
      </c>
      <c r="I705" s="1354">
        <v>9</v>
      </c>
      <c r="J705" s="1354"/>
      <c r="K705" s="1354"/>
    </row>
    <row r="706" spans="1:11" s="1334" customFormat="1" x14ac:dyDescent="0.2">
      <c r="A706" s="1354" t="s">
        <v>1248</v>
      </c>
      <c r="B706" s="1355">
        <f>IF('Part 3 DA summary'!$C22="",0,'Part 3 DA summary'!$C22)</f>
        <v>0</v>
      </c>
      <c r="C706" s="1356" t="s">
        <v>3202</v>
      </c>
      <c r="D706" s="1354"/>
      <c r="E706" s="1354"/>
      <c r="F706" s="1354" t="s">
        <v>4120</v>
      </c>
      <c r="G706" s="1354" t="s">
        <v>4130</v>
      </c>
      <c r="H706" s="1354" t="s">
        <v>3195</v>
      </c>
      <c r="I706" s="1354">
        <v>10</v>
      </c>
      <c r="J706" s="1354"/>
      <c r="K706" s="1354"/>
    </row>
    <row r="707" spans="1:11" s="1334" customFormat="1" x14ac:dyDescent="0.2">
      <c r="A707" s="1354" t="s">
        <v>1249</v>
      </c>
      <c r="B707" s="1355">
        <f>IF('Part 3 DA summary'!$C23="",0,'Part 3 DA summary'!$C23)</f>
        <v>0</v>
      </c>
      <c r="C707" s="1356" t="s">
        <v>3202</v>
      </c>
      <c r="D707" s="1354"/>
      <c r="E707" s="1354"/>
      <c r="F707" s="1354" t="s">
        <v>4120</v>
      </c>
      <c r="G707" s="1354" t="s">
        <v>4131</v>
      </c>
      <c r="H707" s="1354" t="s">
        <v>3195</v>
      </c>
      <c r="I707" s="1354">
        <v>11</v>
      </c>
      <c r="J707" s="1354"/>
      <c r="K707" s="1354"/>
    </row>
    <row r="708" spans="1:11" s="1334" customFormat="1" x14ac:dyDescent="0.2">
      <c r="A708" s="1354" t="s">
        <v>1250</v>
      </c>
      <c r="B708" s="1355">
        <f>IF('Part 3 DA summary'!$C24="",0,'Part 3 DA summary'!$C24)</f>
        <v>0</v>
      </c>
      <c r="C708" s="1356" t="s">
        <v>3202</v>
      </c>
      <c r="D708" s="1354"/>
      <c r="E708" s="1354"/>
      <c r="F708" s="1354" t="s">
        <v>4120</v>
      </c>
      <c r="G708" s="1354" t="s">
        <v>4132</v>
      </c>
      <c r="H708" s="1354" t="s">
        <v>3195</v>
      </c>
      <c r="I708" s="1354">
        <v>12</v>
      </c>
      <c r="J708" s="1354"/>
      <c r="K708" s="1354"/>
    </row>
    <row r="709" spans="1:11" s="1334" customFormat="1" x14ac:dyDescent="0.2">
      <c r="A709" s="1354" t="s">
        <v>1251</v>
      </c>
      <c r="B709" s="1355">
        <f>IF('Part 3 DA summary'!$C25="",0,'Part 3 DA summary'!$C25)</f>
        <v>0</v>
      </c>
      <c r="C709" s="1356" t="s">
        <v>3202</v>
      </c>
      <c r="D709" s="1354"/>
      <c r="E709" s="1354"/>
      <c r="F709" s="1354" t="s">
        <v>4120</v>
      </c>
      <c r="G709" s="1354" t="s">
        <v>4133</v>
      </c>
      <c r="H709" s="1354" t="s">
        <v>3195</v>
      </c>
      <c r="I709" s="1354">
        <v>13</v>
      </c>
      <c r="J709" s="1354"/>
      <c r="K709" s="1354"/>
    </row>
    <row r="710" spans="1:11" s="1334" customFormat="1" x14ac:dyDescent="0.2">
      <c r="A710" s="1354" t="s">
        <v>1252</v>
      </c>
      <c r="B710" s="1355">
        <f>IF('Part 3 DA summary'!$C26="",0,'Part 3 DA summary'!$C26)</f>
        <v>0</v>
      </c>
      <c r="C710" s="1356" t="s">
        <v>3202</v>
      </c>
      <c r="D710" s="1354"/>
      <c r="E710" s="1354"/>
      <c r="F710" s="1354" t="s">
        <v>4120</v>
      </c>
      <c r="G710" s="1354" t="s">
        <v>4134</v>
      </c>
      <c r="H710" s="1354" t="s">
        <v>3195</v>
      </c>
      <c r="I710" s="1354">
        <v>14</v>
      </c>
      <c r="J710" s="1354"/>
      <c r="K710" s="1354"/>
    </row>
    <row r="711" spans="1:11" s="1334" customFormat="1" x14ac:dyDescent="0.2">
      <c r="A711" s="1354" t="s">
        <v>1253</v>
      </c>
      <c r="B711" s="1355">
        <f>IF('Part 3 DA summary'!$C27="",0,'Part 3 DA summary'!$C27)</f>
        <v>0</v>
      </c>
      <c r="C711" s="1356" t="s">
        <v>3202</v>
      </c>
      <c r="D711" s="1354"/>
      <c r="E711" s="1354"/>
      <c r="F711" s="1354" t="s">
        <v>4120</v>
      </c>
      <c r="G711" s="1354" t="s">
        <v>4135</v>
      </c>
      <c r="H711" s="1354" t="s">
        <v>3195</v>
      </c>
      <c r="I711" s="1354">
        <v>15</v>
      </c>
      <c r="J711" s="1354"/>
      <c r="K711" s="1354"/>
    </row>
    <row r="712" spans="1:11" s="1334" customFormat="1" x14ac:dyDescent="0.2">
      <c r="A712" s="1354" t="s">
        <v>1254</v>
      </c>
      <c r="B712" s="1355">
        <f>IF('Part 3 DA summary'!$C28="",0,'Part 3 DA summary'!$C28)</f>
        <v>0</v>
      </c>
      <c r="C712" s="1356" t="s">
        <v>3202</v>
      </c>
      <c r="D712" s="1354"/>
      <c r="E712" s="1354"/>
      <c r="F712" s="1354" t="s">
        <v>4120</v>
      </c>
      <c r="G712" s="1354" t="s">
        <v>4136</v>
      </c>
      <c r="H712" s="1354" t="s">
        <v>3195</v>
      </c>
      <c r="I712" s="1354">
        <v>16</v>
      </c>
      <c r="J712" s="1354"/>
      <c r="K712" s="1354"/>
    </row>
    <row r="713" spans="1:11" s="1334" customFormat="1" x14ac:dyDescent="0.2">
      <c r="A713" s="1354" t="s">
        <v>1255</v>
      </c>
      <c r="B713" s="1355">
        <f>IF('Part 3 DA summary'!$C29="",0,'Part 3 DA summary'!$C29)</f>
        <v>0</v>
      </c>
      <c r="C713" s="1356" t="s">
        <v>3202</v>
      </c>
      <c r="D713" s="1354"/>
      <c r="E713" s="1354"/>
      <c r="F713" s="1354" t="s">
        <v>4120</v>
      </c>
      <c r="G713" s="1354" t="s">
        <v>4137</v>
      </c>
      <c r="H713" s="1354" t="s">
        <v>3195</v>
      </c>
      <c r="I713" s="1354">
        <v>17</v>
      </c>
      <c r="J713" s="1354"/>
      <c r="K713" s="1354"/>
    </row>
    <row r="714" spans="1:11" s="1334" customFormat="1" x14ac:dyDescent="0.2">
      <c r="A714" s="1354" t="s">
        <v>1256</v>
      </c>
      <c r="B714" s="1355">
        <f>IF('Part 3 DA summary'!$C30="",0,'Part 3 DA summary'!$C30)</f>
        <v>0</v>
      </c>
      <c r="C714" s="1356" t="s">
        <v>3202</v>
      </c>
      <c r="D714" s="1354"/>
      <c r="E714" s="1354"/>
      <c r="F714" s="1354" t="s">
        <v>4120</v>
      </c>
      <c r="G714" s="1354" t="s">
        <v>4138</v>
      </c>
      <c r="H714" s="1354" t="s">
        <v>3195</v>
      </c>
      <c r="I714" s="1354">
        <v>18</v>
      </c>
      <c r="J714" s="1354"/>
      <c r="K714" s="1354"/>
    </row>
    <row r="715" spans="1:11" s="1334" customFormat="1" x14ac:dyDescent="0.2">
      <c r="A715" s="1354" t="s">
        <v>1257</v>
      </c>
      <c r="B715" s="1355">
        <f>IF('Part 3 DA summary'!$C31="",0,'Part 3 DA summary'!$C31)</f>
        <v>0</v>
      </c>
      <c r="C715" s="1356" t="s">
        <v>3202</v>
      </c>
      <c r="D715" s="1354"/>
      <c r="E715" s="1354"/>
      <c r="F715" s="1354" t="s">
        <v>4120</v>
      </c>
      <c r="G715" s="1354" t="s">
        <v>4139</v>
      </c>
      <c r="H715" s="1354" t="s">
        <v>3195</v>
      </c>
      <c r="I715" s="1354">
        <v>19</v>
      </c>
      <c r="J715" s="1354"/>
      <c r="K715" s="1354"/>
    </row>
    <row r="716" spans="1:11" s="1334" customFormat="1" x14ac:dyDescent="0.2">
      <c r="A716" s="1354" t="s">
        <v>1258</v>
      </c>
      <c r="B716" s="1355">
        <f>IF('Part 3 DA summary'!$C32="",0,'Part 3 DA summary'!$C32)</f>
        <v>0</v>
      </c>
      <c r="C716" s="1356" t="s">
        <v>3202</v>
      </c>
      <c r="D716" s="1354"/>
      <c r="E716" s="1354"/>
      <c r="F716" s="1354" t="s">
        <v>4120</v>
      </c>
      <c r="G716" s="1354" t="s">
        <v>4140</v>
      </c>
      <c r="H716" s="1354" t="s">
        <v>3195</v>
      </c>
      <c r="I716" s="1354">
        <v>20</v>
      </c>
      <c r="J716" s="1354"/>
      <c r="K716" s="1354"/>
    </row>
    <row r="717" spans="1:11" s="1334" customFormat="1" x14ac:dyDescent="0.2">
      <c r="A717" s="1354" t="s">
        <v>1259</v>
      </c>
      <c r="B717" s="1355">
        <f>IF('Part 3 DA summary'!$C33="",0,'Part 3 DA summary'!$C33)</f>
        <v>0</v>
      </c>
      <c r="C717" s="1356" t="s">
        <v>3202</v>
      </c>
      <c r="D717" s="1354"/>
      <c r="E717" s="1354"/>
      <c r="F717" s="1354" t="s">
        <v>4120</v>
      </c>
      <c r="G717" s="1354" t="s">
        <v>4141</v>
      </c>
      <c r="H717" s="1354" t="s">
        <v>3195</v>
      </c>
      <c r="I717" s="1354">
        <v>21</v>
      </c>
      <c r="J717" s="1354"/>
      <c r="K717" s="1354"/>
    </row>
    <row r="718" spans="1:11" s="1334" customFormat="1" x14ac:dyDescent="0.2">
      <c r="A718" s="1354" t="s">
        <v>1260</v>
      </c>
      <c r="B718" s="1355">
        <f>IF('Part 3 DA summary'!$C34="",0,'Part 3 DA summary'!$C34)</f>
        <v>0</v>
      </c>
      <c r="C718" s="1356" t="s">
        <v>3202</v>
      </c>
      <c r="D718" s="1354"/>
      <c r="E718" s="1354"/>
      <c r="F718" s="1354" t="s">
        <v>4120</v>
      </c>
      <c r="G718" s="1354" t="s">
        <v>4142</v>
      </c>
      <c r="H718" s="1354" t="s">
        <v>3195</v>
      </c>
      <c r="I718" s="1354">
        <v>22</v>
      </c>
      <c r="J718" s="1354"/>
      <c r="K718" s="1354"/>
    </row>
    <row r="719" spans="1:11" s="1334" customFormat="1" x14ac:dyDescent="0.2">
      <c r="A719" s="1354" t="s">
        <v>1261</v>
      </c>
      <c r="B719" s="1355">
        <f>IF('Part 3 DA summary'!$C35="",0,'Part 3 DA summary'!$C35)</f>
        <v>0</v>
      </c>
      <c r="C719" s="1356" t="s">
        <v>3202</v>
      </c>
      <c r="D719" s="1354"/>
      <c r="E719" s="1354"/>
      <c r="F719" s="1354" t="s">
        <v>4120</v>
      </c>
      <c r="G719" s="1354" t="s">
        <v>4143</v>
      </c>
      <c r="H719" s="1354" t="s">
        <v>3195</v>
      </c>
      <c r="I719" s="1354">
        <v>23</v>
      </c>
      <c r="J719" s="1354"/>
      <c r="K719" s="1354"/>
    </row>
    <row r="720" spans="1:11" s="1334" customFormat="1" x14ac:dyDescent="0.2">
      <c r="A720" s="1354" t="s">
        <v>1262</v>
      </c>
      <c r="B720" s="1355">
        <f>IF('Part 3 DA summary'!$C36="",0,'Part 3 DA summary'!$C36)</f>
        <v>0</v>
      </c>
      <c r="C720" s="1356" t="s">
        <v>3202</v>
      </c>
      <c r="D720" s="1354"/>
      <c r="E720" s="1354"/>
      <c r="F720" s="1354" t="s">
        <v>4120</v>
      </c>
      <c r="G720" s="1354" t="s">
        <v>4144</v>
      </c>
      <c r="H720" s="1354" t="s">
        <v>3195</v>
      </c>
      <c r="I720" s="1354">
        <v>24</v>
      </c>
      <c r="J720" s="1354"/>
      <c r="K720" s="1354"/>
    </row>
    <row r="721" spans="1:11" s="1334" customFormat="1" x14ac:dyDescent="0.2">
      <c r="A721" s="1354" t="s">
        <v>1263</v>
      </c>
      <c r="B721" s="1355">
        <f>IF('Part 3 DA summary'!$C37="",0,'Part 3 DA summary'!$C37)</f>
        <v>0</v>
      </c>
      <c r="C721" s="1356" t="s">
        <v>3202</v>
      </c>
      <c r="D721" s="1354"/>
      <c r="E721" s="1354"/>
      <c r="F721" s="1354" t="s">
        <v>4120</v>
      </c>
      <c r="G721" s="1354" t="s">
        <v>4145</v>
      </c>
      <c r="H721" s="1354" t="s">
        <v>3195</v>
      </c>
      <c r="I721" s="1354">
        <v>25</v>
      </c>
      <c r="J721" s="1354"/>
      <c r="K721" s="1354"/>
    </row>
    <row r="722" spans="1:11" s="1334" customFormat="1" x14ac:dyDescent="0.2">
      <c r="A722" s="1354" t="s">
        <v>1264</v>
      </c>
      <c r="B722" s="1355">
        <f>IF('Part 3 DA summary'!$C38="",0,'Part 3 DA summary'!$C38)</f>
        <v>0</v>
      </c>
      <c r="C722" s="1356" t="s">
        <v>3202</v>
      </c>
      <c r="D722" s="1354"/>
      <c r="E722" s="1354"/>
      <c r="F722" s="1354" t="s">
        <v>4120</v>
      </c>
      <c r="G722" s="1354" t="s">
        <v>4146</v>
      </c>
      <c r="H722" s="1354" t="s">
        <v>3195</v>
      </c>
      <c r="I722" s="1354">
        <v>26</v>
      </c>
      <c r="J722" s="1354"/>
      <c r="K722" s="1354"/>
    </row>
    <row r="723" spans="1:11" s="1334" customFormat="1" x14ac:dyDescent="0.2">
      <c r="A723" s="1354" t="s">
        <v>1265</v>
      </c>
      <c r="B723" s="1355">
        <f>IF('Part 3 DA summary'!$C39="",0,'Part 3 DA summary'!$C39)</f>
        <v>0</v>
      </c>
      <c r="C723" s="1356" t="s">
        <v>3202</v>
      </c>
      <c r="D723" s="1354"/>
      <c r="E723" s="1354"/>
      <c r="F723" s="1354" t="s">
        <v>4120</v>
      </c>
      <c r="G723" s="1354" t="s">
        <v>4147</v>
      </c>
      <c r="H723" s="1354" t="s">
        <v>3195</v>
      </c>
      <c r="I723" s="1354">
        <v>27</v>
      </c>
      <c r="J723" s="1354"/>
      <c r="K723" s="1354"/>
    </row>
    <row r="724" spans="1:11" s="1334" customFormat="1" x14ac:dyDescent="0.2">
      <c r="A724" s="1354" t="s">
        <v>1266</v>
      </c>
      <c r="B724" s="1355">
        <f>IF('Part 3 DA summary'!$C40="",0,'Part 3 DA summary'!$C40)</f>
        <v>0</v>
      </c>
      <c r="C724" s="1356" t="s">
        <v>3202</v>
      </c>
      <c r="D724" s="1354"/>
      <c r="E724" s="1354"/>
      <c r="F724" s="1354" t="s">
        <v>4120</v>
      </c>
      <c r="G724" s="1354" t="s">
        <v>4148</v>
      </c>
      <c r="H724" s="1354" t="s">
        <v>3195</v>
      </c>
      <c r="I724" s="1354">
        <v>28</v>
      </c>
      <c r="J724" s="1354"/>
      <c r="K724" s="1354"/>
    </row>
    <row r="725" spans="1:11" s="1334" customFormat="1" x14ac:dyDescent="0.2">
      <c r="A725" s="1354" t="s">
        <v>1267</v>
      </c>
      <c r="B725" s="1355">
        <f>IF('Part 3 DA summary'!$C41="",0,'Part 3 DA summary'!$C41)</f>
        <v>0</v>
      </c>
      <c r="C725" s="1356" t="s">
        <v>3202</v>
      </c>
      <c r="D725" s="1354"/>
      <c r="E725" s="1354"/>
      <c r="F725" s="1354" t="s">
        <v>4120</v>
      </c>
      <c r="G725" s="1354" t="s">
        <v>4149</v>
      </c>
      <c r="H725" s="1354" t="s">
        <v>3195</v>
      </c>
      <c r="I725" s="1354">
        <v>29</v>
      </c>
      <c r="J725" s="1354"/>
      <c r="K725" s="1354"/>
    </row>
    <row r="726" spans="1:11" s="1334" customFormat="1" x14ac:dyDescent="0.2">
      <c r="A726" s="1354" t="s">
        <v>1268</v>
      </c>
      <c r="B726" s="1355">
        <f>IF('Part 3 DA summary'!$C42="",0,'Part 3 DA summary'!$C42)</f>
        <v>0</v>
      </c>
      <c r="C726" s="1356" t="s">
        <v>3202</v>
      </c>
      <c r="D726" s="1354"/>
      <c r="E726" s="1354"/>
      <c r="F726" s="1354" t="s">
        <v>4120</v>
      </c>
      <c r="G726" s="1354" t="s">
        <v>4150</v>
      </c>
      <c r="H726" s="1354" t="s">
        <v>3195</v>
      </c>
      <c r="I726" s="1354">
        <v>30</v>
      </c>
      <c r="J726" s="1354"/>
      <c r="K726" s="1354"/>
    </row>
    <row r="727" spans="1:11" s="1334" customFormat="1" x14ac:dyDescent="0.2">
      <c r="A727" s="1354" t="s">
        <v>1269</v>
      </c>
      <c r="B727" s="1355">
        <f>IF('Part 3 DA summary'!$C43="",0,'Part 3 DA summary'!$C43)</f>
        <v>0</v>
      </c>
      <c r="C727" s="1356" t="s">
        <v>3202</v>
      </c>
      <c r="D727" s="1354"/>
      <c r="E727" s="1354"/>
      <c r="F727" s="1354" t="s">
        <v>4120</v>
      </c>
      <c r="G727" s="1354" t="s">
        <v>4151</v>
      </c>
      <c r="H727" s="1354" t="s">
        <v>3195</v>
      </c>
      <c r="I727" s="1354">
        <v>31</v>
      </c>
      <c r="J727" s="1354"/>
      <c r="K727" s="1354"/>
    </row>
    <row r="728" spans="1:11" s="1334" customFormat="1" x14ac:dyDescent="0.2">
      <c r="A728" s="1354" t="s">
        <v>1270</v>
      </c>
      <c r="B728" s="1355">
        <f>IF('Part 3 DA summary'!$C44="",0,'Part 3 DA summary'!$C44)</f>
        <v>0</v>
      </c>
      <c r="C728" s="1356" t="s">
        <v>3202</v>
      </c>
      <c r="D728" s="1354"/>
      <c r="E728" s="1354"/>
      <c r="F728" s="1354" t="s">
        <v>4120</v>
      </c>
      <c r="G728" s="1354" t="s">
        <v>4152</v>
      </c>
      <c r="H728" s="1354" t="s">
        <v>3195</v>
      </c>
      <c r="I728" s="1354">
        <v>32</v>
      </c>
      <c r="J728" s="1354"/>
      <c r="K728" s="1354"/>
    </row>
    <row r="729" spans="1:11" s="1334" customFormat="1" x14ac:dyDescent="0.2">
      <c r="A729" s="1354" t="s">
        <v>1271</v>
      </c>
      <c r="B729" s="1355">
        <f>IF('Part 3 DA summary'!$C45="",0,'Part 3 DA summary'!$C45)</f>
        <v>0</v>
      </c>
      <c r="C729" s="1356" t="s">
        <v>3202</v>
      </c>
      <c r="D729" s="1354"/>
      <c r="E729" s="1354"/>
      <c r="F729" s="1354" t="s">
        <v>4120</v>
      </c>
      <c r="G729" s="1354" t="s">
        <v>4153</v>
      </c>
      <c r="H729" s="1354" t="s">
        <v>3195</v>
      </c>
      <c r="I729" s="1354">
        <v>33</v>
      </c>
      <c r="J729" s="1354"/>
      <c r="K729" s="1354"/>
    </row>
    <row r="730" spans="1:11" s="1334" customFormat="1" x14ac:dyDescent="0.2">
      <c r="A730" s="1354" t="s">
        <v>1272</v>
      </c>
      <c r="B730" s="1355">
        <f>IF('Part 3 DA summary'!$C46="",0,'Part 3 DA summary'!$C46)</f>
        <v>0</v>
      </c>
      <c r="C730" s="1356" t="s">
        <v>3202</v>
      </c>
      <c r="D730" s="1354"/>
      <c r="E730" s="1354"/>
      <c r="F730" s="1354" t="s">
        <v>4120</v>
      </c>
      <c r="G730" s="1354" t="s">
        <v>4154</v>
      </c>
      <c r="H730" s="1354" t="s">
        <v>3195</v>
      </c>
      <c r="I730" s="1354">
        <v>34</v>
      </c>
      <c r="J730" s="1354"/>
      <c r="K730" s="1354"/>
    </row>
    <row r="731" spans="1:11" s="1334" customFormat="1" x14ac:dyDescent="0.2">
      <c r="A731" s="1354" t="s">
        <v>1273</v>
      </c>
      <c r="B731" s="1355">
        <f>IF('Part 3 DA summary'!$C47="",0,'Part 3 DA summary'!$C47)</f>
        <v>0</v>
      </c>
      <c r="C731" s="1356" t="s">
        <v>3202</v>
      </c>
      <c r="D731" s="1354"/>
      <c r="E731" s="1354"/>
      <c r="F731" s="1354" t="s">
        <v>4120</v>
      </c>
      <c r="G731" s="1354" t="s">
        <v>4155</v>
      </c>
      <c r="H731" s="1354" t="s">
        <v>3195</v>
      </c>
      <c r="I731" s="1354">
        <v>35</v>
      </c>
      <c r="J731" s="1354"/>
      <c r="K731" s="1354"/>
    </row>
    <row r="732" spans="1:11" s="1334" customFormat="1" x14ac:dyDescent="0.2">
      <c r="A732" s="1354" t="s">
        <v>1274</v>
      </c>
      <c r="B732" s="1355">
        <f>IF('Part 3 DA summary'!$C48="",0,'Part 3 DA summary'!$C48)</f>
        <v>0</v>
      </c>
      <c r="C732" s="1356" t="s">
        <v>3202</v>
      </c>
      <c r="D732" s="1354"/>
      <c r="E732" s="1354"/>
      <c r="F732" s="1354" t="s">
        <v>4120</v>
      </c>
      <c r="G732" s="1354" t="s">
        <v>4156</v>
      </c>
      <c r="H732" s="1354" t="s">
        <v>3195</v>
      </c>
      <c r="I732" s="1354">
        <v>36</v>
      </c>
      <c r="J732" s="1354"/>
      <c r="K732" s="1354"/>
    </row>
    <row r="733" spans="1:11" s="1334" customFormat="1" x14ac:dyDescent="0.2">
      <c r="A733" s="1354" t="s">
        <v>1275</v>
      </c>
      <c r="B733" s="1355">
        <f>IF('Part 3 DA summary'!$C49="",0,'Part 3 DA summary'!$C49)</f>
        <v>0</v>
      </c>
      <c r="C733" s="1356" t="s">
        <v>3202</v>
      </c>
      <c r="D733" s="1354"/>
      <c r="E733" s="1354"/>
      <c r="F733" s="1354" t="s">
        <v>4120</v>
      </c>
      <c r="G733" s="1354" t="s">
        <v>4157</v>
      </c>
      <c r="H733" s="1354" t="s">
        <v>3195</v>
      </c>
      <c r="I733" s="1354">
        <v>37</v>
      </c>
      <c r="J733" s="1354"/>
      <c r="K733" s="1354"/>
    </row>
    <row r="734" spans="1:11" s="1334" customFormat="1" x14ac:dyDescent="0.2">
      <c r="A734" s="1354" t="s">
        <v>1276</v>
      </c>
      <c r="B734" s="1355">
        <f>IF('Part 3 DA summary'!$C50="",0,'Part 3 DA summary'!$C50)</f>
        <v>0</v>
      </c>
      <c r="C734" s="1356" t="s">
        <v>3202</v>
      </c>
      <c r="D734" s="1354"/>
      <c r="E734" s="1354"/>
      <c r="F734" s="1354" t="s">
        <v>4120</v>
      </c>
      <c r="G734" s="1354" t="s">
        <v>4158</v>
      </c>
      <c r="H734" s="1354" t="s">
        <v>3195</v>
      </c>
      <c r="I734" s="1354">
        <v>38</v>
      </c>
      <c r="J734" s="1354"/>
      <c r="K734" s="1354"/>
    </row>
    <row r="735" spans="1:11" s="1334" customFormat="1" x14ac:dyDescent="0.2">
      <c r="A735" s="1354" t="s">
        <v>1277</v>
      </c>
      <c r="B735" s="1355">
        <f>IF('Part 3 DA summary'!$C51="",0,'Part 3 DA summary'!$C51)</f>
        <v>0</v>
      </c>
      <c r="C735" s="1356" t="s">
        <v>3202</v>
      </c>
      <c r="D735" s="1354"/>
      <c r="E735" s="1354"/>
      <c r="F735" s="1354" t="s">
        <v>4120</v>
      </c>
      <c r="G735" s="1354" t="s">
        <v>4159</v>
      </c>
      <c r="H735" s="1354" t="s">
        <v>3195</v>
      </c>
      <c r="I735" s="1354">
        <v>39</v>
      </c>
      <c r="J735" s="1354"/>
      <c r="K735" s="1354"/>
    </row>
    <row r="736" spans="1:11" s="1334" customFormat="1" x14ac:dyDescent="0.2">
      <c r="A736" s="1354" t="s">
        <v>1278</v>
      </c>
      <c r="B736" s="1355">
        <f>IF('Part 3 DA summary'!$C52="",0,'Part 3 DA summary'!$C52)</f>
        <v>0</v>
      </c>
      <c r="C736" s="1356" t="s">
        <v>3202</v>
      </c>
      <c r="D736" s="1354"/>
      <c r="E736" s="1354"/>
      <c r="F736" s="1354" t="s">
        <v>4120</v>
      </c>
      <c r="G736" s="1354" t="s">
        <v>4160</v>
      </c>
      <c r="H736" s="1354" t="s">
        <v>3195</v>
      </c>
      <c r="I736" s="1354">
        <v>40</v>
      </c>
      <c r="J736" s="1354"/>
      <c r="K736" s="1354"/>
    </row>
    <row r="737" spans="1:11" s="1334" customFormat="1" x14ac:dyDescent="0.2">
      <c r="A737" s="1354" t="s">
        <v>1279</v>
      </c>
      <c r="B737" s="1355">
        <f>IF('Part 3 DA summary'!$C53="",0,'Part 3 DA summary'!$C53)</f>
        <v>0</v>
      </c>
      <c r="C737" s="1356" t="s">
        <v>3202</v>
      </c>
      <c r="D737" s="1354"/>
      <c r="E737" s="1354"/>
      <c r="F737" s="1354" t="s">
        <v>4120</v>
      </c>
      <c r="G737" s="1354" t="s">
        <v>4161</v>
      </c>
      <c r="H737" s="1354" t="s">
        <v>3195</v>
      </c>
      <c r="I737" s="1354">
        <v>41</v>
      </c>
      <c r="J737" s="1354"/>
      <c r="K737" s="1354"/>
    </row>
    <row r="738" spans="1:11" s="1334" customFormat="1" ht="14.25" customHeight="1" x14ac:dyDescent="0.25">
      <c r="A738" s="1357" t="s">
        <v>1597</v>
      </c>
      <c r="B738" s="1358">
        <f>'Part 3 DA summary'!$E6</f>
        <v>0</v>
      </c>
      <c r="C738" s="1359" t="s">
        <v>3204</v>
      </c>
      <c r="D738" s="1360"/>
      <c r="E738" s="1360"/>
      <c r="F738" s="1354" t="s">
        <v>4162</v>
      </c>
      <c r="G738" s="1354" t="s">
        <v>4163</v>
      </c>
      <c r="H738" s="1354" t="s">
        <v>3195</v>
      </c>
      <c r="I738" s="1354">
        <v>42</v>
      </c>
      <c r="J738" s="1354"/>
      <c r="K738" s="1354"/>
    </row>
    <row r="739" spans="1:11" s="1334" customFormat="1" x14ac:dyDescent="0.2">
      <c r="A739" s="1354" t="s">
        <v>1598</v>
      </c>
      <c r="B739" s="1361">
        <f>'Part 3 DA summary'!$E13</f>
        <v>0</v>
      </c>
      <c r="C739" s="1356" t="s">
        <v>3204</v>
      </c>
      <c r="D739" s="1354"/>
      <c r="E739" s="1354"/>
      <c r="F739" s="1354" t="s">
        <v>4164</v>
      </c>
      <c r="G739" s="1354" t="s">
        <v>4165</v>
      </c>
      <c r="H739" s="1354" t="s">
        <v>3195</v>
      </c>
      <c r="I739" s="1354">
        <v>43</v>
      </c>
      <c r="J739" s="1354"/>
      <c r="K739" s="1354"/>
    </row>
    <row r="740" spans="1:11" s="1290" customFormat="1" x14ac:dyDescent="0.2">
      <c r="A740" s="1354" t="s">
        <v>1599</v>
      </c>
      <c r="B740" s="1361">
        <f>'Part 3 DA summary'!$E14</f>
        <v>0</v>
      </c>
      <c r="C740" s="1356" t="s">
        <v>3204</v>
      </c>
      <c r="D740" s="1354"/>
      <c r="E740" s="1354"/>
      <c r="F740" s="1354" t="s">
        <v>4164</v>
      </c>
      <c r="G740" s="1354" t="s">
        <v>4166</v>
      </c>
      <c r="H740" s="1354" t="s">
        <v>3195</v>
      </c>
      <c r="I740" s="1354">
        <v>44</v>
      </c>
      <c r="J740" s="1354"/>
      <c r="K740" s="1354"/>
    </row>
    <row r="741" spans="1:11" s="1290" customFormat="1" x14ac:dyDescent="0.2">
      <c r="A741" s="1354" t="s">
        <v>1600</v>
      </c>
      <c r="B741" s="1361">
        <f>'Part 3 DA summary'!$E15</f>
        <v>0</v>
      </c>
      <c r="C741" s="1356" t="s">
        <v>3204</v>
      </c>
      <c r="D741" s="1354"/>
      <c r="E741" s="1354"/>
      <c r="F741" s="1354" t="s">
        <v>4164</v>
      </c>
      <c r="G741" s="1354" t="s">
        <v>4167</v>
      </c>
      <c r="H741" s="1354" t="s">
        <v>3195</v>
      </c>
      <c r="I741" s="1354">
        <v>45</v>
      </c>
      <c r="J741" s="1354"/>
      <c r="K741" s="1354"/>
    </row>
    <row r="742" spans="1:11" s="1290" customFormat="1" ht="14.25" customHeight="1" x14ac:dyDescent="0.2">
      <c r="A742" s="1354" t="s">
        <v>1601</v>
      </c>
      <c r="B742" s="1361">
        <f>'Part 3 DA summary'!$E16</f>
        <v>0</v>
      </c>
      <c r="C742" s="1356" t="s">
        <v>3204</v>
      </c>
      <c r="D742" s="1354"/>
      <c r="E742" s="1354"/>
      <c r="F742" s="1354" t="s">
        <v>4164</v>
      </c>
      <c r="G742" s="1354" t="s">
        <v>4168</v>
      </c>
      <c r="H742" s="1354" t="s">
        <v>3195</v>
      </c>
      <c r="I742" s="1354">
        <v>46</v>
      </c>
      <c r="J742" s="1354"/>
      <c r="K742" s="1354"/>
    </row>
    <row r="743" spans="1:11" s="1290" customFormat="1" x14ac:dyDescent="0.2">
      <c r="A743" s="1354" t="s">
        <v>1602</v>
      </c>
      <c r="B743" s="1361">
        <f>'Part 3 DA summary'!$E17</f>
        <v>0</v>
      </c>
      <c r="C743" s="1356" t="s">
        <v>3204</v>
      </c>
      <c r="D743" s="1354"/>
      <c r="E743" s="1354"/>
      <c r="F743" s="1354" t="s">
        <v>4164</v>
      </c>
      <c r="G743" s="1354" t="s">
        <v>4169</v>
      </c>
      <c r="H743" s="1354" t="s">
        <v>3195</v>
      </c>
      <c r="I743" s="1354">
        <v>47</v>
      </c>
      <c r="J743" s="1354"/>
      <c r="K743" s="1354"/>
    </row>
    <row r="744" spans="1:11" s="1290" customFormat="1" x14ac:dyDescent="0.2">
      <c r="A744" s="1354" t="s">
        <v>1603</v>
      </c>
      <c r="B744" s="1361">
        <f>'Part 3 DA summary'!$E18</f>
        <v>0</v>
      </c>
      <c r="C744" s="1356" t="s">
        <v>3204</v>
      </c>
      <c r="D744" s="1354"/>
      <c r="E744" s="1354"/>
      <c r="F744" s="1354" t="s">
        <v>4164</v>
      </c>
      <c r="G744" s="1354" t="s">
        <v>4170</v>
      </c>
      <c r="H744" s="1354" t="s">
        <v>3195</v>
      </c>
      <c r="I744" s="1354">
        <v>48</v>
      </c>
      <c r="J744" s="1354"/>
      <c r="K744" s="1354"/>
    </row>
    <row r="745" spans="1:11" s="1290" customFormat="1" x14ac:dyDescent="0.2">
      <c r="A745" s="1354" t="s">
        <v>1604</v>
      </c>
      <c r="B745" s="1361">
        <f>'Part 3 DA summary'!$E19</f>
        <v>0</v>
      </c>
      <c r="C745" s="1356" t="s">
        <v>3204</v>
      </c>
      <c r="D745" s="1354"/>
      <c r="E745" s="1354"/>
      <c r="F745" s="1354" t="s">
        <v>4164</v>
      </c>
      <c r="G745" s="1354" t="s">
        <v>4171</v>
      </c>
      <c r="H745" s="1354" t="s">
        <v>3195</v>
      </c>
      <c r="I745" s="1354">
        <v>49</v>
      </c>
      <c r="J745" s="1354"/>
      <c r="K745" s="1354"/>
    </row>
    <row r="746" spans="1:11" s="1290" customFormat="1" x14ac:dyDescent="0.2">
      <c r="A746" s="1354" t="s">
        <v>1605</v>
      </c>
      <c r="B746" s="1361">
        <f>'Part 3 DA summary'!$E20</f>
        <v>0</v>
      </c>
      <c r="C746" s="1356" t="s">
        <v>3204</v>
      </c>
      <c r="D746" s="1354"/>
      <c r="E746" s="1354"/>
      <c r="F746" s="1354" t="s">
        <v>4164</v>
      </c>
      <c r="G746" s="1354" t="s">
        <v>4172</v>
      </c>
      <c r="H746" s="1354" t="s">
        <v>3195</v>
      </c>
      <c r="I746" s="1354">
        <v>50</v>
      </c>
      <c r="J746" s="1354"/>
      <c r="K746" s="1354"/>
    </row>
    <row r="747" spans="1:11" s="1290" customFormat="1" x14ac:dyDescent="0.2">
      <c r="A747" s="1354" t="s">
        <v>1606</v>
      </c>
      <c r="B747" s="1361">
        <f>'Part 3 DA summary'!$E21</f>
        <v>0</v>
      </c>
      <c r="C747" s="1356" t="s">
        <v>3204</v>
      </c>
      <c r="D747" s="1354"/>
      <c r="E747" s="1354"/>
      <c r="F747" s="1354" t="s">
        <v>4164</v>
      </c>
      <c r="G747" s="1354" t="s">
        <v>4173</v>
      </c>
      <c r="H747" s="1354" t="s">
        <v>3195</v>
      </c>
      <c r="I747" s="1354">
        <v>51</v>
      </c>
      <c r="J747" s="1354"/>
      <c r="K747" s="1354"/>
    </row>
    <row r="748" spans="1:11" s="1290" customFormat="1" x14ac:dyDescent="0.2">
      <c r="A748" s="1354" t="s">
        <v>1607</v>
      </c>
      <c r="B748" s="1361">
        <f>'Part 3 DA summary'!$E22</f>
        <v>0</v>
      </c>
      <c r="C748" s="1356" t="s">
        <v>3204</v>
      </c>
      <c r="D748" s="1354"/>
      <c r="E748" s="1354"/>
      <c r="F748" s="1354" t="s">
        <v>4164</v>
      </c>
      <c r="G748" s="1354" t="s">
        <v>4174</v>
      </c>
      <c r="H748" s="1354" t="s">
        <v>3195</v>
      </c>
      <c r="I748" s="1354">
        <v>52</v>
      </c>
      <c r="J748" s="1354"/>
      <c r="K748" s="1354"/>
    </row>
    <row r="749" spans="1:11" s="1290" customFormat="1" x14ac:dyDescent="0.2">
      <c r="A749" s="1354" t="s">
        <v>1608</v>
      </c>
      <c r="B749" s="1361">
        <f>'Part 3 DA summary'!$E23</f>
        <v>0</v>
      </c>
      <c r="C749" s="1356" t="s">
        <v>3204</v>
      </c>
      <c r="D749" s="1354"/>
      <c r="E749" s="1354"/>
      <c r="F749" s="1354" t="s">
        <v>4164</v>
      </c>
      <c r="G749" s="1354" t="s">
        <v>4175</v>
      </c>
      <c r="H749" s="1354" t="s">
        <v>3195</v>
      </c>
      <c r="I749" s="1354">
        <v>53</v>
      </c>
      <c r="J749" s="1354"/>
      <c r="K749" s="1354"/>
    </row>
    <row r="750" spans="1:11" s="1290" customFormat="1" x14ac:dyDescent="0.2">
      <c r="A750" s="1354" t="s">
        <v>1609</v>
      </c>
      <c r="B750" s="1361">
        <f>'Part 3 DA summary'!$E24</f>
        <v>0</v>
      </c>
      <c r="C750" s="1356" t="s">
        <v>3204</v>
      </c>
      <c r="D750" s="1354"/>
      <c r="E750" s="1354"/>
      <c r="F750" s="1354" t="s">
        <v>4164</v>
      </c>
      <c r="G750" s="1354" t="s">
        <v>4176</v>
      </c>
      <c r="H750" s="1354" t="s">
        <v>3195</v>
      </c>
      <c r="I750" s="1354">
        <v>54</v>
      </c>
      <c r="J750" s="1354"/>
      <c r="K750" s="1354"/>
    </row>
    <row r="751" spans="1:11" s="1290" customFormat="1" x14ac:dyDescent="0.2">
      <c r="A751" s="1354" t="s">
        <v>1610</v>
      </c>
      <c r="B751" s="1361">
        <f>'Part 3 DA summary'!$E25</f>
        <v>0</v>
      </c>
      <c r="C751" s="1356" t="s">
        <v>3204</v>
      </c>
      <c r="D751" s="1354"/>
      <c r="E751" s="1354"/>
      <c r="F751" s="1354" t="s">
        <v>4164</v>
      </c>
      <c r="G751" s="1354" t="s">
        <v>4177</v>
      </c>
      <c r="H751" s="1354" t="s">
        <v>3195</v>
      </c>
      <c r="I751" s="1354">
        <v>55</v>
      </c>
      <c r="J751" s="1354"/>
      <c r="K751" s="1354"/>
    </row>
    <row r="752" spans="1:11" s="1290" customFormat="1" x14ac:dyDescent="0.2">
      <c r="A752" s="1354" t="s">
        <v>1611</v>
      </c>
      <c r="B752" s="1361">
        <f>'Part 3 DA summary'!$E26</f>
        <v>0</v>
      </c>
      <c r="C752" s="1356" t="s">
        <v>3204</v>
      </c>
      <c r="D752" s="1354"/>
      <c r="E752" s="1354"/>
      <c r="F752" s="1354" t="s">
        <v>4164</v>
      </c>
      <c r="G752" s="1354" t="s">
        <v>4178</v>
      </c>
      <c r="H752" s="1354" t="s">
        <v>3195</v>
      </c>
      <c r="I752" s="1354">
        <v>56</v>
      </c>
      <c r="J752" s="1354"/>
      <c r="K752" s="1354"/>
    </row>
    <row r="753" spans="1:11" s="1290" customFormat="1" x14ac:dyDescent="0.2">
      <c r="A753" s="1354" t="s">
        <v>1612</v>
      </c>
      <c r="B753" s="1361">
        <f>'Part 3 DA summary'!$E27</f>
        <v>0</v>
      </c>
      <c r="C753" s="1356" t="s">
        <v>3204</v>
      </c>
      <c r="D753" s="1354"/>
      <c r="E753" s="1354"/>
      <c r="F753" s="1354" t="s">
        <v>4164</v>
      </c>
      <c r="G753" s="1354" t="s">
        <v>4179</v>
      </c>
      <c r="H753" s="1354" t="s">
        <v>3195</v>
      </c>
      <c r="I753" s="1354">
        <v>57</v>
      </c>
      <c r="J753" s="1354"/>
      <c r="K753" s="1354"/>
    </row>
    <row r="754" spans="1:11" s="1290" customFormat="1" x14ac:dyDescent="0.2">
      <c r="A754" s="1354" t="s">
        <v>1613</v>
      </c>
      <c r="B754" s="1361">
        <f>'Part 3 DA summary'!$E28</f>
        <v>0</v>
      </c>
      <c r="C754" s="1356" t="s">
        <v>3204</v>
      </c>
      <c r="D754" s="1354"/>
      <c r="E754" s="1354"/>
      <c r="F754" s="1354" t="s">
        <v>4164</v>
      </c>
      <c r="G754" s="1354" t="s">
        <v>4180</v>
      </c>
      <c r="H754" s="1354" t="s">
        <v>3195</v>
      </c>
      <c r="I754" s="1354">
        <v>58</v>
      </c>
      <c r="J754" s="1354"/>
      <c r="K754" s="1354"/>
    </row>
    <row r="755" spans="1:11" s="1290" customFormat="1" x14ac:dyDescent="0.2">
      <c r="A755" s="1354" t="s">
        <v>1614</v>
      </c>
      <c r="B755" s="1361">
        <f>'Part 3 DA summary'!$E29</f>
        <v>0</v>
      </c>
      <c r="C755" s="1356" t="s">
        <v>3204</v>
      </c>
      <c r="D755" s="1354"/>
      <c r="E755" s="1354"/>
      <c r="F755" s="1354" t="s">
        <v>4164</v>
      </c>
      <c r="G755" s="1354" t="s">
        <v>4181</v>
      </c>
      <c r="H755" s="1354" t="s">
        <v>3195</v>
      </c>
      <c r="I755" s="1354">
        <v>59</v>
      </c>
      <c r="J755" s="1354"/>
      <c r="K755" s="1354"/>
    </row>
    <row r="756" spans="1:11" s="1290" customFormat="1" x14ac:dyDescent="0.2">
      <c r="A756" s="1354" t="s">
        <v>1615</v>
      </c>
      <c r="B756" s="1361">
        <f>'Part 3 DA summary'!$E30</f>
        <v>0</v>
      </c>
      <c r="C756" s="1356" t="s">
        <v>3204</v>
      </c>
      <c r="D756" s="1354"/>
      <c r="E756" s="1354"/>
      <c r="F756" s="1354" t="s">
        <v>4164</v>
      </c>
      <c r="G756" s="1354" t="s">
        <v>4182</v>
      </c>
      <c r="H756" s="1354" t="s">
        <v>3195</v>
      </c>
      <c r="I756" s="1354">
        <v>60</v>
      </c>
      <c r="J756" s="1354"/>
      <c r="K756" s="1354"/>
    </row>
    <row r="757" spans="1:11" s="1290" customFormat="1" x14ac:dyDescent="0.2">
      <c r="A757" s="1354" t="s">
        <v>1616</v>
      </c>
      <c r="B757" s="1361">
        <f>'Part 3 DA summary'!$E31</f>
        <v>0</v>
      </c>
      <c r="C757" s="1356" t="s">
        <v>3204</v>
      </c>
      <c r="D757" s="1354"/>
      <c r="E757" s="1354"/>
      <c r="F757" s="1354" t="s">
        <v>4164</v>
      </c>
      <c r="G757" s="1354" t="s">
        <v>4183</v>
      </c>
      <c r="H757" s="1354" t="s">
        <v>3195</v>
      </c>
      <c r="I757" s="1354">
        <v>61</v>
      </c>
      <c r="J757" s="1354"/>
      <c r="K757" s="1354"/>
    </row>
    <row r="758" spans="1:11" s="1290" customFormat="1" x14ac:dyDescent="0.2">
      <c r="A758" s="1354" t="s">
        <v>1617</v>
      </c>
      <c r="B758" s="1361">
        <f>'Part 3 DA summary'!$E32</f>
        <v>0</v>
      </c>
      <c r="C758" s="1356" t="s">
        <v>3204</v>
      </c>
      <c r="D758" s="1354"/>
      <c r="E758" s="1354"/>
      <c r="F758" s="1354" t="s">
        <v>4164</v>
      </c>
      <c r="G758" s="1354" t="s">
        <v>4184</v>
      </c>
      <c r="H758" s="1354" t="s">
        <v>3195</v>
      </c>
      <c r="I758" s="1354">
        <v>62</v>
      </c>
      <c r="J758" s="1354"/>
      <c r="K758" s="1354"/>
    </row>
    <row r="759" spans="1:11" s="1290" customFormat="1" x14ac:dyDescent="0.2">
      <c r="A759" s="1354" t="s">
        <v>1618</v>
      </c>
      <c r="B759" s="1361">
        <f>'Part 3 DA summary'!$E33</f>
        <v>0</v>
      </c>
      <c r="C759" s="1356" t="s">
        <v>3204</v>
      </c>
      <c r="D759" s="1354"/>
      <c r="E759" s="1354"/>
      <c r="F759" s="1354" t="s">
        <v>4164</v>
      </c>
      <c r="G759" s="1354" t="s">
        <v>4185</v>
      </c>
      <c r="H759" s="1354" t="s">
        <v>3195</v>
      </c>
      <c r="I759" s="1354">
        <v>63</v>
      </c>
      <c r="J759" s="1354"/>
      <c r="K759" s="1354"/>
    </row>
    <row r="760" spans="1:11" s="1290" customFormat="1" x14ac:dyDescent="0.2">
      <c r="A760" s="1354" t="s">
        <v>1619</v>
      </c>
      <c r="B760" s="1361">
        <f>'Part 3 DA summary'!$E34</f>
        <v>0</v>
      </c>
      <c r="C760" s="1356" t="s">
        <v>3204</v>
      </c>
      <c r="D760" s="1354"/>
      <c r="E760" s="1354"/>
      <c r="F760" s="1354" t="s">
        <v>4164</v>
      </c>
      <c r="G760" s="1354" t="s">
        <v>4186</v>
      </c>
      <c r="H760" s="1354" t="s">
        <v>3195</v>
      </c>
      <c r="I760" s="1354">
        <v>64</v>
      </c>
      <c r="J760" s="1354"/>
      <c r="K760" s="1354"/>
    </row>
    <row r="761" spans="1:11" s="1290" customFormat="1" x14ac:dyDescent="0.2">
      <c r="A761" s="1354" t="s">
        <v>1620</v>
      </c>
      <c r="B761" s="1361">
        <f>'Part 3 DA summary'!$E35</f>
        <v>0</v>
      </c>
      <c r="C761" s="1356" t="s">
        <v>3204</v>
      </c>
      <c r="D761" s="1354"/>
      <c r="E761" s="1354"/>
      <c r="F761" s="1354" t="s">
        <v>4164</v>
      </c>
      <c r="G761" s="1354" t="s">
        <v>4187</v>
      </c>
      <c r="H761" s="1354" t="s">
        <v>3195</v>
      </c>
      <c r="I761" s="1354">
        <v>65</v>
      </c>
      <c r="J761" s="1354"/>
      <c r="K761" s="1354"/>
    </row>
    <row r="762" spans="1:11" s="1290" customFormat="1" x14ac:dyDescent="0.2">
      <c r="A762" s="1354" t="s">
        <v>1621</v>
      </c>
      <c r="B762" s="1361">
        <f>'Part 3 DA summary'!$E36</f>
        <v>0</v>
      </c>
      <c r="C762" s="1356" t="s">
        <v>3204</v>
      </c>
      <c r="D762" s="1354"/>
      <c r="E762" s="1354"/>
      <c r="F762" s="1354" t="s">
        <v>4164</v>
      </c>
      <c r="G762" s="1354" t="s">
        <v>4188</v>
      </c>
      <c r="H762" s="1354" t="s">
        <v>3195</v>
      </c>
      <c r="I762" s="1354">
        <v>66</v>
      </c>
      <c r="J762" s="1354"/>
      <c r="K762" s="1354"/>
    </row>
    <row r="763" spans="1:11" s="1290" customFormat="1" x14ac:dyDescent="0.2">
      <c r="A763" s="1354" t="s">
        <v>1622</v>
      </c>
      <c r="B763" s="1361">
        <f>'Part 3 DA summary'!$E37</f>
        <v>0</v>
      </c>
      <c r="C763" s="1356" t="s">
        <v>3204</v>
      </c>
      <c r="D763" s="1354"/>
      <c r="E763" s="1354"/>
      <c r="F763" s="1354" t="s">
        <v>4164</v>
      </c>
      <c r="G763" s="1354" t="s">
        <v>4189</v>
      </c>
      <c r="H763" s="1354" t="s">
        <v>3195</v>
      </c>
      <c r="I763" s="1354">
        <v>67</v>
      </c>
      <c r="J763" s="1354"/>
      <c r="K763" s="1354"/>
    </row>
    <row r="764" spans="1:11" s="1290" customFormat="1" x14ac:dyDescent="0.2">
      <c r="A764" s="1354" t="s">
        <v>1623</v>
      </c>
      <c r="B764" s="1361">
        <f>'Part 3 DA summary'!$E38</f>
        <v>0</v>
      </c>
      <c r="C764" s="1356" t="s">
        <v>3204</v>
      </c>
      <c r="D764" s="1354"/>
      <c r="E764" s="1354"/>
      <c r="F764" s="1354" t="s">
        <v>4164</v>
      </c>
      <c r="G764" s="1354" t="s">
        <v>4190</v>
      </c>
      <c r="H764" s="1354" t="s">
        <v>3195</v>
      </c>
      <c r="I764" s="1354">
        <v>68</v>
      </c>
      <c r="J764" s="1354"/>
      <c r="K764" s="1354"/>
    </row>
    <row r="765" spans="1:11" s="1290" customFormat="1" x14ac:dyDescent="0.2">
      <c r="A765" s="1354" t="s">
        <v>1624</v>
      </c>
      <c r="B765" s="1361">
        <f>'Part 3 DA summary'!$E39</f>
        <v>0</v>
      </c>
      <c r="C765" s="1356" t="s">
        <v>3204</v>
      </c>
      <c r="D765" s="1354"/>
      <c r="E765" s="1354"/>
      <c r="F765" s="1354" t="s">
        <v>4164</v>
      </c>
      <c r="G765" s="1354" t="s">
        <v>4191</v>
      </c>
      <c r="H765" s="1354" t="s">
        <v>3195</v>
      </c>
      <c r="I765" s="1354">
        <v>69</v>
      </c>
      <c r="J765" s="1354"/>
      <c r="K765" s="1354"/>
    </row>
    <row r="766" spans="1:11" s="1290" customFormat="1" x14ac:dyDescent="0.2">
      <c r="A766" s="1354" t="s">
        <v>1625</v>
      </c>
      <c r="B766" s="1361">
        <f>'Part 3 DA summary'!$E40</f>
        <v>0</v>
      </c>
      <c r="C766" s="1356" t="s">
        <v>3204</v>
      </c>
      <c r="D766" s="1354"/>
      <c r="E766" s="1354"/>
      <c r="F766" s="1354" t="s">
        <v>4164</v>
      </c>
      <c r="G766" s="1354" t="s">
        <v>4192</v>
      </c>
      <c r="H766" s="1354" t="s">
        <v>3195</v>
      </c>
      <c r="I766" s="1354">
        <v>70</v>
      </c>
      <c r="J766" s="1354"/>
      <c r="K766" s="1354"/>
    </row>
    <row r="767" spans="1:11" s="1348" customFormat="1" x14ac:dyDescent="0.2">
      <c r="A767" s="1354" t="s">
        <v>1626</v>
      </c>
      <c r="B767" s="1361">
        <f>'Part 3 DA summary'!$E41</f>
        <v>0</v>
      </c>
      <c r="C767" s="1356" t="s">
        <v>3204</v>
      </c>
      <c r="D767" s="1354"/>
      <c r="E767" s="1354"/>
      <c r="F767" s="1354" t="s">
        <v>4164</v>
      </c>
      <c r="G767" s="1354" t="s">
        <v>4193</v>
      </c>
      <c r="H767" s="1354" t="s">
        <v>3195</v>
      </c>
      <c r="I767" s="1354">
        <v>71</v>
      </c>
      <c r="J767" s="1354"/>
      <c r="K767" s="1354"/>
    </row>
    <row r="768" spans="1:11" s="1348" customFormat="1" x14ac:dyDescent="0.2">
      <c r="A768" s="1354" t="s">
        <v>1627</v>
      </c>
      <c r="B768" s="1361">
        <f>'Part 3 DA summary'!$E42</f>
        <v>0</v>
      </c>
      <c r="C768" s="1356" t="s">
        <v>3204</v>
      </c>
      <c r="D768" s="1354"/>
      <c r="E768" s="1354"/>
      <c r="F768" s="1354" t="s">
        <v>4164</v>
      </c>
      <c r="G768" s="1354" t="s">
        <v>4194</v>
      </c>
      <c r="H768" s="1354" t="s">
        <v>3195</v>
      </c>
      <c r="I768" s="1354">
        <v>72</v>
      </c>
      <c r="J768" s="1354"/>
      <c r="K768" s="1354"/>
    </row>
    <row r="769" spans="1:11" s="1348" customFormat="1" x14ac:dyDescent="0.2">
      <c r="A769" s="1354" t="s">
        <v>1628</v>
      </c>
      <c r="B769" s="1361">
        <f>'Part 3 DA summary'!$E43</f>
        <v>0</v>
      </c>
      <c r="C769" s="1356" t="s">
        <v>3204</v>
      </c>
      <c r="D769" s="1354"/>
      <c r="E769" s="1354"/>
      <c r="F769" s="1354" t="s">
        <v>4164</v>
      </c>
      <c r="G769" s="1354" t="s">
        <v>4195</v>
      </c>
      <c r="H769" s="1354" t="s">
        <v>3195</v>
      </c>
      <c r="I769" s="1354">
        <v>73</v>
      </c>
      <c r="J769" s="1354"/>
      <c r="K769" s="1354"/>
    </row>
    <row r="770" spans="1:11" s="1348" customFormat="1" x14ac:dyDescent="0.2">
      <c r="A770" s="1354" t="s">
        <v>1629</v>
      </c>
      <c r="B770" s="1361">
        <f>'Part 3 DA summary'!$E44</f>
        <v>0</v>
      </c>
      <c r="C770" s="1356" t="s">
        <v>3204</v>
      </c>
      <c r="D770" s="1354"/>
      <c r="E770" s="1354"/>
      <c r="F770" s="1354" t="s">
        <v>4164</v>
      </c>
      <c r="G770" s="1354" t="s">
        <v>4196</v>
      </c>
      <c r="H770" s="1354" t="s">
        <v>3195</v>
      </c>
      <c r="I770" s="1354">
        <v>74</v>
      </c>
      <c r="J770" s="1354"/>
      <c r="K770" s="1354"/>
    </row>
    <row r="771" spans="1:11" s="1348" customFormat="1" x14ac:dyDescent="0.2">
      <c r="A771" s="1354" t="s">
        <v>1630</v>
      </c>
      <c r="B771" s="1361">
        <f>'Part 3 DA summary'!$E45</f>
        <v>0</v>
      </c>
      <c r="C771" s="1356" t="s">
        <v>3204</v>
      </c>
      <c r="D771" s="1354"/>
      <c r="E771" s="1354"/>
      <c r="F771" s="1354" t="s">
        <v>4164</v>
      </c>
      <c r="G771" s="1354" t="s">
        <v>4197</v>
      </c>
      <c r="H771" s="1354" t="s">
        <v>3195</v>
      </c>
      <c r="I771" s="1354">
        <v>75</v>
      </c>
      <c r="J771" s="1354"/>
      <c r="K771" s="1354"/>
    </row>
    <row r="772" spans="1:11" s="1348" customFormat="1" x14ac:dyDescent="0.2">
      <c r="A772" s="1354" t="s">
        <v>1631</v>
      </c>
      <c r="B772" s="1361">
        <f>'Part 3 DA summary'!$E46</f>
        <v>0</v>
      </c>
      <c r="C772" s="1356" t="s">
        <v>3204</v>
      </c>
      <c r="D772" s="1354"/>
      <c r="E772" s="1354"/>
      <c r="F772" s="1354" t="s">
        <v>4164</v>
      </c>
      <c r="G772" s="1354" t="s">
        <v>4198</v>
      </c>
      <c r="H772" s="1354" t="s">
        <v>3195</v>
      </c>
      <c r="I772" s="1354">
        <v>76</v>
      </c>
      <c r="J772" s="1354"/>
      <c r="K772" s="1354"/>
    </row>
    <row r="773" spans="1:11" s="1348" customFormat="1" x14ac:dyDescent="0.2">
      <c r="A773" s="1354" t="s">
        <v>1632</v>
      </c>
      <c r="B773" s="1361">
        <f>'Part 3 DA summary'!$E47</f>
        <v>0</v>
      </c>
      <c r="C773" s="1356" t="s">
        <v>3204</v>
      </c>
      <c r="D773" s="1354"/>
      <c r="E773" s="1354"/>
      <c r="F773" s="1354" t="s">
        <v>4164</v>
      </c>
      <c r="G773" s="1354" t="s">
        <v>4199</v>
      </c>
      <c r="H773" s="1354" t="s">
        <v>3195</v>
      </c>
      <c r="I773" s="1354">
        <v>77</v>
      </c>
      <c r="J773" s="1354"/>
      <c r="K773" s="1354"/>
    </row>
    <row r="774" spans="1:11" s="1348" customFormat="1" x14ac:dyDescent="0.2">
      <c r="A774" s="1354" t="s">
        <v>1633</v>
      </c>
      <c r="B774" s="1361">
        <f>'Part 3 DA summary'!$E48</f>
        <v>0</v>
      </c>
      <c r="C774" s="1356" t="s">
        <v>3204</v>
      </c>
      <c r="D774" s="1354"/>
      <c r="E774" s="1354"/>
      <c r="F774" s="1354" t="s">
        <v>4164</v>
      </c>
      <c r="G774" s="1354" t="s">
        <v>4200</v>
      </c>
      <c r="H774" s="1354" t="s">
        <v>3195</v>
      </c>
      <c r="I774" s="1354">
        <v>78</v>
      </c>
      <c r="J774" s="1354"/>
      <c r="K774" s="1354"/>
    </row>
    <row r="775" spans="1:11" s="1348" customFormat="1" x14ac:dyDescent="0.2">
      <c r="A775" s="1354" t="s">
        <v>1634</v>
      </c>
      <c r="B775" s="1361">
        <f>'Part 3 DA summary'!$E49</f>
        <v>0</v>
      </c>
      <c r="C775" s="1356" t="s">
        <v>3204</v>
      </c>
      <c r="D775" s="1354"/>
      <c r="E775" s="1354"/>
      <c r="F775" s="1354" t="s">
        <v>4164</v>
      </c>
      <c r="G775" s="1354" t="s">
        <v>4201</v>
      </c>
      <c r="H775" s="1354" t="s">
        <v>3195</v>
      </c>
      <c r="I775" s="1354">
        <v>79</v>
      </c>
      <c r="J775" s="1354"/>
      <c r="K775" s="1354"/>
    </row>
    <row r="776" spans="1:11" s="1348" customFormat="1" x14ac:dyDescent="0.2">
      <c r="A776" s="1354" t="s">
        <v>1635</v>
      </c>
      <c r="B776" s="1361">
        <f>'Part 3 DA summary'!$E50</f>
        <v>0</v>
      </c>
      <c r="C776" s="1356" t="s">
        <v>3204</v>
      </c>
      <c r="D776" s="1354"/>
      <c r="E776" s="1354"/>
      <c r="F776" s="1354" t="s">
        <v>4164</v>
      </c>
      <c r="G776" s="1354" t="s">
        <v>4202</v>
      </c>
      <c r="H776" s="1354" t="s">
        <v>3195</v>
      </c>
      <c r="I776" s="1354">
        <v>80</v>
      </c>
      <c r="J776" s="1354"/>
      <c r="K776" s="1354"/>
    </row>
    <row r="777" spans="1:11" s="1348" customFormat="1" x14ac:dyDescent="0.2">
      <c r="A777" s="1354" t="s">
        <v>1636</v>
      </c>
      <c r="B777" s="1361">
        <f>'Part 3 DA summary'!$E51</f>
        <v>0</v>
      </c>
      <c r="C777" s="1356" t="s">
        <v>3204</v>
      </c>
      <c r="D777" s="1354"/>
      <c r="E777" s="1354"/>
      <c r="F777" s="1354" t="s">
        <v>4164</v>
      </c>
      <c r="G777" s="1354" t="s">
        <v>4203</v>
      </c>
      <c r="H777" s="1354" t="s">
        <v>3195</v>
      </c>
      <c r="I777" s="1354">
        <v>81</v>
      </c>
      <c r="J777" s="1354"/>
      <c r="K777" s="1354"/>
    </row>
    <row r="778" spans="1:11" s="1348" customFormat="1" x14ac:dyDescent="0.2">
      <c r="A778" s="1354" t="s">
        <v>1637</v>
      </c>
      <c r="B778" s="1361">
        <f>'Part 3 DA summary'!$E52</f>
        <v>0</v>
      </c>
      <c r="C778" s="1356" t="s">
        <v>3204</v>
      </c>
      <c r="D778" s="1354"/>
      <c r="E778" s="1354"/>
      <c r="F778" s="1354" t="s">
        <v>4164</v>
      </c>
      <c r="G778" s="1354" t="s">
        <v>4204</v>
      </c>
      <c r="H778" s="1354" t="s">
        <v>3195</v>
      </c>
      <c r="I778" s="1354">
        <v>82</v>
      </c>
      <c r="J778" s="1354"/>
      <c r="K778" s="1354"/>
    </row>
    <row r="779" spans="1:11" s="1348" customFormat="1" x14ac:dyDescent="0.2">
      <c r="A779" s="1354" t="s">
        <v>1638</v>
      </c>
      <c r="B779" s="1361">
        <f>'Part 3 DA summary'!$E53</f>
        <v>0</v>
      </c>
      <c r="C779" s="1356" t="s">
        <v>3204</v>
      </c>
      <c r="D779" s="1354"/>
      <c r="E779" s="1354"/>
      <c r="F779" s="1354" t="s">
        <v>4164</v>
      </c>
      <c r="G779" s="1354" t="s">
        <v>4205</v>
      </c>
      <c r="H779" s="1354" t="s">
        <v>3195</v>
      </c>
      <c r="I779" s="1354">
        <v>83</v>
      </c>
      <c r="J779" s="1354"/>
      <c r="K779" s="1354"/>
    </row>
    <row r="780" spans="1:11" s="1348" customFormat="1" ht="14.25" customHeight="1" x14ac:dyDescent="0.25">
      <c r="A780" s="1362" t="s">
        <v>1639</v>
      </c>
      <c r="B780" s="1361">
        <f>'Part 3 DA summary'!$G6</f>
        <v>0</v>
      </c>
      <c r="C780" s="1359" t="s">
        <v>3204</v>
      </c>
      <c r="D780" s="1360"/>
      <c r="E780" s="1360"/>
      <c r="F780" s="1354" t="s">
        <v>4206</v>
      </c>
      <c r="G780" s="1354" t="s">
        <v>4207</v>
      </c>
      <c r="H780" s="1354" t="s">
        <v>3195</v>
      </c>
      <c r="I780" s="1354">
        <v>84</v>
      </c>
      <c r="J780" s="1354"/>
      <c r="K780" s="1354"/>
    </row>
    <row r="781" spans="1:11" s="1348" customFormat="1" x14ac:dyDescent="0.2">
      <c r="A781" s="1354" t="s">
        <v>1640</v>
      </c>
      <c r="B781" s="1361">
        <f>'Part 3 DA summary'!$G13</f>
        <v>0</v>
      </c>
      <c r="C781" s="1356" t="s">
        <v>3204</v>
      </c>
      <c r="D781" s="1354"/>
      <c r="E781" s="1354"/>
      <c r="F781" s="1354" t="s">
        <v>4208</v>
      </c>
      <c r="G781" s="1354" t="s">
        <v>4209</v>
      </c>
      <c r="H781" s="1354" t="s">
        <v>3195</v>
      </c>
      <c r="I781" s="1354">
        <v>85</v>
      </c>
      <c r="J781" s="1354"/>
      <c r="K781" s="1354"/>
    </row>
    <row r="782" spans="1:11" s="1348" customFormat="1" ht="15" customHeight="1" x14ac:dyDescent="0.2">
      <c r="A782" s="1354" t="s">
        <v>1641</v>
      </c>
      <c r="B782" s="1361">
        <f>'Part 3 DA summary'!$G14</f>
        <v>0</v>
      </c>
      <c r="C782" s="1356" t="s">
        <v>3204</v>
      </c>
      <c r="D782" s="1354"/>
      <c r="E782" s="1354"/>
      <c r="F782" s="1354" t="s">
        <v>4208</v>
      </c>
      <c r="G782" s="1354" t="s">
        <v>4210</v>
      </c>
      <c r="H782" s="1354" t="s">
        <v>3195</v>
      </c>
      <c r="I782" s="1354">
        <v>86</v>
      </c>
      <c r="J782" s="1354"/>
      <c r="K782" s="1354"/>
    </row>
    <row r="783" spans="1:11" s="1348" customFormat="1" x14ac:dyDescent="0.2">
      <c r="A783" s="1354" t="s">
        <v>1642</v>
      </c>
      <c r="B783" s="1361">
        <f>'Part 3 DA summary'!$G15</f>
        <v>0</v>
      </c>
      <c r="C783" s="1356" t="s">
        <v>3204</v>
      </c>
      <c r="D783" s="1354"/>
      <c r="E783" s="1354"/>
      <c r="F783" s="1354" t="s">
        <v>4208</v>
      </c>
      <c r="G783" s="1354" t="s">
        <v>4211</v>
      </c>
      <c r="H783" s="1354" t="s">
        <v>3195</v>
      </c>
      <c r="I783" s="1354">
        <v>87</v>
      </c>
      <c r="J783" s="1354"/>
      <c r="K783" s="1354"/>
    </row>
    <row r="784" spans="1:11" s="1348" customFormat="1" ht="14.25" customHeight="1" x14ac:dyDescent="0.2">
      <c r="A784" s="1354" t="s">
        <v>1643</v>
      </c>
      <c r="B784" s="1361">
        <f>'Part 3 DA summary'!$G16</f>
        <v>0</v>
      </c>
      <c r="C784" s="1356" t="s">
        <v>3204</v>
      </c>
      <c r="D784" s="1354"/>
      <c r="E784" s="1354"/>
      <c r="F784" s="1354" t="s">
        <v>4208</v>
      </c>
      <c r="G784" s="1354" t="s">
        <v>4212</v>
      </c>
      <c r="H784" s="1354" t="s">
        <v>3195</v>
      </c>
      <c r="I784" s="1354">
        <v>88</v>
      </c>
      <c r="J784" s="1354"/>
      <c r="K784" s="1354"/>
    </row>
    <row r="785" spans="1:11" s="1348" customFormat="1" ht="14.25" customHeight="1" x14ac:dyDescent="0.2">
      <c r="A785" s="1354" t="s">
        <v>1644</v>
      </c>
      <c r="B785" s="1361">
        <f>'Part 3 DA summary'!$G17</f>
        <v>0</v>
      </c>
      <c r="C785" s="1356" t="s">
        <v>3204</v>
      </c>
      <c r="D785" s="1354"/>
      <c r="E785" s="1354"/>
      <c r="F785" s="1354" t="s">
        <v>4208</v>
      </c>
      <c r="G785" s="1354" t="s">
        <v>4213</v>
      </c>
      <c r="H785" s="1354" t="s">
        <v>3195</v>
      </c>
      <c r="I785" s="1354">
        <v>89</v>
      </c>
      <c r="J785" s="1354"/>
      <c r="K785" s="1354"/>
    </row>
    <row r="786" spans="1:11" s="1348" customFormat="1" ht="15" customHeight="1" x14ac:dyDescent="0.2">
      <c r="A786" s="1354" t="s">
        <v>1645</v>
      </c>
      <c r="B786" s="1361">
        <f>'Part 3 DA summary'!$G18</f>
        <v>0</v>
      </c>
      <c r="C786" s="1356" t="s">
        <v>3204</v>
      </c>
      <c r="D786" s="1354"/>
      <c r="E786" s="1354"/>
      <c r="F786" s="1354" t="s">
        <v>4208</v>
      </c>
      <c r="G786" s="1354" t="s">
        <v>4214</v>
      </c>
      <c r="H786" s="1354" t="s">
        <v>3195</v>
      </c>
      <c r="I786" s="1354">
        <v>90</v>
      </c>
      <c r="J786" s="1354"/>
      <c r="K786" s="1354"/>
    </row>
    <row r="787" spans="1:11" s="1348" customFormat="1" x14ac:dyDescent="0.2">
      <c r="A787" s="1354" t="s">
        <v>1646</v>
      </c>
      <c r="B787" s="1361">
        <f>'Part 3 DA summary'!$G19</f>
        <v>0</v>
      </c>
      <c r="C787" s="1356" t="s">
        <v>3204</v>
      </c>
      <c r="D787" s="1354"/>
      <c r="E787" s="1354"/>
      <c r="F787" s="1354" t="s">
        <v>4208</v>
      </c>
      <c r="G787" s="1354" t="s">
        <v>4215</v>
      </c>
      <c r="H787" s="1354" t="s">
        <v>3195</v>
      </c>
      <c r="I787" s="1354">
        <v>91</v>
      </c>
      <c r="J787" s="1354"/>
      <c r="K787" s="1354"/>
    </row>
    <row r="788" spans="1:11" s="1348" customFormat="1" x14ac:dyDescent="0.2">
      <c r="A788" s="1354" t="s">
        <v>1647</v>
      </c>
      <c r="B788" s="1361">
        <f>'Part 3 DA summary'!$G20</f>
        <v>0</v>
      </c>
      <c r="C788" s="1356" t="s">
        <v>3204</v>
      </c>
      <c r="D788" s="1354"/>
      <c r="E788" s="1354"/>
      <c r="F788" s="1354" t="s">
        <v>4208</v>
      </c>
      <c r="G788" s="1354" t="s">
        <v>4216</v>
      </c>
      <c r="H788" s="1354" t="s">
        <v>3195</v>
      </c>
      <c r="I788" s="1354">
        <v>92</v>
      </c>
      <c r="J788" s="1354"/>
      <c r="K788" s="1354"/>
    </row>
    <row r="789" spans="1:11" s="1348" customFormat="1" x14ac:dyDescent="0.2">
      <c r="A789" s="1354" t="s">
        <v>1648</v>
      </c>
      <c r="B789" s="1361">
        <f>'Part 3 DA summary'!$G21</f>
        <v>0</v>
      </c>
      <c r="C789" s="1356" t="s">
        <v>3204</v>
      </c>
      <c r="D789" s="1354"/>
      <c r="E789" s="1354"/>
      <c r="F789" s="1354" t="s">
        <v>4208</v>
      </c>
      <c r="G789" s="1354" t="s">
        <v>4217</v>
      </c>
      <c r="H789" s="1354" t="s">
        <v>3195</v>
      </c>
      <c r="I789" s="1354">
        <v>93</v>
      </c>
      <c r="J789" s="1354"/>
      <c r="K789" s="1354"/>
    </row>
    <row r="790" spans="1:11" s="1348" customFormat="1" x14ac:dyDescent="0.2">
      <c r="A790" s="1354" t="s">
        <v>1649</v>
      </c>
      <c r="B790" s="1361">
        <f>'Part 3 DA summary'!$G22</f>
        <v>0</v>
      </c>
      <c r="C790" s="1356" t="s">
        <v>3204</v>
      </c>
      <c r="D790" s="1354"/>
      <c r="E790" s="1354"/>
      <c r="F790" s="1354" t="s">
        <v>4208</v>
      </c>
      <c r="G790" s="1354" t="s">
        <v>4218</v>
      </c>
      <c r="H790" s="1354" t="s">
        <v>3195</v>
      </c>
      <c r="I790" s="1354">
        <v>94</v>
      </c>
      <c r="J790" s="1354"/>
      <c r="K790" s="1354"/>
    </row>
    <row r="791" spans="1:11" s="1348" customFormat="1" x14ac:dyDescent="0.2">
      <c r="A791" s="1354" t="s">
        <v>1650</v>
      </c>
      <c r="B791" s="1361">
        <f>'Part 3 DA summary'!$G23</f>
        <v>0</v>
      </c>
      <c r="C791" s="1356" t="s">
        <v>3204</v>
      </c>
      <c r="D791" s="1354"/>
      <c r="E791" s="1354"/>
      <c r="F791" s="1354" t="s">
        <v>4208</v>
      </c>
      <c r="G791" s="1354" t="s">
        <v>4219</v>
      </c>
      <c r="H791" s="1354" t="s">
        <v>3195</v>
      </c>
      <c r="I791" s="1354">
        <v>95</v>
      </c>
      <c r="J791" s="1354"/>
      <c r="K791" s="1354"/>
    </row>
    <row r="792" spans="1:11" s="1348" customFormat="1" x14ac:dyDescent="0.2">
      <c r="A792" s="1354" t="s">
        <v>1651</v>
      </c>
      <c r="B792" s="1361">
        <f>'Part 3 DA summary'!$G24</f>
        <v>0</v>
      </c>
      <c r="C792" s="1356" t="s">
        <v>3204</v>
      </c>
      <c r="D792" s="1354"/>
      <c r="E792" s="1354"/>
      <c r="F792" s="1354" t="s">
        <v>4208</v>
      </c>
      <c r="G792" s="1354" t="s">
        <v>4220</v>
      </c>
      <c r="H792" s="1354" t="s">
        <v>3195</v>
      </c>
      <c r="I792" s="1354">
        <v>96</v>
      </c>
      <c r="J792" s="1354"/>
      <c r="K792" s="1354"/>
    </row>
    <row r="793" spans="1:11" s="1348" customFormat="1" x14ac:dyDescent="0.2">
      <c r="A793" s="1354" t="s">
        <v>1652</v>
      </c>
      <c r="B793" s="1361">
        <f>'Part 3 DA summary'!$G25</f>
        <v>0</v>
      </c>
      <c r="C793" s="1356" t="s">
        <v>3204</v>
      </c>
      <c r="D793" s="1354"/>
      <c r="E793" s="1354"/>
      <c r="F793" s="1354" t="s">
        <v>4208</v>
      </c>
      <c r="G793" s="1354" t="s">
        <v>4221</v>
      </c>
      <c r="H793" s="1354" t="s">
        <v>3195</v>
      </c>
      <c r="I793" s="1354">
        <v>97</v>
      </c>
      <c r="J793" s="1354"/>
      <c r="K793" s="1354"/>
    </row>
    <row r="794" spans="1:11" s="1348" customFormat="1" x14ac:dyDescent="0.2">
      <c r="A794" s="1354" t="s">
        <v>1653</v>
      </c>
      <c r="B794" s="1361">
        <f>'Part 3 DA summary'!$G26</f>
        <v>0</v>
      </c>
      <c r="C794" s="1356" t="s">
        <v>3204</v>
      </c>
      <c r="D794" s="1354"/>
      <c r="E794" s="1354"/>
      <c r="F794" s="1354" t="s">
        <v>4208</v>
      </c>
      <c r="G794" s="1354" t="s">
        <v>4222</v>
      </c>
      <c r="H794" s="1354" t="s">
        <v>3195</v>
      </c>
      <c r="I794" s="1354">
        <v>98</v>
      </c>
      <c r="J794" s="1354"/>
      <c r="K794" s="1354"/>
    </row>
    <row r="795" spans="1:11" s="1348" customFormat="1" x14ac:dyDescent="0.2">
      <c r="A795" s="1354" t="s">
        <v>1654</v>
      </c>
      <c r="B795" s="1361">
        <f>'Part 3 DA summary'!$G27</f>
        <v>0</v>
      </c>
      <c r="C795" s="1356" t="s">
        <v>3204</v>
      </c>
      <c r="D795" s="1354"/>
      <c r="E795" s="1354"/>
      <c r="F795" s="1354" t="s">
        <v>4208</v>
      </c>
      <c r="G795" s="1354" t="s">
        <v>4223</v>
      </c>
      <c r="H795" s="1354" t="s">
        <v>3195</v>
      </c>
      <c r="I795" s="1354">
        <v>99</v>
      </c>
      <c r="J795" s="1354"/>
      <c r="K795" s="1354"/>
    </row>
    <row r="796" spans="1:11" s="1348" customFormat="1" ht="15" customHeight="1" x14ac:dyDescent="0.2">
      <c r="A796" s="1354" t="s">
        <v>1655</v>
      </c>
      <c r="B796" s="1361">
        <f>'Part 3 DA summary'!$G28</f>
        <v>0</v>
      </c>
      <c r="C796" s="1356" t="s">
        <v>3204</v>
      </c>
      <c r="D796" s="1354"/>
      <c r="E796" s="1354"/>
      <c r="F796" s="1354" t="s">
        <v>4208</v>
      </c>
      <c r="G796" s="1354" t="s">
        <v>4224</v>
      </c>
      <c r="H796" s="1354" t="s">
        <v>3195</v>
      </c>
      <c r="I796" s="1354">
        <v>100</v>
      </c>
      <c r="J796" s="1354"/>
      <c r="K796" s="1354"/>
    </row>
    <row r="797" spans="1:11" s="1348" customFormat="1" ht="15" customHeight="1" x14ac:dyDescent="0.2">
      <c r="A797" s="1354" t="s">
        <v>1656</v>
      </c>
      <c r="B797" s="1361">
        <f>'Part 3 DA summary'!$G29</f>
        <v>0</v>
      </c>
      <c r="C797" s="1356" t="s">
        <v>3204</v>
      </c>
      <c r="D797" s="1354"/>
      <c r="E797" s="1354"/>
      <c r="F797" s="1354" t="s">
        <v>4208</v>
      </c>
      <c r="G797" s="1354" t="s">
        <v>4225</v>
      </c>
      <c r="H797" s="1354" t="s">
        <v>3195</v>
      </c>
      <c r="I797" s="1354">
        <v>101</v>
      </c>
      <c r="J797" s="1354"/>
      <c r="K797" s="1354"/>
    </row>
    <row r="798" spans="1:11" s="1348" customFormat="1" ht="15" customHeight="1" x14ac:dyDescent="0.2">
      <c r="A798" s="1354" t="s">
        <v>1657</v>
      </c>
      <c r="B798" s="1361">
        <f>'Part 3 DA summary'!$G30</f>
        <v>0</v>
      </c>
      <c r="C798" s="1356" t="s">
        <v>3204</v>
      </c>
      <c r="D798" s="1354"/>
      <c r="E798" s="1354"/>
      <c r="F798" s="1354" t="s">
        <v>4208</v>
      </c>
      <c r="G798" s="1354" t="s">
        <v>4226</v>
      </c>
      <c r="H798" s="1354" t="s">
        <v>3195</v>
      </c>
      <c r="I798" s="1354">
        <v>102</v>
      </c>
      <c r="J798" s="1354"/>
      <c r="K798" s="1354"/>
    </row>
    <row r="799" spans="1:11" s="1348" customFormat="1" ht="15" customHeight="1" x14ac:dyDescent="0.2">
      <c r="A799" s="1354" t="s">
        <v>1658</v>
      </c>
      <c r="B799" s="1361">
        <f>'Part 3 DA summary'!$G31</f>
        <v>0</v>
      </c>
      <c r="C799" s="1356" t="s">
        <v>3204</v>
      </c>
      <c r="D799" s="1354"/>
      <c r="E799" s="1354"/>
      <c r="F799" s="1354" t="s">
        <v>4208</v>
      </c>
      <c r="G799" s="1354" t="s">
        <v>4227</v>
      </c>
      <c r="H799" s="1354" t="s">
        <v>3195</v>
      </c>
      <c r="I799" s="1354">
        <v>103</v>
      </c>
      <c r="J799" s="1354"/>
      <c r="K799" s="1354"/>
    </row>
    <row r="800" spans="1:11" s="1348" customFormat="1" ht="15" customHeight="1" x14ac:dyDescent="0.2">
      <c r="A800" s="1354" t="s">
        <v>1659</v>
      </c>
      <c r="B800" s="1361">
        <f>'Part 3 DA summary'!$G32</f>
        <v>0</v>
      </c>
      <c r="C800" s="1356" t="s">
        <v>3204</v>
      </c>
      <c r="D800" s="1354"/>
      <c r="E800" s="1354"/>
      <c r="F800" s="1354" t="s">
        <v>4208</v>
      </c>
      <c r="G800" s="1354" t="s">
        <v>4228</v>
      </c>
      <c r="H800" s="1354" t="s">
        <v>3195</v>
      </c>
      <c r="I800" s="1354">
        <v>104</v>
      </c>
      <c r="J800" s="1354"/>
      <c r="K800" s="1354"/>
    </row>
    <row r="801" spans="1:11" s="1348" customFormat="1" x14ac:dyDescent="0.2">
      <c r="A801" s="1354" t="s">
        <v>1660</v>
      </c>
      <c r="B801" s="1361">
        <f>'Part 3 DA summary'!$G33</f>
        <v>0</v>
      </c>
      <c r="C801" s="1356" t="s">
        <v>3204</v>
      </c>
      <c r="D801" s="1354"/>
      <c r="E801" s="1354"/>
      <c r="F801" s="1354" t="s">
        <v>4208</v>
      </c>
      <c r="G801" s="1354" t="s">
        <v>4229</v>
      </c>
      <c r="H801" s="1354" t="s">
        <v>3195</v>
      </c>
      <c r="I801" s="1354">
        <v>105</v>
      </c>
      <c r="J801" s="1354"/>
      <c r="K801" s="1354"/>
    </row>
    <row r="802" spans="1:11" s="1348" customFormat="1" x14ac:dyDescent="0.2">
      <c r="A802" s="1354" t="s">
        <v>1661</v>
      </c>
      <c r="B802" s="1361">
        <f>'Part 3 DA summary'!$G34</f>
        <v>0</v>
      </c>
      <c r="C802" s="1356" t="s">
        <v>3204</v>
      </c>
      <c r="D802" s="1354"/>
      <c r="E802" s="1354"/>
      <c r="F802" s="1354" t="s">
        <v>4208</v>
      </c>
      <c r="G802" s="1354" t="s">
        <v>4230</v>
      </c>
      <c r="H802" s="1354" t="s">
        <v>3195</v>
      </c>
      <c r="I802" s="1354">
        <v>106</v>
      </c>
      <c r="J802" s="1354"/>
      <c r="K802" s="1354"/>
    </row>
    <row r="803" spans="1:11" s="1348" customFormat="1" x14ac:dyDescent="0.2">
      <c r="A803" s="1354" t="s">
        <v>1662</v>
      </c>
      <c r="B803" s="1361">
        <f>'Part 3 DA summary'!$G35</f>
        <v>0</v>
      </c>
      <c r="C803" s="1356" t="s">
        <v>3204</v>
      </c>
      <c r="D803" s="1354"/>
      <c r="E803" s="1354"/>
      <c r="F803" s="1354" t="s">
        <v>4208</v>
      </c>
      <c r="G803" s="1354" t="s">
        <v>4231</v>
      </c>
      <c r="H803" s="1354" t="s">
        <v>3195</v>
      </c>
      <c r="I803" s="1354">
        <v>107</v>
      </c>
      <c r="J803" s="1354"/>
      <c r="K803" s="1354"/>
    </row>
    <row r="804" spans="1:11" s="1348" customFormat="1" x14ac:dyDescent="0.2">
      <c r="A804" s="1354" t="s">
        <v>1663</v>
      </c>
      <c r="B804" s="1361">
        <f>'Part 3 DA summary'!$G36</f>
        <v>0</v>
      </c>
      <c r="C804" s="1356" t="s">
        <v>3204</v>
      </c>
      <c r="D804" s="1354"/>
      <c r="E804" s="1354"/>
      <c r="F804" s="1354" t="s">
        <v>4208</v>
      </c>
      <c r="G804" s="1354" t="s">
        <v>4232</v>
      </c>
      <c r="H804" s="1354" t="s">
        <v>3195</v>
      </c>
      <c r="I804" s="1354">
        <v>108</v>
      </c>
      <c r="J804" s="1354"/>
      <c r="K804" s="1354"/>
    </row>
    <row r="805" spans="1:11" s="1348" customFormat="1" x14ac:dyDescent="0.2">
      <c r="A805" s="1354" t="s">
        <v>1664</v>
      </c>
      <c r="B805" s="1361">
        <f>'Part 3 DA summary'!$G37</f>
        <v>0</v>
      </c>
      <c r="C805" s="1356" t="s">
        <v>3204</v>
      </c>
      <c r="D805" s="1354"/>
      <c r="E805" s="1354"/>
      <c r="F805" s="1354" t="s">
        <v>4208</v>
      </c>
      <c r="G805" s="1354" t="s">
        <v>4233</v>
      </c>
      <c r="H805" s="1354" t="s">
        <v>3195</v>
      </c>
      <c r="I805" s="1354">
        <v>109</v>
      </c>
      <c r="J805" s="1354"/>
      <c r="K805" s="1354"/>
    </row>
    <row r="806" spans="1:11" s="1348" customFormat="1" x14ac:dyDescent="0.2">
      <c r="A806" s="1354" t="s">
        <v>1665</v>
      </c>
      <c r="B806" s="1361">
        <f>'Part 3 DA summary'!$G38</f>
        <v>0</v>
      </c>
      <c r="C806" s="1356" t="s">
        <v>3204</v>
      </c>
      <c r="D806" s="1354"/>
      <c r="E806" s="1354"/>
      <c r="F806" s="1354" t="s">
        <v>4208</v>
      </c>
      <c r="G806" s="1354" t="s">
        <v>4234</v>
      </c>
      <c r="H806" s="1354" t="s">
        <v>3195</v>
      </c>
      <c r="I806" s="1354">
        <v>110</v>
      </c>
      <c r="J806" s="1354"/>
      <c r="K806" s="1354"/>
    </row>
    <row r="807" spans="1:11" s="1348" customFormat="1" x14ac:dyDescent="0.2">
      <c r="A807" s="1354" t="s">
        <v>1666</v>
      </c>
      <c r="B807" s="1361">
        <f>'Part 3 DA summary'!$G39</f>
        <v>0</v>
      </c>
      <c r="C807" s="1356" t="s">
        <v>3204</v>
      </c>
      <c r="D807" s="1354"/>
      <c r="E807" s="1354"/>
      <c r="F807" s="1354" t="s">
        <v>4208</v>
      </c>
      <c r="G807" s="1354" t="s">
        <v>4235</v>
      </c>
      <c r="H807" s="1354" t="s">
        <v>3195</v>
      </c>
      <c r="I807" s="1354">
        <v>111</v>
      </c>
      <c r="J807" s="1354"/>
      <c r="K807" s="1354"/>
    </row>
    <row r="808" spans="1:11" s="1348" customFormat="1" x14ac:dyDescent="0.2">
      <c r="A808" s="1354" t="s">
        <v>1667</v>
      </c>
      <c r="B808" s="1361">
        <f>'Part 3 DA summary'!$G40</f>
        <v>0</v>
      </c>
      <c r="C808" s="1356" t="s">
        <v>3204</v>
      </c>
      <c r="D808" s="1354"/>
      <c r="E808" s="1354"/>
      <c r="F808" s="1354" t="s">
        <v>4208</v>
      </c>
      <c r="G808" s="1354" t="s">
        <v>4236</v>
      </c>
      <c r="H808" s="1354" t="s">
        <v>3195</v>
      </c>
      <c r="I808" s="1354">
        <v>112</v>
      </c>
      <c r="J808" s="1354"/>
      <c r="K808" s="1354"/>
    </row>
    <row r="809" spans="1:11" s="1348" customFormat="1" x14ac:dyDescent="0.2">
      <c r="A809" s="1354" t="s">
        <v>1668</v>
      </c>
      <c r="B809" s="1361">
        <f>'Part 3 DA summary'!$G41</f>
        <v>0</v>
      </c>
      <c r="C809" s="1356" t="s">
        <v>3204</v>
      </c>
      <c r="D809" s="1354"/>
      <c r="E809" s="1354"/>
      <c r="F809" s="1354" t="s">
        <v>4208</v>
      </c>
      <c r="G809" s="1354" t="s">
        <v>4237</v>
      </c>
      <c r="H809" s="1354" t="s">
        <v>3195</v>
      </c>
      <c r="I809" s="1354">
        <v>113</v>
      </c>
      <c r="J809" s="1354"/>
      <c r="K809" s="1354"/>
    </row>
    <row r="810" spans="1:11" s="1348" customFormat="1" x14ac:dyDescent="0.2">
      <c r="A810" s="1354" t="s">
        <v>1669</v>
      </c>
      <c r="B810" s="1361">
        <f>'Part 3 DA summary'!$G42</f>
        <v>0</v>
      </c>
      <c r="C810" s="1356" t="s">
        <v>3204</v>
      </c>
      <c r="D810" s="1354"/>
      <c r="E810" s="1354"/>
      <c r="F810" s="1354" t="s">
        <v>4208</v>
      </c>
      <c r="G810" s="1354" t="s">
        <v>4238</v>
      </c>
      <c r="H810" s="1354" t="s">
        <v>3195</v>
      </c>
      <c r="I810" s="1354">
        <v>114</v>
      </c>
      <c r="J810" s="1354"/>
      <c r="K810" s="1354"/>
    </row>
    <row r="811" spans="1:11" s="1348" customFormat="1" x14ac:dyDescent="0.2">
      <c r="A811" s="1354" t="s">
        <v>1670</v>
      </c>
      <c r="B811" s="1361">
        <f>'Part 3 DA summary'!$G43</f>
        <v>0</v>
      </c>
      <c r="C811" s="1356" t="s">
        <v>3204</v>
      </c>
      <c r="D811" s="1354"/>
      <c r="E811" s="1354"/>
      <c r="F811" s="1354" t="s">
        <v>4208</v>
      </c>
      <c r="G811" s="1354" t="s">
        <v>4239</v>
      </c>
      <c r="H811" s="1354" t="s">
        <v>3195</v>
      </c>
      <c r="I811" s="1354">
        <v>115</v>
      </c>
      <c r="J811" s="1354"/>
      <c r="K811" s="1354"/>
    </row>
    <row r="812" spans="1:11" s="1348" customFormat="1" x14ac:dyDescent="0.2">
      <c r="A812" s="1354" t="s">
        <v>1671</v>
      </c>
      <c r="B812" s="1361">
        <f>'Part 3 DA summary'!$G44</f>
        <v>0</v>
      </c>
      <c r="C812" s="1356" t="s">
        <v>3204</v>
      </c>
      <c r="D812" s="1354"/>
      <c r="E812" s="1354"/>
      <c r="F812" s="1354" t="s">
        <v>4208</v>
      </c>
      <c r="G812" s="1354" t="s">
        <v>4240</v>
      </c>
      <c r="H812" s="1354" t="s">
        <v>3195</v>
      </c>
      <c r="I812" s="1354">
        <v>116</v>
      </c>
      <c r="J812" s="1354"/>
      <c r="K812" s="1354"/>
    </row>
    <row r="813" spans="1:11" s="1348" customFormat="1" x14ac:dyDescent="0.2">
      <c r="A813" s="1354" t="s">
        <v>1672</v>
      </c>
      <c r="B813" s="1361">
        <f>'Part 3 DA summary'!$G45</f>
        <v>0</v>
      </c>
      <c r="C813" s="1356" t="s">
        <v>3204</v>
      </c>
      <c r="D813" s="1354"/>
      <c r="E813" s="1354"/>
      <c r="F813" s="1354" t="s">
        <v>4208</v>
      </c>
      <c r="G813" s="1354" t="s">
        <v>4241</v>
      </c>
      <c r="H813" s="1354" t="s">
        <v>3195</v>
      </c>
      <c r="I813" s="1354">
        <v>117</v>
      </c>
      <c r="J813" s="1354"/>
      <c r="K813" s="1354"/>
    </row>
    <row r="814" spans="1:11" s="1348" customFormat="1" x14ac:dyDescent="0.2">
      <c r="A814" s="1354" t="s">
        <v>1673</v>
      </c>
      <c r="B814" s="1361">
        <f>'Part 3 DA summary'!$G46</f>
        <v>0</v>
      </c>
      <c r="C814" s="1356" t="s">
        <v>3204</v>
      </c>
      <c r="D814" s="1354"/>
      <c r="E814" s="1354"/>
      <c r="F814" s="1354" t="s">
        <v>4208</v>
      </c>
      <c r="G814" s="1354" t="s">
        <v>4242</v>
      </c>
      <c r="H814" s="1354" t="s">
        <v>3195</v>
      </c>
      <c r="I814" s="1354">
        <v>118</v>
      </c>
      <c r="J814" s="1354"/>
      <c r="K814" s="1354"/>
    </row>
    <row r="815" spans="1:11" s="1348" customFormat="1" x14ac:dyDescent="0.2">
      <c r="A815" s="1354" t="s">
        <v>1674</v>
      </c>
      <c r="B815" s="1361">
        <f>'Part 3 DA summary'!$G47</f>
        <v>0</v>
      </c>
      <c r="C815" s="1356" t="s">
        <v>3204</v>
      </c>
      <c r="D815" s="1354"/>
      <c r="E815" s="1354"/>
      <c r="F815" s="1354" t="s">
        <v>4208</v>
      </c>
      <c r="G815" s="1354" t="s">
        <v>4243</v>
      </c>
      <c r="H815" s="1354" t="s">
        <v>3195</v>
      </c>
      <c r="I815" s="1354">
        <v>119</v>
      </c>
      <c r="J815" s="1354"/>
      <c r="K815" s="1354"/>
    </row>
    <row r="816" spans="1:11" s="1354" customFormat="1" x14ac:dyDescent="0.2">
      <c r="A816" s="1354" t="s">
        <v>1675</v>
      </c>
      <c r="B816" s="1361">
        <f>'Part 3 DA summary'!$G48</f>
        <v>0</v>
      </c>
      <c r="C816" s="1356" t="s">
        <v>3204</v>
      </c>
      <c r="F816" s="1354" t="s">
        <v>4208</v>
      </c>
      <c r="G816" s="1354" t="s">
        <v>4244</v>
      </c>
      <c r="H816" s="1354" t="s">
        <v>3195</v>
      </c>
      <c r="I816" s="1354">
        <v>120</v>
      </c>
    </row>
    <row r="817" spans="1:9" s="1354" customFormat="1" x14ac:dyDescent="0.2">
      <c r="A817" s="1354" t="s">
        <v>1676</v>
      </c>
      <c r="B817" s="1361">
        <f>'Part 3 DA summary'!$G49</f>
        <v>0</v>
      </c>
      <c r="C817" s="1356" t="s">
        <v>3204</v>
      </c>
      <c r="F817" s="1354" t="s">
        <v>4208</v>
      </c>
      <c r="G817" s="1354" t="s">
        <v>4245</v>
      </c>
      <c r="H817" s="1354" t="s">
        <v>3195</v>
      </c>
      <c r="I817" s="1354">
        <v>121</v>
      </c>
    </row>
    <row r="818" spans="1:9" s="1354" customFormat="1" x14ac:dyDescent="0.2">
      <c r="A818" s="1354" t="s">
        <v>1677</v>
      </c>
      <c r="B818" s="1361">
        <f>'Part 3 DA summary'!$G50</f>
        <v>0</v>
      </c>
      <c r="C818" s="1356" t="s">
        <v>3204</v>
      </c>
      <c r="F818" s="1354" t="s">
        <v>4208</v>
      </c>
      <c r="G818" s="1354" t="s">
        <v>4246</v>
      </c>
      <c r="H818" s="1354" t="s">
        <v>3195</v>
      </c>
      <c r="I818" s="1354">
        <v>122</v>
      </c>
    </row>
    <row r="819" spans="1:9" s="1354" customFormat="1" x14ac:dyDescent="0.2">
      <c r="A819" s="1354" t="s">
        <v>1678</v>
      </c>
      <c r="B819" s="1361">
        <f>'Part 3 DA summary'!$G51</f>
        <v>0</v>
      </c>
      <c r="C819" s="1356" t="s">
        <v>3204</v>
      </c>
      <c r="F819" s="1354" t="s">
        <v>4208</v>
      </c>
      <c r="G819" s="1354" t="s">
        <v>4247</v>
      </c>
      <c r="H819" s="1354" t="s">
        <v>3195</v>
      </c>
      <c r="I819" s="1354">
        <v>123</v>
      </c>
    </row>
    <row r="820" spans="1:9" s="1354" customFormat="1" x14ac:dyDescent="0.2">
      <c r="A820" s="1354" t="s">
        <v>1679</v>
      </c>
      <c r="B820" s="1361">
        <f>'Part 3 DA summary'!$G52</f>
        <v>0</v>
      </c>
      <c r="C820" s="1356" t="s">
        <v>3204</v>
      </c>
      <c r="F820" s="1354" t="s">
        <v>4208</v>
      </c>
      <c r="G820" s="1354" t="s">
        <v>4248</v>
      </c>
      <c r="H820" s="1354" t="s">
        <v>3195</v>
      </c>
      <c r="I820" s="1354">
        <v>124</v>
      </c>
    </row>
    <row r="821" spans="1:9" s="1354" customFormat="1" x14ac:dyDescent="0.2">
      <c r="A821" s="1354" t="s">
        <v>1680</v>
      </c>
      <c r="B821" s="1361">
        <f>'Part 3 DA summary'!$G53</f>
        <v>0</v>
      </c>
      <c r="C821" s="1356" t="s">
        <v>3204</v>
      </c>
      <c r="F821" s="1354" t="s">
        <v>4208</v>
      </c>
      <c r="G821" s="1354" t="s">
        <v>4249</v>
      </c>
      <c r="H821" s="1354" t="s">
        <v>3195</v>
      </c>
      <c r="I821" s="1354">
        <v>125</v>
      </c>
    </row>
    <row r="822" spans="1:9" s="1354" customFormat="1" ht="14.25" customHeight="1" x14ac:dyDescent="0.25">
      <c r="A822" s="1362" t="s">
        <v>1681</v>
      </c>
      <c r="B822" s="1361">
        <f>'Part 3 DA summary'!$I6</f>
        <v>0</v>
      </c>
      <c r="C822" s="1359" t="s">
        <v>3204</v>
      </c>
      <c r="D822" s="1360"/>
      <c r="E822" s="1360"/>
      <c r="F822" s="1354" t="s">
        <v>4250</v>
      </c>
      <c r="G822" s="1354" t="s">
        <v>4251</v>
      </c>
      <c r="H822" s="1354" t="s">
        <v>3195</v>
      </c>
      <c r="I822" s="1354">
        <v>126</v>
      </c>
    </row>
    <row r="823" spans="1:9" s="1354" customFormat="1" x14ac:dyDescent="0.2">
      <c r="A823" s="1354" t="s">
        <v>1682</v>
      </c>
      <c r="B823" s="1361">
        <f>'Part 3 DA summary'!$I13</f>
        <v>0</v>
      </c>
      <c r="C823" s="1356" t="s">
        <v>3204</v>
      </c>
      <c r="F823" s="1354" t="s">
        <v>4252</v>
      </c>
      <c r="G823" s="1354" t="s">
        <v>4253</v>
      </c>
      <c r="H823" s="1354" t="s">
        <v>3195</v>
      </c>
      <c r="I823" s="1354">
        <v>127</v>
      </c>
    </row>
    <row r="824" spans="1:9" s="1354" customFormat="1" x14ac:dyDescent="0.2">
      <c r="A824" s="1354" t="s">
        <v>1683</v>
      </c>
      <c r="B824" s="1361">
        <f>'Part 3 DA summary'!$I14</f>
        <v>0</v>
      </c>
      <c r="C824" s="1356" t="s">
        <v>3204</v>
      </c>
      <c r="F824" s="1354" t="s">
        <v>4252</v>
      </c>
      <c r="G824" s="1354" t="s">
        <v>4254</v>
      </c>
      <c r="H824" s="1354" t="s">
        <v>3195</v>
      </c>
      <c r="I824" s="1354">
        <v>128</v>
      </c>
    </row>
    <row r="825" spans="1:9" s="1354" customFormat="1" x14ac:dyDescent="0.2">
      <c r="A825" s="1354" t="s">
        <v>1684</v>
      </c>
      <c r="B825" s="1361">
        <f>'Part 3 DA summary'!$I15</f>
        <v>0</v>
      </c>
      <c r="C825" s="1356" t="s">
        <v>3204</v>
      </c>
      <c r="F825" s="1354" t="s">
        <v>4252</v>
      </c>
      <c r="G825" s="1354" t="s">
        <v>4255</v>
      </c>
      <c r="H825" s="1354" t="s">
        <v>3195</v>
      </c>
      <c r="I825" s="1354">
        <v>129</v>
      </c>
    </row>
    <row r="826" spans="1:9" s="1354" customFormat="1" ht="14.25" customHeight="1" x14ac:dyDescent="0.2">
      <c r="A826" s="1354" t="s">
        <v>1685</v>
      </c>
      <c r="B826" s="1361">
        <f>'Part 3 DA summary'!$I16</f>
        <v>0</v>
      </c>
      <c r="C826" s="1356" t="s">
        <v>3204</v>
      </c>
      <c r="F826" s="1354" t="s">
        <v>4252</v>
      </c>
      <c r="G826" s="1354" t="s">
        <v>4256</v>
      </c>
      <c r="H826" s="1354" t="s">
        <v>3195</v>
      </c>
      <c r="I826" s="1354">
        <v>130</v>
      </c>
    </row>
    <row r="827" spans="1:9" s="1354" customFormat="1" ht="14.25" customHeight="1" x14ac:dyDescent="0.2">
      <c r="A827" s="1354" t="s">
        <v>1686</v>
      </c>
      <c r="B827" s="1361">
        <f>'Part 3 DA summary'!$I17</f>
        <v>0</v>
      </c>
      <c r="C827" s="1356" t="s">
        <v>3204</v>
      </c>
      <c r="F827" s="1354" t="s">
        <v>4252</v>
      </c>
      <c r="G827" s="1354" t="s">
        <v>4257</v>
      </c>
      <c r="H827" s="1354" t="s">
        <v>3195</v>
      </c>
      <c r="I827" s="1354">
        <v>131</v>
      </c>
    </row>
    <row r="828" spans="1:9" s="1354" customFormat="1" x14ac:dyDescent="0.2">
      <c r="A828" s="1354" t="s">
        <v>1687</v>
      </c>
      <c r="B828" s="1361">
        <f>'Part 3 DA summary'!$I18</f>
        <v>0</v>
      </c>
      <c r="C828" s="1356" t="s">
        <v>3204</v>
      </c>
      <c r="F828" s="1354" t="s">
        <v>4252</v>
      </c>
      <c r="G828" s="1354" t="s">
        <v>4258</v>
      </c>
      <c r="H828" s="1354" t="s">
        <v>3195</v>
      </c>
      <c r="I828" s="1354">
        <v>132</v>
      </c>
    </row>
    <row r="829" spans="1:9" s="1354" customFormat="1" x14ac:dyDescent="0.2">
      <c r="A829" s="1354" t="s">
        <v>1688</v>
      </c>
      <c r="B829" s="1361">
        <f>'Part 3 DA summary'!$I19</f>
        <v>0</v>
      </c>
      <c r="C829" s="1356" t="s">
        <v>3204</v>
      </c>
      <c r="F829" s="1354" t="s">
        <v>4252</v>
      </c>
      <c r="G829" s="1354" t="s">
        <v>4259</v>
      </c>
      <c r="H829" s="1354" t="s">
        <v>3195</v>
      </c>
      <c r="I829" s="1354">
        <v>133</v>
      </c>
    </row>
    <row r="830" spans="1:9" s="1354" customFormat="1" x14ac:dyDescent="0.2">
      <c r="A830" s="1354" t="s">
        <v>1689</v>
      </c>
      <c r="B830" s="1361">
        <f>'Part 3 DA summary'!$I20</f>
        <v>0</v>
      </c>
      <c r="C830" s="1356" t="s">
        <v>3204</v>
      </c>
      <c r="F830" s="1354" t="s">
        <v>4252</v>
      </c>
      <c r="G830" s="1354" t="s">
        <v>4260</v>
      </c>
      <c r="H830" s="1354" t="s">
        <v>3195</v>
      </c>
      <c r="I830" s="1354">
        <v>134</v>
      </c>
    </row>
    <row r="831" spans="1:9" s="1354" customFormat="1" x14ac:dyDescent="0.2">
      <c r="A831" s="1354" t="s">
        <v>1690</v>
      </c>
      <c r="B831" s="1361">
        <f>'Part 3 DA summary'!$I21</f>
        <v>0</v>
      </c>
      <c r="C831" s="1356" t="s">
        <v>3204</v>
      </c>
      <c r="F831" s="1354" t="s">
        <v>4252</v>
      </c>
      <c r="G831" s="1354" t="s">
        <v>4261</v>
      </c>
      <c r="H831" s="1354" t="s">
        <v>3195</v>
      </c>
      <c r="I831" s="1354">
        <v>135</v>
      </c>
    </row>
    <row r="832" spans="1:9" s="1354" customFormat="1" x14ac:dyDescent="0.2">
      <c r="A832" s="1354" t="s">
        <v>1691</v>
      </c>
      <c r="B832" s="1361">
        <f>'Part 3 DA summary'!$I22</f>
        <v>0</v>
      </c>
      <c r="C832" s="1356" t="s">
        <v>3204</v>
      </c>
      <c r="F832" s="1354" t="s">
        <v>4252</v>
      </c>
      <c r="G832" s="1354" t="s">
        <v>4262</v>
      </c>
      <c r="H832" s="1354" t="s">
        <v>3195</v>
      </c>
      <c r="I832" s="1354">
        <v>136</v>
      </c>
    </row>
    <row r="833" spans="1:9" s="1354" customFormat="1" x14ac:dyDescent="0.2">
      <c r="A833" s="1354" t="s">
        <v>1692</v>
      </c>
      <c r="B833" s="1361">
        <f>'Part 3 DA summary'!$I23</f>
        <v>0</v>
      </c>
      <c r="C833" s="1356" t="s">
        <v>3204</v>
      </c>
      <c r="F833" s="1354" t="s">
        <v>4252</v>
      </c>
      <c r="G833" s="1354" t="s">
        <v>4263</v>
      </c>
      <c r="H833" s="1354" t="s">
        <v>3195</v>
      </c>
      <c r="I833" s="1354">
        <v>137</v>
      </c>
    </row>
    <row r="834" spans="1:9" s="1354" customFormat="1" x14ac:dyDescent="0.2">
      <c r="A834" s="1354" t="s">
        <v>1693</v>
      </c>
      <c r="B834" s="1361">
        <f>'Part 3 DA summary'!$I24</f>
        <v>0</v>
      </c>
      <c r="C834" s="1356" t="s">
        <v>3204</v>
      </c>
      <c r="F834" s="1354" t="s">
        <v>4252</v>
      </c>
      <c r="G834" s="1354" t="s">
        <v>4264</v>
      </c>
      <c r="H834" s="1354" t="s">
        <v>3195</v>
      </c>
      <c r="I834" s="1354">
        <v>138</v>
      </c>
    </row>
    <row r="835" spans="1:9" s="1354" customFormat="1" x14ac:dyDescent="0.2">
      <c r="A835" s="1354" t="s">
        <v>1694</v>
      </c>
      <c r="B835" s="1361">
        <f>'Part 3 DA summary'!$I25</f>
        <v>0</v>
      </c>
      <c r="C835" s="1356" t="s">
        <v>3204</v>
      </c>
      <c r="F835" s="1354" t="s">
        <v>4252</v>
      </c>
      <c r="G835" s="1354" t="s">
        <v>4265</v>
      </c>
      <c r="H835" s="1354" t="s">
        <v>3195</v>
      </c>
      <c r="I835" s="1354">
        <v>139</v>
      </c>
    </row>
    <row r="836" spans="1:9" s="1354" customFormat="1" x14ac:dyDescent="0.2">
      <c r="A836" s="1354" t="s">
        <v>1695</v>
      </c>
      <c r="B836" s="1361">
        <f>'Part 3 DA summary'!$I26</f>
        <v>0</v>
      </c>
      <c r="C836" s="1356" t="s">
        <v>3204</v>
      </c>
      <c r="F836" s="1354" t="s">
        <v>4252</v>
      </c>
      <c r="G836" s="1354" t="s">
        <v>4266</v>
      </c>
      <c r="H836" s="1354" t="s">
        <v>3195</v>
      </c>
      <c r="I836" s="1354">
        <v>140</v>
      </c>
    </row>
    <row r="837" spans="1:9" s="1354" customFormat="1" x14ac:dyDescent="0.2">
      <c r="A837" s="1354" t="s">
        <v>1696</v>
      </c>
      <c r="B837" s="1361">
        <f>'Part 3 DA summary'!$I27</f>
        <v>0</v>
      </c>
      <c r="C837" s="1356" t="s">
        <v>3204</v>
      </c>
      <c r="F837" s="1354" t="s">
        <v>4252</v>
      </c>
      <c r="G837" s="1354" t="s">
        <v>4267</v>
      </c>
      <c r="H837" s="1354" t="s">
        <v>3195</v>
      </c>
      <c r="I837" s="1354">
        <v>141</v>
      </c>
    </row>
    <row r="838" spans="1:9" s="1354" customFormat="1" x14ac:dyDescent="0.2">
      <c r="A838" s="1354" t="s">
        <v>1697</v>
      </c>
      <c r="B838" s="1361">
        <f>'Part 3 DA summary'!$I28</f>
        <v>0</v>
      </c>
      <c r="C838" s="1356" t="s">
        <v>3204</v>
      </c>
      <c r="F838" s="1354" t="s">
        <v>4252</v>
      </c>
      <c r="G838" s="1354" t="s">
        <v>4268</v>
      </c>
      <c r="H838" s="1354" t="s">
        <v>3195</v>
      </c>
      <c r="I838" s="1354">
        <v>142</v>
      </c>
    </row>
    <row r="839" spans="1:9" s="1354" customFormat="1" x14ac:dyDescent="0.2">
      <c r="A839" s="1354" t="s">
        <v>1698</v>
      </c>
      <c r="B839" s="1361">
        <f>'Part 3 DA summary'!$I29</f>
        <v>0</v>
      </c>
      <c r="C839" s="1356" t="s">
        <v>3204</v>
      </c>
      <c r="F839" s="1354" t="s">
        <v>4252</v>
      </c>
      <c r="G839" s="1354" t="s">
        <v>4269</v>
      </c>
      <c r="H839" s="1354" t="s">
        <v>3195</v>
      </c>
      <c r="I839" s="1354">
        <v>143</v>
      </c>
    </row>
    <row r="840" spans="1:9" s="1354" customFormat="1" x14ac:dyDescent="0.2">
      <c r="A840" s="1354" t="s">
        <v>1699</v>
      </c>
      <c r="B840" s="1361">
        <f>'Part 3 DA summary'!$I30</f>
        <v>0</v>
      </c>
      <c r="C840" s="1356" t="s">
        <v>3204</v>
      </c>
      <c r="F840" s="1354" t="s">
        <v>4252</v>
      </c>
      <c r="G840" s="1354" t="s">
        <v>4270</v>
      </c>
      <c r="H840" s="1354" t="s">
        <v>3195</v>
      </c>
      <c r="I840" s="1354">
        <v>144</v>
      </c>
    </row>
    <row r="841" spans="1:9" s="1354" customFormat="1" x14ac:dyDescent="0.2">
      <c r="A841" s="1354" t="s">
        <v>1700</v>
      </c>
      <c r="B841" s="1361">
        <f>'Part 3 DA summary'!$I31</f>
        <v>0</v>
      </c>
      <c r="C841" s="1356" t="s">
        <v>3204</v>
      </c>
      <c r="F841" s="1354" t="s">
        <v>4252</v>
      </c>
      <c r="G841" s="1354" t="s">
        <v>4271</v>
      </c>
      <c r="H841" s="1354" t="s">
        <v>3195</v>
      </c>
      <c r="I841" s="1354">
        <v>145</v>
      </c>
    </row>
    <row r="842" spans="1:9" s="1354" customFormat="1" x14ac:dyDescent="0.2">
      <c r="A842" s="1354" t="s">
        <v>1701</v>
      </c>
      <c r="B842" s="1361">
        <f>'Part 3 DA summary'!$I32</f>
        <v>0</v>
      </c>
      <c r="C842" s="1356" t="s">
        <v>3204</v>
      </c>
      <c r="F842" s="1354" t="s">
        <v>4252</v>
      </c>
      <c r="G842" s="1354" t="s">
        <v>4272</v>
      </c>
      <c r="H842" s="1354" t="s">
        <v>3195</v>
      </c>
      <c r="I842" s="1354">
        <v>146</v>
      </c>
    </row>
    <row r="843" spans="1:9" s="1354" customFormat="1" x14ac:dyDescent="0.2">
      <c r="A843" s="1354" t="s">
        <v>1702</v>
      </c>
      <c r="B843" s="1361">
        <f>'Part 3 DA summary'!$I33</f>
        <v>0</v>
      </c>
      <c r="C843" s="1356" t="s">
        <v>3204</v>
      </c>
      <c r="F843" s="1354" t="s">
        <v>4252</v>
      </c>
      <c r="G843" s="1354" t="s">
        <v>4273</v>
      </c>
      <c r="H843" s="1354" t="s">
        <v>3195</v>
      </c>
      <c r="I843" s="1354">
        <v>147</v>
      </c>
    </row>
    <row r="844" spans="1:9" s="1354" customFormat="1" x14ac:dyDescent="0.2">
      <c r="A844" s="1354" t="s">
        <v>1703</v>
      </c>
      <c r="B844" s="1361">
        <f>'Part 3 DA summary'!$I34</f>
        <v>0</v>
      </c>
      <c r="C844" s="1356" t="s">
        <v>3204</v>
      </c>
      <c r="F844" s="1354" t="s">
        <v>4252</v>
      </c>
      <c r="G844" s="1354" t="s">
        <v>4274</v>
      </c>
      <c r="H844" s="1354" t="s">
        <v>3195</v>
      </c>
      <c r="I844" s="1354">
        <v>148</v>
      </c>
    </row>
    <row r="845" spans="1:9" s="1354" customFormat="1" x14ac:dyDescent="0.2">
      <c r="A845" s="1354" t="s">
        <v>1704</v>
      </c>
      <c r="B845" s="1361">
        <f>'Part 3 DA summary'!$I35</f>
        <v>0</v>
      </c>
      <c r="C845" s="1356" t="s">
        <v>3204</v>
      </c>
      <c r="F845" s="1354" t="s">
        <v>4252</v>
      </c>
      <c r="G845" s="1354" t="s">
        <v>4275</v>
      </c>
      <c r="H845" s="1354" t="s">
        <v>3195</v>
      </c>
      <c r="I845" s="1354">
        <v>149</v>
      </c>
    </row>
    <row r="846" spans="1:9" s="1354" customFormat="1" x14ac:dyDescent="0.2">
      <c r="A846" s="1354" t="s">
        <v>1705</v>
      </c>
      <c r="B846" s="1361">
        <f>'Part 3 DA summary'!$I36</f>
        <v>0</v>
      </c>
      <c r="C846" s="1356" t="s">
        <v>3204</v>
      </c>
      <c r="F846" s="1354" t="s">
        <v>4252</v>
      </c>
      <c r="G846" s="1354" t="s">
        <v>4276</v>
      </c>
      <c r="H846" s="1354" t="s">
        <v>3195</v>
      </c>
      <c r="I846" s="1354">
        <v>150</v>
      </c>
    </row>
    <row r="847" spans="1:9" s="1354" customFormat="1" x14ac:dyDescent="0.2">
      <c r="A847" s="1354" t="s">
        <v>1706</v>
      </c>
      <c r="B847" s="1361">
        <f>'Part 3 DA summary'!$I37</f>
        <v>0</v>
      </c>
      <c r="C847" s="1356" t="s">
        <v>3204</v>
      </c>
      <c r="F847" s="1354" t="s">
        <v>4252</v>
      </c>
      <c r="G847" s="1354" t="s">
        <v>4277</v>
      </c>
      <c r="H847" s="1354" t="s">
        <v>3195</v>
      </c>
      <c r="I847" s="1354">
        <v>151</v>
      </c>
    </row>
    <row r="848" spans="1:9" s="1354" customFormat="1" x14ac:dyDescent="0.2">
      <c r="A848" s="1354" t="s">
        <v>1707</v>
      </c>
      <c r="B848" s="1361">
        <f>'Part 3 DA summary'!$I38</f>
        <v>0</v>
      </c>
      <c r="C848" s="1356" t="s">
        <v>3204</v>
      </c>
      <c r="F848" s="1354" t="s">
        <v>4252</v>
      </c>
      <c r="G848" s="1354" t="s">
        <v>4278</v>
      </c>
      <c r="H848" s="1354" t="s">
        <v>3195</v>
      </c>
      <c r="I848" s="1354">
        <v>152</v>
      </c>
    </row>
    <row r="849" spans="1:9" s="1354" customFormat="1" x14ac:dyDescent="0.2">
      <c r="A849" s="1354" t="s">
        <v>1708</v>
      </c>
      <c r="B849" s="1361">
        <f>'Part 3 DA summary'!$I39</f>
        <v>0</v>
      </c>
      <c r="C849" s="1356" t="s">
        <v>3204</v>
      </c>
      <c r="F849" s="1354" t="s">
        <v>4252</v>
      </c>
      <c r="G849" s="1354" t="s">
        <v>4279</v>
      </c>
      <c r="H849" s="1354" t="s">
        <v>3195</v>
      </c>
      <c r="I849" s="1354">
        <v>153</v>
      </c>
    </row>
    <row r="850" spans="1:9" s="1354" customFormat="1" x14ac:dyDescent="0.2">
      <c r="A850" s="1354" t="s">
        <v>1709</v>
      </c>
      <c r="B850" s="1361">
        <f>'Part 3 DA summary'!$I40</f>
        <v>0</v>
      </c>
      <c r="C850" s="1356" t="s">
        <v>3204</v>
      </c>
      <c r="F850" s="1354" t="s">
        <v>4252</v>
      </c>
      <c r="G850" s="1354" t="s">
        <v>4280</v>
      </c>
      <c r="H850" s="1354" t="s">
        <v>3195</v>
      </c>
      <c r="I850" s="1354">
        <v>154</v>
      </c>
    </row>
    <row r="851" spans="1:9" s="1354" customFormat="1" x14ac:dyDescent="0.2">
      <c r="A851" s="1354" t="s">
        <v>1710</v>
      </c>
      <c r="B851" s="1361">
        <f>'Part 3 DA summary'!$I41</f>
        <v>0</v>
      </c>
      <c r="C851" s="1356" t="s">
        <v>3204</v>
      </c>
      <c r="F851" s="1354" t="s">
        <v>4252</v>
      </c>
      <c r="G851" s="1354" t="s">
        <v>4281</v>
      </c>
      <c r="H851" s="1354" t="s">
        <v>3195</v>
      </c>
      <c r="I851" s="1354">
        <v>155</v>
      </c>
    </row>
    <row r="852" spans="1:9" s="1354" customFormat="1" x14ac:dyDescent="0.2">
      <c r="A852" s="1354" t="s">
        <v>1711</v>
      </c>
      <c r="B852" s="1361">
        <f>'Part 3 DA summary'!$I42</f>
        <v>0</v>
      </c>
      <c r="C852" s="1356" t="s">
        <v>3204</v>
      </c>
      <c r="F852" s="1354" t="s">
        <v>4252</v>
      </c>
      <c r="G852" s="1354" t="s">
        <v>4282</v>
      </c>
      <c r="H852" s="1354" t="s">
        <v>3195</v>
      </c>
      <c r="I852" s="1354">
        <v>156</v>
      </c>
    </row>
    <row r="853" spans="1:9" s="1354" customFormat="1" x14ac:dyDescent="0.2">
      <c r="A853" s="1354" t="s">
        <v>1712</v>
      </c>
      <c r="B853" s="1361">
        <f>'Part 3 DA summary'!$I43</f>
        <v>0</v>
      </c>
      <c r="C853" s="1356" t="s">
        <v>3204</v>
      </c>
      <c r="F853" s="1354" t="s">
        <v>4252</v>
      </c>
      <c r="G853" s="1354" t="s">
        <v>4283</v>
      </c>
      <c r="H853" s="1354" t="s">
        <v>3195</v>
      </c>
      <c r="I853" s="1354">
        <v>157</v>
      </c>
    </row>
    <row r="854" spans="1:9" s="1354" customFormat="1" x14ac:dyDescent="0.2">
      <c r="A854" s="1354" t="s">
        <v>1713</v>
      </c>
      <c r="B854" s="1361">
        <f>'Part 3 DA summary'!$I44</f>
        <v>0</v>
      </c>
      <c r="C854" s="1356" t="s">
        <v>3204</v>
      </c>
      <c r="F854" s="1354" t="s">
        <v>4252</v>
      </c>
      <c r="G854" s="1354" t="s">
        <v>4284</v>
      </c>
      <c r="H854" s="1354" t="s">
        <v>3195</v>
      </c>
      <c r="I854" s="1354">
        <v>158</v>
      </c>
    </row>
    <row r="855" spans="1:9" s="1354" customFormat="1" x14ac:dyDescent="0.2">
      <c r="A855" s="1354" t="s">
        <v>1714</v>
      </c>
      <c r="B855" s="1361">
        <f>'Part 3 DA summary'!$I45</f>
        <v>0</v>
      </c>
      <c r="C855" s="1356" t="s">
        <v>3204</v>
      </c>
      <c r="F855" s="1354" t="s">
        <v>4252</v>
      </c>
      <c r="G855" s="1354" t="s">
        <v>4285</v>
      </c>
      <c r="H855" s="1354" t="s">
        <v>3195</v>
      </c>
      <c r="I855" s="1354">
        <v>159</v>
      </c>
    </row>
    <row r="856" spans="1:9" s="1354" customFormat="1" x14ac:dyDescent="0.2">
      <c r="A856" s="1354" t="s">
        <v>1715</v>
      </c>
      <c r="B856" s="1361">
        <f>'Part 3 DA summary'!$I46</f>
        <v>0</v>
      </c>
      <c r="C856" s="1356" t="s">
        <v>3204</v>
      </c>
      <c r="F856" s="1354" t="s">
        <v>4252</v>
      </c>
      <c r="G856" s="1354" t="s">
        <v>4286</v>
      </c>
      <c r="H856" s="1354" t="s">
        <v>3195</v>
      </c>
      <c r="I856" s="1354">
        <v>160</v>
      </c>
    </row>
    <row r="857" spans="1:9" s="1354" customFormat="1" ht="15" customHeight="1" x14ac:dyDescent="0.2">
      <c r="A857" s="1354" t="s">
        <v>1716</v>
      </c>
      <c r="B857" s="1361">
        <f>'Part 3 DA summary'!$I47</f>
        <v>0</v>
      </c>
      <c r="C857" s="1356" t="s">
        <v>3204</v>
      </c>
      <c r="F857" s="1354" t="s">
        <v>4252</v>
      </c>
      <c r="G857" s="1354" t="s">
        <v>4287</v>
      </c>
      <c r="H857" s="1354" t="s">
        <v>3195</v>
      </c>
      <c r="I857" s="1354">
        <v>161</v>
      </c>
    </row>
    <row r="858" spans="1:9" s="1354" customFormat="1" x14ac:dyDescent="0.2">
      <c r="A858" s="1354" t="s">
        <v>1717</v>
      </c>
      <c r="B858" s="1361">
        <f>'Part 3 DA summary'!$I48</f>
        <v>0</v>
      </c>
      <c r="C858" s="1356" t="s">
        <v>3204</v>
      </c>
      <c r="F858" s="1354" t="s">
        <v>4252</v>
      </c>
      <c r="G858" s="1354" t="s">
        <v>4288</v>
      </c>
      <c r="H858" s="1354" t="s">
        <v>3195</v>
      </c>
      <c r="I858" s="1354">
        <v>162</v>
      </c>
    </row>
    <row r="859" spans="1:9" s="1354" customFormat="1" x14ac:dyDescent="0.2">
      <c r="A859" s="1354" t="s">
        <v>1718</v>
      </c>
      <c r="B859" s="1361">
        <f>'Part 3 DA summary'!$I49</f>
        <v>0</v>
      </c>
      <c r="C859" s="1356" t="s">
        <v>3204</v>
      </c>
      <c r="F859" s="1354" t="s">
        <v>4252</v>
      </c>
      <c r="G859" s="1354" t="s">
        <v>4289</v>
      </c>
      <c r="H859" s="1354" t="s">
        <v>3195</v>
      </c>
      <c r="I859" s="1354">
        <v>163</v>
      </c>
    </row>
    <row r="860" spans="1:9" s="1354" customFormat="1" x14ac:dyDescent="0.2">
      <c r="A860" s="1354" t="s">
        <v>1719</v>
      </c>
      <c r="B860" s="1361">
        <f>'Part 3 DA summary'!$I50</f>
        <v>0</v>
      </c>
      <c r="C860" s="1356" t="s">
        <v>3204</v>
      </c>
      <c r="F860" s="1354" t="s">
        <v>4252</v>
      </c>
      <c r="G860" s="1354" t="s">
        <v>4290</v>
      </c>
      <c r="H860" s="1354" t="s">
        <v>3195</v>
      </c>
      <c r="I860" s="1354">
        <v>164</v>
      </c>
    </row>
    <row r="861" spans="1:9" s="1354" customFormat="1" x14ac:dyDescent="0.2">
      <c r="A861" s="1354" t="s">
        <v>1720</v>
      </c>
      <c r="B861" s="1361">
        <f>'Part 3 DA summary'!$I51</f>
        <v>0</v>
      </c>
      <c r="C861" s="1356" t="s">
        <v>3204</v>
      </c>
      <c r="F861" s="1354" t="s">
        <v>4252</v>
      </c>
      <c r="G861" s="1354" t="s">
        <v>4291</v>
      </c>
      <c r="H861" s="1354" t="s">
        <v>3195</v>
      </c>
      <c r="I861" s="1354">
        <v>165</v>
      </c>
    </row>
    <row r="862" spans="1:9" s="1354" customFormat="1" x14ac:dyDescent="0.2">
      <c r="A862" s="1354" t="s">
        <v>1721</v>
      </c>
      <c r="B862" s="1361">
        <f>'Part 3 DA summary'!$I52</f>
        <v>0</v>
      </c>
      <c r="C862" s="1356" t="s">
        <v>3204</v>
      </c>
      <c r="F862" s="1354" t="s">
        <v>4252</v>
      </c>
      <c r="G862" s="1354" t="s">
        <v>4292</v>
      </c>
      <c r="H862" s="1354" t="s">
        <v>3195</v>
      </c>
      <c r="I862" s="1354">
        <v>166</v>
      </c>
    </row>
    <row r="863" spans="1:9" s="1354" customFormat="1" x14ac:dyDescent="0.2">
      <c r="A863" s="1354" t="s">
        <v>1722</v>
      </c>
      <c r="B863" s="1361">
        <f>'Part 3 DA summary'!$I53</f>
        <v>0</v>
      </c>
      <c r="C863" s="1356" t="s">
        <v>3204</v>
      </c>
      <c r="F863" s="1354" t="s">
        <v>4252</v>
      </c>
      <c r="G863" s="1354" t="s">
        <v>4293</v>
      </c>
      <c r="H863" s="1354" t="s">
        <v>3195</v>
      </c>
      <c r="I863" s="1354">
        <v>167</v>
      </c>
    </row>
    <row r="864" spans="1:9" s="1354" customFormat="1" ht="14.25" customHeight="1" x14ac:dyDescent="0.25">
      <c r="A864" s="1362" t="s">
        <v>1723</v>
      </c>
      <c r="B864" s="1361">
        <f>'Part 3 DA summary'!$K6</f>
        <v>0</v>
      </c>
      <c r="C864" s="1359" t="s">
        <v>3204</v>
      </c>
      <c r="D864" s="1360"/>
      <c r="E864" s="1360"/>
      <c r="F864" s="1354" t="s">
        <v>4294</v>
      </c>
      <c r="G864" s="1354" t="s">
        <v>4295</v>
      </c>
      <c r="H864" s="1354" t="s">
        <v>3195</v>
      </c>
      <c r="I864" s="1354">
        <v>168</v>
      </c>
    </row>
    <row r="865" spans="1:9" s="1354" customFormat="1" x14ac:dyDescent="0.2">
      <c r="A865" s="1354" t="s">
        <v>1724</v>
      </c>
      <c r="B865" s="1361" t="str">
        <f>'Part 3 DA summary'!$K13</f>
        <v/>
      </c>
      <c r="C865" s="1356" t="s">
        <v>3204</v>
      </c>
      <c r="F865" s="1354" t="s">
        <v>4296</v>
      </c>
      <c r="G865" s="1354" t="s">
        <v>4297</v>
      </c>
      <c r="H865" s="1354" t="s">
        <v>3195</v>
      </c>
      <c r="I865" s="1354">
        <v>169</v>
      </c>
    </row>
    <row r="866" spans="1:9" s="1354" customFormat="1" x14ac:dyDescent="0.2">
      <c r="A866" s="1354" t="s">
        <v>1725</v>
      </c>
      <c r="B866" s="1361" t="str">
        <f>'Part 3 DA summary'!$K14</f>
        <v/>
      </c>
      <c r="C866" s="1356" t="s">
        <v>3204</v>
      </c>
      <c r="F866" s="1354" t="s">
        <v>4296</v>
      </c>
      <c r="G866" s="1354" t="s">
        <v>4298</v>
      </c>
      <c r="H866" s="1354" t="s">
        <v>3195</v>
      </c>
      <c r="I866" s="1354">
        <v>170</v>
      </c>
    </row>
    <row r="867" spans="1:9" s="1354" customFormat="1" x14ac:dyDescent="0.2">
      <c r="A867" s="1354" t="s">
        <v>1726</v>
      </c>
      <c r="B867" s="1361" t="str">
        <f>'Part 3 DA summary'!$K15</f>
        <v/>
      </c>
      <c r="C867" s="1356" t="s">
        <v>3204</v>
      </c>
      <c r="F867" s="1354" t="s">
        <v>4296</v>
      </c>
      <c r="G867" s="1354" t="s">
        <v>4299</v>
      </c>
      <c r="H867" s="1354" t="s">
        <v>3195</v>
      </c>
      <c r="I867" s="1354">
        <v>171</v>
      </c>
    </row>
    <row r="868" spans="1:9" s="1354" customFormat="1" ht="14.25" customHeight="1" x14ac:dyDescent="0.2">
      <c r="A868" s="1354" t="s">
        <v>1727</v>
      </c>
      <c r="B868" s="1361" t="str">
        <f>'Part 3 DA summary'!$K16</f>
        <v/>
      </c>
      <c r="C868" s="1356" t="s">
        <v>3204</v>
      </c>
      <c r="F868" s="1354" t="s">
        <v>4296</v>
      </c>
      <c r="G868" s="1354" t="s">
        <v>4300</v>
      </c>
      <c r="H868" s="1354" t="s">
        <v>3195</v>
      </c>
      <c r="I868" s="1354">
        <v>172</v>
      </c>
    </row>
    <row r="869" spans="1:9" s="1354" customFormat="1" ht="14.25" customHeight="1" x14ac:dyDescent="0.2">
      <c r="A869" s="1354" t="s">
        <v>1728</v>
      </c>
      <c r="B869" s="1361" t="str">
        <f>'Part 3 DA summary'!$K17</f>
        <v/>
      </c>
      <c r="C869" s="1356" t="s">
        <v>3204</v>
      </c>
      <c r="F869" s="1354" t="s">
        <v>4296</v>
      </c>
      <c r="G869" s="1354" t="s">
        <v>4301</v>
      </c>
      <c r="H869" s="1354" t="s">
        <v>3195</v>
      </c>
      <c r="I869" s="1354">
        <v>173</v>
      </c>
    </row>
    <row r="870" spans="1:9" s="1354" customFormat="1" ht="14.25" customHeight="1" x14ac:dyDescent="0.2">
      <c r="A870" s="1354" t="s">
        <v>1729</v>
      </c>
      <c r="B870" s="1361" t="str">
        <f>'Part 3 DA summary'!$K18</f>
        <v/>
      </c>
      <c r="C870" s="1356" t="s">
        <v>3204</v>
      </c>
      <c r="F870" s="1354" t="s">
        <v>4296</v>
      </c>
      <c r="G870" s="1354" t="s">
        <v>4302</v>
      </c>
      <c r="H870" s="1354" t="s">
        <v>3195</v>
      </c>
      <c r="I870" s="1354">
        <v>174</v>
      </c>
    </row>
    <row r="871" spans="1:9" s="1354" customFormat="1" x14ac:dyDescent="0.2">
      <c r="A871" s="1354" t="s">
        <v>1730</v>
      </c>
      <c r="B871" s="1361" t="str">
        <f>'Part 3 DA summary'!$K19</f>
        <v/>
      </c>
      <c r="C871" s="1356" t="s">
        <v>3204</v>
      </c>
      <c r="F871" s="1354" t="s">
        <v>4296</v>
      </c>
      <c r="G871" s="1354" t="s">
        <v>4303</v>
      </c>
      <c r="H871" s="1354" t="s">
        <v>3195</v>
      </c>
      <c r="I871" s="1354">
        <v>175</v>
      </c>
    </row>
    <row r="872" spans="1:9" s="1354" customFormat="1" x14ac:dyDescent="0.2">
      <c r="A872" s="1354" t="s">
        <v>1731</v>
      </c>
      <c r="B872" s="1361" t="str">
        <f>'Part 3 DA summary'!$K20</f>
        <v/>
      </c>
      <c r="C872" s="1356" t="s">
        <v>3204</v>
      </c>
      <c r="F872" s="1354" t="s">
        <v>4296</v>
      </c>
      <c r="G872" s="1354" t="s">
        <v>4304</v>
      </c>
      <c r="H872" s="1354" t="s">
        <v>3195</v>
      </c>
      <c r="I872" s="1354">
        <v>176</v>
      </c>
    </row>
    <row r="873" spans="1:9" s="1354" customFormat="1" x14ac:dyDescent="0.2">
      <c r="A873" s="1354" t="s">
        <v>1732</v>
      </c>
      <c r="B873" s="1361" t="str">
        <f>'Part 3 DA summary'!$K21</f>
        <v/>
      </c>
      <c r="C873" s="1356" t="s">
        <v>3204</v>
      </c>
      <c r="F873" s="1354" t="s">
        <v>4296</v>
      </c>
      <c r="G873" s="1354" t="s">
        <v>4305</v>
      </c>
      <c r="H873" s="1354" t="s">
        <v>3195</v>
      </c>
      <c r="I873" s="1354">
        <v>177</v>
      </c>
    </row>
    <row r="874" spans="1:9" s="1354" customFormat="1" x14ac:dyDescent="0.2">
      <c r="A874" s="1354" t="s">
        <v>1733</v>
      </c>
      <c r="B874" s="1361" t="str">
        <f>'Part 3 DA summary'!$K22</f>
        <v/>
      </c>
      <c r="C874" s="1356" t="s">
        <v>3204</v>
      </c>
      <c r="F874" s="1354" t="s">
        <v>4296</v>
      </c>
      <c r="G874" s="1354" t="s">
        <v>4306</v>
      </c>
      <c r="H874" s="1354" t="s">
        <v>3195</v>
      </c>
      <c r="I874" s="1354">
        <v>178</v>
      </c>
    </row>
    <row r="875" spans="1:9" s="1354" customFormat="1" x14ac:dyDescent="0.2">
      <c r="A875" s="1354" t="s">
        <v>1734</v>
      </c>
      <c r="B875" s="1361" t="str">
        <f>'Part 3 DA summary'!$K23</f>
        <v/>
      </c>
      <c r="C875" s="1356" t="s">
        <v>3204</v>
      </c>
      <c r="F875" s="1354" t="s">
        <v>4296</v>
      </c>
      <c r="G875" s="1354" t="s">
        <v>4307</v>
      </c>
      <c r="H875" s="1354" t="s">
        <v>3195</v>
      </c>
      <c r="I875" s="1354">
        <v>179</v>
      </c>
    </row>
    <row r="876" spans="1:9" s="1354" customFormat="1" x14ac:dyDescent="0.2">
      <c r="A876" s="1354" t="s">
        <v>1735</v>
      </c>
      <c r="B876" s="1361" t="str">
        <f>'Part 3 DA summary'!$K24</f>
        <v/>
      </c>
      <c r="C876" s="1356" t="s">
        <v>3204</v>
      </c>
      <c r="F876" s="1354" t="s">
        <v>4296</v>
      </c>
      <c r="G876" s="1354" t="s">
        <v>4308</v>
      </c>
      <c r="H876" s="1354" t="s">
        <v>3195</v>
      </c>
      <c r="I876" s="1354">
        <v>180</v>
      </c>
    </row>
    <row r="877" spans="1:9" s="1354" customFormat="1" x14ac:dyDescent="0.2">
      <c r="A877" s="1354" t="s">
        <v>1736</v>
      </c>
      <c r="B877" s="1361" t="str">
        <f>'Part 3 DA summary'!$K25</f>
        <v/>
      </c>
      <c r="C877" s="1356" t="s">
        <v>3204</v>
      </c>
      <c r="F877" s="1354" t="s">
        <v>4296</v>
      </c>
      <c r="G877" s="1354" t="s">
        <v>4309</v>
      </c>
      <c r="H877" s="1354" t="s">
        <v>3195</v>
      </c>
      <c r="I877" s="1354">
        <v>181</v>
      </c>
    </row>
    <row r="878" spans="1:9" s="1354" customFormat="1" x14ac:dyDescent="0.2">
      <c r="A878" s="1354" t="s">
        <v>1737</v>
      </c>
      <c r="B878" s="1361" t="str">
        <f>'Part 3 DA summary'!$K26</f>
        <v/>
      </c>
      <c r="C878" s="1356" t="s">
        <v>3204</v>
      </c>
      <c r="F878" s="1354" t="s">
        <v>4296</v>
      </c>
      <c r="G878" s="1354" t="s">
        <v>4310</v>
      </c>
      <c r="H878" s="1354" t="s">
        <v>3195</v>
      </c>
      <c r="I878" s="1354">
        <v>182</v>
      </c>
    </row>
    <row r="879" spans="1:9" s="1354" customFormat="1" x14ac:dyDescent="0.2">
      <c r="A879" s="1354" t="s">
        <v>1738</v>
      </c>
      <c r="B879" s="1361" t="str">
        <f>'Part 3 DA summary'!$K27</f>
        <v/>
      </c>
      <c r="C879" s="1356" t="s">
        <v>3204</v>
      </c>
      <c r="F879" s="1354" t="s">
        <v>4296</v>
      </c>
      <c r="G879" s="1354" t="s">
        <v>4311</v>
      </c>
      <c r="H879" s="1354" t="s">
        <v>3195</v>
      </c>
      <c r="I879" s="1354">
        <v>183</v>
      </c>
    </row>
    <row r="880" spans="1:9" s="1354" customFormat="1" x14ac:dyDescent="0.2">
      <c r="A880" s="1354" t="s">
        <v>1739</v>
      </c>
      <c r="B880" s="1361" t="str">
        <f>'Part 3 DA summary'!$K28</f>
        <v/>
      </c>
      <c r="C880" s="1356" t="s">
        <v>3204</v>
      </c>
      <c r="F880" s="1354" t="s">
        <v>4296</v>
      </c>
      <c r="G880" s="1354" t="s">
        <v>4312</v>
      </c>
      <c r="H880" s="1354" t="s">
        <v>3195</v>
      </c>
      <c r="I880" s="1354">
        <v>184</v>
      </c>
    </row>
    <row r="881" spans="1:9" s="1354" customFormat="1" x14ac:dyDescent="0.2">
      <c r="A881" s="1354" t="s">
        <v>1740</v>
      </c>
      <c r="B881" s="1361" t="str">
        <f>'Part 3 DA summary'!$K29</f>
        <v/>
      </c>
      <c r="C881" s="1356" t="s">
        <v>3204</v>
      </c>
      <c r="F881" s="1354" t="s">
        <v>4296</v>
      </c>
      <c r="G881" s="1354" t="s">
        <v>4313</v>
      </c>
      <c r="H881" s="1354" t="s">
        <v>3195</v>
      </c>
      <c r="I881" s="1354">
        <v>185</v>
      </c>
    </row>
    <row r="882" spans="1:9" s="1354" customFormat="1" x14ac:dyDescent="0.2">
      <c r="A882" s="1354" t="s">
        <v>1741</v>
      </c>
      <c r="B882" s="1361" t="str">
        <f>'Part 3 DA summary'!$K30</f>
        <v/>
      </c>
      <c r="C882" s="1356" t="s">
        <v>3204</v>
      </c>
      <c r="F882" s="1354" t="s">
        <v>4296</v>
      </c>
      <c r="G882" s="1354" t="s">
        <v>4314</v>
      </c>
      <c r="H882" s="1354" t="s">
        <v>3195</v>
      </c>
      <c r="I882" s="1354">
        <v>186</v>
      </c>
    </row>
    <row r="883" spans="1:9" s="1354" customFormat="1" x14ac:dyDescent="0.2">
      <c r="A883" s="1354" t="s">
        <v>1742</v>
      </c>
      <c r="B883" s="1361" t="str">
        <f>'Part 3 DA summary'!$K31</f>
        <v/>
      </c>
      <c r="C883" s="1356" t="s">
        <v>3204</v>
      </c>
      <c r="F883" s="1354" t="s">
        <v>4296</v>
      </c>
      <c r="G883" s="1354" t="s">
        <v>4315</v>
      </c>
      <c r="H883" s="1354" t="s">
        <v>3195</v>
      </c>
      <c r="I883" s="1354">
        <v>187</v>
      </c>
    </row>
    <row r="884" spans="1:9" s="1354" customFormat="1" x14ac:dyDescent="0.2">
      <c r="A884" s="1354" t="s">
        <v>1743</v>
      </c>
      <c r="B884" s="1361" t="str">
        <f>'Part 3 DA summary'!$K32</f>
        <v/>
      </c>
      <c r="C884" s="1356" t="s">
        <v>3204</v>
      </c>
      <c r="F884" s="1354" t="s">
        <v>4296</v>
      </c>
      <c r="G884" s="1354" t="s">
        <v>4316</v>
      </c>
      <c r="H884" s="1354" t="s">
        <v>3195</v>
      </c>
      <c r="I884" s="1354">
        <v>188</v>
      </c>
    </row>
    <row r="885" spans="1:9" s="1354" customFormat="1" x14ac:dyDescent="0.2">
      <c r="A885" s="1354" t="s">
        <v>1744</v>
      </c>
      <c r="B885" s="1361" t="str">
        <f>'Part 3 DA summary'!$K33</f>
        <v/>
      </c>
      <c r="C885" s="1356" t="s">
        <v>3204</v>
      </c>
      <c r="F885" s="1354" t="s">
        <v>4296</v>
      </c>
      <c r="G885" s="1354" t="s">
        <v>4317</v>
      </c>
      <c r="H885" s="1354" t="s">
        <v>3195</v>
      </c>
      <c r="I885" s="1354">
        <v>189</v>
      </c>
    </row>
    <row r="886" spans="1:9" s="1354" customFormat="1" x14ac:dyDescent="0.2">
      <c r="A886" s="1354" t="s">
        <v>1745</v>
      </c>
      <c r="B886" s="1361" t="str">
        <f>'Part 3 DA summary'!$K34</f>
        <v/>
      </c>
      <c r="C886" s="1356" t="s">
        <v>3204</v>
      </c>
      <c r="F886" s="1354" t="s">
        <v>4296</v>
      </c>
      <c r="G886" s="1354" t="s">
        <v>4318</v>
      </c>
      <c r="H886" s="1354" t="s">
        <v>3195</v>
      </c>
      <c r="I886" s="1354">
        <v>190</v>
      </c>
    </row>
    <row r="887" spans="1:9" s="1354" customFormat="1" x14ac:dyDescent="0.2">
      <c r="A887" s="1354" t="s">
        <v>1746</v>
      </c>
      <c r="B887" s="1361" t="str">
        <f>'Part 3 DA summary'!$K35</f>
        <v/>
      </c>
      <c r="C887" s="1356" t="s">
        <v>3204</v>
      </c>
      <c r="F887" s="1354" t="s">
        <v>4296</v>
      </c>
      <c r="G887" s="1354" t="s">
        <v>4319</v>
      </c>
      <c r="H887" s="1354" t="s">
        <v>3195</v>
      </c>
      <c r="I887" s="1354">
        <v>191</v>
      </c>
    </row>
    <row r="888" spans="1:9" s="1354" customFormat="1" x14ac:dyDescent="0.2">
      <c r="A888" s="1354" t="s">
        <v>1747</v>
      </c>
      <c r="B888" s="1361" t="str">
        <f>'Part 3 DA summary'!$K36</f>
        <v/>
      </c>
      <c r="C888" s="1356" t="s">
        <v>3204</v>
      </c>
      <c r="F888" s="1354" t="s">
        <v>4296</v>
      </c>
      <c r="G888" s="1354" t="s">
        <v>4320</v>
      </c>
      <c r="H888" s="1354" t="s">
        <v>3195</v>
      </c>
      <c r="I888" s="1354">
        <v>192</v>
      </c>
    </row>
    <row r="889" spans="1:9" s="1354" customFormat="1" x14ac:dyDescent="0.2">
      <c r="A889" s="1354" t="s">
        <v>1748</v>
      </c>
      <c r="B889" s="1361" t="str">
        <f>'Part 3 DA summary'!$K37</f>
        <v/>
      </c>
      <c r="C889" s="1356" t="s">
        <v>3204</v>
      </c>
      <c r="F889" s="1354" t="s">
        <v>4296</v>
      </c>
      <c r="G889" s="1354" t="s">
        <v>4321</v>
      </c>
      <c r="H889" s="1354" t="s">
        <v>3195</v>
      </c>
      <c r="I889" s="1354">
        <v>193</v>
      </c>
    </row>
    <row r="890" spans="1:9" s="1354" customFormat="1" x14ac:dyDescent="0.2">
      <c r="A890" s="1354" t="s">
        <v>1749</v>
      </c>
      <c r="B890" s="1361" t="str">
        <f>'Part 3 DA summary'!$K38</f>
        <v/>
      </c>
      <c r="C890" s="1356" t="s">
        <v>3204</v>
      </c>
      <c r="F890" s="1354" t="s">
        <v>4296</v>
      </c>
      <c r="G890" s="1354" t="s">
        <v>4322</v>
      </c>
      <c r="H890" s="1354" t="s">
        <v>3195</v>
      </c>
      <c r="I890" s="1354">
        <v>194</v>
      </c>
    </row>
    <row r="891" spans="1:9" s="1354" customFormat="1" x14ac:dyDescent="0.2">
      <c r="A891" s="1354" t="s">
        <v>1750</v>
      </c>
      <c r="B891" s="1361" t="str">
        <f>'Part 3 DA summary'!$K39</f>
        <v/>
      </c>
      <c r="C891" s="1356" t="s">
        <v>3204</v>
      </c>
      <c r="F891" s="1354" t="s">
        <v>4296</v>
      </c>
      <c r="G891" s="1354" t="s">
        <v>4323</v>
      </c>
      <c r="H891" s="1354" t="s">
        <v>3195</v>
      </c>
      <c r="I891" s="1354">
        <v>195</v>
      </c>
    </row>
    <row r="892" spans="1:9" s="1354" customFormat="1" x14ac:dyDescent="0.2">
      <c r="A892" s="1354" t="s">
        <v>1751</v>
      </c>
      <c r="B892" s="1361" t="str">
        <f>'Part 3 DA summary'!$K40</f>
        <v/>
      </c>
      <c r="C892" s="1356" t="s">
        <v>3204</v>
      </c>
      <c r="F892" s="1354" t="s">
        <v>4296</v>
      </c>
      <c r="G892" s="1354" t="s">
        <v>4324</v>
      </c>
      <c r="H892" s="1354" t="s">
        <v>3195</v>
      </c>
      <c r="I892" s="1354">
        <v>196</v>
      </c>
    </row>
    <row r="893" spans="1:9" s="1354" customFormat="1" x14ac:dyDescent="0.2">
      <c r="A893" s="1354" t="s">
        <v>1752</v>
      </c>
      <c r="B893" s="1361" t="str">
        <f>'Part 3 DA summary'!$K41</f>
        <v/>
      </c>
      <c r="C893" s="1356" t="s">
        <v>3204</v>
      </c>
      <c r="F893" s="1354" t="s">
        <v>4296</v>
      </c>
      <c r="G893" s="1354" t="s">
        <v>4325</v>
      </c>
      <c r="H893" s="1354" t="s">
        <v>3195</v>
      </c>
      <c r="I893" s="1354">
        <v>197</v>
      </c>
    </row>
    <row r="894" spans="1:9" s="1354" customFormat="1" x14ac:dyDescent="0.2">
      <c r="A894" s="1354" t="s">
        <v>1753</v>
      </c>
      <c r="B894" s="1361" t="str">
        <f>'Part 3 DA summary'!$K42</f>
        <v/>
      </c>
      <c r="C894" s="1356" t="s">
        <v>3204</v>
      </c>
      <c r="F894" s="1354" t="s">
        <v>4296</v>
      </c>
      <c r="G894" s="1354" t="s">
        <v>4326</v>
      </c>
      <c r="H894" s="1354" t="s">
        <v>3195</v>
      </c>
      <c r="I894" s="1354">
        <v>198</v>
      </c>
    </row>
    <row r="895" spans="1:9" s="1354" customFormat="1" x14ac:dyDescent="0.2">
      <c r="A895" s="1354" t="s">
        <v>1754</v>
      </c>
      <c r="B895" s="1361" t="str">
        <f>'Part 3 DA summary'!$K43</f>
        <v/>
      </c>
      <c r="C895" s="1356" t="s">
        <v>3204</v>
      </c>
      <c r="F895" s="1354" t="s">
        <v>4296</v>
      </c>
      <c r="G895" s="1354" t="s">
        <v>4327</v>
      </c>
      <c r="H895" s="1354" t="s">
        <v>3195</v>
      </c>
      <c r="I895" s="1354">
        <v>199</v>
      </c>
    </row>
    <row r="896" spans="1:9" s="1354" customFormat="1" x14ac:dyDescent="0.2">
      <c r="A896" s="1354" t="s">
        <v>1755</v>
      </c>
      <c r="B896" s="1361" t="str">
        <f>'Part 3 DA summary'!$K44</f>
        <v/>
      </c>
      <c r="C896" s="1356" t="s">
        <v>3204</v>
      </c>
      <c r="F896" s="1354" t="s">
        <v>4296</v>
      </c>
      <c r="G896" s="1354" t="s">
        <v>4328</v>
      </c>
      <c r="H896" s="1354" t="s">
        <v>3195</v>
      </c>
      <c r="I896" s="1354">
        <v>200</v>
      </c>
    </row>
    <row r="897" spans="1:9" s="1354" customFormat="1" x14ac:dyDescent="0.2">
      <c r="A897" s="1354" t="s">
        <v>1756</v>
      </c>
      <c r="B897" s="1361" t="str">
        <f>'Part 3 DA summary'!$K45</f>
        <v/>
      </c>
      <c r="C897" s="1356" t="s">
        <v>3204</v>
      </c>
      <c r="F897" s="1354" t="s">
        <v>4296</v>
      </c>
      <c r="G897" s="1354" t="s">
        <v>4329</v>
      </c>
      <c r="H897" s="1354" t="s">
        <v>3195</v>
      </c>
      <c r="I897" s="1354">
        <v>201</v>
      </c>
    </row>
    <row r="898" spans="1:9" s="1354" customFormat="1" x14ac:dyDescent="0.2">
      <c r="A898" s="1354" t="s">
        <v>1757</v>
      </c>
      <c r="B898" s="1361" t="str">
        <f>'Part 3 DA summary'!$K46</f>
        <v/>
      </c>
      <c r="C898" s="1356" t="s">
        <v>3204</v>
      </c>
      <c r="F898" s="1354" t="s">
        <v>4296</v>
      </c>
      <c r="G898" s="1354" t="s">
        <v>4330</v>
      </c>
      <c r="H898" s="1354" t="s">
        <v>3195</v>
      </c>
      <c r="I898" s="1354">
        <v>202</v>
      </c>
    </row>
    <row r="899" spans="1:9" s="1354" customFormat="1" ht="15" customHeight="1" x14ac:dyDescent="0.2">
      <c r="A899" s="1354" t="s">
        <v>1758</v>
      </c>
      <c r="B899" s="1361" t="str">
        <f>'Part 3 DA summary'!$K47</f>
        <v/>
      </c>
      <c r="C899" s="1356" t="s">
        <v>3204</v>
      </c>
      <c r="F899" s="1354" t="s">
        <v>4296</v>
      </c>
      <c r="G899" s="1354" t="s">
        <v>4331</v>
      </c>
      <c r="H899" s="1354" t="s">
        <v>3195</v>
      </c>
      <c r="I899" s="1354">
        <v>203</v>
      </c>
    </row>
    <row r="900" spans="1:9" s="1354" customFormat="1" x14ac:dyDescent="0.2">
      <c r="A900" s="1354" t="s">
        <v>1759</v>
      </c>
      <c r="B900" s="1361" t="str">
        <f>'Part 3 DA summary'!$K48</f>
        <v/>
      </c>
      <c r="C900" s="1356" t="s">
        <v>3204</v>
      </c>
      <c r="F900" s="1354" t="s">
        <v>4296</v>
      </c>
      <c r="G900" s="1354" t="s">
        <v>4332</v>
      </c>
      <c r="H900" s="1354" t="s">
        <v>3195</v>
      </c>
      <c r="I900" s="1354">
        <v>204</v>
      </c>
    </row>
    <row r="901" spans="1:9" s="1354" customFormat="1" x14ac:dyDescent="0.2">
      <c r="A901" s="1354" t="s">
        <v>1760</v>
      </c>
      <c r="B901" s="1361" t="str">
        <f>'Part 3 DA summary'!$K49</f>
        <v/>
      </c>
      <c r="C901" s="1356" t="s">
        <v>3204</v>
      </c>
      <c r="F901" s="1354" t="s">
        <v>4296</v>
      </c>
      <c r="G901" s="1354" t="s">
        <v>4333</v>
      </c>
      <c r="H901" s="1354" t="s">
        <v>3195</v>
      </c>
      <c r="I901" s="1354">
        <v>205</v>
      </c>
    </row>
    <row r="902" spans="1:9" s="1354" customFormat="1" x14ac:dyDescent="0.2">
      <c r="A902" s="1354" t="s">
        <v>1761</v>
      </c>
      <c r="B902" s="1361" t="str">
        <f>'Part 3 DA summary'!$K50</f>
        <v/>
      </c>
      <c r="C902" s="1356" t="s">
        <v>3204</v>
      </c>
      <c r="F902" s="1354" t="s">
        <v>4296</v>
      </c>
      <c r="G902" s="1354" t="s">
        <v>4334</v>
      </c>
      <c r="H902" s="1354" t="s">
        <v>3195</v>
      </c>
      <c r="I902" s="1354">
        <v>206</v>
      </c>
    </row>
    <row r="903" spans="1:9" s="1354" customFormat="1" x14ac:dyDescent="0.2">
      <c r="A903" s="1354" t="s">
        <v>1762</v>
      </c>
      <c r="B903" s="1361" t="str">
        <f>'Part 3 DA summary'!$K51</f>
        <v/>
      </c>
      <c r="C903" s="1356" t="s">
        <v>3204</v>
      </c>
      <c r="F903" s="1354" t="s">
        <v>4296</v>
      </c>
      <c r="G903" s="1354" t="s">
        <v>4335</v>
      </c>
      <c r="H903" s="1354" t="s">
        <v>3195</v>
      </c>
      <c r="I903" s="1354">
        <v>207</v>
      </c>
    </row>
    <row r="904" spans="1:9" s="1354" customFormat="1" x14ac:dyDescent="0.2">
      <c r="A904" s="1354" t="s">
        <v>1763</v>
      </c>
      <c r="B904" s="1361" t="str">
        <f>'Part 3 DA summary'!$K52</f>
        <v/>
      </c>
      <c r="C904" s="1356" t="s">
        <v>3204</v>
      </c>
      <c r="F904" s="1354" t="s">
        <v>4296</v>
      </c>
      <c r="G904" s="1354" t="s">
        <v>4336</v>
      </c>
      <c r="H904" s="1354" t="s">
        <v>3195</v>
      </c>
      <c r="I904" s="1354">
        <v>208</v>
      </c>
    </row>
    <row r="905" spans="1:9" s="1354" customFormat="1" x14ac:dyDescent="0.2">
      <c r="A905" s="1354" t="s">
        <v>1764</v>
      </c>
      <c r="B905" s="1361" t="str">
        <f>'Part 3 DA summary'!$K53</f>
        <v/>
      </c>
      <c r="C905" s="1356" t="s">
        <v>3204</v>
      </c>
      <c r="F905" s="1354" t="s">
        <v>4296</v>
      </c>
      <c r="G905" s="1354" t="s">
        <v>4337</v>
      </c>
      <c r="H905" s="1354" t="s">
        <v>3195</v>
      </c>
      <c r="I905" s="1354">
        <v>209</v>
      </c>
    </row>
    <row r="906" spans="1:9" s="1354" customFormat="1" ht="14.25" customHeight="1" x14ac:dyDescent="0.25">
      <c r="A906" s="1362" t="s">
        <v>1765</v>
      </c>
      <c r="B906" s="1361">
        <f>'Part 3 DA summary'!$M6</f>
        <v>0</v>
      </c>
      <c r="C906" s="1359" t="s">
        <v>3204</v>
      </c>
      <c r="D906" s="1360"/>
      <c r="E906" s="1360"/>
      <c r="F906" s="1354" t="s">
        <v>4338</v>
      </c>
      <c r="G906" s="1354" t="s">
        <v>4339</v>
      </c>
      <c r="H906" s="1354" t="s">
        <v>3195</v>
      </c>
      <c r="I906" s="1354">
        <v>210</v>
      </c>
    </row>
    <row r="907" spans="1:9" s="1354" customFormat="1" x14ac:dyDescent="0.2">
      <c r="A907" s="1354" t="s">
        <v>1766</v>
      </c>
      <c r="B907" s="1361">
        <f>'Part 3 DA summary'!$M13</f>
        <v>0</v>
      </c>
      <c r="C907" s="1356" t="s">
        <v>3204</v>
      </c>
      <c r="F907" s="1354" t="s">
        <v>4340</v>
      </c>
      <c r="G907" s="1354" t="s">
        <v>4341</v>
      </c>
      <c r="H907" s="1354" t="s">
        <v>3195</v>
      </c>
      <c r="I907" s="1354">
        <v>211</v>
      </c>
    </row>
    <row r="908" spans="1:9" s="1354" customFormat="1" x14ac:dyDescent="0.2">
      <c r="A908" s="1354" t="s">
        <v>1767</v>
      </c>
      <c r="B908" s="1361">
        <f>'Part 3 DA summary'!$M14</f>
        <v>0</v>
      </c>
      <c r="C908" s="1356" t="s">
        <v>3204</v>
      </c>
      <c r="F908" s="1354" t="s">
        <v>4340</v>
      </c>
      <c r="G908" s="1354" t="s">
        <v>4342</v>
      </c>
      <c r="H908" s="1354" t="s">
        <v>3195</v>
      </c>
      <c r="I908" s="1354">
        <v>212</v>
      </c>
    </row>
    <row r="909" spans="1:9" s="1354" customFormat="1" x14ac:dyDescent="0.2">
      <c r="A909" s="1354" t="s">
        <v>1768</v>
      </c>
      <c r="B909" s="1361">
        <f>'Part 3 DA summary'!$M15</f>
        <v>0</v>
      </c>
      <c r="C909" s="1356" t="s">
        <v>3204</v>
      </c>
      <c r="F909" s="1354" t="s">
        <v>4340</v>
      </c>
      <c r="G909" s="1354" t="s">
        <v>4343</v>
      </c>
      <c r="H909" s="1354" t="s">
        <v>3195</v>
      </c>
      <c r="I909" s="1354">
        <v>213</v>
      </c>
    </row>
    <row r="910" spans="1:9" s="1354" customFormat="1" ht="14.25" customHeight="1" x14ac:dyDescent="0.2">
      <c r="A910" s="1354" t="s">
        <v>1769</v>
      </c>
      <c r="B910" s="1361">
        <f>'Part 3 DA summary'!$M16</f>
        <v>0</v>
      </c>
      <c r="C910" s="1356" t="s">
        <v>3204</v>
      </c>
      <c r="F910" s="1354" t="s">
        <v>4340</v>
      </c>
      <c r="G910" s="1354" t="s">
        <v>4344</v>
      </c>
      <c r="H910" s="1354" t="s">
        <v>3195</v>
      </c>
      <c r="I910" s="1354">
        <v>214</v>
      </c>
    </row>
    <row r="911" spans="1:9" s="1354" customFormat="1" ht="14.25" customHeight="1" x14ac:dyDescent="0.2">
      <c r="A911" s="1354" t="s">
        <v>1770</v>
      </c>
      <c r="B911" s="1361">
        <f>'Part 3 DA summary'!$M17</f>
        <v>0</v>
      </c>
      <c r="C911" s="1356" t="s">
        <v>3204</v>
      </c>
      <c r="F911" s="1354" t="s">
        <v>4340</v>
      </c>
      <c r="G911" s="1354" t="s">
        <v>4345</v>
      </c>
      <c r="H911" s="1354" t="s">
        <v>3195</v>
      </c>
      <c r="I911" s="1354">
        <v>215</v>
      </c>
    </row>
    <row r="912" spans="1:9" s="1354" customFormat="1" ht="14.25" customHeight="1" x14ac:dyDescent="0.2">
      <c r="A912" s="1354" t="s">
        <v>1771</v>
      </c>
      <c r="B912" s="1361">
        <f>'Part 3 DA summary'!$M18</f>
        <v>0</v>
      </c>
      <c r="C912" s="1356" t="s">
        <v>3204</v>
      </c>
      <c r="F912" s="1354" t="s">
        <v>4340</v>
      </c>
      <c r="G912" s="1354" t="s">
        <v>4346</v>
      </c>
      <c r="H912" s="1354" t="s">
        <v>3195</v>
      </c>
      <c r="I912" s="1354">
        <v>216</v>
      </c>
    </row>
    <row r="913" spans="1:9" s="1354" customFormat="1" x14ac:dyDescent="0.2">
      <c r="A913" s="1354" t="s">
        <v>1772</v>
      </c>
      <c r="B913" s="1361">
        <f>'Part 3 DA summary'!$M19</f>
        <v>0</v>
      </c>
      <c r="C913" s="1356" t="s">
        <v>3204</v>
      </c>
      <c r="F913" s="1354" t="s">
        <v>4340</v>
      </c>
      <c r="G913" s="1354" t="s">
        <v>4347</v>
      </c>
      <c r="H913" s="1354" t="s">
        <v>3195</v>
      </c>
      <c r="I913" s="1354">
        <v>217</v>
      </c>
    </row>
    <row r="914" spans="1:9" s="1354" customFormat="1" x14ac:dyDescent="0.2">
      <c r="A914" s="1354" t="s">
        <v>1773</v>
      </c>
      <c r="B914" s="1361">
        <f>'Part 3 DA summary'!$M20</f>
        <v>0</v>
      </c>
      <c r="C914" s="1356" t="s">
        <v>3204</v>
      </c>
      <c r="F914" s="1354" t="s">
        <v>4340</v>
      </c>
      <c r="G914" s="1354" t="s">
        <v>4348</v>
      </c>
      <c r="H914" s="1354" t="s">
        <v>3195</v>
      </c>
      <c r="I914" s="1354">
        <v>218</v>
      </c>
    </row>
    <row r="915" spans="1:9" s="1354" customFormat="1" x14ac:dyDescent="0.2">
      <c r="A915" s="1354" t="s">
        <v>1774</v>
      </c>
      <c r="B915" s="1361">
        <f>'Part 3 DA summary'!$M21</f>
        <v>0</v>
      </c>
      <c r="C915" s="1356" t="s">
        <v>3204</v>
      </c>
      <c r="F915" s="1354" t="s">
        <v>4340</v>
      </c>
      <c r="G915" s="1354" t="s">
        <v>4349</v>
      </c>
      <c r="H915" s="1354" t="s">
        <v>3195</v>
      </c>
      <c r="I915" s="1354">
        <v>219</v>
      </c>
    </row>
    <row r="916" spans="1:9" s="1354" customFormat="1" x14ac:dyDescent="0.2">
      <c r="A916" s="1354" t="s">
        <v>1775</v>
      </c>
      <c r="B916" s="1361">
        <f>'Part 3 DA summary'!$M22</f>
        <v>0</v>
      </c>
      <c r="C916" s="1356" t="s">
        <v>3204</v>
      </c>
      <c r="F916" s="1354" t="s">
        <v>4340</v>
      </c>
      <c r="G916" s="1354" t="s">
        <v>4350</v>
      </c>
      <c r="H916" s="1354" t="s">
        <v>3195</v>
      </c>
      <c r="I916" s="1354">
        <v>220</v>
      </c>
    </row>
    <row r="917" spans="1:9" s="1354" customFormat="1" x14ac:dyDescent="0.2">
      <c r="A917" s="1354" t="s">
        <v>1776</v>
      </c>
      <c r="B917" s="1361">
        <f>'Part 3 DA summary'!$M23</f>
        <v>0</v>
      </c>
      <c r="C917" s="1356" t="s">
        <v>3204</v>
      </c>
      <c r="F917" s="1354" t="s">
        <v>4340</v>
      </c>
      <c r="G917" s="1354" t="s">
        <v>4351</v>
      </c>
      <c r="H917" s="1354" t="s">
        <v>3195</v>
      </c>
      <c r="I917" s="1354">
        <v>221</v>
      </c>
    </row>
    <row r="918" spans="1:9" s="1354" customFormat="1" x14ac:dyDescent="0.2">
      <c r="A918" s="1354" t="s">
        <v>1777</v>
      </c>
      <c r="B918" s="1361">
        <f>'Part 3 DA summary'!$M24</f>
        <v>0</v>
      </c>
      <c r="C918" s="1356" t="s">
        <v>3204</v>
      </c>
      <c r="F918" s="1354" t="s">
        <v>4340</v>
      </c>
      <c r="G918" s="1354" t="s">
        <v>4352</v>
      </c>
      <c r="H918" s="1354" t="s">
        <v>3195</v>
      </c>
      <c r="I918" s="1354">
        <v>222</v>
      </c>
    </row>
    <row r="919" spans="1:9" s="1354" customFormat="1" x14ac:dyDescent="0.2">
      <c r="A919" s="1354" t="s">
        <v>1778</v>
      </c>
      <c r="B919" s="1361">
        <f>'Part 3 DA summary'!$M25</f>
        <v>0</v>
      </c>
      <c r="C919" s="1356" t="s">
        <v>3204</v>
      </c>
      <c r="F919" s="1354" t="s">
        <v>4340</v>
      </c>
      <c r="G919" s="1354" t="s">
        <v>4353</v>
      </c>
      <c r="H919" s="1354" t="s">
        <v>3195</v>
      </c>
      <c r="I919" s="1354">
        <v>223</v>
      </c>
    </row>
    <row r="920" spans="1:9" s="1354" customFormat="1" x14ac:dyDescent="0.2">
      <c r="A920" s="1354" t="s">
        <v>1779</v>
      </c>
      <c r="B920" s="1361">
        <f>'Part 3 DA summary'!$M26</f>
        <v>0</v>
      </c>
      <c r="C920" s="1356" t="s">
        <v>3204</v>
      </c>
      <c r="F920" s="1354" t="s">
        <v>4340</v>
      </c>
      <c r="G920" s="1354" t="s">
        <v>4354</v>
      </c>
      <c r="H920" s="1354" t="s">
        <v>3195</v>
      </c>
      <c r="I920" s="1354">
        <v>224</v>
      </c>
    </row>
    <row r="921" spans="1:9" s="1354" customFormat="1" x14ac:dyDescent="0.2">
      <c r="A921" s="1354" t="s">
        <v>1780</v>
      </c>
      <c r="B921" s="1361">
        <f>'Part 3 DA summary'!$M27</f>
        <v>0</v>
      </c>
      <c r="C921" s="1356" t="s">
        <v>3204</v>
      </c>
      <c r="F921" s="1354" t="s">
        <v>4340</v>
      </c>
      <c r="G921" s="1354" t="s">
        <v>4355</v>
      </c>
      <c r="H921" s="1354" t="s">
        <v>3195</v>
      </c>
      <c r="I921" s="1354">
        <v>225</v>
      </c>
    </row>
    <row r="922" spans="1:9" s="1354" customFormat="1" x14ac:dyDescent="0.2">
      <c r="A922" s="1354" t="s">
        <v>1781</v>
      </c>
      <c r="B922" s="1361">
        <f>'Part 3 DA summary'!$M28</f>
        <v>0</v>
      </c>
      <c r="C922" s="1356" t="s">
        <v>3204</v>
      </c>
      <c r="F922" s="1354" t="s">
        <v>4340</v>
      </c>
      <c r="G922" s="1354" t="s">
        <v>4356</v>
      </c>
      <c r="H922" s="1354" t="s">
        <v>3195</v>
      </c>
      <c r="I922" s="1354">
        <v>226</v>
      </c>
    </row>
    <row r="923" spans="1:9" s="1354" customFormat="1" x14ac:dyDescent="0.2">
      <c r="A923" s="1354" t="s">
        <v>1782</v>
      </c>
      <c r="B923" s="1361">
        <f>'Part 3 DA summary'!$M29</f>
        <v>0</v>
      </c>
      <c r="C923" s="1356" t="s">
        <v>3204</v>
      </c>
      <c r="F923" s="1354" t="s">
        <v>4340</v>
      </c>
      <c r="G923" s="1354" t="s">
        <v>4357</v>
      </c>
      <c r="H923" s="1354" t="s">
        <v>3195</v>
      </c>
      <c r="I923" s="1354">
        <v>227</v>
      </c>
    </row>
    <row r="924" spans="1:9" s="1354" customFormat="1" x14ac:dyDescent="0.2">
      <c r="A924" s="1354" t="s">
        <v>1783</v>
      </c>
      <c r="B924" s="1361">
        <f>'Part 3 DA summary'!$M30</f>
        <v>0</v>
      </c>
      <c r="C924" s="1356" t="s">
        <v>3204</v>
      </c>
      <c r="F924" s="1354" t="s">
        <v>4340</v>
      </c>
      <c r="G924" s="1354" t="s">
        <v>4358</v>
      </c>
      <c r="H924" s="1354" t="s">
        <v>3195</v>
      </c>
      <c r="I924" s="1354">
        <v>228</v>
      </c>
    </row>
    <row r="925" spans="1:9" s="1354" customFormat="1" x14ac:dyDescent="0.2">
      <c r="A925" s="1354" t="s">
        <v>1784</v>
      </c>
      <c r="B925" s="1361">
        <f>'Part 3 DA summary'!$M31</f>
        <v>0</v>
      </c>
      <c r="C925" s="1356" t="s">
        <v>3204</v>
      </c>
      <c r="F925" s="1354" t="s">
        <v>4340</v>
      </c>
      <c r="G925" s="1354" t="s">
        <v>4359</v>
      </c>
      <c r="H925" s="1354" t="s">
        <v>3195</v>
      </c>
      <c r="I925" s="1354">
        <v>229</v>
      </c>
    </row>
    <row r="926" spans="1:9" s="1354" customFormat="1" x14ac:dyDescent="0.2">
      <c r="A926" s="1354" t="s">
        <v>1785</v>
      </c>
      <c r="B926" s="1361">
        <f>'Part 3 DA summary'!$M32</f>
        <v>0</v>
      </c>
      <c r="C926" s="1356" t="s">
        <v>3204</v>
      </c>
      <c r="F926" s="1354" t="s">
        <v>4340</v>
      </c>
      <c r="G926" s="1354" t="s">
        <v>4360</v>
      </c>
      <c r="H926" s="1354" t="s">
        <v>3195</v>
      </c>
      <c r="I926" s="1354">
        <v>230</v>
      </c>
    </row>
    <row r="927" spans="1:9" s="1354" customFormat="1" x14ac:dyDescent="0.2">
      <c r="A927" s="1354" t="s">
        <v>1786</v>
      </c>
      <c r="B927" s="1361">
        <f>'Part 3 DA summary'!$M33</f>
        <v>0</v>
      </c>
      <c r="C927" s="1356" t="s">
        <v>3204</v>
      </c>
      <c r="F927" s="1354" t="s">
        <v>4340</v>
      </c>
      <c r="G927" s="1354" t="s">
        <v>4361</v>
      </c>
      <c r="H927" s="1354" t="s">
        <v>3195</v>
      </c>
      <c r="I927" s="1354">
        <v>231</v>
      </c>
    </row>
    <row r="928" spans="1:9" s="1354" customFormat="1" x14ac:dyDescent="0.2">
      <c r="A928" s="1354" t="s">
        <v>1787</v>
      </c>
      <c r="B928" s="1361">
        <f>'Part 3 DA summary'!$M34</f>
        <v>0</v>
      </c>
      <c r="C928" s="1356" t="s">
        <v>3204</v>
      </c>
      <c r="F928" s="1354" t="s">
        <v>4340</v>
      </c>
      <c r="G928" s="1354" t="s">
        <v>4362</v>
      </c>
      <c r="H928" s="1354" t="s">
        <v>3195</v>
      </c>
      <c r="I928" s="1354">
        <v>232</v>
      </c>
    </row>
    <row r="929" spans="1:9" s="1354" customFormat="1" x14ac:dyDescent="0.2">
      <c r="A929" s="1354" t="s">
        <v>1788</v>
      </c>
      <c r="B929" s="1361">
        <f>'Part 3 DA summary'!$M35</f>
        <v>0</v>
      </c>
      <c r="C929" s="1356" t="s">
        <v>3204</v>
      </c>
      <c r="F929" s="1354" t="s">
        <v>4340</v>
      </c>
      <c r="G929" s="1354" t="s">
        <v>4363</v>
      </c>
      <c r="H929" s="1354" t="s">
        <v>3195</v>
      </c>
      <c r="I929" s="1354">
        <v>233</v>
      </c>
    </row>
    <row r="930" spans="1:9" s="1354" customFormat="1" x14ac:dyDescent="0.2">
      <c r="A930" s="1354" t="s">
        <v>1789</v>
      </c>
      <c r="B930" s="1361">
        <f>'Part 3 DA summary'!$M36</f>
        <v>0</v>
      </c>
      <c r="C930" s="1356" t="s">
        <v>3204</v>
      </c>
      <c r="F930" s="1354" t="s">
        <v>4340</v>
      </c>
      <c r="G930" s="1354" t="s">
        <v>4364</v>
      </c>
      <c r="H930" s="1354" t="s">
        <v>3195</v>
      </c>
      <c r="I930" s="1354">
        <v>234</v>
      </c>
    </row>
    <row r="931" spans="1:9" s="1354" customFormat="1" x14ac:dyDescent="0.2">
      <c r="A931" s="1354" t="s">
        <v>1790</v>
      </c>
      <c r="B931" s="1361">
        <f>'Part 3 DA summary'!$M37</f>
        <v>0</v>
      </c>
      <c r="C931" s="1356" t="s">
        <v>3204</v>
      </c>
      <c r="F931" s="1354" t="s">
        <v>4340</v>
      </c>
      <c r="G931" s="1354" t="s">
        <v>4365</v>
      </c>
      <c r="H931" s="1354" t="s">
        <v>3195</v>
      </c>
      <c r="I931" s="1354">
        <v>235</v>
      </c>
    </row>
    <row r="932" spans="1:9" s="1354" customFormat="1" x14ac:dyDescent="0.2">
      <c r="A932" s="1354" t="s">
        <v>1791</v>
      </c>
      <c r="B932" s="1361">
        <f>'Part 3 DA summary'!$M38</f>
        <v>0</v>
      </c>
      <c r="C932" s="1356" t="s">
        <v>3204</v>
      </c>
      <c r="F932" s="1354" t="s">
        <v>4340</v>
      </c>
      <c r="G932" s="1354" t="s">
        <v>4366</v>
      </c>
      <c r="H932" s="1354" t="s">
        <v>3195</v>
      </c>
      <c r="I932" s="1354">
        <v>236</v>
      </c>
    </row>
    <row r="933" spans="1:9" s="1354" customFormat="1" x14ac:dyDescent="0.2">
      <c r="A933" s="1354" t="s">
        <v>1792</v>
      </c>
      <c r="B933" s="1361">
        <f>'Part 3 DA summary'!$M39</f>
        <v>0</v>
      </c>
      <c r="C933" s="1356" t="s">
        <v>3204</v>
      </c>
      <c r="F933" s="1354" t="s">
        <v>4340</v>
      </c>
      <c r="G933" s="1354" t="s">
        <v>4367</v>
      </c>
      <c r="H933" s="1354" t="s">
        <v>3195</v>
      </c>
      <c r="I933" s="1354">
        <v>237</v>
      </c>
    </row>
    <row r="934" spans="1:9" s="1354" customFormat="1" x14ac:dyDescent="0.2">
      <c r="A934" s="1354" t="s">
        <v>1793</v>
      </c>
      <c r="B934" s="1361">
        <f>'Part 3 DA summary'!$M40</f>
        <v>0</v>
      </c>
      <c r="C934" s="1356" t="s">
        <v>3204</v>
      </c>
      <c r="F934" s="1354" t="s">
        <v>4340</v>
      </c>
      <c r="G934" s="1354" t="s">
        <v>4368</v>
      </c>
      <c r="H934" s="1354" t="s">
        <v>3195</v>
      </c>
      <c r="I934" s="1354">
        <v>238</v>
      </c>
    </row>
    <row r="935" spans="1:9" s="1354" customFormat="1" x14ac:dyDescent="0.2">
      <c r="A935" s="1354" t="s">
        <v>1794</v>
      </c>
      <c r="B935" s="1361">
        <f>'Part 3 DA summary'!$M41</f>
        <v>0</v>
      </c>
      <c r="C935" s="1356" t="s">
        <v>3204</v>
      </c>
      <c r="F935" s="1354" t="s">
        <v>4340</v>
      </c>
      <c r="G935" s="1354" t="s">
        <v>4369</v>
      </c>
      <c r="H935" s="1354" t="s">
        <v>3195</v>
      </c>
      <c r="I935" s="1354">
        <v>239</v>
      </c>
    </row>
    <row r="936" spans="1:9" s="1354" customFormat="1" x14ac:dyDescent="0.2">
      <c r="A936" s="1354" t="s">
        <v>1795</v>
      </c>
      <c r="B936" s="1361">
        <f>'Part 3 DA summary'!$M42</f>
        <v>0</v>
      </c>
      <c r="C936" s="1356" t="s">
        <v>3204</v>
      </c>
      <c r="F936" s="1354" t="s">
        <v>4340</v>
      </c>
      <c r="G936" s="1354" t="s">
        <v>4370</v>
      </c>
      <c r="H936" s="1354" t="s">
        <v>3195</v>
      </c>
      <c r="I936" s="1354">
        <v>240</v>
      </c>
    </row>
    <row r="937" spans="1:9" s="1354" customFormat="1" x14ac:dyDescent="0.2">
      <c r="A937" s="1354" t="s">
        <v>1796</v>
      </c>
      <c r="B937" s="1361">
        <f>'Part 3 DA summary'!$M43</f>
        <v>0</v>
      </c>
      <c r="C937" s="1356" t="s">
        <v>3204</v>
      </c>
      <c r="F937" s="1354" t="s">
        <v>4340</v>
      </c>
      <c r="G937" s="1354" t="s">
        <v>4371</v>
      </c>
      <c r="H937" s="1354" t="s">
        <v>3195</v>
      </c>
      <c r="I937" s="1354">
        <v>241</v>
      </c>
    </row>
    <row r="938" spans="1:9" s="1354" customFormat="1" x14ac:dyDescent="0.2">
      <c r="A938" s="1354" t="s">
        <v>1797</v>
      </c>
      <c r="B938" s="1361">
        <f>'Part 3 DA summary'!$M44</f>
        <v>0</v>
      </c>
      <c r="C938" s="1356" t="s">
        <v>3204</v>
      </c>
      <c r="F938" s="1354" t="s">
        <v>4340</v>
      </c>
      <c r="G938" s="1354" t="s">
        <v>4372</v>
      </c>
      <c r="H938" s="1354" t="s">
        <v>3195</v>
      </c>
      <c r="I938" s="1354">
        <v>242</v>
      </c>
    </row>
    <row r="939" spans="1:9" s="1354" customFormat="1" x14ac:dyDescent="0.2">
      <c r="A939" s="1354" t="s">
        <v>1798</v>
      </c>
      <c r="B939" s="1361">
        <f>'Part 3 DA summary'!$M45</f>
        <v>0</v>
      </c>
      <c r="C939" s="1356" t="s">
        <v>3204</v>
      </c>
      <c r="F939" s="1354" t="s">
        <v>4340</v>
      </c>
      <c r="G939" s="1354" t="s">
        <v>4373</v>
      </c>
      <c r="H939" s="1354" t="s">
        <v>3195</v>
      </c>
      <c r="I939" s="1354">
        <v>243</v>
      </c>
    </row>
    <row r="940" spans="1:9" s="1354" customFormat="1" x14ac:dyDescent="0.2">
      <c r="A940" s="1354" t="s">
        <v>1799</v>
      </c>
      <c r="B940" s="1361">
        <f>'Part 3 DA summary'!$M46</f>
        <v>0</v>
      </c>
      <c r="C940" s="1356" t="s">
        <v>3204</v>
      </c>
      <c r="F940" s="1354" t="s">
        <v>4340</v>
      </c>
      <c r="G940" s="1354" t="s">
        <v>4374</v>
      </c>
      <c r="H940" s="1354" t="s">
        <v>3195</v>
      </c>
      <c r="I940" s="1354">
        <v>244</v>
      </c>
    </row>
    <row r="941" spans="1:9" s="1354" customFormat="1" ht="15" customHeight="1" x14ac:dyDescent="0.2">
      <c r="A941" s="1354" t="s">
        <v>1800</v>
      </c>
      <c r="B941" s="1361">
        <f>'Part 3 DA summary'!$M47</f>
        <v>0</v>
      </c>
      <c r="C941" s="1356" t="s">
        <v>3204</v>
      </c>
      <c r="F941" s="1354" t="s">
        <v>4340</v>
      </c>
      <c r="G941" s="1354" t="s">
        <v>4375</v>
      </c>
      <c r="H941" s="1354" t="s">
        <v>3195</v>
      </c>
      <c r="I941" s="1354">
        <v>245</v>
      </c>
    </row>
    <row r="942" spans="1:9" s="1354" customFormat="1" x14ac:dyDescent="0.2">
      <c r="A942" s="1354" t="s">
        <v>1801</v>
      </c>
      <c r="B942" s="1361">
        <f>'Part 3 DA summary'!$M48</f>
        <v>0</v>
      </c>
      <c r="C942" s="1356" t="s">
        <v>3204</v>
      </c>
      <c r="F942" s="1354" t="s">
        <v>4340</v>
      </c>
      <c r="G942" s="1354" t="s">
        <v>4376</v>
      </c>
      <c r="H942" s="1354" t="s">
        <v>3195</v>
      </c>
      <c r="I942" s="1354">
        <v>246</v>
      </c>
    </row>
    <row r="943" spans="1:9" s="1354" customFormat="1" x14ac:dyDescent="0.2">
      <c r="A943" s="1354" t="s">
        <v>1802</v>
      </c>
      <c r="B943" s="1361">
        <f>'Part 3 DA summary'!$M49</f>
        <v>0</v>
      </c>
      <c r="C943" s="1356" t="s">
        <v>3204</v>
      </c>
      <c r="F943" s="1354" t="s">
        <v>4340</v>
      </c>
      <c r="G943" s="1354" t="s">
        <v>4377</v>
      </c>
      <c r="H943" s="1354" t="s">
        <v>3195</v>
      </c>
      <c r="I943" s="1354">
        <v>247</v>
      </c>
    </row>
    <row r="944" spans="1:9" s="1354" customFormat="1" x14ac:dyDescent="0.2">
      <c r="A944" s="1354" t="s">
        <v>1803</v>
      </c>
      <c r="B944" s="1361">
        <f>'Part 3 DA summary'!$M50</f>
        <v>0</v>
      </c>
      <c r="C944" s="1356" t="s">
        <v>3204</v>
      </c>
      <c r="F944" s="1354" t="s">
        <v>4340</v>
      </c>
      <c r="G944" s="1354" t="s">
        <v>4378</v>
      </c>
      <c r="H944" s="1354" t="s">
        <v>3195</v>
      </c>
      <c r="I944" s="1354">
        <v>248</v>
      </c>
    </row>
    <row r="945" spans="1:9" s="1354" customFormat="1" x14ac:dyDescent="0.2">
      <c r="A945" s="1354" t="s">
        <v>1804</v>
      </c>
      <c r="B945" s="1361">
        <f>'Part 3 DA summary'!$M51</f>
        <v>0</v>
      </c>
      <c r="C945" s="1356" t="s">
        <v>3204</v>
      </c>
      <c r="F945" s="1354" t="s">
        <v>4340</v>
      </c>
      <c r="G945" s="1354" t="s">
        <v>4379</v>
      </c>
      <c r="H945" s="1354" t="s">
        <v>3195</v>
      </c>
      <c r="I945" s="1354">
        <v>249</v>
      </c>
    </row>
    <row r="946" spans="1:9" s="1354" customFormat="1" x14ac:dyDescent="0.2">
      <c r="A946" s="1354" t="s">
        <v>1805</v>
      </c>
      <c r="B946" s="1361">
        <f>'Part 3 DA summary'!$M52</f>
        <v>0</v>
      </c>
      <c r="C946" s="1356" t="s">
        <v>3204</v>
      </c>
      <c r="F946" s="1354" t="s">
        <v>4340</v>
      </c>
      <c r="G946" s="1354" t="s">
        <v>4380</v>
      </c>
      <c r="H946" s="1354" t="s">
        <v>3195</v>
      </c>
      <c r="I946" s="1354">
        <v>250</v>
      </c>
    </row>
    <row r="947" spans="1:9" s="1354" customFormat="1" x14ac:dyDescent="0.2">
      <c r="A947" s="1354" t="s">
        <v>1806</v>
      </c>
      <c r="B947" s="1361">
        <f>'Part 3 DA summary'!$M53</f>
        <v>0</v>
      </c>
      <c r="C947" s="1356" t="s">
        <v>3204</v>
      </c>
      <c r="F947" s="1354" t="s">
        <v>4340</v>
      </c>
      <c r="G947" s="1354" t="s">
        <v>4381</v>
      </c>
      <c r="H947" s="1354" t="s">
        <v>3195</v>
      </c>
      <c r="I947" s="1354">
        <v>251</v>
      </c>
    </row>
    <row r="948" spans="1:9" s="1354" customFormat="1" ht="14.25" customHeight="1" x14ac:dyDescent="0.25">
      <c r="A948" s="1362" t="s">
        <v>1807</v>
      </c>
      <c r="B948" s="1361">
        <f>'Part 3 DA summary'!$O6</f>
        <v>0</v>
      </c>
      <c r="C948" s="1359" t="s">
        <v>3204</v>
      </c>
      <c r="D948" s="1360"/>
      <c r="E948" s="1360"/>
      <c r="F948" s="1354" t="s">
        <v>4382</v>
      </c>
      <c r="G948" s="1354" t="s">
        <v>4383</v>
      </c>
      <c r="H948" s="1354" t="s">
        <v>3195</v>
      </c>
      <c r="I948" s="1354">
        <v>252</v>
      </c>
    </row>
    <row r="949" spans="1:9" s="1354" customFormat="1" x14ac:dyDescent="0.2">
      <c r="A949" s="1354" t="s">
        <v>1808</v>
      </c>
      <c r="B949" s="1361">
        <f>'Part 3 DA summary'!$O13</f>
        <v>0</v>
      </c>
      <c r="C949" s="1356" t="s">
        <v>3204</v>
      </c>
      <c r="F949" s="1354" t="s">
        <v>4384</v>
      </c>
      <c r="G949" s="1354" t="s">
        <v>4385</v>
      </c>
      <c r="H949" s="1354" t="s">
        <v>3195</v>
      </c>
      <c r="I949" s="1354">
        <v>253</v>
      </c>
    </row>
    <row r="950" spans="1:9" s="1354" customFormat="1" x14ac:dyDescent="0.2">
      <c r="A950" s="1354" t="s">
        <v>1809</v>
      </c>
      <c r="B950" s="1361">
        <f>'Part 3 DA summary'!$O14</f>
        <v>0</v>
      </c>
      <c r="C950" s="1356" t="s">
        <v>3204</v>
      </c>
      <c r="F950" s="1354" t="s">
        <v>4384</v>
      </c>
      <c r="G950" s="1354" t="s">
        <v>4386</v>
      </c>
      <c r="H950" s="1354" t="s">
        <v>3195</v>
      </c>
      <c r="I950" s="1354">
        <v>254</v>
      </c>
    </row>
    <row r="951" spans="1:9" s="1354" customFormat="1" x14ac:dyDescent="0.2">
      <c r="A951" s="1354" t="s">
        <v>1810</v>
      </c>
      <c r="B951" s="1361">
        <f>'Part 3 DA summary'!$O15</f>
        <v>0</v>
      </c>
      <c r="C951" s="1356" t="s">
        <v>3204</v>
      </c>
      <c r="F951" s="1354" t="s">
        <v>4384</v>
      </c>
      <c r="G951" s="1354" t="s">
        <v>4387</v>
      </c>
      <c r="H951" s="1354" t="s">
        <v>3195</v>
      </c>
      <c r="I951" s="1354">
        <v>255</v>
      </c>
    </row>
    <row r="952" spans="1:9" s="1354" customFormat="1" ht="14.25" customHeight="1" x14ac:dyDescent="0.2">
      <c r="A952" s="1354" t="s">
        <v>1811</v>
      </c>
      <c r="B952" s="1361">
        <f>'Part 3 DA summary'!$O16</f>
        <v>0</v>
      </c>
      <c r="C952" s="1356" t="s">
        <v>3204</v>
      </c>
      <c r="F952" s="1354" t="s">
        <v>4384</v>
      </c>
      <c r="G952" s="1354" t="s">
        <v>4388</v>
      </c>
      <c r="H952" s="1354" t="s">
        <v>3195</v>
      </c>
      <c r="I952" s="1354">
        <v>256</v>
      </c>
    </row>
    <row r="953" spans="1:9" s="1354" customFormat="1" ht="14.25" customHeight="1" x14ac:dyDescent="0.2">
      <c r="A953" s="1354" t="s">
        <v>1812</v>
      </c>
      <c r="B953" s="1361">
        <f>'Part 3 DA summary'!$O17</f>
        <v>0</v>
      </c>
      <c r="C953" s="1356" t="s">
        <v>3204</v>
      </c>
      <c r="F953" s="1354" t="s">
        <v>4384</v>
      </c>
      <c r="G953" s="1354" t="s">
        <v>4389</v>
      </c>
      <c r="H953" s="1354" t="s">
        <v>3195</v>
      </c>
      <c r="I953" s="1354">
        <v>257</v>
      </c>
    </row>
    <row r="954" spans="1:9" s="1354" customFormat="1" ht="14.25" customHeight="1" x14ac:dyDescent="0.2">
      <c r="A954" s="1354" t="s">
        <v>1813</v>
      </c>
      <c r="B954" s="1361">
        <f>'Part 3 DA summary'!$O18</f>
        <v>0</v>
      </c>
      <c r="C954" s="1356" t="s">
        <v>3204</v>
      </c>
      <c r="F954" s="1354" t="s">
        <v>4384</v>
      </c>
      <c r="G954" s="1354" t="s">
        <v>4390</v>
      </c>
      <c r="H954" s="1354" t="s">
        <v>3195</v>
      </c>
      <c r="I954" s="1354">
        <v>258</v>
      </c>
    </row>
    <row r="955" spans="1:9" s="1354" customFormat="1" x14ac:dyDescent="0.2">
      <c r="A955" s="1354" t="s">
        <v>1814</v>
      </c>
      <c r="B955" s="1361">
        <f>'Part 3 DA summary'!$O19</f>
        <v>0</v>
      </c>
      <c r="C955" s="1356" t="s">
        <v>3204</v>
      </c>
      <c r="F955" s="1354" t="s">
        <v>4384</v>
      </c>
      <c r="G955" s="1354" t="s">
        <v>4391</v>
      </c>
      <c r="H955" s="1354" t="s">
        <v>3195</v>
      </c>
      <c r="I955" s="1354">
        <v>259</v>
      </c>
    </row>
    <row r="956" spans="1:9" s="1354" customFormat="1" x14ac:dyDescent="0.2">
      <c r="A956" s="1354" t="s">
        <v>1815</v>
      </c>
      <c r="B956" s="1361">
        <f>'Part 3 DA summary'!$O20</f>
        <v>0</v>
      </c>
      <c r="C956" s="1356" t="s">
        <v>3204</v>
      </c>
      <c r="F956" s="1354" t="s">
        <v>4384</v>
      </c>
      <c r="G956" s="1354" t="s">
        <v>4392</v>
      </c>
      <c r="H956" s="1354" t="s">
        <v>3195</v>
      </c>
      <c r="I956" s="1354">
        <v>260</v>
      </c>
    </row>
    <row r="957" spans="1:9" s="1354" customFormat="1" x14ac:dyDescent="0.2">
      <c r="A957" s="1354" t="s">
        <v>1816</v>
      </c>
      <c r="B957" s="1361">
        <f>'Part 3 DA summary'!$O21</f>
        <v>0</v>
      </c>
      <c r="C957" s="1356" t="s">
        <v>3204</v>
      </c>
      <c r="F957" s="1354" t="s">
        <v>4384</v>
      </c>
      <c r="G957" s="1354" t="s">
        <v>4393</v>
      </c>
      <c r="H957" s="1354" t="s">
        <v>3195</v>
      </c>
      <c r="I957" s="1354">
        <v>261</v>
      </c>
    </row>
    <row r="958" spans="1:9" s="1354" customFormat="1" x14ac:dyDescent="0.2">
      <c r="A958" s="1354" t="s">
        <v>1817</v>
      </c>
      <c r="B958" s="1361">
        <f>'Part 3 DA summary'!$O22</f>
        <v>0</v>
      </c>
      <c r="C958" s="1356" t="s">
        <v>3204</v>
      </c>
      <c r="F958" s="1354" t="s">
        <v>4384</v>
      </c>
      <c r="G958" s="1354" t="s">
        <v>4394</v>
      </c>
      <c r="H958" s="1354" t="s">
        <v>3195</v>
      </c>
      <c r="I958" s="1354">
        <v>262</v>
      </c>
    </row>
    <row r="959" spans="1:9" s="1354" customFormat="1" x14ac:dyDescent="0.2">
      <c r="A959" s="1354" t="s">
        <v>1818</v>
      </c>
      <c r="B959" s="1361">
        <f>'Part 3 DA summary'!$O23</f>
        <v>0</v>
      </c>
      <c r="C959" s="1356" t="s">
        <v>3204</v>
      </c>
      <c r="F959" s="1354" t="s">
        <v>4384</v>
      </c>
      <c r="G959" s="1354" t="s">
        <v>4395</v>
      </c>
      <c r="H959" s="1354" t="s">
        <v>3195</v>
      </c>
      <c r="I959" s="1354">
        <v>263</v>
      </c>
    </row>
    <row r="960" spans="1:9" s="1354" customFormat="1" x14ac:dyDescent="0.2">
      <c r="A960" s="1354" t="s">
        <v>1819</v>
      </c>
      <c r="B960" s="1361">
        <f>'Part 3 DA summary'!$O24</f>
        <v>0</v>
      </c>
      <c r="C960" s="1356" t="s">
        <v>3204</v>
      </c>
      <c r="F960" s="1354" t="s">
        <v>4384</v>
      </c>
      <c r="G960" s="1354" t="s">
        <v>4396</v>
      </c>
      <c r="H960" s="1354" t="s">
        <v>3195</v>
      </c>
      <c r="I960" s="1354">
        <v>264</v>
      </c>
    </row>
    <row r="961" spans="1:9" s="1354" customFormat="1" x14ac:dyDescent="0.2">
      <c r="A961" s="1354" t="s">
        <v>1820</v>
      </c>
      <c r="B961" s="1361">
        <f>'Part 3 DA summary'!$O25</f>
        <v>0</v>
      </c>
      <c r="C961" s="1356" t="s">
        <v>3204</v>
      </c>
      <c r="F961" s="1354" t="s">
        <v>4384</v>
      </c>
      <c r="G961" s="1354" t="s">
        <v>4397</v>
      </c>
      <c r="H961" s="1354" t="s">
        <v>3195</v>
      </c>
      <c r="I961" s="1354">
        <v>265</v>
      </c>
    </row>
    <row r="962" spans="1:9" s="1354" customFormat="1" x14ac:dyDescent="0.2">
      <c r="A962" s="1354" t="s">
        <v>1821</v>
      </c>
      <c r="B962" s="1361">
        <f>'Part 3 DA summary'!$O26</f>
        <v>0</v>
      </c>
      <c r="C962" s="1356" t="s">
        <v>3204</v>
      </c>
      <c r="F962" s="1354" t="s">
        <v>4384</v>
      </c>
      <c r="G962" s="1354" t="s">
        <v>4398</v>
      </c>
      <c r="H962" s="1354" t="s">
        <v>3195</v>
      </c>
      <c r="I962" s="1354">
        <v>266</v>
      </c>
    </row>
    <row r="963" spans="1:9" s="1354" customFormat="1" x14ac:dyDescent="0.2">
      <c r="A963" s="1354" t="s">
        <v>1822</v>
      </c>
      <c r="B963" s="1361">
        <f>'Part 3 DA summary'!$O27</f>
        <v>0</v>
      </c>
      <c r="C963" s="1356" t="s">
        <v>3204</v>
      </c>
      <c r="F963" s="1354" t="s">
        <v>4384</v>
      </c>
      <c r="G963" s="1354" t="s">
        <v>4399</v>
      </c>
      <c r="H963" s="1354" t="s">
        <v>3195</v>
      </c>
      <c r="I963" s="1354">
        <v>267</v>
      </c>
    </row>
    <row r="964" spans="1:9" s="1354" customFormat="1" x14ac:dyDescent="0.2">
      <c r="A964" s="1354" t="s">
        <v>1823</v>
      </c>
      <c r="B964" s="1361">
        <f>'Part 3 DA summary'!$O28</f>
        <v>0</v>
      </c>
      <c r="C964" s="1356" t="s">
        <v>3204</v>
      </c>
      <c r="F964" s="1354" t="s">
        <v>4384</v>
      </c>
      <c r="G964" s="1354" t="s">
        <v>4400</v>
      </c>
      <c r="H964" s="1354" t="s">
        <v>3195</v>
      </c>
      <c r="I964" s="1354">
        <v>268</v>
      </c>
    </row>
    <row r="965" spans="1:9" s="1354" customFormat="1" x14ac:dyDescent="0.2">
      <c r="A965" s="1354" t="s">
        <v>1824</v>
      </c>
      <c r="B965" s="1361">
        <f>'Part 3 DA summary'!$O29</f>
        <v>0</v>
      </c>
      <c r="C965" s="1356" t="s">
        <v>3204</v>
      </c>
      <c r="F965" s="1354" t="s">
        <v>4384</v>
      </c>
      <c r="G965" s="1354" t="s">
        <v>4401</v>
      </c>
      <c r="H965" s="1354" t="s">
        <v>3195</v>
      </c>
      <c r="I965" s="1354">
        <v>269</v>
      </c>
    </row>
    <row r="966" spans="1:9" s="1354" customFormat="1" x14ac:dyDescent="0.2">
      <c r="A966" s="1354" t="s">
        <v>1825</v>
      </c>
      <c r="B966" s="1361">
        <f>'Part 3 DA summary'!$O30</f>
        <v>0</v>
      </c>
      <c r="C966" s="1356" t="s">
        <v>3204</v>
      </c>
      <c r="F966" s="1354" t="s">
        <v>4384</v>
      </c>
      <c r="G966" s="1354" t="s">
        <v>4402</v>
      </c>
      <c r="H966" s="1354" t="s">
        <v>3195</v>
      </c>
      <c r="I966" s="1354">
        <v>270</v>
      </c>
    </row>
    <row r="967" spans="1:9" s="1354" customFormat="1" x14ac:dyDescent="0.2">
      <c r="A967" s="1354" t="s">
        <v>1826</v>
      </c>
      <c r="B967" s="1361">
        <f>'Part 3 DA summary'!$O31</f>
        <v>0</v>
      </c>
      <c r="C967" s="1356" t="s">
        <v>3204</v>
      </c>
      <c r="F967" s="1354" t="s">
        <v>4384</v>
      </c>
      <c r="G967" s="1354" t="s">
        <v>4403</v>
      </c>
      <c r="H967" s="1354" t="s">
        <v>3195</v>
      </c>
      <c r="I967" s="1354">
        <v>271</v>
      </c>
    </row>
    <row r="968" spans="1:9" s="1354" customFormat="1" x14ac:dyDescent="0.2">
      <c r="A968" s="1354" t="s">
        <v>1827</v>
      </c>
      <c r="B968" s="1361">
        <f>'Part 3 DA summary'!$O32</f>
        <v>0</v>
      </c>
      <c r="C968" s="1356" t="s">
        <v>3204</v>
      </c>
      <c r="F968" s="1354" t="s">
        <v>4384</v>
      </c>
      <c r="G968" s="1354" t="s">
        <v>4404</v>
      </c>
      <c r="H968" s="1354" t="s">
        <v>3195</v>
      </c>
      <c r="I968" s="1354">
        <v>272</v>
      </c>
    </row>
    <row r="969" spans="1:9" s="1354" customFormat="1" x14ac:dyDescent="0.2">
      <c r="A969" s="1354" t="s">
        <v>1828</v>
      </c>
      <c r="B969" s="1361">
        <f>'Part 3 DA summary'!$O33</f>
        <v>0</v>
      </c>
      <c r="C969" s="1356" t="s">
        <v>3204</v>
      </c>
      <c r="F969" s="1354" t="s">
        <v>4384</v>
      </c>
      <c r="G969" s="1354" t="s">
        <v>4405</v>
      </c>
      <c r="H969" s="1354" t="s">
        <v>3195</v>
      </c>
      <c r="I969" s="1354">
        <v>273</v>
      </c>
    </row>
    <row r="970" spans="1:9" s="1354" customFormat="1" x14ac:dyDescent="0.2">
      <c r="A970" s="1354" t="s">
        <v>1829</v>
      </c>
      <c r="B970" s="1361">
        <f>'Part 3 DA summary'!$O34</f>
        <v>0</v>
      </c>
      <c r="C970" s="1356" t="s">
        <v>3204</v>
      </c>
      <c r="F970" s="1354" t="s">
        <v>4384</v>
      </c>
      <c r="G970" s="1354" t="s">
        <v>4406</v>
      </c>
      <c r="H970" s="1354" t="s">
        <v>3195</v>
      </c>
      <c r="I970" s="1354">
        <v>274</v>
      </c>
    </row>
    <row r="971" spans="1:9" s="1354" customFormat="1" x14ac:dyDescent="0.2">
      <c r="A971" s="1354" t="s">
        <v>1830</v>
      </c>
      <c r="B971" s="1361">
        <f>'Part 3 DA summary'!$O35</f>
        <v>0</v>
      </c>
      <c r="C971" s="1356" t="s">
        <v>3204</v>
      </c>
      <c r="F971" s="1354" t="s">
        <v>4384</v>
      </c>
      <c r="G971" s="1354" t="s">
        <v>4407</v>
      </c>
      <c r="H971" s="1354" t="s">
        <v>3195</v>
      </c>
      <c r="I971" s="1354">
        <v>275</v>
      </c>
    </row>
    <row r="972" spans="1:9" s="1354" customFormat="1" x14ac:dyDescent="0.2">
      <c r="A972" s="1354" t="s">
        <v>1831</v>
      </c>
      <c r="B972" s="1361">
        <f>'Part 3 DA summary'!$O36</f>
        <v>0</v>
      </c>
      <c r="C972" s="1356" t="s">
        <v>3204</v>
      </c>
      <c r="F972" s="1354" t="s">
        <v>4384</v>
      </c>
      <c r="G972" s="1354" t="s">
        <v>4408</v>
      </c>
      <c r="H972" s="1354" t="s">
        <v>3195</v>
      </c>
      <c r="I972" s="1354">
        <v>276</v>
      </c>
    </row>
    <row r="973" spans="1:9" s="1354" customFormat="1" x14ac:dyDescent="0.2">
      <c r="A973" s="1354" t="s">
        <v>1832</v>
      </c>
      <c r="B973" s="1361">
        <f>'Part 3 DA summary'!$O37</f>
        <v>0</v>
      </c>
      <c r="C973" s="1356" t="s">
        <v>3204</v>
      </c>
      <c r="F973" s="1354" t="s">
        <v>4384</v>
      </c>
      <c r="G973" s="1354" t="s">
        <v>4409</v>
      </c>
      <c r="H973" s="1354" t="s">
        <v>3195</v>
      </c>
      <c r="I973" s="1354">
        <v>277</v>
      </c>
    </row>
    <row r="974" spans="1:9" s="1354" customFormat="1" x14ac:dyDescent="0.2">
      <c r="A974" s="1354" t="s">
        <v>1833</v>
      </c>
      <c r="B974" s="1361">
        <f>'Part 3 DA summary'!$O38</f>
        <v>0</v>
      </c>
      <c r="C974" s="1356" t="s">
        <v>3204</v>
      </c>
      <c r="F974" s="1354" t="s">
        <v>4384</v>
      </c>
      <c r="G974" s="1354" t="s">
        <v>4410</v>
      </c>
      <c r="H974" s="1354" t="s">
        <v>3195</v>
      </c>
      <c r="I974" s="1354">
        <v>278</v>
      </c>
    </row>
    <row r="975" spans="1:9" s="1354" customFormat="1" x14ac:dyDescent="0.2">
      <c r="A975" s="1354" t="s">
        <v>1834</v>
      </c>
      <c r="B975" s="1361">
        <f>'Part 3 DA summary'!$O39</f>
        <v>0</v>
      </c>
      <c r="C975" s="1356" t="s">
        <v>3204</v>
      </c>
      <c r="F975" s="1354" t="s">
        <v>4384</v>
      </c>
      <c r="G975" s="1354" t="s">
        <v>4411</v>
      </c>
      <c r="H975" s="1354" t="s">
        <v>3195</v>
      </c>
      <c r="I975" s="1354">
        <v>279</v>
      </c>
    </row>
    <row r="976" spans="1:9" s="1354" customFormat="1" x14ac:dyDescent="0.2">
      <c r="A976" s="1354" t="s">
        <v>1835</v>
      </c>
      <c r="B976" s="1361">
        <f>'Part 3 DA summary'!$O40</f>
        <v>0</v>
      </c>
      <c r="C976" s="1356" t="s">
        <v>3204</v>
      </c>
      <c r="F976" s="1354" t="s">
        <v>4384</v>
      </c>
      <c r="G976" s="1354" t="s">
        <v>4412</v>
      </c>
      <c r="H976" s="1354" t="s">
        <v>3195</v>
      </c>
      <c r="I976" s="1354">
        <v>280</v>
      </c>
    </row>
    <row r="977" spans="1:9" s="1354" customFormat="1" x14ac:dyDescent="0.2">
      <c r="A977" s="1354" t="s">
        <v>1836</v>
      </c>
      <c r="B977" s="1361">
        <f>'Part 3 DA summary'!$O41</f>
        <v>0</v>
      </c>
      <c r="C977" s="1356" t="s">
        <v>3204</v>
      </c>
      <c r="F977" s="1354" t="s">
        <v>4384</v>
      </c>
      <c r="G977" s="1354" t="s">
        <v>4413</v>
      </c>
      <c r="H977" s="1354" t="s">
        <v>3195</v>
      </c>
      <c r="I977" s="1354">
        <v>281</v>
      </c>
    </row>
    <row r="978" spans="1:9" s="1354" customFormat="1" x14ac:dyDescent="0.2">
      <c r="A978" s="1354" t="s">
        <v>1837</v>
      </c>
      <c r="B978" s="1361">
        <f>'Part 3 DA summary'!$O42</f>
        <v>0</v>
      </c>
      <c r="C978" s="1356" t="s">
        <v>3204</v>
      </c>
      <c r="F978" s="1354" t="s">
        <v>4384</v>
      </c>
      <c r="G978" s="1354" t="s">
        <v>4414</v>
      </c>
      <c r="H978" s="1354" t="s">
        <v>3195</v>
      </c>
      <c r="I978" s="1354">
        <v>282</v>
      </c>
    </row>
    <row r="979" spans="1:9" s="1354" customFormat="1" x14ac:dyDescent="0.2">
      <c r="A979" s="1354" t="s">
        <v>1838</v>
      </c>
      <c r="B979" s="1361">
        <f>'Part 3 DA summary'!$O43</f>
        <v>0</v>
      </c>
      <c r="C979" s="1356" t="s">
        <v>3204</v>
      </c>
      <c r="F979" s="1354" t="s">
        <v>4384</v>
      </c>
      <c r="G979" s="1354" t="s">
        <v>4415</v>
      </c>
      <c r="H979" s="1354" t="s">
        <v>3195</v>
      </c>
      <c r="I979" s="1354">
        <v>283</v>
      </c>
    </row>
    <row r="980" spans="1:9" s="1354" customFormat="1" x14ac:dyDescent="0.2">
      <c r="A980" s="1354" t="s">
        <v>1839</v>
      </c>
      <c r="B980" s="1361">
        <f>'Part 3 DA summary'!$O44</f>
        <v>0</v>
      </c>
      <c r="C980" s="1356" t="s">
        <v>3204</v>
      </c>
      <c r="F980" s="1354" t="s">
        <v>4384</v>
      </c>
      <c r="G980" s="1354" t="s">
        <v>4416</v>
      </c>
      <c r="H980" s="1354" t="s">
        <v>3195</v>
      </c>
      <c r="I980" s="1354">
        <v>284</v>
      </c>
    </row>
    <row r="981" spans="1:9" s="1354" customFormat="1" x14ac:dyDescent="0.2">
      <c r="A981" s="1354" t="s">
        <v>1840</v>
      </c>
      <c r="B981" s="1361">
        <f>'Part 3 DA summary'!$O45</f>
        <v>0</v>
      </c>
      <c r="C981" s="1356" t="s">
        <v>3204</v>
      </c>
      <c r="F981" s="1354" t="s">
        <v>4384</v>
      </c>
      <c r="G981" s="1354" t="s">
        <v>4417</v>
      </c>
      <c r="H981" s="1354" t="s">
        <v>3195</v>
      </c>
      <c r="I981" s="1354">
        <v>285</v>
      </c>
    </row>
    <row r="982" spans="1:9" s="1354" customFormat="1" x14ac:dyDescent="0.2">
      <c r="A982" s="1354" t="s">
        <v>1841</v>
      </c>
      <c r="B982" s="1361">
        <f>'Part 3 DA summary'!$O46</f>
        <v>0</v>
      </c>
      <c r="C982" s="1356" t="s">
        <v>3204</v>
      </c>
      <c r="F982" s="1354" t="s">
        <v>4384</v>
      </c>
      <c r="G982" s="1354" t="s">
        <v>4418</v>
      </c>
      <c r="H982" s="1354" t="s">
        <v>3195</v>
      </c>
      <c r="I982" s="1354">
        <v>286</v>
      </c>
    </row>
    <row r="983" spans="1:9" s="1354" customFormat="1" ht="15" customHeight="1" x14ac:dyDescent="0.2">
      <c r="A983" s="1354" t="s">
        <v>1842</v>
      </c>
      <c r="B983" s="1361">
        <f>'Part 3 DA summary'!$O47</f>
        <v>0</v>
      </c>
      <c r="C983" s="1356" t="s">
        <v>3204</v>
      </c>
      <c r="F983" s="1354" t="s">
        <v>4384</v>
      </c>
      <c r="G983" s="1354" t="s">
        <v>4419</v>
      </c>
      <c r="H983" s="1354" t="s">
        <v>3195</v>
      </c>
      <c r="I983" s="1354">
        <v>287</v>
      </c>
    </row>
    <row r="984" spans="1:9" s="1354" customFormat="1" x14ac:dyDescent="0.2">
      <c r="A984" s="1354" t="s">
        <v>1843</v>
      </c>
      <c r="B984" s="1361">
        <f>'Part 3 DA summary'!$O48</f>
        <v>0</v>
      </c>
      <c r="C984" s="1356" t="s">
        <v>3204</v>
      </c>
      <c r="F984" s="1354" t="s">
        <v>4384</v>
      </c>
      <c r="G984" s="1354" t="s">
        <v>4420</v>
      </c>
      <c r="H984" s="1354" t="s">
        <v>3195</v>
      </c>
      <c r="I984" s="1354">
        <v>288</v>
      </c>
    </row>
    <row r="985" spans="1:9" s="1354" customFormat="1" x14ac:dyDescent="0.2">
      <c r="A985" s="1354" t="s">
        <v>1844</v>
      </c>
      <c r="B985" s="1361">
        <f>'Part 3 DA summary'!$O49</f>
        <v>0</v>
      </c>
      <c r="C985" s="1356" t="s">
        <v>3204</v>
      </c>
      <c r="F985" s="1354" t="s">
        <v>4384</v>
      </c>
      <c r="G985" s="1354" t="s">
        <v>4421</v>
      </c>
      <c r="H985" s="1354" t="s">
        <v>3195</v>
      </c>
      <c r="I985" s="1354">
        <v>289</v>
      </c>
    </row>
    <row r="986" spans="1:9" s="1354" customFormat="1" x14ac:dyDescent="0.2">
      <c r="A986" s="1354" t="s">
        <v>1845</v>
      </c>
      <c r="B986" s="1361">
        <f>'Part 3 DA summary'!$O50</f>
        <v>0</v>
      </c>
      <c r="C986" s="1356" t="s">
        <v>3204</v>
      </c>
      <c r="F986" s="1354" t="s">
        <v>4384</v>
      </c>
      <c r="G986" s="1354" t="s">
        <v>4422</v>
      </c>
      <c r="H986" s="1354" t="s">
        <v>3195</v>
      </c>
      <c r="I986" s="1354">
        <v>290</v>
      </c>
    </row>
    <row r="987" spans="1:9" s="1354" customFormat="1" x14ac:dyDescent="0.2">
      <c r="A987" s="1354" t="s">
        <v>1846</v>
      </c>
      <c r="B987" s="1361">
        <f>'Part 3 DA summary'!$O51</f>
        <v>0</v>
      </c>
      <c r="C987" s="1356" t="s">
        <v>3204</v>
      </c>
      <c r="F987" s="1354" t="s">
        <v>4384</v>
      </c>
      <c r="G987" s="1354" t="s">
        <v>4423</v>
      </c>
      <c r="H987" s="1354" t="s">
        <v>3195</v>
      </c>
      <c r="I987" s="1354">
        <v>291</v>
      </c>
    </row>
    <row r="988" spans="1:9" s="1354" customFormat="1" x14ac:dyDescent="0.2">
      <c r="A988" s="1354" t="s">
        <v>1847</v>
      </c>
      <c r="B988" s="1361">
        <f>'Part 3 DA summary'!$O52</f>
        <v>0</v>
      </c>
      <c r="C988" s="1356" t="s">
        <v>3204</v>
      </c>
      <c r="F988" s="1354" t="s">
        <v>4384</v>
      </c>
      <c r="G988" s="1354" t="s">
        <v>4424</v>
      </c>
      <c r="H988" s="1354" t="s">
        <v>3195</v>
      </c>
      <c r="I988" s="1354">
        <v>292</v>
      </c>
    </row>
    <row r="989" spans="1:9" s="1354" customFormat="1" x14ac:dyDescent="0.2">
      <c r="A989" s="1354" t="s">
        <v>1848</v>
      </c>
      <c r="B989" s="1361">
        <f>'Part 3 DA summary'!$O53</f>
        <v>0</v>
      </c>
      <c r="C989" s="1356" t="s">
        <v>3204</v>
      </c>
      <c r="F989" s="1354" t="s">
        <v>4384</v>
      </c>
      <c r="G989" s="1354" t="s">
        <v>4425</v>
      </c>
      <c r="H989" s="1354" t="s">
        <v>3195</v>
      </c>
      <c r="I989" s="1354">
        <v>293</v>
      </c>
    </row>
    <row r="990" spans="1:9" s="1354" customFormat="1" ht="14.25" customHeight="1" x14ac:dyDescent="0.25">
      <c r="A990" s="1362" t="s">
        <v>1849</v>
      </c>
      <c r="B990" s="1361">
        <f>'Part 3 DA summary'!$Q6</f>
        <v>0</v>
      </c>
      <c r="C990" s="1359" t="s">
        <v>3204</v>
      </c>
      <c r="D990" s="1360"/>
      <c r="E990" s="1360"/>
      <c r="F990" s="1354" t="s">
        <v>4426</v>
      </c>
      <c r="G990" s="1354" t="s">
        <v>4427</v>
      </c>
      <c r="H990" s="1354" t="s">
        <v>3195</v>
      </c>
      <c r="I990" s="1354">
        <v>294</v>
      </c>
    </row>
    <row r="991" spans="1:9" s="1354" customFormat="1" x14ac:dyDescent="0.2">
      <c r="A991" s="1354" t="s">
        <v>1850</v>
      </c>
      <c r="B991" s="1361">
        <f>'Part 3 DA summary'!$Q13</f>
        <v>0</v>
      </c>
      <c r="C991" s="1356" t="s">
        <v>3204</v>
      </c>
      <c r="F991" s="1354" t="s">
        <v>4428</v>
      </c>
      <c r="G991" s="1354" t="s">
        <v>4429</v>
      </c>
      <c r="H991" s="1354" t="s">
        <v>3195</v>
      </c>
      <c r="I991" s="1354">
        <v>295</v>
      </c>
    </row>
    <row r="992" spans="1:9" s="1354" customFormat="1" x14ac:dyDescent="0.2">
      <c r="A992" s="1354" t="s">
        <v>1851</v>
      </c>
      <c r="B992" s="1361">
        <f>'Part 3 DA summary'!$Q14</f>
        <v>0</v>
      </c>
      <c r="C992" s="1356" t="s">
        <v>3204</v>
      </c>
      <c r="F992" s="1354" t="s">
        <v>4428</v>
      </c>
      <c r="G992" s="1354" t="s">
        <v>4430</v>
      </c>
      <c r="H992" s="1354" t="s">
        <v>3195</v>
      </c>
      <c r="I992" s="1354">
        <v>296</v>
      </c>
    </row>
    <row r="993" spans="1:9" s="1354" customFormat="1" x14ac:dyDescent="0.2">
      <c r="A993" s="1354" t="s">
        <v>1852</v>
      </c>
      <c r="B993" s="1361">
        <f>'Part 3 DA summary'!$Q15</f>
        <v>0</v>
      </c>
      <c r="C993" s="1356" t="s">
        <v>3204</v>
      </c>
      <c r="F993" s="1354" t="s">
        <v>4428</v>
      </c>
      <c r="G993" s="1354" t="s">
        <v>4431</v>
      </c>
      <c r="H993" s="1354" t="s">
        <v>3195</v>
      </c>
      <c r="I993" s="1354">
        <v>297</v>
      </c>
    </row>
    <row r="994" spans="1:9" s="1354" customFormat="1" ht="14.25" customHeight="1" x14ac:dyDescent="0.2">
      <c r="A994" s="1354" t="s">
        <v>1853</v>
      </c>
      <c r="B994" s="1361">
        <f>'Part 3 DA summary'!$Q16</f>
        <v>0</v>
      </c>
      <c r="C994" s="1356" t="s">
        <v>3204</v>
      </c>
      <c r="F994" s="1354" t="s">
        <v>4428</v>
      </c>
      <c r="G994" s="1354" t="s">
        <v>4432</v>
      </c>
      <c r="H994" s="1354" t="s">
        <v>3195</v>
      </c>
      <c r="I994" s="1354">
        <v>298</v>
      </c>
    </row>
    <row r="995" spans="1:9" s="1354" customFormat="1" ht="14.25" customHeight="1" x14ac:dyDescent="0.2">
      <c r="A995" s="1354" t="s">
        <v>1854</v>
      </c>
      <c r="B995" s="1361">
        <f>'Part 3 DA summary'!$Q17</f>
        <v>0</v>
      </c>
      <c r="C995" s="1356" t="s">
        <v>3204</v>
      </c>
      <c r="F995" s="1354" t="s">
        <v>4428</v>
      </c>
      <c r="G995" s="1354" t="s">
        <v>4433</v>
      </c>
      <c r="H995" s="1354" t="s">
        <v>3195</v>
      </c>
      <c r="I995" s="1354">
        <v>299</v>
      </c>
    </row>
    <row r="996" spans="1:9" s="1354" customFormat="1" ht="14.25" customHeight="1" x14ac:dyDescent="0.2">
      <c r="A996" s="1354" t="s">
        <v>1855</v>
      </c>
      <c r="B996" s="1361">
        <f>'Part 3 DA summary'!$Q18</f>
        <v>0</v>
      </c>
      <c r="C996" s="1356" t="s">
        <v>3204</v>
      </c>
      <c r="F996" s="1354" t="s">
        <v>4428</v>
      </c>
      <c r="G996" s="1354" t="s">
        <v>4434</v>
      </c>
      <c r="H996" s="1354" t="s">
        <v>3195</v>
      </c>
      <c r="I996" s="1354">
        <v>300</v>
      </c>
    </row>
    <row r="997" spans="1:9" s="1354" customFormat="1" x14ac:dyDescent="0.2">
      <c r="A997" s="1354" t="s">
        <v>1856</v>
      </c>
      <c r="B997" s="1361">
        <f>'Part 3 DA summary'!$Q19</f>
        <v>0</v>
      </c>
      <c r="C997" s="1356" t="s">
        <v>3204</v>
      </c>
      <c r="F997" s="1354" t="s">
        <v>4428</v>
      </c>
      <c r="G997" s="1354" t="s">
        <v>4435</v>
      </c>
      <c r="H997" s="1354" t="s">
        <v>3195</v>
      </c>
      <c r="I997" s="1354">
        <v>301</v>
      </c>
    </row>
    <row r="998" spans="1:9" s="1354" customFormat="1" x14ac:dyDescent="0.2">
      <c r="A998" s="1354" t="s">
        <v>1857</v>
      </c>
      <c r="B998" s="1361">
        <f>'Part 3 DA summary'!$Q20</f>
        <v>0</v>
      </c>
      <c r="C998" s="1356" t="s">
        <v>3204</v>
      </c>
      <c r="F998" s="1354" t="s">
        <v>4428</v>
      </c>
      <c r="G998" s="1354" t="s">
        <v>4436</v>
      </c>
      <c r="H998" s="1354" t="s">
        <v>3195</v>
      </c>
      <c r="I998" s="1354">
        <v>302</v>
      </c>
    </row>
    <row r="999" spans="1:9" s="1354" customFormat="1" x14ac:dyDescent="0.2">
      <c r="A999" s="1354" t="s">
        <v>1858</v>
      </c>
      <c r="B999" s="1361">
        <f>'Part 3 DA summary'!$Q21</f>
        <v>0</v>
      </c>
      <c r="C999" s="1356" t="s">
        <v>3204</v>
      </c>
      <c r="F999" s="1354" t="s">
        <v>4428</v>
      </c>
      <c r="G999" s="1354" t="s">
        <v>4437</v>
      </c>
      <c r="H999" s="1354" t="s">
        <v>3195</v>
      </c>
      <c r="I999" s="1354">
        <v>303</v>
      </c>
    </row>
    <row r="1000" spans="1:9" s="1354" customFormat="1" x14ac:dyDescent="0.2">
      <c r="A1000" s="1354" t="s">
        <v>1859</v>
      </c>
      <c r="B1000" s="1361">
        <f>'Part 3 DA summary'!$Q22</f>
        <v>0</v>
      </c>
      <c r="C1000" s="1356" t="s">
        <v>3204</v>
      </c>
      <c r="F1000" s="1354" t="s">
        <v>4428</v>
      </c>
      <c r="G1000" s="1354" t="s">
        <v>4438</v>
      </c>
      <c r="H1000" s="1354" t="s">
        <v>3195</v>
      </c>
      <c r="I1000" s="1354">
        <v>304</v>
      </c>
    </row>
    <row r="1001" spans="1:9" s="1354" customFormat="1" x14ac:dyDescent="0.2">
      <c r="A1001" s="1354" t="s">
        <v>1860</v>
      </c>
      <c r="B1001" s="1361">
        <f>'Part 3 DA summary'!$Q23</f>
        <v>0</v>
      </c>
      <c r="C1001" s="1356" t="s">
        <v>3204</v>
      </c>
      <c r="F1001" s="1354" t="s">
        <v>4428</v>
      </c>
      <c r="G1001" s="1354" t="s">
        <v>4439</v>
      </c>
      <c r="H1001" s="1354" t="s">
        <v>3195</v>
      </c>
      <c r="I1001" s="1354">
        <v>305</v>
      </c>
    </row>
    <row r="1002" spans="1:9" s="1354" customFormat="1" x14ac:dyDescent="0.2">
      <c r="A1002" s="1354" t="s">
        <v>1861</v>
      </c>
      <c r="B1002" s="1361">
        <f>'Part 3 DA summary'!$Q24</f>
        <v>0</v>
      </c>
      <c r="C1002" s="1356" t="s">
        <v>3204</v>
      </c>
      <c r="F1002" s="1354" t="s">
        <v>4428</v>
      </c>
      <c r="G1002" s="1354" t="s">
        <v>4440</v>
      </c>
      <c r="H1002" s="1354" t="s">
        <v>3195</v>
      </c>
      <c r="I1002" s="1354">
        <v>306</v>
      </c>
    </row>
    <row r="1003" spans="1:9" s="1354" customFormat="1" x14ac:dyDescent="0.2">
      <c r="A1003" s="1354" t="s">
        <v>1862</v>
      </c>
      <c r="B1003" s="1361">
        <f>'Part 3 DA summary'!$Q25</f>
        <v>0</v>
      </c>
      <c r="C1003" s="1356" t="s">
        <v>3204</v>
      </c>
      <c r="F1003" s="1354" t="s">
        <v>4428</v>
      </c>
      <c r="G1003" s="1354" t="s">
        <v>4441</v>
      </c>
      <c r="H1003" s="1354" t="s">
        <v>3195</v>
      </c>
      <c r="I1003" s="1354">
        <v>307</v>
      </c>
    </row>
    <row r="1004" spans="1:9" s="1354" customFormat="1" x14ac:dyDescent="0.2">
      <c r="A1004" s="1354" t="s">
        <v>1863</v>
      </c>
      <c r="B1004" s="1361">
        <f>'Part 3 DA summary'!$Q26</f>
        <v>0</v>
      </c>
      <c r="C1004" s="1356" t="s">
        <v>3204</v>
      </c>
      <c r="F1004" s="1354" t="s">
        <v>4428</v>
      </c>
      <c r="G1004" s="1354" t="s">
        <v>4442</v>
      </c>
      <c r="H1004" s="1354" t="s">
        <v>3195</v>
      </c>
      <c r="I1004" s="1354">
        <v>308</v>
      </c>
    </row>
    <row r="1005" spans="1:9" s="1354" customFormat="1" x14ac:dyDescent="0.2">
      <c r="A1005" s="1354" t="s">
        <v>1864</v>
      </c>
      <c r="B1005" s="1361">
        <f>'Part 3 DA summary'!$Q27</f>
        <v>0</v>
      </c>
      <c r="C1005" s="1356" t="s">
        <v>3204</v>
      </c>
      <c r="F1005" s="1354" t="s">
        <v>4428</v>
      </c>
      <c r="G1005" s="1354" t="s">
        <v>4443</v>
      </c>
      <c r="H1005" s="1354" t="s">
        <v>3195</v>
      </c>
      <c r="I1005" s="1354">
        <v>309</v>
      </c>
    </row>
    <row r="1006" spans="1:9" s="1354" customFormat="1" x14ac:dyDescent="0.2">
      <c r="A1006" s="1354" t="s">
        <v>1865</v>
      </c>
      <c r="B1006" s="1361">
        <f>'Part 3 DA summary'!$Q28</f>
        <v>0</v>
      </c>
      <c r="C1006" s="1356" t="s">
        <v>3204</v>
      </c>
      <c r="F1006" s="1354" t="s">
        <v>4428</v>
      </c>
      <c r="G1006" s="1354" t="s">
        <v>4444</v>
      </c>
      <c r="H1006" s="1354" t="s">
        <v>3195</v>
      </c>
      <c r="I1006" s="1354">
        <v>310</v>
      </c>
    </row>
    <row r="1007" spans="1:9" s="1354" customFormat="1" x14ac:dyDescent="0.2">
      <c r="A1007" s="1354" t="s">
        <v>1866</v>
      </c>
      <c r="B1007" s="1361">
        <f>'Part 3 DA summary'!$Q29</f>
        <v>0</v>
      </c>
      <c r="C1007" s="1356" t="s">
        <v>3204</v>
      </c>
      <c r="F1007" s="1354" t="s">
        <v>4428</v>
      </c>
      <c r="G1007" s="1354" t="s">
        <v>4445</v>
      </c>
      <c r="H1007" s="1354" t="s">
        <v>3195</v>
      </c>
      <c r="I1007" s="1354">
        <v>311</v>
      </c>
    </row>
    <row r="1008" spans="1:9" s="1354" customFormat="1" x14ac:dyDescent="0.2">
      <c r="A1008" s="1354" t="s">
        <v>1867</v>
      </c>
      <c r="B1008" s="1361">
        <f>'Part 3 DA summary'!$Q30</f>
        <v>0</v>
      </c>
      <c r="C1008" s="1356" t="s">
        <v>3204</v>
      </c>
      <c r="F1008" s="1354" t="s">
        <v>4428</v>
      </c>
      <c r="G1008" s="1354" t="s">
        <v>4446</v>
      </c>
      <c r="H1008" s="1354" t="s">
        <v>3195</v>
      </c>
      <c r="I1008" s="1354">
        <v>312</v>
      </c>
    </row>
    <row r="1009" spans="1:9" s="1354" customFormat="1" x14ac:dyDescent="0.2">
      <c r="A1009" s="1354" t="s">
        <v>1868</v>
      </c>
      <c r="B1009" s="1361">
        <f>'Part 3 DA summary'!$Q31</f>
        <v>0</v>
      </c>
      <c r="C1009" s="1356" t="s">
        <v>3204</v>
      </c>
      <c r="F1009" s="1354" t="s">
        <v>4428</v>
      </c>
      <c r="G1009" s="1354" t="s">
        <v>4447</v>
      </c>
      <c r="H1009" s="1354" t="s">
        <v>3195</v>
      </c>
      <c r="I1009" s="1354">
        <v>313</v>
      </c>
    </row>
    <row r="1010" spans="1:9" s="1354" customFormat="1" x14ac:dyDescent="0.2">
      <c r="A1010" s="1354" t="s">
        <v>1869</v>
      </c>
      <c r="B1010" s="1361">
        <f>'Part 3 DA summary'!$Q32</f>
        <v>0</v>
      </c>
      <c r="C1010" s="1356" t="s">
        <v>3204</v>
      </c>
      <c r="F1010" s="1354" t="s">
        <v>4428</v>
      </c>
      <c r="G1010" s="1354" t="s">
        <v>4448</v>
      </c>
      <c r="H1010" s="1354" t="s">
        <v>3195</v>
      </c>
      <c r="I1010" s="1354">
        <v>314</v>
      </c>
    </row>
    <row r="1011" spans="1:9" s="1354" customFormat="1" x14ac:dyDescent="0.2">
      <c r="A1011" s="1354" t="s">
        <v>1870</v>
      </c>
      <c r="B1011" s="1361">
        <f>'Part 3 DA summary'!$Q33</f>
        <v>0</v>
      </c>
      <c r="C1011" s="1356" t="s">
        <v>3204</v>
      </c>
      <c r="F1011" s="1354" t="s">
        <v>4428</v>
      </c>
      <c r="G1011" s="1354" t="s">
        <v>4449</v>
      </c>
      <c r="H1011" s="1354" t="s">
        <v>3195</v>
      </c>
      <c r="I1011" s="1354">
        <v>315</v>
      </c>
    </row>
    <row r="1012" spans="1:9" s="1354" customFormat="1" x14ac:dyDescent="0.2">
      <c r="A1012" s="1354" t="s">
        <v>1871</v>
      </c>
      <c r="B1012" s="1361">
        <f>'Part 3 DA summary'!$Q34</f>
        <v>0</v>
      </c>
      <c r="C1012" s="1356" t="s">
        <v>3204</v>
      </c>
      <c r="F1012" s="1354" t="s">
        <v>4428</v>
      </c>
      <c r="G1012" s="1354" t="s">
        <v>4450</v>
      </c>
      <c r="H1012" s="1354" t="s">
        <v>3195</v>
      </c>
      <c r="I1012" s="1354">
        <v>316</v>
      </c>
    </row>
    <row r="1013" spans="1:9" s="1354" customFormat="1" x14ac:dyDescent="0.2">
      <c r="A1013" s="1354" t="s">
        <v>1872</v>
      </c>
      <c r="B1013" s="1361">
        <f>'Part 3 DA summary'!$Q35</f>
        <v>0</v>
      </c>
      <c r="C1013" s="1356" t="s">
        <v>3204</v>
      </c>
      <c r="F1013" s="1354" t="s">
        <v>4428</v>
      </c>
      <c r="G1013" s="1354" t="s">
        <v>4451</v>
      </c>
      <c r="H1013" s="1354" t="s">
        <v>3195</v>
      </c>
      <c r="I1013" s="1354">
        <v>317</v>
      </c>
    </row>
    <row r="1014" spans="1:9" s="1354" customFormat="1" x14ac:dyDescent="0.2">
      <c r="A1014" s="1354" t="s">
        <v>1873</v>
      </c>
      <c r="B1014" s="1361">
        <f>'Part 3 DA summary'!$Q36</f>
        <v>0</v>
      </c>
      <c r="C1014" s="1356" t="s">
        <v>3204</v>
      </c>
      <c r="F1014" s="1354" t="s">
        <v>4428</v>
      </c>
      <c r="G1014" s="1354" t="s">
        <v>4452</v>
      </c>
      <c r="H1014" s="1354" t="s">
        <v>3195</v>
      </c>
      <c r="I1014" s="1354">
        <v>318</v>
      </c>
    </row>
    <row r="1015" spans="1:9" s="1354" customFormat="1" x14ac:dyDescent="0.2">
      <c r="A1015" s="1354" t="s">
        <v>1874</v>
      </c>
      <c r="B1015" s="1361">
        <f>'Part 3 DA summary'!$Q37</f>
        <v>0</v>
      </c>
      <c r="C1015" s="1356" t="s">
        <v>3204</v>
      </c>
      <c r="F1015" s="1354" t="s">
        <v>4428</v>
      </c>
      <c r="G1015" s="1354" t="s">
        <v>4453</v>
      </c>
      <c r="H1015" s="1354" t="s">
        <v>3195</v>
      </c>
      <c r="I1015" s="1354">
        <v>319</v>
      </c>
    </row>
    <row r="1016" spans="1:9" s="1354" customFormat="1" x14ac:dyDescent="0.2">
      <c r="A1016" s="1354" t="s">
        <v>1875</v>
      </c>
      <c r="B1016" s="1361">
        <f>'Part 3 DA summary'!$Q38</f>
        <v>0</v>
      </c>
      <c r="C1016" s="1356" t="s">
        <v>3204</v>
      </c>
      <c r="F1016" s="1354" t="s">
        <v>4428</v>
      </c>
      <c r="G1016" s="1354" t="s">
        <v>4454</v>
      </c>
      <c r="H1016" s="1354" t="s">
        <v>3195</v>
      </c>
      <c r="I1016" s="1354">
        <v>320</v>
      </c>
    </row>
    <row r="1017" spans="1:9" s="1354" customFormat="1" x14ac:dyDescent="0.2">
      <c r="A1017" s="1354" t="s">
        <v>1876</v>
      </c>
      <c r="B1017" s="1361">
        <f>'Part 3 DA summary'!$Q39</f>
        <v>0</v>
      </c>
      <c r="C1017" s="1356" t="s">
        <v>3204</v>
      </c>
      <c r="F1017" s="1354" t="s">
        <v>4428</v>
      </c>
      <c r="G1017" s="1354" t="s">
        <v>4455</v>
      </c>
      <c r="H1017" s="1354" t="s">
        <v>3195</v>
      </c>
      <c r="I1017" s="1354">
        <v>321</v>
      </c>
    </row>
    <row r="1018" spans="1:9" s="1354" customFormat="1" x14ac:dyDescent="0.2">
      <c r="A1018" s="1354" t="s">
        <v>1877</v>
      </c>
      <c r="B1018" s="1361">
        <f>'Part 3 DA summary'!$Q40</f>
        <v>0</v>
      </c>
      <c r="C1018" s="1356" t="s">
        <v>3204</v>
      </c>
      <c r="F1018" s="1354" t="s">
        <v>4428</v>
      </c>
      <c r="G1018" s="1354" t="s">
        <v>4456</v>
      </c>
      <c r="H1018" s="1354" t="s">
        <v>3195</v>
      </c>
      <c r="I1018" s="1354">
        <v>322</v>
      </c>
    </row>
    <row r="1019" spans="1:9" s="1354" customFormat="1" x14ac:dyDescent="0.2">
      <c r="A1019" s="1354" t="s">
        <v>1878</v>
      </c>
      <c r="B1019" s="1361">
        <f>'Part 3 DA summary'!$Q41</f>
        <v>0</v>
      </c>
      <c r="C1019" s="1356" t="s">
        <v>3204</v>
      </c>
      <c r="F1019" s="1354" t="s">
        <v>4428</v>
      </c>
      <c r="G1019" s="1354" t="s">
        <v>4457</v>
      </c>
      <c r="H1019" s="1354" t="s">
        <v>3195</v>
      </c>
      <c r="I1019" s="1354">
        <v>323</v>
      </c>
    </row>
    <row r="1020" spans="1:9" s="1354" customFormat="1" x14ac:dyDescent="0.2">
      <c r="A1020" s="1354" t="s">
        <v>1879</v>
      </c>
      <c r="B1020" s="1361">
        <f>'Part 3 DA summary'!$Q42</f>
        <v>0</v>
      </c>
      <c r="C1020" s="1356" t="s">
        <v>3204</v>
      </c>
      <c r="F1020" s="1354" t="s">
        <v>4428</v>
      </c>
      <c r="G1020" s="1354" t="s">
        <v>4458</v>
      </c>
      <c r="H1020" s="1354" t="s">
        <v>3195</v>
      </c>
      <c r="I1020" s="1354">
        <v>324</v>
      </c>
    </row>
    <row r="1021" spans="1:9" s="1354" customFormat="1" x14ac:dyDescent="0.2">
      <c r="A1021" s="1354" t="s">
        <v>1880</v>
      </c>
      <c r="B1021" s="1361">
        <f>'Part 3 DA summary'!$Q43</f>
        <v>0</v>
      </c>
      <c r="C1021" s="1356" t="s">
        <v>3204</v>
      </c>
      <c r="F1021" s="1354" t="s">
        <v>4428</v>
      </c>
      <c r="G1021" s="1354" t="s">
        <v>4459</v>
      </c>
      <c r="H1021" s="1354" t="s">
        <v>3195</v>
      </c>
      <c r="I1021" s="1354">
        <v>325</v>
      </c>
    </row>
    <row r="1022" spans="1:9" s="1354" customFormat="1" x14ac:dyDescent="0.2">
      <c r="A1022" s="1354" t="s">
        <v>1881</v>
      </c>
      <c r="B1022" s="1361">
        <f>'Part 3 DA summary'!$Q44</f>
        <v>0</v>
      </c>
      <c r="C1022" s="1356" t="s">
        <v>3204</v>
      </c>
      <c r="F1022" s="1354" t="s">
        <v>4428</v>
      </c>
      <c r="G1022" s="1354" t="s">
        <v>4460</v>
      </c>
      <c r="H1022" s="1354" t="s">
        <v>3195</v>
      </c>
      <c r="I1022" s="1354">
        <v>326</v>
      </c>
    </row>
    <row r="1023" spans="1:9" s="1354" customFormat="1" x14ac:dyDescent="0.2">
      <c r="A1023" s="1354" t="s">
        <v>1882</v>
      </c>
      <c r="B1023" s="1361">
        <f>'Part 3 DA summary'!$Q45</f>
        <v>0</v>
      </c>
      <c r="C1023" s="1356" t="s">
        <v>3204</v>
      </c>
      <c r="F1023" s="1354" t="s">
        <v>4428</v>
      </c>
      <c r="G1023" s="1354" t="s">
        <v>4461</v>
      </c>
      <c r="H1023" s="1354" t="s">
        <v>3195</v>
      </c>
      <c r="I1023" s="1354">
        <v>327</v>
      </c>
    </row>
    <row r="1024" spans="1:9" s="1354" customFormat="1" x14ac:dyDescent="0.2">
      <c r="A1024" s="1354" t="s">
        <v>1883</v>
      </c>
      <c r="B1024" s="1361">
        <f>'Part 3 DA summary'!$Q46</f>
        <v>0</v>
      </c>
      <c r="C1024" s="1356" t="s">
        <v>3204</v>
      </c>
      <c r="F1024" s="1354" t="s">
        <v>4428</v>
      </c>
      <c r="G1024" s="1354" t="s">
        <v>4462</v>
      </c>
      <c r="H1024" s="1354" t="s">
        <v>3195</v>
      </c>
      <c r="I1024" s="1354">
        <v>328</v>
      </c>
    </row>
    <row r="1025" spans="1:9" s="1354" customFormat="1" ht="15" customHeight="1" x14ac:dyDescent="0.2">
      <c r="A1025" s="1354" t="s">
        <v>1884</v>
      </c>
      <c r="B1025" s="1361">
        <f>'Part 3 DA summary'!$Q47</f>
        <v>0</v>
      </c>
      <c r="C1025" s="1356" t="s">
        <v>3204</v>
      </c>
      <c r="F1025" s="1354" t="s">
        <v>4428</v>
      </c>
      <c r="G1025" s="1354" t="s">
        <v>4463</v>
      </c>
      <c r="H1025" s="1354" t="s">
        <v>3195</v>
      </c>
      <c r="I1025" s="1354">
        <v>329</v>
      </c>
    </row>
    <row r="1026" spans="1:9" s="1354" customFormat="1" x14ac:dyDescent="0.2">
      <c r="A1026" s="1354" t="s">
        <v>1885</v>
      </c>
      <c r="B1026" s="1361">
        <f>'Part 3 DA summary'!$Q48</f>
        <v>0</v>
      </c>
      <c r="C1026" s="1356" t="s">
        <v>3204</v>
      </c>
      <c r="F1026" s="1354" t="s">
        <v>4428</v>
      </c>
      <c r="G1026" s="1354" t="s">
        <v>4464</v>
      </c>
      <c r="H1026" s="1354" t="s">
        <v>3195</v>
      </c>
      <c r="I1026" s="1354">
        <v>330</v>
      </c>
    </row>
    <row r="1027" spans="1:9" s="1354" customFormat="1" x14ac:dyDescent="0.2">
      <c r="A1027" s="1354" t="s">
        <v>1886</v>
      </c>
      <c r="B1027" s="1361">
        <f>'Part 3 DA summary'!$Q49</f>
        <v>0</v>
      </c>
      <c r="C1027" s="1356" t="s">
        <v>3204</v>
      </c>
      <c r="F1027" s="1354" t="s">
        <v>4428</v>
      </c>
      <c r="G1027" s="1354" t="s">
        <v>4465</v>
      </c>
      <c r="H1027" s="1354" t="s">
        <v>3195</v>
      </c>
      <c r="I1027" s="1354">
        <v>331</v>
      </c>
    </row>
    <row r="1028" spans="1:9" s="1354" customFormat="1" x14ac:dyDescent="0.2">
      <c r="A1028" s="1354" t="s">
        <v>1887</v>
      </c>
      <c r="B1028" s="1361">
        <f>'Part 3 DA summary'!$Q50</f>
        <v>0</v>
      </c>
      <c r="C1028" s="1356" t="s">
        <v>3204</v>
      </c>
      <c r="F1028" s="1354" t="s">
        <v>4428</v>
      </c>
      <c r="G1028" s="1354" t="s">
        <v>4466</v>
      </c>
      <c r="H1028" s="1354" t="s">
        <v>3195</v>
      </c>
      <c r="I1028" s="1354">
        <v>332</v>
      </c>
    </row>
    <row r="1029" spans="1:9" s="1354" customFormat="1" x14ac:dyDescent="0.2">
      <c r="A1029" s="1354" t="s">
        <v>1888</v>
      </c>
      <c r="B1029" s="1361">
        <f>'Part 3 DA summary'!$Q51</f>
        <v>0</v>
      </c>
      <c r="C1029" s="1356" t="s">
        <v>3204</v>
      </c>
      <c r="F1029" s="1354" t="s">
        <v>4428</v>
      </c>
      <c r="G1029" s="1354" t="s">
        <v>4467</v>
      </c>
      <c r="H1029" s="1354" t="s">
        <v>3195</v>
      </c>
      <c r="I1029" s="1354">
        <v>333</v>
      </c>
    </row>
    <row r="1030" spans="1:9" s="1354" customFormat="1" x14ac:dyDescent="0.2">
      <c r="A1030" s="1354" t="s">
        <v>1889</v>
      </c>
      <c r="B1030" s="1361">
        <f>'Part 3 DA summary'!$Q52</f>
        <v>0</v>
      </c>
      <c r="C1030" s="1356" t="s">
        <v>3204</v>
      </c>
      <c r="F1030" s="1354" t="s">
        <v>4428</v>
      </c>
      <c r="G1030" s="1354" t="s">
        <v>4468</v>
      </c>
      <c r="H1030" s="1354" t="s">
        <v>3195</v>
      </c>
      <c r="I1030" s="1354">
        <v>334</v>
      </c>
    </row>
    <row r="1031" spans="1:9" s="1354" customFormat="1" x14ac:dyDescent="0.2">
      <c r="A1031" s="1354" t="s">
        <v>1890</v>
      </c>
      <c r="B1031" s="1361">
        <f>'Part 3 DA summary'!$Q53</f>
        <v>0</v>
      </c>
      <c r="C1031" s="1356" t="s">
        <v>3204</v>
      </c>
      <c r="F1031" s="1354" t="s">
        <v>4428</v>
      </c>
      <c r="G1031" s="1354" t="s">
        <v>4469</v>
      </c>
      <c r="H1031" s="1354" t="s">
        <v>3195</v>
      </c>
      <c r="I1031" s="1354">
        <v>335</v>
      </c>
    </row>
    <row r="1032" spans="1:9" s="1354" customFormat="1" ht="14.25" customHeight="1" x14ac:dyDescent="0.25">
      <c r="A1032" s="1362" t="s">
        <v>1891</v>
      </c>
      <c r="B1032" s="1361">
        <f>'Part 3 DA summary'!$S6</f>
        <v>0</v>
      </c>
      <c r="C1032" s="1359" t="s">
        <v>3204</v>
      </c>
      <c r="D1032" s="1360"/>
      <c r="E1032" s="1360"/>
      <c r="F1032" s="1354" t="s">
        <v>4470</v>
      </c>
      <c r="G1032" s="1354" t="s">
        <v>4471</v>
      </c>
      <c r="H1032" s="1354" t="s">
        <v>3195</v>
      </c>
      <c r="I1032" s="1354">
        <v>336</v>
      </c>
    </row>
    <row r="1033" spans="1:9" s="1354" customFormat="1" x14ac:dyDescent="0.2">
      <c r="A1033" s="1354" t="s">
        <v>1892</v>
      </c>
      <c r="B1033" s="1361" t="str">
        <f>'Part 3 DA summary'!$S13</f>
        <v/>
      </c>
      <c r="C1033" s="1363" t="s">
        <v>3204</v>
      </c>
      <c r="D1033" s="1364"/>
      <c r="E1033" s="1364"/>
      <c r="F1033" s="1354" t="s">
        <v>4472</v>
      </c>
      <c r="G1033" s="1354" t="s">
        <v>4473</v>
      </c>
      <c r="H1033" s="1354" t="s">
        <v>3195</v>
      </c>
      <c r="I1033" s="1354">
        <v>337</v>
      </c>
    </row>
    <row r="1034" spans="1:9" s="1354" customFormat="1" x14ac:dyDescent="0.2">
      <c r="A1034" s="1354" t="s">
        <v>1893</v>
      </c>
      <c r="B1034" s="1361" t="str">
        <f>'Part 3 DA summary'!$S14</f>
        <v/>
      </c>
      <c r="C1034" s="1363" t="s">
        <v>3204</v>
      </c>
      <c r="D1034" s="1364"/>
      <c r="E1034" s="1364"/>
      <c r="F1034" s="1354" t="s">
        <v>4472</v>
      </c>
      <c r="G1034" s="1354" t="s">
        <v>4474</v>
      </c>
      <c r="H1034" s="1354" t="s">
        <v>3195</v>
      </c>
      <c r="I1034" s="1354">
        <v>338</v>
      </c>
    </row>
    <row r="1035" spans="1:9" s="1354" customFormat="1" x14ac:dyDescent="0.2">
      <c r="A1035" s="1354" t="s">
        <v>1894</v>
      </c>
      <c r="B1035" s="1361" t="str">
        <f>'Part 3 DA summary'!$S15</f>
        <v/>
      </c>
      <c r="C1035" s="1363" t="s">
        <v>3204</v>
      </c>
      <c r="D1035" s="1364"/>
      <c r="E1035" s="1364"/>
      <c r="F1035" s="1354" t="s">
        <v>4472</v>
      </c>
      <c r="G1035" s="1354" t="s">
        <v>4475</v>
      </c>
      <c r="H1035" s="1354" t="s">
        <v>3195</v>
      </c>
      <c r="I1035" s="1354">
        <v>339</v>
      </c>
    </row>
    <row r="1036" spans="1:9" s="1354" customFormat="1" ht="14.25" customHeight="1" x14ac:dyDescent="0.2">
      <c r="A1036" s="1354" t="s">
        <v>1895</v>
      </c>
      <c r="B1036" s="1361" t="str">
        <f>'Part 3 DA summary'!$S16</f>
        <v/>
      </c>
      <c r="C1036" s="1363" t="s">
        <v>3204</v>
      </c>
      <c r="D1036" s="1364"/>
      <c r="E1036" s="1364"/>
      <c r="F1036" s="1354" t="s">
        <v>4472</v>
      </c>
      <c r="G1036" s="1354" t="s">
        <v>4476</v>
      </c>
      <c r="H1036" s="1354" t="s">
        <v>3195</v>
      </c>
      <c r="I1036" s="1354">
        <v>340</v>
      </c>
    </row>
    <row r="1037" spans="1:9" s="1354" customFormat="1" ht="14.25" customHeight="1" x14ac:dyDescent="0.2">
      <c r="A1037" s="1354" t="s">
        <v>1896</v>
      </c>
      <c r="B1037" s="1361" t="str">
        <f>'Part 3 DA summary'!$S17</f>
        <v/>
      </c>
      <c r="C1037" s="1363" t="s">
        <v>3204</v>
      </c>
      <c r="D1037" s="1364"/>
      <c r="E1037" s="1364"/>
      <c r="F1037" s="1354" t="s">
        <v>4472</v>
      </c>
      <c r="G1037" s="1354" t="s">
        <v>4477</v>
      </c>
      <c r="H1037" s="1354" t="s">
        <v>3195</v>
      </c>
      <c r="I1037" s="1354">
        <v>341</v>
      </c>
    </row>
    <row r="1038" spans="1:9" s="1354" customFormat="1" ht="14.25" customHeight="1" x14ac:dyDescent="0.2">
      <c r="A1038" s="1354" t="s">
        <v>1897</v>
      </c>
      <c r="B1038" s="1361" t="str">
        <f>'Part 3 DA summary'!$S18</f>
        <v/>
      </c>
      <c r="C1038" s="1363" t="s">
        <v>3204</v>
      </c>
      <c r="D1038" s="1364"/>
      <c r="E1038" s="1364"/>
      <c r="F1038" s="1354" t="s">
        <v>4472</v>
      </c>
      <c r="G1038" s="1354" t="s">
        <v>4478</v>
      </c>
      <c r="H1038" s="1354" t="s">
        <v>3195</v>
      </c>
      <c r="I1038" s="1354">
        <v>342</v>
      </c>
    </row>
    <row r="1039" spans="1:9" s="1354" customFormat="1" x14ac:dyDescent="0.2">
      <c r="A1039" s="1354" t="s">
        <v>1898</v>
      </c>
      <c r="B1039" s="1361" t="str">
        <f>'Part 3 DA summary'!$S19</f>
        <v/>
      </c>
      <c r="C1039" s="1363" t="s">
        <v>3204</v>
      </c>
      <c r="D1039" s="1364"/>
      <c r="E1039" s="1364"/>
      <c r="F1039" s="1354" t="s">
        <v>4472</v>
      </c>
      <c r="G1039" s="1354" t="s">
        <v>4479</v>
      </c>
      <c r="H1039" s="1354" t="s">
        <v>3195</v>
      </c>
      <c r="I1039" s="1354">
        <v>343</v>
      </c>
    </row>
    <row r="1040" spans="1:9" s="1354" customFormat="1" x14ac:dyDescent="0.2">
      <c r="A1040" s="1354" t="s">
        <v>1899</v>
      </c>
      <c r="B1040" s="1361" t="str">
        <f>'Part 3 DA summary'!$S20</f>
        <v/>
      </c>
      <c r="C1040" s="1363" t="s">
        <v>3204</v>
      </c>
      <c r="D1040" s="1364"/>
      <c r="E1040" s="1364"/>
      <c r="F1040" s="1354" t="s">
        <v>4472</v>
      </c>
      <c r="G1040" s="1354" t="s">
        <v>4480</v>
      </c>
      <c r="H1040" s="1354" t="s">
        <v>3195</v>
      </c>
      <c r="I1040" s="1354">
        <v>344</v>
      </c>
    </row>
    <row r="1041" spans="1:9" s="1354" customFormat="1" x14ac:dyDescent="0.2">
      <c r="A1041" s="1354" t="s">
        <v>1900</v>
      </c>
      <c r="B1041" s="1361" t="str">
        <f>'Part 3 DA summary'!$S21</f>
        <v/>
      </c>
      <c r="C1041" s="1363" t="s">
        <v>3204</v>
      </c>
      <c r="D1041" s="1364"/>
      <c r="E1041" s="1364"/>
      <c r="F1041" s="1354" t="s">
        <v>4472</v>
      </c>
      <c r="G1041" s="1354" t="s">
        <v>4481</v>
      </c>
      <c r="H1041" s="1354" t="s">
        <v>3195</v>
      </c>
      <c r="I1041" s="1354">
        <v>345</v>
      </c>
    </row>
    <row r="1042" spans="1:9" s="1354" customFormat="1" x14ac:dyDescent="0.2">
      <c r="A1042" s="1354" t="s">
        <v>1901</v>
      </c>
      <c r="B1042" s="1361" t="str">
        <f>'Part 3 DA summary'!$S22</f>
        <v/>
      </c>
      <c r="C1042" s="1363" t="s">
        <v>3204</v>
      </c>
      <c r="D1042" s="1364"/>
      <c r="E1042" s="1364"/>
      <c r="F1042" s="1354" t="s">
        <v>4472</v>
      </c>
      <c r="G1042" s="1354" t="s">
        <v>4482</v>
      </c>
      <c r="H1042" s="1354" t="s">
        <v>3195</v>
      </c>
      <c r="I1042" s="1354">
        <v>346</v>
      </c>
    </row>
    <row r="1043" spans="1:9" s="1354" customFormat="1" x14ac:dyDescent="0.2">
      <c r="A1043" s="1354" t="s">
        <v>1902</v>
      </c>
      <c r="B1043" s="1361" t="str">
        <f>'Part 3 DA summary'!$S23</f>
        <v/>
      </c>
      <c r="C1043" s="1363" t="s">
        <v>3204</v>
      </c>
      <c r="D1043" s="1364"/>
      <c r="E1043" s="1364"/>
      <c r="F1043" s="1354" t="s">
        <v>4472</v>
      </c>
      <c r="G1043" s="1354" t="s">
        <v>4483</v>
      </c>
      <c r="H1043" s="1354" t="s">
        <v>3195</v>
      </c>
      <c r="I1043" s="1354">
        <v>347</v>
      </c>
    </row>
    <row r="1044" spans="1:9" s="1354" customFormat="1" x14ac:dyDescent="0.2">
      <c r="A1044" s="1354" t="s">
        <v>1903</v>
      </c>
      <c r="B1044" s="1361" t="str">
        <f>'Part 3 DA summary'!$S24</f>
        <v/>
      </c>
      <c r="C1044" s="1363" t="s">
        <v>3204</v>
      </c>
      <c r="D1044" s="1364"/>
      <c r="E1044" s="1364"/>
      <c r="F1044" s="1354" t="s">
        <v>4472</v>
      </c>
      <c r="G1044" s="1354" t="s">
        <v>4484</v>
      </c>
      <c r="H1044" s="1354" t="s">
        <v>3195</v>
      </c>
      <c r="I1044" s="1354">
        <v>348</v>
      </c>
    </row>
    <row r="1045" spans="1:9" s="1354" customFormat="1" x14ac:dyDescent="0.2">
      <c r="A1045" s="1354" t="s">
        <v>1904</v>
      </c>
      <c r="B1045" s="1361" t="str">
        <f>'Part 3 DA summary'!$S25</f>
        <v/>
      </c>
      <c r="C1045" s="1363" t="s">
        <v>3204</v>
      </c>
      <c r="D1045" s="1364"/>
      <c r="E1045" s="1364"/>
      <c r="F1045" s="1354" t="s">
        <v>4472</v>
      </c>
      <c r="G1045" s="1354" t="s">
        <v>4485</v>
      </c>
      <c r="H1045" s="1354" t="s">
        <v>3195</v>
      </c>
      <c r="I1045" s="1354">
        <v>349</v>
      </c>
    </row>
    <row r="1046" spans="1:9" s="1354" customFormat="1" x14ac:dyDescent="0.2">
      <c r="A1046" s="1354" t="s">
        <v>1905</v>
      </c>
      <c r="B1046" s="1361" t="str">
        <f>'Part 3 DA summary'!$S26</f>
        <v/>
      </c>
      <c r="C1046" s="1363" t="s">
        <v>3204</v>
      </c>
      <c r="D1046" s="1364"/>
      <c r="E1046" s="1364"/>
      <c r="F1046" s="1354" t="s">
        <v>4472</v>
      </c>
      <c r="G1046" s="1354" t="s">
        <v>4486</v>
      </c>
      <c r="H1046" s="1354" t="s">
        <v>3195</v>
      </c>
      <c r="I1046" s="1354">
        <v>350</v>
      </c>
    </row>
    <row r="1047" spans="1:9" s="1354" customFormat="1" x14ac:dyDescent="0.2">
      <c r="A1047" s="1354" t="s">
        <v>1906</v>
      </c>
      <c r="B1047" s="1361" t="str">
        <f>'Part 3 DA summary'!$S27</f>
        <v/>
      </c>
      <c r="C1047" s="1363" t="s">
        <v>3204</v>
      </c>
      <c r="D1047" s="1364"/>
      <c r="E1047" s="1364"/>
      <c r="F1047" s="1354" t="s">
        <v>4472</v>
      </c>
      <c r="G1047" s="1354" t="s">
        <v>4487</v>
      </c>
      <c r="H1047" s="1354" t="s">
        <v>3195</v>
      </c>
      <c r="I1047" s="1354">
        <v>351</v>
      </c>
    </row>
    <row r="1048" spans="1:9" s="1354" customFormat="1" x14ac:dyDescent="0.2">
      <c r="A1048" s="1354" t="s">
        <v>1907</v>
      </c>
      <c r="B1048" s="1361" t="str">
        <f>'Part 3 DA summary'!$S28</f>
        <v/>
      </c>
      <c r="C1048" s="1363" t="s">
        <v>3204</v>
      </c>
      <c r="D1048" s="1364"/>
      <c r="E1048" s="1364"/>
      <c r="F1048" s="1354" t="s">
        <v>4472</v>
      </c>
      <c r="G1048" s="1354" t="s">
        <v>4488</v>
      </c>
      <c r="H1048" s="1354" t="s">
        <v>3195</v>
      </c>
      <c r="I1048" s="1354">
        <v>352</v>
      </c>
    </row>
    <row r="1049" spans="1:9" s="1354" customFormat="1" x14ac:dyDescent="0.2">
      <c r="A1049" s="1354" t="s">
        <v>1908</v>
      </c>
      <c r="B1049" s="1361" t="str">
        <f>'Part 3 DA summary'!$S29</f>
        <v/>
      </c>
      <c r="C1049" s="1363" t="s">
        <v>3204</v>
      </c>
      <c r="D1049" s="1364"/>
      <c r="E1049" s="1364"/>
      <c r="F1049" s="1354" t="s">
        <v>4472</v>
      </c>
      <c r="G1049" s="1354" t="s">
        <v>4489</v>
      </c>
      <c r="H1049" s="1354" t="s">
        <v>3195</v>
      </c>
      <c r="I1049" s="1354">
        <v>353</v>
      </c>
    </row>
    <row r="1050" spans="1:9" s="1354" customFormat="1" x14ac:dyDescent="0.2">
      <c r="A1050" s="1354" t="s">
        <v>1909</v>
      </c>
      <c r="B1050" s="1361" t="str">
        <f>'Part 3 DA summary'!$S30</f>
        <v/>
      </c>
      <c r="C1050" s="1363" t="s">
        <v>3204</v>
      </c>
      <c r="D1050" s="1364"/>
      <c r="E1050" s="1364"/>
      <c r="F1050" s="1354" t="s">
        <v>4472</v>
      </c>
      <c r="G1050" s="1354" t="s">
        <v>4490</v>
      </c>
      <c r="H1050" s="1354" t="s">
        <v>3195</v>
      </c>
      <c r="I1050" s="1354">
        <v>354</v>
      </c>
    </row>
    <row r="1051" spans="1:9" s="1354" customFormat="1" x14ac:dyDescent="0.2">
      <c r="A1051" s="1354" t="s">
        <v>1910</v>
      </c>
      <c r="B1051" s="1361" t="str">
        <f>'Part 3 DA summary'!$S31</f>
        <v/>
      </c>
      <c r="C1051" s="1363" t="s">
        <v>3204</v>
      </c>
      <c r="D1051" s="1364"/>
      <c r="E1051" s="1364"/>
      <c r="F1051" s="1354" t="s">
        <v>4472</v>
      </c>
      <c r="G1051" s="1354" t="s">
        <v>4491</v>
      </c>
      <c r="H1051" s="1354" t="s">
        <v>3195</v>
      </c>
      <c r="I1051" s="1354">
        <v>355</v>
      </c>
    </row>
    <row r="1052" spans="1:9" s="1354" customFormat="1" x14ac:dyDescent="0.2">
      <c r="A1052" s="1354" t="s">
        <v>1911</v>
      </c>
      <c r="B1052" s="1361" t="str">
        <f>'Part 3 DA summary'!$S32</f>
        <v/>
      </c>
      <c r="C1052" s="1363" t="s">
        <v>3204</v>
      </c>
      <c r="D1052" s="1364"/>
      <c r="E1052" s="1364"/>
      <c r="F1052" s="1354" t="s">
        <v>4472</v>
      </c>
      <c r="G1052" s="1354" t="s">
        <v>4492</v>
      </c>
      <c r="H1052" s="1354" t="s">
        <v>3195</v>
      </c>
      <c r="I1052" s="1354">
        <v>356</v>
      </c>
    </row>
    <row r="1053" spans="1:9" s="1354" customFormat="1" x14ac:dyDescent="0.2">
      <c r="A1053" s="1354" t="s">
        <v>1912</v>
      </c>
      <c r="B1053" s="1361" t="str">
        <f>'Part 3 DA summary'!$S33</f>
        <v/>
      </c>
      <c r="C1053" s="1363" t="s">
        <v>3204</v>
      </c>
      <c r="D1053" s="1364"/>
      <c r="E1053" s="1364"/>
      <c r="F1053" s="1354" t="s">
        <v>4472</v>
      </c>
      <c r="G1053" s="1354" t="s">
        <v>4493</v>
      </c>
      <c r="H1053" s="1354" t="s">
        <v>3195</v>
      </c>
      <c r="I1053" s="1354">
        <v>357</v>
      </c>
    </row>
    <row r="1054" spans="1:9" s="1354" customFormat="1" x14ac:dyDescent="0.2">
      <c r="A1054" s="1354" t="s">
        <v>1913</v>
      </c>
      <c r="B1054" s="1361" t="str">
        <f>'Part 3 DA summary'!$S34</f>
        <v/>
      </c>
      <c r="C1054" s="1363" t="s">
        <v>3204</v>
      </c>
      <c r="D1054" s="1364"/>
      <c r="E1054" s="1364"/>
      <c r="F1054" s="1354" t="s">
        <v>4472</v>
      </c>
      <c r="G1054" s="1354" t="s">
        <v>4494</v>
      </c>
      <c r="H1054" s="1354" t="s">
        <v>3195</v>
      </c>
      <c r="I1054" s="1354">
        <v>358</v>
      </c>
    </row>
    <row r="1055" spans="1:9" s="1354" customFormat="1" x14ac:dyDescent="0.2">
      <c r="A1055" s="1354" t="s">
        <v>1914</v>
      </c>
      <c r="B1055" s="1361" t="str">
        <f>'Part 3 DA summary'!$S35</f>
        <v/>
      </c>
      <c r="C1055" s="1363" t="s">
        <v>3204</v>
      </c>
      <c r="D1055" s="1364"/>
      <c r="E1055" s="1364"/>
      <c r="F1055" s="1354" t="s">
        <v>4472</v>
      </c>
      <c r="G1055" s="1354" t="s">
        <v>4495</v>
      </c>
      <c r="H1055" s="1354" t="s">
        <v>3195</v>
      </c>
      <c r="I1055" s="1354">
        <v>359</v>
      </c>
    </row>
    <row r="1056" spans="1:9" s="1354" customFormat="1" x14ac:dyDescent="0.2">
      <c r="A1056" s="1354" t="s">
        <v>1915</v>
      </c>
      <c r="B1056" s="1361" t="str">
        <f>'Part 3 DA summary'!$S36</f>
        <v/>
      </c>
      <c r="C1056" s="1363" t="s">
        <v>3204</v>
      </c>
      <c r="D1056" s="1364"/>
      <c r="E1056" s="1364"/>
      <c r="F1056" s="1354" t="s">
        <v>4472</v>
      </c>
      <c r="G1056" s="1354" t="s">
        <v>4496</v>
      </c>
      <c r="H1056" s="1354" t="s">
        <v>3195</v>
      </c>
      <c r="I1056" s="1354">
        <v>360</v>
      </c>
    </row>
    <row r="1057" spans="1:9" s="1354" customFormat="1" x14ac:dyDescent="0.2">
      <c r="A1057" s="1354" t="s">
        <v>1916</v>
      </c>
      <c r="B1057" s="1361" t="str">
        <f>'Part 3 DA summary'!$S37</f>
        <v/>
      </c>
      <c r="C1057" s="1363" t="s">
        <v>3204</v>
      </c>
      <c r="D1057" s="1364"/>
      <c r="E1057" s="1364"/>
      <c r="F1057" s="1354" t="s">
        <v>4472</v>
      </c>
      <c r="G1057" s="1354" t="s">
        <v>4497</v>
      </c>
      <c r="H1057" s="1354" t="s">
        <v>3195</v>
      </c>
      <c r="I1057" s="1354">
        <v>361</v>
      </c>
    </row>
    <row r="1058" spans="1:9" s="1354" customFormat="1" x14ac:dyDescent="0.2">
      <c r="A1058" s="1354" t="s">
        <v>1917</v>
      </c>
      <c r="B1058" s="1361" t="str">
        <f>'Part 3 DA summary'!$S38</f>
        <v/>
      </c>
      <c r="C1058" s="1363" t="s">
        <v>3204</v>
      </c>
      <c r="D1058" s="1364"/>
      <c r="E1058" s="1364"/>
      <c r="F1058" s="1354" t="s">
        <v>4472</v>
      </c>
      <c r="G1058" s="1354" t="s">
        <v>4498</v>
      </c>
      <c r="H1058" s="1354" t="s">
        <v>3195</v>
      </c>
      <c r="I1058" s="1354">
        <v>362</v>
      </c>
    </row>
    <row r="1059" spans="1:9" s="1354" customFormat="1" x14ac:dyDescent="0.2">
      <c r="A1059" s="1354" t="s">
        <v>1918</v>
      </c>
      <c r="B1059" s="1361" t="str">
        <f>'Part 3 DA summary'!$S39</f>
        <v/>
      </c>
      <c r="C1059" s="1363" t="s">
        <v>3204</v>
      </c>
      <c r="D1059" s="1364"/>
      <c r="E1059" s="1364"/>
      <c r="F1059" s="1354" t="s">
        <v>4472</v>
      </c>
      <c r="G1059" s="1354" t="s">
        <v>4499</v>
      </c>
      <c r="H1059" s="1354" t="s">
        <v>3195</v>
      </c>
      <c r="I1059" s="1354">
        <v>363</v>
      </c>
    </row>
    <row r="1060" spans="1:9" s="1354" customFormat="1" x14ac:dyDescent="0.2">
      <c r="A1060" s="1354" t="s">
        <v>1919</v>
      </c>
      <c r="B1060" s="1361" t="str">
        <f>'Part 3 DA summary'!$S40</f>
        <v/>
      </c>
      <c r="C1060" s="1363" t="s">
        <v>3204</v>
      </c>
      <c r="D1060" s="1364"/>
      <c r="E1060" s="1364"/>
      <c r="F1060" s="1354" t="s">
        <v>4472</v>
      </c>
      <c r="G1060" s="1354" t="s">
        <v>4500</v>
      </c>
      <c r="H1060" s="1354" t="s">
        <v>3195</v>
      </c>
      <c r="I1060" s="1354">
        <v>364</v>
      </c>
    </row>
    <row r="1061" spans="1:9" s="1354" customFormat="1" x14ac:dyDescent="0.2">
      <c r="A1061" s="1354" t="s">
        <v>1920</v>
      </c>
      <c r="B1061" s="1361" t="str">
        <f>'Part 3 DA summary'!$S41</f>
        <v/>
      </c>
      <c r="C1061" s="1363" t="s">
        <v>3204</v>
      </c>
      <c r="D1061" s="1364"/>
      <c r="E1061" s="1364"/>
      <c r="F1061" s="1354" t="s">
        <v>4472</v>
      </c>
      <c r="G1061" s="1354" t="s">
        <v>4501</v>
      </c>
      <c r="H1061" s="1354" t="s">
        <v>3195</v>
      </c>
      <c r="I1061" s="1354">
        <v>365</v>
      </c>
    </row>
    <row r="1062" spans="1:9" s="1354" customFormat="1" x14ac:dyDescent="0.2">
      <c r="A1062" s="1354" t="s">
        <v>1921</v>
      </c>
      <c r="B1062" s="1361" t="str">
        <f>'Part 3 DA summary'!$S42</f>
        <v/>
      </c>
      <c r="C1062" s="1363" t="s">
        <v>3204</v>
      </c>
      <c r="D1062" s="1364"/>
      <c r="E1062" s="1364"/>
      <c r="F1062" s="1354" t="s">
        <v>4472</v>
      </c>
      <c r="G1062" s="1354" t="s">
        <v>4502</v>
      </c>
      <c r="H1062" s="1354" t="s">
        <v>3195</v>
      </c>
      <c r="I1062" s="1354">
        <v>366</v>
      </c>
    </row>
    <row r="1063" spans="1:9" s="1354" customFormat="1" x14ac:dyDescent="0.2">
      <c r="A1063" s="1354" t="s">
        <v>1922</v>
      </c>
      <c r="B1063" s="1361" t="str">
        <f>'Part 3 DA summary'!$S43</f>
        <v/>
      </c>
      <c r="C1063" s="1363" t="s">
        <v>3204</v>
      </c>
      <c r="D1063" s="1364"/>
      <c r="E1063" s="1364"/>
      <c r="F1063" s="1354" t="s">
        <v>4472</v>
      </c>
      <c r="G1063" s="1354" t="s">
        <v>4503</v>
      </c>
      <c r="H1063" s="1354" t="s">
        <v>3195</v>
      </c>
      <c r="I1063" s="1354">
        <v>367</v>
      </c>
    </row>
    <row r="1064" spans="1:9" s="1354" customFormat="1" x14ac:dyDescent="0.2">
      <c r="A1064" s="1354" t="s">
        <v>1923</v>
      </c>
      <c r="B1064" s="1361" t="str">
        <f>'Part 3 DA summary'!$S44</f>
        <v/>
      </c>
      <c r="C1064" s="1363" t="s">
        <v>3204</v>
      </c>
      <c r="D1064" s="1364"/>
      <c r="E1064" s="1364"/>
      <c r="F1064" s="1354" t="s">
        <v>4472</v>
      </c>
      <c r="G1064" s="1354" t="s">
        <v>4504</v>
      </c>
      <c r="H1064" s="1354" t="s">
        <v>3195</v>
      </c>
      <c r="I1064" s="1354">
        <v>368</v>
      </c>
    </row>
    <row r="1065" spans="1:9" s="1354" customFormat="1" x14ac:dyDescent="0.2">
      <c r="A1065" s="1354" t="s">
        <v>1924</v>
      </c>
      <c r="B1065" s="1361" t="str">
        <f>'Part 3 DA summary'!$S45</f>
        <v/>
      </c>
      <c r="C1065" s="1363" t="s">
        <v>3204</v>
      </c>
      <c r="D1065" s="1364"/>
      <c r="E1065" s="1364"/>
      <c r="F1065" s="1354" t="s">
        <v>4472</v>
      </c>
      <c r="G1065" s="1354" t="s">
        <v>4505</v>
      </c>
      <c r="H1065" s="1354" t="s">
        <v>3195</v>
      </c>
      <c r="I1065" s="1354">
        <v>369</v>
      </c>
    </row>
    <row r="1066" spans="1:9" s="1354" customFormat="1" x14ac:dyDescent="0.2">
      <c r="A1066" s="1354" t="s">
        <v>1925</v>
      </c>
      <c r="B1066" s="1361" t="str">
        <f>'Part 3 DA summary'!$S46</f>
        <v/>
      </c>
      <c r="C1066" s="1363" t="s">
        <v>3204</v>
      </c>
      <c r="D1066" s="1364"/>
      <c r="E1066" s="1364"/>
      <c r="F1066" s="1354" t="s">
        <v>4472</v>
      </c>
      <c r="G1066" s="1354" t="s">
        <v>4506</v>
      </c>
      <c r="H1066" s="1354" t="s">
        <v>3195</v>
      </c>
      <c r="I1066" s="1354">
        <v>370</v>
      </c>
    </row>
    <row r="1067" spans="1:9" s="1354" customFormat="1" ht="15" customHeight="1" x14ac:dyDescent="0.2">
      <c r="A1067" s="1354" t="s">
        <v>1926</v>
      </c>
      <c r="B1067" s="1361" t="str">
        <f>'Part 3 DA summary'!$S47</f>
        <v/>
      </c>
      <c r="C1067" s="1363" t="s">
        <v>3204</v>
      </c>
      <c r="D1067" s="1364"/>
      <c r="E1067" s="1364"/>
      <c r="F1067" s="1354" t="s">
        <v>4472</v>
      </c>
      <c r="G1067" s="1354" t="s">
        <v>4507</v>
      </c>
      <c r="H1067" s="1354" t="s">
        <v>3195</v>
      </c>
      <c r="I1067" s="1354">
        <v>371</v>
      </c>
    </row>
    <row r="1068" spans="1:9" s="1354" customFormat="1" x14ac:dyDescent="0.2">
      <c r="A1068" s="1354" t="s">
        <v>1927</v>
      </c>
      <c r="B1068" s="1361" t="str">
        <f>'Part 3 DA summary'!$S48</f>
        <v/>
      </c>
      <c r="C1068" s="1363" t="s">
        <v>3204</v>
      </c>
      <c r="D1068" s="1364"/>
      <c r="E1068" s="1364"/>
      <c r="F1068" s="1354" t="s">
        <v>4472</v>
      </c>
      <c r="G1068" s="1354" t="s">
        <v>4508</v>
      </c>
      <c r="H1068" s="1354" t="s">
        <v>3195</v>
      </c>
      <c r="I1068" s="1354">
        <v>372</v>
      </c>
    </row>
    <row r="1069" spans="1:9" s="1354" customFormat="1" x14ac:dyDescent="0.2">
      <c r="A1069" s="1354" t="s">
        <v>1928</v>
      </c>
      <c r="B1069" s="1361" t="str">
        <f>'Part 3 DA summary'!$S49</f>
        <v/>
      </c>
      <c r="C1069" s="1363" t="s">
        <v>3204</v>
      </c>
      <c r="D1069" s="1364"/>
      <c r="E1069" s="1364"/>
      <c r="F1069" s="1354" t="s">
        <v>4472</v>
      </c>
      <c r="G1069" s="1354" t="s">
        <v>4509</v>
      </c>
      <c r="H1069" s="1354" t="s">
        <v>3195</v>
      </c>
      <c r="I1069" s="1354">
        <v>373</v>
      </c>
    </row>
    <row r="1070" spans="1:9" s="1354" customFormat="1" x14ac:dyDescent="0.2">
      <c r="A1070" s="1354" t="s">
        <v>1929</v>
      </c>
      <c r="B1070" s="1361" t="str">
        <f>'Part 3 DA summary'!$S50</f>
        <v/>
      </c>
      <c r="C1070" s="1363" t="s">
        <v>3204</v>
      </c>
      <c r="D1070" s="1364"/>
      <c r="E1070" s="1364"/>
      <c r="F1070" s="1354" t="s">
        <v>4472</v>
      </c>
      <c r="G1070" s="1354" t="s">
        <v>4510</v>
      </c>
      <c r="H1070" s="1354" t="s">
        <v>3195</v>
      </c>
      <c r="I1070" s="1354">
        <v>374</v>
      </c>
    </row>
    <row r="1071" spans="1:9" s="1354" customFormat="1" x14ac:dyDescent="0.2">
      <c r="A1071" s="1354" t="s">
        <v>1930</v>
      </c>
      <c r="B1071" s="1361" t="str">
        <f>'Part 3 DA summary'!$S51</f>
        <v/>
      </c>
      <c r="C1071" s="1363" t="s">
        <v>3204</v>
      </c>
      <c r="D1071" s="1364"/>
      <c r="E1071" s="1364"/>
      <c r="F1071" s="1354" t="s">
        <v>4472</v>
      </c>
      <c r="G1071" s="1354" t="s">
        <v>4511</v>
      </c>
      <c r="H1071" s="1354" t="s">
        <v>3195</v>
      </c>
      <c r="I1071" s="1354">
        <v>375</v>
      </c>
    </row>
    <row r="1072" spans="1:9" s="1354" customFormat="1" x14ac:dyDescent="0.2">
      <c r="A1072" s="1354" t="s">
        <v>1931</v>
      </c>
      <c r="B1072" s="1361" t="str">
        <f>'Part 3 DA summary'!$S52</f>
        <v/>
      </c>
      <c r="C1072" s="1363" t="s">
        <v>3204</v>
      </c>
      <c r="D1072" s="1364"/>
      <c r="E1072" s="1364"/>
      <c r="F1072" s="1354" t="s">
        <v>4472</v>
      </c>
      <c r="G1072" s="1354" t="s">
        <v>4512</v>
      </c>
      <c r="H1072" s="1354" t="s">
        <v>3195</v>
      </c>
      <c r="I1072" s="1354">
        <v>376</v>
      </c>
    </row>
    <row r="1073" spans="1:9" s="1354" customFormat="1" x14ac:dyDescent="0.2">
      <c r="A1073" s="1354" t="s">
        <v>1932</v>
      </c>
      <c r="B1073" s="1361" t="str">
        <f>'Part 3 DA summary'!$S53</f>
        <v/>
      </c>
      <c r="C1073" s="1363" t="s">
        <v>3204</v>
      </c>
      <c r="D1073" s="1364"/>
      <c r="E1073" s="1364"/>
      <c r="F1073" s="1354" t="s">
        <v>4472</v>
      </c>
      <c r="G1073" s="1354" t="s">
        <v>4513</v>
      </c>
      <c r="H1073" s="1354" t="s">
        <v>3195</v>
      </c>
      <c r="I1073" s="1354">
        <v>377</v>
      </c>
    </row>
    <row r="1074" spans="1:9" s="1354" customFormat="1" ht="14.25" customHeight="1" x14ac:dyDescent="0.25">
      <c r="A1074" s="1362" t="s">
        <v>1933</v>
      </c>
      <c r="B1074" s="1361">
        <f>'Part 3 DA summary'!$U6</f>
        <v>0</v>
      </c>
      <c r="C1074" s="1359" t="s">
        <v>3204</v>
      </c>
      <c r="D1074" s="1360"/>
      <c r="E1074" s="1360"/>
      <c r="F1074" s="1354" t="s">
        <v>4514</v>
      </c>
      <c r="G1074" s="1354" t="s">
        <v>4515</v>
      </c>
      <c r="H1074" s="1354" t="s">
        <v>3195</v>
      </c>
      <c r="I1074" s="1354">
        <v>378</v>
      </c>
    </row>
    <row r="1075" spans="1:9" s="1354" customFormat="1" x14ac:dyDescent="0.2">
      <c r="A1075" s="1354" t="s">
        <v>1934</v>
      </c>
      <c r="B1075" s="1361" t="str">
        <f>'Part 3 DA summary'!$U13</f>
        <v/>
      </c>
      <c r="C1075" s="1356" t="s">
        <v>3204</v>
      </c>
      <c r="F1075" s="1354" t="s">
        <v>4516</v>
      </c>
      <c r="G1075" s="1354" t="s">
        <v>4517</v>
      </c>
      <c r="H1075" s="1354" t="s">
        <v>3195</v>
      </c>
      <c r="I1075" s="1354">
        <v>379</v>
      </c>
    </row>
    <row r="1076" spans="1:9" s="1354" customFormat="1" x14ac:dyDescent="0.2">
      <c r="A1076" s="1354" t="s">
        <v>1935</v>
      </c>
      <c r="B1076" s="1361" t="str">
        <f>'Part 3 DA summary'!$U14</f>
        <v/>
      </c>
      <c r="C1076" s="1356" t="s">
        <v>3204</v>
      </c>
      <c r="F1076" s="1354" t="s">
        <v>4516</v>
      </c>
      <c r="G1076" s="1354" t="s">
        <v>4518</v>
      </c>
      <c r="H1076" s="1354" t="s">
        <v>3195</v>
      </c>
      <c r="I1076" s="1354">
        <v>380</v>
      </c>
    </row>
    <row r="1077" spans="1:9" s="1354" customFormat="1" x14ac:dyDescent="0.2">
      <c r="A1077" s="1354" t="s">
        <v>1936</v>
      </c>
      <c r="B1077" s="1361" t="str">
        <f>'Part 3 DA summary'!$U15</f>
        <v/>
      </c>
      <c r="C1077" s="1356" t="s">
        <v>3204</v>
      </c>
      <c r="F1077" s="1354" t="s">
        <v>4516</v>
      </c>
      <c r="G1077" s="1354" t="s">
        <v>4519</v>
      </c>
      <c r="H1077" s="1354" t="s">
        <v>3195</v>
      </c>
      <c r="I1077" s="1354">
        <v>381</v>
      </c>
    </row>
    <row r="1078" spans="1:9" s="1354" customFormat="1" ht="14.25" customHeight="1" x14ac:dyDescent="0.2">
      <c r="A1078" s="1354" t="s">
        <v>1937</v>
      </c>
      <c r="B1078" s="1361" t="str">
        <f>'Part 3 DA summary'!$U16</f>
        <v/>
      </c>
      <c r="C1078" s="1356" t="s">
        <v>3204</v>
      </c>
      <c r="F1078" s="1354" t="s">
        <v>4516</v>
      </c>
      <c r="G1078" s="1354" t="s">
        <v>4520</v>
      </c>
      <c r="H1078" s="1354" t="s">
        <v>3195</v>
      </c>
      <c r="I1078" s="1354">
        <v>382</v>
      </c>
    </row>
    <row r="1079" spans="1:9" s="1354" customFormat="1" ht="14.25" customHeight="1" x14ac:dyDescent="0.2">
      <c r="A1079" s="1354" t="s">
        <v>1938</v>
      </c>
      <c r="B1079" s="1361" t="str">
        <f>'Part 3 DA summary'!$U17</f>
        <v/>
      </c>
      <c r="C1079" s="1356" t="s">
        <v>3204</v>
      </c>
      <c r="F1079" s="1354" t="s">
        <v>4516</v>
      </c>
      <c r="G1079" s="1354" t="s">
        <v>4521</v>
      </c>
      <c r="H1079" s="1354" t="s">
        <v>3195</v>
      </c>
      <c r="I1079" s="1354">
        <v>383</v>
      </c>
    </row>
    <row r="1080" spans="1:9" s="1354" customFormat="1" ht="14.25" customHeight="1" x14ac:dyDescent="0.2">
      <c r="A1080" s="1354" t="s">
        <v>1939</v>
      </c>
      <c r="B1080" s="1361" t="str">
        <f>'Part 3 DA summary'!$U18</f>
        <v/>
      </c>
      <c r="C1080" s="1356" t="s">
        <v>3204</v>
      </c>
      <c r="F1080" s="1354" t="s">
        <v>4516</v>
      </c>
      <c r="G1080" s="1354" t="s">
        <v>4522</v>
      </c>
      <c r="H1080" s="1354" t="s">
        <v>3195</v>
      </c>
      <c r="I1080" s="1354">
        <v>384</v>
      </c>
    </row>
    <row r="1081" spans="1:9" s="1354" customFormat="1" x14ac:dyDescent="0.2">
      <c r="A1081" s="1354" t="s">
        <v>1940</v>
      </c>
      <c r="B1081" s="1361" t="str">
        <f>'Part 3 DA summary'!$U19</f>
        <v/>
      </c>
      <c r="C1081" s="1356" t="s">
        <v>3204</v>
      </c>
      <c r="F1081" s="1354" t="s">
        <v>4516</v>
      </c>
      <c r="G1081" s="1354" t="s">
        <v>4523</v>
      </c>
      <c r="H1081" s="1354" t="s">
        <v>3195</v>
      </c>
      <c r="I1081" s="1354">
        <v>385</v>
      </c>
    </row>
    <row r="1082" spans="1:9" s="1354" customFormat="1" x14ac:dyDescent="0.2">
      <c r="A1082" s="1354" t="s">
        <v>1941</v>
      </c>
      <c r="B1082" s="1361" t="str">
        <f>'Part 3 DA summary'!$U20</f>
        <v/>
      </c>
      <c r="C1082" s="1356" t="s">
        <v>3204</v>
      </c>
      <c r="F1082" s="1354" t="s">
        <v>4516</v>
      </c>
      <c r="G1082" s="1354" t="s">
        <v>4524</v>
      </c>
      <c r="H1082" s="1354" t="s">
        <v>3195</v>
      </c>
      <c r="I1082" s="1354">
        <v>386</v>
      </c>
    </row>
    <row r="1083" spans="1:9" s="1354" customFormat="1" x14ac:dyDescent="0.2">
      <c r="A1083" s="1354" t="s">
        <v>1942</v>
      </c>
      <c r="B1083" s="1361" t="str">
        <f>'Part 3 DA summary'!$U21</f>
        <v/>
      </c>
      <c r="C1083" s="1356" t="s">
        <v>3204</v>
      </c>
      <c r="F1083" s="1354" t="s">
        <v>4516</v>
      </c>
      <c r="G1083" s="1354" t="s">
        <v>4525</v>
      </c>
      <c r="H1083" s="1354" t="s">
        <v>3195</v>
      </c>
      <c r="I1083" s="1354">
        <v>387</v>
      </c>
    </row>
    <row r="1084" spans="1:9" s="1354" customFormat="1" x14ac:dyDescent="0.2">
      <c r="A1084" s="1354" t="s">
        <v>1943</v>
      </c>
      <c r="B1084" s="1361" t="str">
        <f>'Part 3 DA summary'!$U22</f>
        <v/>
      </c>
      <c r="C1084" s="1356" t="s">
        <v>3204</v>
      </c>
      <c r="F1084" s="1354" t="s">
        <v>4516</v>
      </c>
      <c r="G1084" s="1354" t="s">
        <v>4526</v>
      </c>
      <c r="H1084" s="1354" t="s">
        <v>3195</v>
      </c>
      <c r="I1084" s="1354">
        <v>388</v>
      </c>
    </row>
    <row r="1085" spans="1:9" s="1354" customFormat="1" x14ac:dyDescent="0.2">
      <c r="A1085" s="1354" t="s">
        <v>1944</v>
      </c>
      <c r="B1085" s="1361" t="str">
        <f>'Part 3 DA summary'!$U23</f>
        <v/>
      </c>
      <c r="C1085" s="1356" t="s">
        <v>3204</v>
      </c>
      <c r="F1085" s="1354" t="s">
        <v>4516</v>
      </c>
      <c r="G1085" s="1354" t="s">
        <v>4527</v>
      </c>
      <c r="H1085" s="1354" t="s">
        <v>3195</v>
      </c>
      <c r="I1085" s="1354">
        <v>389</v>
      </c>
    </row>
    <row r="1086" spans="1:9" s="1354" customFormat="1" x14ac:dyDescent="0.2">
      <c r="A1086" s="1354" t="s">
        <v>1945</v>
      </c>
      <c r="B1086" s="1361" t="str">
        <f>'Part 3 DA summary'!$U24</f>
        <v/>
      </c>
      <c r="C1086" s="1356" t="s">
        <v>3204</v>
      </c>
      <c r="F1086" s="1354" t="s">
        <v>4516</v>
      </c>
      <c r="G1086" s="1354" t="s">
        <v>4528</v>
      </c>
      <c r="H1086" s="1354" t="s">
        <v>3195</v>
      </c>
      <c r="I1086" s="1354">
        <v>390</v>
      </c>
    </row>
    <row r="1087" spans="1:9" s="1354" customFormat="1" x14ac:dyDescent="0.2">
      <c r="A1087" s="1354" t="s">
        <v>1946</v>
      </c>
      <c r="B1087" s="1361" t="str">
        <f>'Part 3 DA summary'!$U25</f>
        <v/>
      </c>
      <c r="C1087" s="1356" t="s">
        <v>3204</v>
      </c>
      <c r="F1087" s="1354" t="s">
        <v>4516</v>
      </c>
      <c r="G1087" s="1354" t="s">
        <v>4529</v>
      </c>
      <c r="H1087" s="1354" t="s">
        <v>3195</v>
      </c>
      <c r="I1087" s="1354">
        <v>391</v>
      </c>
    </row>
    <row r="1088" spans="1:9" s="1354" customFormat="1" x14ac:dyDescent="0.2">
      <c r="A1088" s="1354" t="s">
        <v>1947</v>
      </c>
      <c r="B1088" s="1361" t="str">
        <f>'Part 3 DA summary'!$U26</f>
        <v/>
      </c>
      <c r="C1088" s="1356" t="s">
        <v>3204</v>
      </c>
      <c r="F1088" s="1354" t="s">
        <v>4516</v>
      </c>
      <c r="G1088" s="1354" t="s">
        <v>4530</v>
      </c>
      <c r="H1088" s="1354" t="s">
        <v>3195</v>
      </c>
      <c r="I1088" s="1354">
        <v>392</v>
      </c>
    </row>
    <row r="1089" spans="1:9" s="1354" customFormat="1" x14ac:dyDescent="0.2">
      <c r="A1089" s="1354" t="s">
        <v>1948</v>
      </c>
      <c r="B1089" s="1361" t="str">
        <f>'Part 3 DA summary'!$U27</f>
        <v/>
      </c>
      <c r="C1089" s="1356" t="s">
        <v>3204</v>
      </c>
      <c r="F1089" s="1354" t="s">
        <v>4516</v>
      </c>
      <c r="G1089" s="1354" t="s">
        <v>4531</v>
      </c>
      <c r="H1089" s="1354" t="s">
        <v>3195</v>
      </c>
      <c r="I1089" s="1354">
        <v>393</v>
      </c>
    </row>
    <row r="1090" spans="1:9" s="1354" customFormat="1" x14ac:dyDescent="0.2">
      <c r="A1090" s="1354" t="s">
        <v>1949</v>
      </c>
      <c r="B1090" s="1361" t="str">
        <f>'Part 3 DA summary'!$U28</f>
        <v/>
      </c>
      <c r="C1090" s="1356" t="s">
        <v>3204</v>
      </c>
      <c r="F1090" s="1354" t="s">
        <v>4516</v>
      </c>
      <c r="G1090" s="1354" t="s">
        <v>4532</v>
      </c>
      <c r="H1090" s="1354" t="s">
        <v>3195</v>
      </c>
      <c r="I1090" s="1354">
        <v>394</v>
      </c>
    </row>
    <row r="1091" spans="1:9" s="1354" customFormat="1" x14ac:dyDescent="0.2">
      <c r="A1091" s="1354" t="s">
        <v>1950</v>
      </c>
      <c r="B1091" s="1361" t="str">
        <f>'Part 3 DA summary'!$U29</f>
        <v/>
      </c>
      <c r="C1091" s="1356" t="s">
        <v>3204</v>
      </c>
      <c r="F1091" s="1354" t="s">
        <v>4516</v>
      </c>
      <c r="G1091" s="1354" t="s">
        <v>4533</v>
      </c>
      <c r="H1091" s="1354" t="s">
        <v>3195</v>
      </c>
      <c r="I1091" s="1354">
        <v>395</v>
      </c>
    </row>
    <row r="1092" spans="1:9" s="1354" customFormat="1" x14ac:dyDescent="0.2">
      <c r="A1092" s="1354" t="s">
        <v>1951</v>
      </c>
      <c r="B1092" s="1361" t="str">
        <f>'Part 3 DA summary'!$U30</f>
        <v/>
      </c>
      <c r="C1092" s="1356" t="s">
        <v>3204</v>
      </c>
      <c r="F1092" s="1354" t="s">
        <v>4516</v>
      </c>
      <c r="G1092" s="1354" t="s">
        <v>4534</v>
      </c>
      <c r="H1092" s="1354" t="s">
        <v>3195</v>
      </c>
      <c r="I1092" s="1354">
        <v>396</v>
      </c>
    </row>
    <row r="1093" spans="1:9" s="1354" customFormat="1" x14ac:dyDescent="0.2">
      <c r="A1093" s="1354" t="s">
        <v>1952</v>
      </c>
      <c r="B1093" s="1361" t="str">
        <f>'Part 3 DA summary'!$U31</f>
        <v/>
      </c>
      <c r="C1093" s="1356" t="s">
        <v>3204</v>
      </c>
      <c r="F1093" s="1354" t="s">
        <v>4516</v>
      </c>
      <c r="G1093" s="1354" t="s">
        <v>4535</v>
      </c>
      <c r="H1093" s="1354" t="s">
        <v>3195</v>
      </c>
      <c r="I1093" s="1354">
        <v>397</v>
      </c>
    </row>
    <row r="1094" spans="1:9" s="1354" customFormat="1" x14ac:dyDescent="0.2">
      <c r="A1094" s="1354" t="s">
        <v>1953</v>
      </c>
      <c r="B1094" s="1361" t="str">
        <f>'Part 3 DA summary'!$U32</f>
        <v/>
      </c>
      <c r="C1094" s="1356" t="s">
        <v>3204</v>
      </c>
      <c r="F1094" s="1354" t="s">
        <v>4516</v>
      </c>
      <c r="G1094" s="1354" t="s">
        <v>4536</v>
      </c>
      <c r="H1094" s="1354" t="s">
        <v>3195</v>
      </c>
      <c r="I1094" s="1354">
        <v>398</v>
      </c>
    </row>
    <row r="1095" spans="1:9" s="1354" customFormat="1" x14ac:dyDescent="0.2">
      <c r="A1095" s="1354" t="s">
        <v>1954</v>
      </c>
      <c r="B1095" s="1361" t="str">
        <f>'Part 3 DA summary'!$U33</f>
        <v/>
      </c>
      <c r="C1095" s="1356" t="s">
        <v>3204</v>
      </c>
      <c r="F1095" s="1354" t="s">
        <v>4516</v>
      </c>
      <c r="G1095" s="1354" t="s">
        <v>4537</v>
      </c>
      <c r="H1095" s="1354" t="s">
        <v>3195</v>
      </c>
      <c r="I1095" s="1354">
        <v>399</v>
      </c>
    </row>
    <row r="1096" spans="1:9" s="1354" customFormat="1" x14ac:dyDescent="0.2">
      <c r="A1096" s="1354" t="s">
        <v>1955</v>
      </c>
      <c r="B1096" s="1361" t="str">
        <f>'Part 3 DA summary'!$U34</f>
        <v/>
      </c>
      <c r="C1096" s="1356" t="s">
        <v>3204</v>
      </c>
      <c r="F1096" s="1354" t="s">
        <v>4516</v>
      </c>
      <c r="G1096" s="1354" t="s">
        <v>4538</v>
      </c>
      <c r="H1096" s="1354" t="s">
        <v>3195</v>
      </c>
      <c r="I1096" s="1354">
        <v>400</v>
      </c>
    </row>
    <row r="1097" spans="1:9" s="1354" customFormat="1" x14ac:dyDescent="0.2">
      <c r="A1097" s="1354" t="s">
        <v>1956</v>
      </c>
      <c r="B1097" s="1361" t="str">
        <f>'Part 3 DA summary'!$U35</f>
        <v/>
      </c>
      <c r="C1097" s="1356" t="s">
        <v>3204</v>
      </c>
      <c r="F1097" s="1354" t="s">
        <v>4516</v>
      </c>
      <c r="G1097" s="1354" t="s">
        <v>4539</v>
      </c>
      <c r="H1097" s="1354" t="s">
        <v>3195</v>
      </c>
      <c r="I1097" s="1354">
        <v>401</v>
      </c>
    </row>
    <row r="1098" spans="1:9" s="1354" customFormat="1" x14ac:dyDescent="0.2">
      <c r="A1098" s="1354" t="s">
        <v>1957</v>
      </c>
      <c r="B1098" s="1361" t="str">
        <f>'Part 3 DA summary'!$U36</f>
        <v/>
      </c>
      <c r="C1098" s="1356" t="s">
        <v>3204</v>
      </c>
      <c r="F1098" s="1354" t="s">
        <v>4516</v>
      </c>
      <c r="G1098" s="1354" t="s">
        <v>4540</v>
      </c>
      <c r="H1098" s="1354" t="s">
        <v>3195</v>
      </c>
      <c r="I1098" s="1354">
        <v>402</v>
      </c>
    </row>
    <row r="1099" spans="1:9" s="1354" customFormat="1" x14ac:dyDescent="0.2">
      <c r="A1099" s="1354" t="s">
        <v>1958</v>
      </c>
      <c r="B1099" s="1361" t="str">
        <f>'Part 3 DA summary'!$U37</f>
        <v/>
      </c>
      <c r="C1099" s="1356" t="s">
        <v>3204</v>
      </c>
      <c r="F1099" s="1354" t="s">
        <v>4516</v>
      </c>
      <c r="G1099" s="1354" t="s">
        <v>4541</v>
      </c>
      <c r="H1099" s="1354" t="s">
        <v>3195</v>
      </c>
      <c r="I1099" s="1354">
        <v>403</v>
      </c>
    </row>
    <row r="1100" spans="1:9" s="1354" customFormat="1" x14ac:dyDescent="0.2">
      <c r="A1100" s="1354" t="s">
        <v>1959</v>
      </c>
      <c r="B1100" s="1361" t="str">
        <f>'Part 3 DA summary'!$U38</f>
        <v/>
      </c>
      <c r="C1100" s="1356" t="s">
        <v>3204</v>
      </c>
      <c r="F1100" s="1354" t="s">
        <v>4516</v>
      </c>
      <c r="G1100" s="1354" t="s">
        <v>4542</v>
      </c>
      <c r="H1100" s="1354" t="s">
        <v>3195</v>
      </c>
      <c r="I1100" s="1354">
        <v>404</v>
      </c>
    </row>
    <row r="1101" spans="1:9" s="1354" customFormat="1" x14ac:dyDescent="0.2">
      <c r="A1101" s="1354" t="s">
        <v>1960</v>
      </c>
      <c r="B1101" s="1361" t="str">
        <f>'Part 3 DA summary'!$U39</f>
        <v/>
      </c>
      <c r="C1101" s="1356" t="s">
        <v>3204</v>
      </c>
      <c r="F1101" s="1354" t="s">
        <v>4516</v>
      </c>
      <c r="G1101" s="1354" t="s">
        <v>4543</v>
      </c>
      <c r="H1101" s="1354" t="s">
        <v>3195</v>
      </c>
      <c r="I1101" s="1354">
        <v>405</v>
      </c>
    </row>
    <row r="1102" spans="1:9" s="1354" customFormat="1" x14ac:dyDescent="0.2">
      <c r="A1102" s="1354" t="s">
        <v>1961</v>
      </c>
      <c r="B1102" s="1361" t="str">
        <f>'Part 3 DA summary'!$U40</f>
        <v/>
      </c>
      <c r="C1102" s="1356" t="s">
        <v>3204</v>
      </c>
      <c r="F1102" s="1354" t="s">
        <v>4516</v>
      </c>
      <c r="G1102" s="1354" t="s">
        <v>4544</v>
      </c>
      <c r="H1102" s="1354" t="s">
        <v>3195</v>
      </c>
      <c r="I1102" s="1354">
        <v>406</v>
      </c>
    </row>
    <row r="1103" spans="1:9" s="1354" customFormat="1" x14ac:dyDescent="0.2">
      <c r="A1103" s="1354" t="s">
        <v>1962</v>
      </c>
      <c r="B1103" s="1361" t="str">
        <f>'Part 3 DA summary'!$U41</f>
        <v/>
      </c>
      <c r="C1103" s="1356" t="s">
        <v>3204</v>
      </c>
      <c r="F1103" s="1354" t="s">
        <v>4516</v>
      </c>
      <c r="G1103" s="1354" t="s">
        <v>4545</v>
      </c>
      <c r="H1103" s="1354" t="s">
        <v>3195</v>
      </c>
      <c r="I1103" s="1354">
        <v>407</v>
      </c>
    </row>
    <row r="1104" spans="1:9" s="1354" customFormat="1" x14ac:dyDescent="0.2">
      <c r="A1104" s="1354" t="s">
        <v>1963</v>
      </c>
      <c r="B1104" s="1361" t="str">
        <f>'Part 3 DA summary'!$U42</f>
        <v/>
      </c>
      <c r="C1104" s="1356" t="s">
        <v>3204</v>
      </c>
      <c r="F1104" s="1354" t="s">
        <v>4516</v>
      </c>
      <c r="G1104" s="1354" t="s">
        <v>4546</v>
      </c>
      <c r="H1104" s="1354" t="s">
        <v>3195</v>
      </c>
      <c r="I1104" s="1354">
        <v>408</v>
      </c>
    </row>
    <row r="1105" spans="1:9" s="1354" customFormat="1" x14ac:dyDescent="0.2">
      <c r="A1105" s="1354" t="s">
        <v>1964</v>
      </c>
      <c r="B1105" s="1361" t="str">
        <f>'Part 3 DA summary'!$U43</f>
        <v/>
      </c>
      <c r="C1105" s="1356" t="s">
        <v>3204</v>
      </c>
      <c r="F1105" s="1354" t="s">
        <v>4516</v>
      </c>
      <c r="G1105" s="1354" t="s">
        <v>4547</v>
      </c>
      <c r="H1105" s="1354" t="s">
        <v>3195</v>
      </c>
      <c r="I1105" s="1354">
        <v>409</v>
      </c>
    </row>
    <row r="1106" spans="1:9" s="1354" customFormat="1" x14ac:dyDescent="0.2">
      <c r="A1106" s="1354" t="s">
        <v>1965</v>
      </c>
      <c r="B1106" s="1361" t="str">
        <f>'Part 3 DA summary'!$U44</f>
        <v/>
      </c>
      <c r="C1106" s="1356" t="s">
        <v>3204</v>
      </c>
      <c r="F1106" s="1354" t="s">
        <v>4516</v>
      </c>
      <c r="G1106" s="1354" t="s">
        <v>4548</v>
      </c>
      <c r="H1106" s="1354" t="s">
        <v>3195</v>
      </c>
      <c r="I1106" s="1354">
        <v>410</v>
      </c>
    </row>
    <row r="1107" spans="1:9" s="1354" customFormat="1" x14ac:dyDescent="0.2">
      <c r="A1107" s="1354" t="s">
        <v>1966</v>
      </c>
      <c r="B1107" s="1361" t="str">
        <f>'Part 3 DA summary'!$U45</f>
        <v/>
      </c>
      <c r="C1107" s="1356" t="s">
        <v>3204</v>
      </c>
      <c r="F1107" s="1354" t="s">
        <v>4516</v>
      </c>
      <c r="G1107" s="1354" t="s">
        <v>4549</v>
      </c>
      <c r="H1107" s="1354" t="s">
        <v>3195</v>
      </c>
      <c r="I1107" s="1354">
        <v>411</v>
      </c>
    </row>
    <row r="1108" spans="1:9" s="1354" customFormat="1" x14ac:dyDescent="0.2">
      <c r="A1108" s="1354" t="s">
        <v>1967</v>
      </c>
      <c r="B1108" s="1361" t="str">
        <f>'Part 3 DA summary'!$U46</f>
        <v/>
      </c>
      <c r="C1108" s="1356" t="s">
        <v>3204</v>
      </c>
      <c r="F1108" s="1354" t="s">
        <v>4516</v>
      </c>
      <c r="G1108" s="1354" t="s">
        <v>4550</v>
      </c>
      <c r="H1108" s="1354" t="s">
        <v>3195</v>
      </c>
      <c r="I1108" s="1354">
        <v>412</v>
      </c>
    </row>
    <row r="1109" spans="1:9" s="1354" customFormat="1" ht="15" customHeight="1" x14ac:dyDescent="0.2">
      <c r="A1109" s="1354" t="s">
        <v>1968</v>
      </c>
      <c r="B1109" s="1361" t="str">
        <f>'Part 3 DA summary'!$U47</f>
        <v/>
      </c>
      <c r="C1109" s="1356" t="s">
        <v>3204</v>
      </c>
      <c r="F1109" s="1354" t="s">
        <v>4516</v>
      </c>
      <c r="G1109" s="1354" t="s">
        <v>4551</v>
      </c>
      <c r="H1109" s="1354" t="s">
        <v>3195</v>
      </c>
      <c r="I1109" s="1354">
        <v>413</v>
      </c>
    </row>
    <row r="1110" spans="1:9" s="1354" customFormat="1" x14ac:dyDescent="0.2">
      <c r="A1110" s="1354" t="s">
        <v>1969</v>
      </c>
      <c r="B1110" s="1361" t="str">
        <f>'Part 3 DA summary'!$U48</f>
        <v/>
      </c>
      <c r="C1110" s="1356" t="s">
        <v>3204</v>
      </c>
      <c r="F1110" s="1354" t="s">
        <v>4516</v>
      </c>
      <c r="G1110" s="1354" t="s">
        <v>4552</v>
      </c>
      <c r="H1110" s="1354" t="s">
        <v>3195</v>
      </c>
      <c r="I1110" s="1354">
        <v>414</v>
      </c>
    </row>
    <row r="1111" spans="1:9" s="1354" customFormat="1" x14ac:dyDescent="0.2">
      <c r="A1111" s="1354" t="s">
        <v>1970</v>
      </c>
      <c r="B1111" s="1361" t="str">
        <f>'Part 3 DA summary'!$U49</f>
        <v/>
      </c>
      <c r="C1111" s="1356" t="s">
        <v>3204</v>
      </c>
      <c r="F1111" s="1354" t="s">
        <v>4516</v>
      </c>
      <c r="G1111" s="1354" t="s">
        <v>4553</v>
      </c>
      <c r="H1111" s="1354" t="s">
        <v>3195</v>
      </c>
      <c r="I1111" s="1354">
        <v>415</v>
      </c>
    </row>
    <row r="1112" spans="1:9" s="1354" customFormat="1" x14ac:dyDescent="0.2">
      <c r="A1112" s="1354" t="s">
        <v>1971</v>
      </c>
      <c r="B1112" s="1361" t="str">
        <f>'Part 3 DA summary'!$U50</f>
        <v/>
      </c>
      <c r="C1112" s="1356" t="s">
        <v>3204</v>
      </c>
      <c r="F1112" s="1354" t="s">
        <v>4516</v>
      </c>
      <c r="G1112" s="1354" t="s">
        <v>4554</v>
      </c>
      <c r="H1112" s="1354" t="s">
        <v>3195</v>
      </c>
      <c r="I1112" s="1354">
        <v>416</v>
      </c>
    </row>
    <row r="1113" spans="1:9" s="1354" customFormat="1" x14ac:dyDescent="0.2">
      <c r="A1113" s="1354" t="s">
        <v>1972</v>
      </c>
      <c r="B1113" s="1361" t="str">
        <f>'Part 3 DA summary'!$U51</f>
        <v/>
      </c>
      <c r="C1113" s="1356" t="s">
        <v>3204</v>
      </c>
      <c r="F1113" s="1354" t="s">
        <v>4516</v>
      </c>
      <c r="G1113" s="1354" t="s">
        <v>4555</v>
      </c>
      <c r="H1113" s="1354" t="s">
        <v>3195</v>
      </c>
      <c r="I1113" s="1354">
        <v>417</v>
      </c>
    </row>
    <row r="1114" spans="1:9" s="1354" customFormat="1" x14ac:dyDescent="0.2">
      <c r="A1114" s="1354" t="s">
        <v>1973</v>
      </c>
      <c r="B1114" s="1361" t="str">
        <f>'Part 3 DA summary'!$U52</f>
        <v/>
      </c>
      <c r="C1114" s="1356" t="s">
        <v>3204</v>
      </c>
      <c r="F1114" s="1354" t="s">
        <v>4516</v>
      </c>
      <c r="G1114" s="1354" t="s">
        <v>4556</v>
      </c>
      <c r="H1114" s="1354" t="s">
        <v>3195</v>
      </c>
      <c r="I1114" s="1354">
        <v>418</v>
      </c>
    </row>
    <row r="1115" spans="1:9" s="1354" customFormat="1" x14ac:dyDescent="0.2">
      <c r="A1115" s="1354" t="s">
        <v>1974</v>
      </c>
      <c r="B1115" s="1361" t="str">
        <f>'Part 3 DA summary'!$U53</f>
        <v/>
      </c>
      <c r="C1115" s="1356" t="s">
        <v>3204</v>
      </c>
      <c r="F1115" s="1354" t="s">
        <v>4516</v>
      </c>
      <c r="G1115" s="1354" t="s">
        <v>4557</v>
      </c>
      <c r="H1115" s="1354" t="s">
        <v>3195</v>
      </c>
      <c r="I1115" s="1354">
        <v>419</v>
      </c>
    </row>
    <row r="1116" spans="1:9" s="1354" customFormat="1" ht="14.25" customHeight="1" x14ac:dyDescent="0.25">
      <c r="A1116" s="1362" t="s">
        <v>1975</v>
      </c>
      <c r="B1116" s="1361">
        <f>'Part 3 DA summary'!$W6</f>
        <v>0</v>
      </c>
      <c r="C1116" s="1359" t="s">
        <v>3204</v>
      </c>
      <c r="D1116" s="1360"/>
      <c r="E1116" s="1360"/>
      <c r="F1116" s="1354" t="s">
        <v>4558</v>
      </c>
      <c r="G1116" s="1354" t="s">
        <v>4559</v>
      </c>
      <c r="H1116" s="1354" t="s">
        <v>3195</v>
      </c>
      <c r="I1116" s="1354">
        <v>420</v>
      </c>
    </row>
    <row r="1117" spans="1:9" s="1354" customFormat="1" x14ac:dyDescent="0.2">
      <c r="A1117" s="1354" t="s">
        <v>1976</v>
      </c>
      <c r="B1117" s="1361">
        <f>'Part 3 DA summary'!$W13</f>
        <v>0</v>
      </c>
      <c r="C1117" s="1356" t="s">
        <v>3204</v>
      </c>
      <c r="F1117" s="1354" t="s">
        <v>4560</v>
      </c>
      <c r="G1117" s="1354" t="s">
        <v>4561</v>
      </c>
      <c r="H1117" s="1354" t="s">
        <v>3195</v>
      </c>
      <c r="I1117" s="1354">
        <v>421</v>
      </c>
    </row>
    <row r="1118" spans="1:9" s="1354" customFormat="1" x14ac:dyDescent="0.2">
      <c r="A1118" s="1354" t="s">
        <v>1977</v>
      </c>
      <c r="B1118" s="1361">
        <f>'Part 3 DA summary'!$W14</f>
        <v>0</v>
      </c>
      <c r="C1118" s="1356" t="s">
        <v>3204</v>
      </c>
      <c r="F1118" s="1354" t="s">
        <v>4560</v>
      </c>
      <c r="G1118" s="1354" t="s">
        <v>4562</v>
      </c>
      <c r="H1118" s="1354" t="s">
        <v>3195</v>
      </c>
      <c r="I1118" s="1354">
        <v>422</v>
      </c>
    </row>
    <row r="1119" spans="1:9" s="1354" customFormat="1" x14ac:dyDescent="0.2">
      <c r="A1119" s="1354" t="s">
        <v>1978</v>
      </c>
      <c r="B1119" s="1361">
        <f>'Part 3 DA summary'!$W15</f>
        <v>0</v>
      </c>
      <c r="C1119" s="1356" t="s">
        <v>3204</v>
      </c>
      <c r="F1119" s="1354" t="s">
        <v>4560</v>
      </c>
      <c r="G1119" s="1354" t="s">
        <v>4563</v>
      </c>
      <c r="H1119" s="1354" t="s">
        <v>3195</v>
      </c>
      <c r="I1119" s="1354">
        <v>423</v>
      </c>
    </row>
    <row r="1120" spans="1:9" s="1354" customFormat="1" ht="14.25" customHeight="1" x14ac:dyDescent="0.2">
      <c r="A1120" s="1354" t="s">
        <v>1979</v>
      </c>
      <c r="B1120" s="1361">
        <f>'Part 3 DA summary'!$W16</f>
        <v>0</v>
      </c>
      <c r="C1120" s="1356" t="s">
        <v>3204</v>
      </c>
      <c r="F1120" s="1354" t="s">
        <v>4560</v>
      </c>
      <c r="G1120" s="1354" t="s">
        <v>4564</v>
      </c>
      <c r="H1120" s="1354" t="s">
        <v>3195</v>
      </c>
      <c r="I1120" s="1354">
        <v>424</v>
      </c>
    </row>
    <row r="1121" spans="1:9" s="1354" customFormat="1" ht="14.25" customHeight="1" x14ac:dyDescent="0.2">
      <c r="A1121" s="1354" t="s">
        <v>1980</v>
      </c>
      <c r="B1121" s="1361">
        <f>'Part 3 DA summary'!$W17</f>
        <v>0</v>
      </c>
      <c r="C1121" s="1356" t="s">
        <v>3204</v>
      </c>
      <c r="F1121" s="1354" t="s">
        <v>4560</v>
      </c>
      <c r="G1121" s="1354" t="s">
        <v>4565</v>
      </c>
      <c r="H1121" s="1354" t="s">
        <v>3195</v>
      </c>
      <c r="I1121" s="1354">
        <v>425</v>
      </c>
    </row>
    <row r="1122" spans="1:9" s="1354" customFormat="1" ht="14.25" customHeight="1" x14ac:dyDescent="0.2">
      <c r="A1122" s="1354" t="s">
        <v>1981</v>
      </c>
      <c r="B1122" s="1361">
        <f>'Part 3 DA summary'!$W18</f>
        <v>0</v>
      </c>
      <c r="C1122" s="1356" t="s">
        <v>3204</v>
      </c>
      <c r="F1122" s="1354" t="s">
        <v>4560</v>
      </c>
      <c r="G1122" s="1354" t="s">
        <v>4566</v>
      </c>
      <c r="H1122" s="1354" t="s">
        <v>3195</v>
      </c>
      <c r="I1122" s="1354">
        <v>426</v>
      </c>
    </row>
    <row r="1123" spans="1:9" s="1354" customFormat="1" x14ac:dyDescent="0.2">
      <c r="A1123" s="1354" t="s">
        <v>1982</v>
      </c>
      <c r="B1123" s="1361">
        <f>'Part 3 DA summary'!$W19</f>
        <v>0</v>
      </c>
      <c r="C1123" s="1356" t="s">
        <v>3204</v>
      </c>
      <c r="F1123" s="1354" t="s">
        <v>4560</v>
      </c>
      <c r="G1123" s="1354" t="s">
        <v>4567</v>
      </c>
      <c r="H1123" s="1354" t="s">
        <v>3195</v>
      </c>
      <c r="I1123" s="1354">
        <v>427</v>
      </c>
    </row>
    <row r="1124" spans="1:9" s="1354" customFormat="1" x14ac:dyDescent="0.2">
      <c r="A1124" s="1354" t="s">
        <v>1983</v>
      </c>
      <c r="B1124" s="1361">
        <f>'Part 3 DA summary'!$W20</f>
        <v>0</v>
      </c>
      <c r="C1124" s="1356" t="s">
        <v>3204</v>
      </c>
      <c r="F1124" s="1354" t="s">
        <v>4560</v>
      </c>
      <c r="G1124" s="1354" t="s">
        <v>4568</v>
      </c>
      <c r="H1124" s="1354" t="s">
        <v>3195</v>
      </c>
      <c r="I1124" s="1354">
        <v>428</v>
      </c>
    </row>
    <row r="1125" spans="1:9" s="1354" customFormat="1" x14ac:dyDescent="0.2">
      <c r="A1125" s="1354" t="s">
        <v>1984</v>
      </c>
      <c r="B1125" s="1361">
        <f>'Part 3 DA summary'!$W21</f>
        <v>0</v>
      </c>
      <c r="C1125" s="1356" t="s">
        <v>3204</v>
      </c>
      <c r="F1125" s="1354" t="s">
        <v>4560</v>
      </c>
      <c r="G1125" s="1354" t="s">
        <v>4569</v>
      </c>
      <c r="H1125" s="1354" t="s">
        <v>3195</v>
      </c>
      <c r="I1125" s="1354">
        <v>429</v>
      </c>
    </row>
    <row r="1126" spans="1:9" s="1354" customFormat="1" x14ac:dyDescent="0.2">
      <c r="A1126" s="1354" t="s">
        <v>1985</v>
      </c>
      <c r="B1126" s="1361">
        <f>'Part 3 DA summary'!$W22</f>
        <v>0</v>
      </c>
      <c r="C1126" s="1356" t="s">
        <v>3204</v>
      </c>
      <c r="F1126" s="1354" t="s">
        <v>4560</v>
      </c>
      <c r="G1126" s="1354" t="s">
        <v>4570</v>
      </c>
      <c r="H1126" s="1354" t="s">
        <v>3195</v>
      </c>
      <c r="I1126" s="1354">
        <v>430</v>
      </c>
    </row>
    <row r="1127" spans="1:9" s="1354" customFormat="1" x14ac:dyDescent="0.2">
      <c r="A1127" s="1354" t="s">
        <v>1986</v>
      </c>
      <c r="B1127" s="1361">
        <f>'Part 3 DA summary'!$W23</f>
        <v>0</v>
      </c>
      <c r="C1127" s="1356" t="s">
        <v>3204</v>
      </c>
      <c r="F1127" s="1354" t="s">
        <v>4560</v>
      </c>
      <c r="G1127" s="1354" t="s">
        <v>4571</v>
      </c>
      <c r="H1127" s="1354" t="s">
        <v>3195</v>
      </c>
      <c r="I1127" s="1354">
        <v>431</v>
      </c>
    </row>
    <row r="1128" spans="1:9" s="1354" customFormat="1" x14ac:dyDescent="0.2">
      <c r="A1128" s="1354" t="s">
        <v>1987</v>
      </c>
      <c r="B1128" s="1361">
        <f>'Part 3 DA summary'!$W24</f>
        <v>0</v>
      </c>
      <c r="C1128" s="1356" t="s">
        <v>3204</v>
      </c>
      <c r="F1128" s="1354" t="s">
        <v>4560</v>
      </c>
      <c r="G1128" s="1354" t="s">
        <v>4572</v>
      </c>
      <c r="H1128" s="1354" t="s">
        <v>3195</v>
      </c>
      <c r="I1128" s="1354">
        <v>432</v>
      </c>
    </row>
    <row r="1129" spans="1:9" s="1354" customFormat="1" x14ac:dyDescent="0.2">
      <c r="A1129" s="1354" t="s">
        <v>1988</v>
      </c>
      <c r="B1129" s="1361">
        <f>'Part 3 DA summary'!$W25</f>
        <v>0</v>
      </c>
      <c r="C1129" s="1356" t="s">
        <v>3204</v>
      </c>
      <c r="F1129" s="1354" t="s">
        <v>4560</v>
      </c>
      <c r="G1129" s="1354" t="s">
        <v>4573</v>
      </c>
      <c r="H1129" s="1354" t="s">
        <v>3195</v>
      </c>
      <c r="I1129" s="1354">
        <v>433</v>
      </c>
    </row>
    <row r="1130" spans="1:9" s="1354" customFormat="1" x14ac:dyDescent="0.2">
      <c r="A1130" s="1354" t="s">
        <v>1989</v>
      </c>
      <c r="B1130" s="1361">
        <f>'Part 3 DA summary'!$W26</f>
        <v>0</v>
      </c>
      <c r="C1130" s="1356" t="s">
        <v>3204</v>
      </c>
      <c r="F1130" s="1354" t="s">
        <v>4560</v>
      </c>
      <c r="G1130" s="1354" t="s">
        <v>4574</v>
      </c>
      <c r="H1130" s="1354" t="s">
        <v>3195</v>
      </c>
      <c r="I1130" s="1354">
        <v>434</v>
      </c>
    </row>
    <row r="1131" spans="1:9" s="1354" customFormat="1" x14ac:dyDescent="0.2">
      <c r="A1131" s="1354" t="s">
        <v>1990</v>
      </c>
      <c r="B1131" s="1361">
        <f>'Part 3 DA summary'!$W27</f>
        <v>0</v>
      </c>
      <c r="C1131" s="1356" t="s">
        <v>3204</v>
      </c>
      <c r="F1131" s="1354" t="s">
        <v>4560</v>
      </c>
      <c r="G1131" s="1354" t="s">
        <v>4575</v>
      </c>
      <c r="H1131" s="1354" t="s">
        <v>3195</v>
      </c>
      <c r="I1131" s="1354">
        <v>435</v>
      </c>
    </row>
    <row r="1132" spans="1:9" s="1354" customFormat="1" x14ac:dyDescent="0.2">
      <c r="A1132" s="1354" t="s">
        <v>1991</v>
      </c>
      <c r="B1132" s="1361">
        <f>'Part 3 DA summary'!$W28</f>
        <v>0</v>
      </c>
      <c r="C1132" s="1356" t="s">
        <v>3204</v>
      </c>
      <c r="F1132" s="1354" t="s">
        <v>4560</v>
      </c>
      <c r="G1132" s="1354" t="s">
        <v>4576</v>
      </c>
      <c r="H1132" s="1354" t="s">
        <v>3195</v>
      </c>
      <c r="I1132" s="1354">
        <v>436</v>
      </c>
    </row>
    <row r="1133" spans="1:9" s="1354" customFormat="1" x14ac:dyDescent="0.2">
      <c r="A1133" s="1354" t="s">
        <v>1992</v>
      </c>
      <c r="B1133" s="1361">
        <f>'Part 3 DA summary'!$W29</f>
        <v>0</v>
      </c>
      <c r="C1133" s="1356" t="s">
        <v>3204</v>
      </c>
      <c r="F1133" s="1354" t="s">
        <v>4560</v>
      </c>
      <c r="G1133" s="1354" t="s">
        <v>4577</v>
      </c>
      <c r="H1133" s="1354" t="s">
        <v>3195</v>
      </c>
      <c r="I1133" s="1354">
        <v>437</v>
      </c>
    </row>
    <row r="1134" spans="1:9" s="1354" customFormat="1" x14ac:dyDescent="0.2">
      <c r="A1134" s="1354" t="s">
        <v>1993</v>
      </c>
      <c r="B1134" s="1361">
        <f>'Part 3 DA summary'!$W30</f>
        <v>0</v>
      </c>
      <c r="C1134" s="1356" t="s">
        <v>3204</v>
      </c>
      <c r="F1134" s="1354" t="s">
        <v>4560</v>
      </c>
      <c r="G1134" s="1354" t="s">
        <v>4578</v>
      </c>
      <c r="H1134" s="1354" t="s">
        <v>3195</v>
      </c>
      <c r="I1134" s="1354">
        <v>438</v>
      </c>
    </row>
    <row r="1135" spans="1:9" s="1354" customFormat="1" x14ac:dyDescent="0.2">
      <c r="A1135" s="1354" t="s">
        <v>1994</v>
      </c>
      <c r="B1135" s="1361">
        <f>'Part 3 DA summary'!$W31</f>
        <v>0</v>
      </c>
      <c r="C1135" s="1356" t="s">
        <v>3204</v>
      </c>
      <c r="F1135" s="1354" t="s">
        <v>4560</v>
      </c>
      <c r="G1135" s="1354" t="s">
        <v>4579</v>
      </c>
      <c r="H1135" s="1354" t="s">
        <v>3195</v>
      </c>
      <c r="I1135" s="1354">
        <v>439</v>
      </c>
    </row>
    <row r="1136" spans="1:9" s="1354" customFormat="1" x14ac:dyDescent="0.2">
      <c r="A1136" s="1354" t="s">
        <v>1995</v>
      </c>
      <c r="B1136" s="1361">
        <f>'Part 3 DA summary'!$W32</f>
        <v>0</v>
      </c>
      <c r="C1136" s="1356" t="s">
        <v>3204</v>
      </c>
      <c r="F1136" s="1354" t="s">
        <v>4560</v>
      </c>
      <c r="G1136" s="1354" t="s">
        <v>4580</v>
      </c>
      <c r="H1136" s="1354" t="s">
        <v>3195</v>
      </c>
      <c r="I1136" s="1354">
        <v>440</v>
      </c>
    </row>
    <row r="1137" spans="1:9" s="1354" customFormat="1" x14ac:dyDescent="0.2">
      <c r="A1137" s="1354" t="s">
        <v>1996</v>
      </c>
      <c r="B1137" s="1361">
        <f>'Part 3 DA summary'!$W33</f>
        <v>0</v>
      </c>
      <c r="C1137" s="1356" t="s">
        <v>3204</v>
      </c>
      <c r="F1137" s="1354" t="s">
        <v>4560</v>
      </c>
      <c r="G1137" s="1354" t="s">
        <v>4581</v>
      </c>
      <c r="H1137" s="1354" t="s">
        <v>3195</v>
      </c>
      <c r="I1137" s="1354">
        <v>441</v>
      </c>
    </row>
    <row r="1138" spans="1:9" s="1354" customFormat="1" x14ac:dyDescent="0.2">
      <c r="A1138" s="1354" t="s">
        <v>1997</v>
      </c>
      <c r="B1138" s="1361">
        <f>'Part 3 DA summary'!$W34</f>
        <v>0</v>
      </c>
      <c r="C1138" s="1356" t="s">
        <v>3204</v>
      </c>
      <c r="F1138" s="1354" t="s">
        <v>4560</v>
      </c>
      <c r="G1138" s="1354" t="s">
        <v>4582</v>
      </c>
      <c r="H1138" s="1354" t="s">
        <v>3195</v>
      </c>
      <c r="I1138" s="1354">
        <v>442</v>
      </c>
    </row>
    <row r="1139" spans="1:9" s="1354" customFormat="1" x14ac:dyDescent="0.2">
      <c r="A1139" s="1354" t="s">
        <v>1998</v>
      </c>
      <c r="B1139" s="1361">
        <f>'Part 3 DA summary'!$W35</f>
        <v>0</v>
      </c>
      <c r="C1139" s="1356" t="s">
        <v>3204</v>
      </c>
      <c r="F1139" s="1354" t="s">
        <v>4560</v>
      </c>
      <c r="G1139" s="1354" t="s">
        <v>4583</v>
      </c>
      <c r="H1139" s="1354" t="s">
        <v>3195</v>
      </c>
      <c r="I1139" s="1354">
        <v>443</v>
      </c>
    </row>
    <row r="1140" spans="1:9" s="1354" customFormat="1" x14ac:dyDescent="0.2">
      <c r="A1140" s="1354" t="s">
        <v>1999</v>
      </c>
      <c r="B1140" s="1361">
        <f>'Part 3 DA summary'!$W36</f>
        <v>0</v>
      </c>
      <c r="C1140" s="1356" t="s">
        <v>3204</v>
      </c>
      <c r="F1140" s="1354" t="s">
        <v>4560</v>
      </c>
      <c r="G1140" s="1354" t="s">
        <v>4584</v>
      </c>
      <c r="H1140" s="1354" t="s">
        <v>3195</v>
      </c>
      <c r="I1140" s="1354">
        <v>444</v>
      </c>
    </row>
    <row r="1141" spans="1:9" s="1354" customFormat="1" x14ac:dyDescent="0.2">
      <c r="A1141" s="1354" t="s">
        <v>2000</v>
      </c>
      <c r="B1141" s="1361">
        <f>'Part 3 DA summary'!$W37</f>
        <v>0</v>
      </c>
      <c r="C1141" s="1356" t="s">
        <v>3204</v>
      </c>
      <c r="F1141" s="1354" t="s">
        <v>4560</v>
      </c>
      <c r="G1141" s="1354" t="s">
        <v>4585</v>
      </c>
      <c r="H1141" s="1354" t="s">
        <v>3195</v>
      </c>
      <c r="I1141" s="1354">
        <v>445</v>
      </c>
    </row>
    <row r="1142" spans="1:9" s="1354" customFormat="1" x14ac:dyDescent="0.2">
      <c r="A1142" s="1354" t="s">
        <v>2001</v>
      </c>
      <c r="B1142" s="1361">
        <f>'Part 3 DA summary'!$W38</f>
        <v>0</v>
      </c>
      <c r="C1142" s="1356" t="s">
        <v>3204</v>
      </c>
      <c r="F1142" s="1354" t="s">
        <v>4560</v>
      </c>
      <c r="G1142" s="1354" t="s">
        <v>4586</v>
      </c>
      <c r="H1142" s="1354" t="s">
        <v>3195</v>
      </c>
      <c r="I1142" s="1354">
        <v>446</v>
      </c>
    </row>
    <row r="1143" spans="1:9" s="1354" customFormat="1" x14ac:dyDescent="0.2">
      <c r="A1143" s="1354" t="s">
        <v>2002</v>
      </c>
      <c r="B1143" s="1361">
        <f>'Part 3 DA summary'!$W39</f>
        <v>0</v>
      </c>
      <c r="C1143" s="1356" t="s">
        <v>3204</v>
      </c>
      <c r="F1143" s="1354" t="s">
        <v>4560</v>
      </c>
      <c r="G1143" s="1354" t="s">
        <v>4587</v>
      </c>
      <c r="H1143" s="1354" t="s">
        <v>3195</v>
      </c>
      <c r="I1143" s="1354">
        <v>447</v>
      </c>
    </row>
    <row r="1144" spans="1:9" s="1354" customFormat="1" x14ac:dyDescent="0.2">
      <c r="A1144" s="1354" t="s">
        <v>2003</v>
      </c>
      <c r="B1144" s="1361">
        <f>'Part 3 DA summary'!$W40</f>
        <v>0</v>
      </c>
      <c r="C1144" s="1356" t="s">
        <v>3204</v>
      </c>
      <c r="F1144" s="1354" t="s">
        <v>4560</v>
      </c>
      <c r="G1144" s="1354" t="s">
        <v>4588</v>
      </c>
      <c r="H1144" s="1354" t="s">
        <v>3195</v>
      </c>
      <c r="I1144" s="1354">
        <v>448</v>
      </c>
    </row>
    <row r="1145" spans="1:9" s="1354" customFormat="1" x14ac:dyDescent="0.2">
      <c r="A1145" s="1354" t="s">
        <v>2004</v>
      </c>
      <c r="B1145" s="1361">
        <f>'Part 3 DA summary'!$W41</f>
        <v>0</v>
      </c>
      <c r="C1145" s="1356" t="s">
        <v>3204</v>
      </c>
      <c r="F1145" s="1354" t="s">
        <v>4560</v>
      </c>
      <c r="G1145" s="1354" t="s">
        <v>4589</v>
      </c>
      <c r="H1145" s="1354" t="s">
        <v>3195</v>
      </c>
      <c r="I1145" s="1354">
        <v>449</v>
      </c>
    </row>
    <row r="1146" spans="1:9" s="1354" customFormat="1" x14ac:dyDescent="0.2">
      <c r="A1146" s="1354" t="s">
        <v>2005</v>
      </c>
      <c r="B1146" s="1361">
        <f>'Part 3 DA summary'!$W42</f>
        <v>0</v>
      </c>
      <c r="C1146" s="1356" t="s">
        <v>3204</v>
      </c>
      <c r="F1146" s="1354" t="s">
        <v>4560</v>
      </c>
      <c r="G1146" s="1354" t="s">
        <v>4590</v>
      </c>
      <c r="H1146" s="1354" t="s">
        <v>3195</v>
      </c>
      <c r="I1146" s="1354">
        <v>450</v>
      </c>
    </row>
    <row r="1147" spans="1:9" s="1354" customFormat="1" x14ac:dyDescent="0.2">
      <c r="A1147" s="1354" t="s">
        <v>2006</v>
      </c>
      <c r="B1147" s="1361">
        <f>'Part 3 DA summary'!$W43</f>
        <v>0</v>
      </c>
      <c r="C1147" s="1356" t="s">
        <v>3204</v>
      </c>
      <c r="F1147" s="1354" t="s">
        <v>4560</v>
      </c>
      <c r="G1147" s="1354" t="s">
        <v>4591</v>
      </c>
      <c r="H1147" s="1354" t="s">
        <v>3195</v>
      </c>
      <c r="I1147" s="1354">
        <v>451</v>
      </c>
    </row>
    <row r="1148" spans="1:9" s="1354" customFormat="1" x14ac:dyDescent="0.2">
      <c r="A1148" s="1354" t="s">
        <v>2007</v>
      </c>
      <c r="B1148" s="1361">
        <f>'Part 3 DA summary'!$W44</f>
        <v>0</v>
      </c>
      <c r="C1148" s="1356" t="s">
        <v>3204</v>
      </c>
      <c r="F1148" s="1354" t="s">
        <v>4560</v>
      </c>
      <c r="G1148" s="1354" t="s">
        <v>4592</v>
      </c>
      <c r="H1148" s="1354" t="s">
        <v>3195</v>
      </c>
      <c r="I1148" s="1354">
        <v>452</v>
      </c>
    </row>
    <row r="1149" spans="1:9" s="1354" customFormat="1" x14ac:dyDescent="0.2">
      <c r="A1149" s="1354" t="s">
        <v>2008</v>
      </c>
      <c r="B1149" s="1361">
        <f>'Part 3 DA summary'!$W45</f>
        <v>0</v>
      </c>
      <c r="C1149" s="1356" t="s">
        <v>3204</v>
      </c>
      <c r="F1149" s="1354" t="s">
        <v>4560</v>
      </c>
      <c r="G1149" s="1354" t="s">
        <v>4593</v>
      </c>
      <c r="H1149" s="1354" t="s">
        <v>3195</v>
      </c>
      <c r="I1149" s="1354">
        <v>453</v>
      </c>
    </row>
    <row r="1150" spans="1:9" s="1354" customFormat="1" x14ac:dyDescent="0.2">
      <c r="A1150" s="1354" t="s">
        <v>2009</v>
      </c>
      <c r="B1150" s="1361">
        <f>'Part 3 DA summary'!$W46</f>
        <v>0</v>
      </c>
      <c r="C1150" s="1356" t="s">
        <v>3204</v>
      </c>
      <c r="F1150" s="1354" t="s">
        <v>4560</v>
      </c>
      <c r="G1150" s="1354" t="s">
        <v>4594</v>
      </c>
      <c r="H1150" s="1354" t="s">
        <v>3195</v>
      </c>
      <c r="I1150" s="1354">
        <v>454</v>
      </c>
    </row>
    <row r="1151" spans="1:9" s="1354" customFormat="1" ht="15" customHeight="1" x14ac:dyDescent="0.2">
      <c r="A1151" s="1354" t="s">
        <v>2010</v>
      </c>
      <c r="B1151" s="1361">
        <f>'Part 3 DA summary'!$W47</f>
        <v>0</v>
      </c>
      <c r="C1151" s="1356" t="s">
        <v>3204</v>
      </c>
      <c r="F1151" s="1354" t="s">
        <v>4560</v>
      </c>
      <c r="G1151" s="1354" t="s">
        <v>4595</v>
      </c>
      <c r="H1151" s="1354" t="s">
        <v>3195</v>
      </c>
      <c r="I1151" s="1354">
        <v>455</v>
      </c>
    </row>
    <row r="1152" spans="1:9" s="1354" customFormat="1" x14ac:dyDescent="0.2">
      <c r="A1152" s="1354" t="s">
        <v>2011</v>
      </c>
      <c r="B1152" s="1361">
        <f>'Part 3 DA summary'!$W48</f>
        <v>0</v>
      </c>
      <c r="C1152" s="1356" t="s">
        <v>3204</v>
      </c>
      <c r="F1152" s="1354" t="s">
        <v>4560</v>
      </c>
      <c r="G1152" s="1354" t="s">
        <v>4596</v>
      </c>
      <c r="H1152" s="1354" t="s">
        <v>3195</v>
      </c>
      <c r="I1152" s="1354">
        <v>456</v>
      </c>
    </row>
    <row r="1153" spans="1:9" s="1354" customFormat="1" x14ac:dyDescent="0.2">
      <c r="A1153" s="1354" t="s">
        <v>2012</v>
      </c>
      <c r="B1153" s="1361">
        <f>'Part 3 DA summary'!$W49</f>
        <v>0</v>
      </c>
      <c r="C1153" s="1356" t="s">
        <v>3204</v>
      </c>
      <c r="F1153" s="1354" t="s">
        <v>4560</v>
      </c>
      <c r="G1153" s="1354" t="s">
        <v>4597</v>
      </c>
      <c r="H1153" s="1354" t="s">
        <v>3195</v>
      </c>
      <c r="I1153" s="1354">
        <v>457</v>
      </c>
    </row>
    <row r="1154" spans="1:9" s="1354" customFormat="1" x14ac:dyDescent="0.2">
      <c r="A1154" s="1354" t="s">
        <v>2013</v>
      </c>
      <c r="B1154" s="1361">
        <f>'Part 3 DA summary'!$W50</f>
        <v>0</v>
      </c>
      <c r="C1154" s="1356" t="s">
        <v>3204</v>
      </c>
      <c r="F1154" s="1354" t="s">
        <v>4560</v>
      </c>
      <c r="G1154" s="1354" t="s">
        <v>4598</v>
      </c>
      <c r="H1154" s="1354" t="s">
        <v>3195</v>
      </c>
      <c r="I1154" s="1354">
        <v>458</v>
      </c>
    </row>
    <row r="1155" spans="1:9" s="1354" customFormat="1" x14ac:dyDescent="0.2">
      <c r="A1155" s="1354" t="s">
        <v>2014</v>
      </c>
      <c r="B1155" s="1361">
        <f>'Part 3 DA summary'!$W51</f>
        <v>0</v>
      </c>
      <c r="C1155" s="1356" t="s">
        <v>3204</v>
      </c>
      <c r="F1155" s="1354" t="s">
        <v>4560</v>
      </c>
      <c r="G1155" s="1354" t="s">
        <v>4599</v>
      </c>
      <c r="H1155" s="1354" t="s">
        <v>3195</v>
      </c>
      <c r="I1155" s="1354">
        <v>459</v>
      </c>
    </row>
    <row r="1156" spans="1:9" s="1354" customFormat="1" x14ac:dyDescent="0.2">
      <c r="A1156" s="1354" t="s">
        <v>2015</v>
      </c>
      <c r="B1156" s="1361">
        <f>'Part 3 DA summary'!$W52</f>
        <v>0</v>
      </c>
      <c r="C1156" s="1356" t="s">
        <v>3204</v>
      </c>
      <c r="F1156" s="1354" t="s">
        <v>4560</v>
      </c>
      <c r="G1156" s="1354" t="s">
        <v>4600</v>
      </c>
      <c r="H1156" s="1354" t="s">
        <v>3195</v>
      </c>
      <c r="I1156" s="1354">
        <v>460</v>
      </c>
    </row>
    <row r="1157" spans="1:9" s="1354" customFormat="1" x14ac:dyDescent="0.2">
      <c r="A1157" s="1354" t="s">
        <v>2016</v>
      </c>
      <c r="B1157" s="1361">
        <f>'Part 3 DA summary'!$W53</f>
        <v>0</v>
      </c>
      <c r="C1157" s="1356" t="s">
        <v>3204</v>
      </c>
      <c r="F1157" s="1354" t="s">
        <v>4560</v>
      </c>
      <c r="G1157" s="1354" t="s">
        <v>4601</v>
      </c>
      <c r="H1157" s="1354" t="s">
        <v>3195</v>
      </c>
      <c r="I1157" s="1354">
        <v>461</v>
      </c>
    </row>
    <row r="1158" spans="1:9" s="1354" customFormat="1" ht="14.25" customHeight="1" x14ac:dyDescent="0.25">
      <c r="A1158" s="1362" t="s">
        <v>2017</v>
      </c>
      <c r="B1158" s="1361">
        <f>'Part 3 DA summary'!$Y6</f>
        <v>0</v>
      </c>
      <c r="C1158" s="1359" t="s">
        <v>3204</v>
      </c>
      <c r="D1158" s="1360"/>
      <c r="E1158" s="1360"/>
      <c r="F1158" s="1354" t="s">
        <v>4602</v>
      </c>
      <c r="G1158" s="1354" t="s">
        <v>4603</v>
      </c>
      <c r="H1158" s="1354" t="s">
        <v>3195</v>
      </c>
      <c r="I1158" s="1354">
        <v>462</v>
      </c>
    </row>
    <row r="1159" spans="1:9" s="1354" customFormat="1" x14ac:dyDescent="0.2">
      <c r="A1159" s="1354" t="s">
        <v>2018</v>
      </c>
      <c r="B1159" s="1361" t="str">
        <f>'Part 3 DA summary'!$Y13</f>
        <v/>
      </c>
      <c r="C1159" s="1356" t="s">
        <v>3204</v>
      </c>
      <c r="F1159" s="1354" t="s">
        <v>4604</v>
      </c>
      <c r="G1159" s="1354" t="s">
        <v>4605</v>
      </c>
      <c r="H1159" s="1354" t="s">
        <v>3195</v>
      </c>
      <c r="I1159" s="1354">
        <v>463</v>
      </c>
    </row>
    <row r="1160" spans="1:9" s="1354" customFormat="1" x14ac:dyDescent="0.2">
      <c r="A1160" s="1354" t="s">
        <v>2019</v>
      </c>
      <c r="B1160" s="1361" t="str">
        <f>'Part 3 DA summary'!$Y14</f>
        <v/>
      </c>
      <c r="C1160" s="1356" t="s">
        <v>3204</v>
      </c>
      <c r="F1160" s="1354" t="s">
        <v>4604</v>
      </c>
      <c r="G1160" s="1354" t="s">
        <v>4606</v>
      </c>
      <c r="H1160" s="1354" t="s">
        <v>3195</v>
      </c>
      <c r="I1160" s="1354">
        <v>464</v>
      </c>
    </row>
    <row r="1161" spans="1:9" s="1354" customFormat="1" x14ac:dyDescent="0.2">
      <c r="A1161" s="1354" t="s">
        <v>2020</v>
      </c>
      <c r="B1161" s="1361" t="str">
        <f>'Part 3 DA summary'!$Y15</f>
        <v/>
      </c>
      <c r="C1161" s="1356" t="s">
        <v>3204</v>
      </c>
      <c r="F1161" s="1354" t="s">
        <v>4604</v>
      </c>
      <c r="G1161" s="1354" t="s">
        <v>4607</v>
      </c>
      <c r="H1161" s="1354" t="s">
        <v>3195</v>
      </c>
      <c r="I1161" s="1354">
        <v>465</v>
      </c>
    </row>
    <row r="1162" spans="1:9" s="1354" customFormat="1" ht="14.25" customHeight="1" x14ac:dyDescent="0.2">
      <c r="A1162" s="1354" t="s">
        <v>2021</v>
      </c>
      <c r="B1162" s="1361" t="str">
        <f>'Part 3 DA summary'!$Y16</f>
        <v/>
      </c>
      <c r="C1162" s="1356" t="s">
        <v>3204</v>
      </c>
      <c r="F1162" s="1354" t="s">
        <v>4604</v>
      </c>
      <c r="G1162" s="1354" t="s">
        <v>4608</v>
      </c>
      <c r="H1162" s="1354" t="s">
        <v>3195</v>
      </c>
      <c r="I1162" s="1354">
        <v>466</v>
      </c>
    </row>
    <row r="1163" spans="1:9" s="1354" customFormat="1" ht="14.25" customHeight="1" x14ac:dyDescent="0.2">
      <c r="A1163" s="1354" t="s">
        <v>2022</v>
      </c>
      <c r="B1163" s="1361" t="str">
        <f>'Part 3 DA summary'!$Y17</f>
        <v/>
      </c>
      <c r="C1163" s="1356" t="s">
        <v>3204</v>
      </c>
      <c r="F1163" s="1354" t="s">
        <v>4604</v>
      </c>
      <c r="G1163" s="1354" t="s">
        <v>4609</v>
      </c>
      <c r="H1163" s="1354" t="s">
        <v>3195</v>
      </c>
      <c r="I1163" s="1354">
        <v>467</v>
      </c>
    </row>
    <row r="1164" spans="1:9" s="1354" customFormat="1" ht="14.25" customHeight="1" x14ac:dyDescent="0.2">
      <c r="A1164" s="1354" t="s">
        <v>2023</v>
      </c>
      <c r="B1164" s="1361" t="str">
        <f>'Part 3 DA summary'!$Y18</f>
        <v/>
      </c>
      <c r="C1164" s="1356" t="s">
        <v>3204</v>
      </c>
      <c r="F1164" s="1354" t="s">
        <v>4604</v>
      </c>
      <c r="G1164" s="1354" t="s">
        <v>4610</v>
      </c>
      <c r="H1164" s="1354" t="s">
        <v>3195</v>
      </c>
      <c r="I1164" s="1354">
        <v>468</v>
      </c>
    </row>
    <row r="1165" spans="1:9" s="1354" customFormat="1" x14ac:dyDescent="0.2">
      <c r="A1165" s="1354" t="s">
        <v>2024</v>
      </c>
      <c r="B1165" s="1361" t="str">
        <f>'Part 3 DA summary'!$Y19</f>
        <v/>
      </c>
      <c r="C1165" s="1356" t="s">
        <v>3204</v>
      </c>
      <c r="F1165" s="1354" t="s">
        <v>4604</v>
      </c>
      <c r="G1165" s="1354" t="s">
        <v>4611</v>
      </c>
      <c r="H1165" s="1354" t="s">
        <v>3195</v>
      </c>
      <c r="I1165" s="1354">
        <v>469</v>
      </c>
    </row>
    <row r="1166" spans="1:9" s="1354" customFormat="1" x14ac:dyDescent="0.2">
      <c r="A1166" s="1354" t="s">
        <v>2025</v>
      </c>
      <c r="B1166" s="1361" t="str">
        <f>'Part 3 DA summary'!$Y20</f>
        <v/>
      </c>
      <c r="C1166" s="1356" t="s">
        <v>3204</v>
      </c>
      <c r="F1166" s="1354" t="s">
        <v>4604</v>
      </c>
      <c r="G1166" s="1354" t="s">
        <v>4612</v>
      </c>
      <c r="H1166" s="1354" t="s">
        <v>3195</v>
      </c>
      <c r="I1166" s="1354">
        <v>470</v>
      </c>
    </row>
    <row r="1167" spans="1:9" s="1354" customFormat="1" x14ac:dyDescent="0.2">
      <c r="A1167" s="1354" t="s">
        <v>2026</v>
      </c>
      <c r="B1167" s="1361" t="str">
        <f>'Part 3 DA summary'!$Y21</f>
        <v/>
      </c>
      <c r="C1167" s="1356" t="s">
        <v>3204</v>
      </c>
      <c r="F1167" s="1354" t="s">
        <v>4604</v>
      </c>
      <c r="G1167" s="1354" t="s">
        <v>4613</v>
      </c>
      <c r="H1167" s="1354" t="s">
        <v>3195</v>
      </c>
      <c r="I1167" s="1354">
        <v>471</v>
      </c>
    </row>
    <row r="1168" spans="1:9" s="1354" customFormat="1" x14ac:dyDescent="0.2">
      <c r="A1168" s="1354" t="s">
        <v>2027</v>
      </c>
      <c r="B1168" s="1361" t="str">
        <f>'Part 3 DA summary'!$Y22</f>
        <v/>
      </c>
      <c r="C1168" s="1356" t="s">
        <v>3204</v>
      </c>
      <c r="F1168" s="1354" t="s">
        <v>4604</v>
      </c>
      <c r="G1168" s="1354" t="s">
        <v>4614</v>
      </c>
      <c r="H1168" s="1354" t="s">
        <v>3195</v>
      </c>
      <c r="I1168" s="1354">
        <v>472</v>
      </c>
    </row>
    <row r="1169" spans="1:9" s="1354" customFormat="1" x14ac:dyDescent="0.2">
      <c r="A1169" s="1354" t="s">
        <v>2028</v>
      </c>
      <c r="B1169" s="1361" t="str">
        <f>'Part 3 DA summary'!$Y23</f>
        <v/>
      </c>
      <c r="C1169" s="1356" t="s">
        <v>3204</v>
      </c>
      <c r="F1169" s="1354" t="s">
        <v>4604</v>
      </c>
      <c r="G1169" s="1354" t="s">
        <v>4615</v>
      </c>
      <c r="H1169" s="1354" t="s">
        <v>3195</v>
      </c>
      <c r="I1169" s="1354">
        <v>473</v>
      </c>
    </row>
    <row r="1170" spans="1:9" s="1354" customFormat="1" x14ac:dyDescent="0.2">
      <c r="A1170" s="1354" t="s">
        <v>2029</v>
      </c>
      <c r="B1170" s="1361" t="str">
        <f>'Part 3 DA summary'!$Y24</f>
        <v/>
      </c>
      <c r="C1170" s="1356" t="s">
        <v>3204</v>
      </c>
      <c r="F1170" s="1354" t="s">
        <v>4604</v>
      </c>
      <c r="G1170" s="1354" t="s">
        <v>4616</v>
      </c>
      <c r="H1170" s="1354" t="s">
        <v>3195</v>
      </c>
      <c r="I1170" s="1354">
        <v>474</v>
      </c>
    </row>
    <row r="1171" spans="1:9" s="1354" customFormat="1" x14ac:dyDescent="0.2">
      <c r="A1171" s="1354" t="s">
        <v>2030</v>
      </c>
      <c r="B1171" s="1361" t="str">
        <f>'Part 3 DA summary'!$Y25</f>
        <v/>
      </c>
      <c r="C1171" s="1356" t="s">
        <v>3204</v>
      </c>
      <c r="F1171" s="1354" t="s">
        <v>4604</v>
      </c>
      <c r="G1171" s="1354" t="s">
        <v>4617</v>
      </c>
      <c r="H1171" s="1354" t="s">
        <v>3195</v>
      </c>
      <c r="I1171" s="1354">
        <v>475</v>
      </c>
    </row>
    <row r="1172" spans="1:9" s="1354" customFormat="1" x14ac:dyDescent="0.2">
      <c r="A1172" s="1354" t="s">
        <v>2031</v>
      </c>
      <c r="B1172" s="1361" t="str">
        <f>'Part 3 DA summary'!$Y26</f>
        <v/>
      </c>
      <c r="C1172" s="1356" t="s">
        <v>3204</v>
      </c>
      <c r="F1172" s="1354" t="s">
        <v>4604</v>
      </c>
      <c r="G1172" s="1354" t="s">
        <v>4618</v>
      </c>
      <c r="H1172" s="1354" t="s">
        <v>3195</v>
      </c>
      <c r="I1172" s="1354">
        <v>476</v>
      </c>
    </row>
    <row r="1173" spans="1:9" s="1354" customFormat="1" x14ac:dyDescent="0.2">
      <c r="A1173" s="1354" t="s">
        <v>2032</v>
      </c>
      <c r="B1173" s="1361" t="str">
        <f>'Part 3 DA summary'!$Y27</f>
        <v/>
      </c>
      <c r="C1173" s="1356" t="s">
        <v>3204</v>
      </c>
      <c r="F1173" s="1354" t="s">
        <v>4604</v>
      </c>
      <c r="G1173" s="1354" t="s">
        <v>4619</v>
      </c>
      <c r="H1173" s="1354" t="s">
        <v>3195</v>
      </c>
      <c r="I1173" s="1354">
        <v>477</v>
      </c>
    </row>
    <row r="1174" spans="1:9" s="1354" customFormat="1" x14ac:dyDescent="0.2">
      <c r="A1174" s="1354" t="s">
        <v>2033</v>
      </c>
      <c r="B1174" s="1361" t="str">
        <f>'Part 3 DA summary'!$Y28</f>
        <v/>
      </c>
      <c r="C1174" s="1356" t="s">
        <v>3204</v>
      </c>
      <c r="F1174" s="1354" t="s">
        <v>4604</v>
      </c>
      <c r="G1174" s="1354" t="s">
        <v>4620</v>
      </c>
      <c r="H1174" s="1354" t="s">
        <v>3195</v>
      </c>
      <c r="I1174" s="1354">
        <v>478</v>
      </c>
    </row>
    <row r="1175" spans="1:9" s="1354" customFormat="1" x14ac:dyDescent="0.2">
      <c r="A1175" s="1354" t="s">
        <v>2034</v>
      </c>
      <c r="B1175" s="1361" t="str">
        <f>'Part 3 DA summary'!$Y29</f>
        <v/>
      </c>
      <c r="C1175" s="1356" t="s">
        <v>3204</v>
      </c>
      <c r="F1175" s="1354" t="s">
        <v>4604</v>
      </c>
      <c r="G1175" s="1354" t="s">
        <v>4621</v>
      </c>
      <c r="H1175" s="1354" t="s">
        <v>3195</v>
      </c>
      <c r="I1175" s="1354">
        <v>479</v>
      </c>
    </row>
    <row r="1176" spans="1:9" s="1354" customFormat="1" x14ac:dyDescent="0.2">
      <c r="A1176" s="1354" t="s">
        <v>2035</v>
      </c>
      <c r="B1176" s="1361" t="str">
        <f>'Part 3 DA summary'!$Y30</f>
        <v/>
      </c>
      <c r="C1176" s="1356" t="s">
        <v>3204</v>
      </c>
      <c r="F1176" s="1354" t="s">
        <v>4604</v>
      </c>
      <c r="G1176" s="1354" t="s">
        <v>4622</v>
      </c>
      <c r="H1176" s="1354" t="s">
        <v>3195</v>
      </c>
      <c r="I1176" s="1354">
        <v>480</v>
      </c>
    </row>
    <row r="1177" spans="1:9" s="1354" customFormat="1" x14ac:dyDescent="0.2">
      <c r="A1177" s="1354" t="s">
        <v>2036</v>
      </c>
      <c r="B1177" s="1361" t="str">
        <f>'Part 3 DA summary'!$Y31</f>
        <v/>
      </c>
      <c r="C1177" s="1356" t="s">
        <v>3204</v>
      </c>
      <c r="F1177" s="1354" t="s">
        <v>4604</v>
      </c>
      <c r="G1177" s="1354" t="s">
        <v>4623</v>
      </c>
      <c r="H1177" s="1354" t="s">
        <v>3195</v>
      </c>
      <c r="I1177" s="1354">
        <v>481</v>
      </c>
    </row>
    <row r="1178" spans="1:9" s="1354" customFormat="1" x14ac:dyDescent="0.2">
      <c r="A1178" s="1354" t="s">
        <v>2037</v>
      </c>
      <c r="B1178" s="1361" t="str">
        <f>'Part 3 DA summary'!$Y32</f>
        <v/>
      </c>
      <c r="C1178" s="1356" t="s">
        <v>3204</v>
      </c>
      <c r="F1178" s="1354" t="s">
        <v>4604</v>
      </c>
      <c r="G1178" s="1354" t="s">
        <v>4624</v>
      </c>
      <c r="H1178" s="1354" t="s">
        <v>3195</v>
      </c>
      <c r="I1178" s="1354">
        <v>482</v>
      </c>
    </row>
    <row r="1179" spans="1:9" s="1354" customFormat="1" x14ac:dyDescent="0.2">
      <c r="A1179" s="1354" t="s">
        <v>2038</v>
      </c>
      <c r="B1179" s="1361" t="str">
        <f>'Part 3 DA summary'!$Y33</f>
        <v/>
      </c>
      <c r="C1179" s="1356" t="s">
        <v>3204</v>
      </c>
      <c r="F1179" s="1354" t="s">
        <v>4604</v>
      </c>
      <c r="G1179" s="1354" t="s">
        <v>4625</v>
      </c>
      <c r="H1179" s="1354" t="s">
        <v>3195</v>
      </c>
      <c r="I1179" s="1354">
        <v>483</v>
      </c>
    </row>
    <row r="1180" spans="1:9" s="1354" customFormat="1" x14ac:dyDescent="0.2">
      <c r="A1180" s="1354" t="s">
        <v>2039</v>
      </c>
      <c r="B1180" s="1361" t="str">
        <f>'Part 3 DA summary'!$Y34</f>
        <v/>
      </c>
      <c r="C1180" s="1356" t="s">
        <v>3204</v>
      </c>
      <c r="F1180" s="1354" t="s">
        <v>4604</v>
      </c>
      <c r="G1180" s="1354" t="s">
        <v>4626</v>
      </c>
      <c r="H1180" s="1354" t="s">
        <v>3195</v>
      </c>
      <c r="I1180" s="1354">
        <v>484</v>
      </c>
    </row>
    <row r="1181" spans="1:9" s="1354" customFormat="1" x14ac:dyDescent="0.2">
      <c r="A1181" s="1354" t="s">
        <v>2040</v>
      </c>
      <c r="B1181" s="1361" t="str">
        <f>'Part 3 DA summary'!$Y35</f>
        <v/>
      </c>
      <c r="C1181" s="1356" t="s">
        <v>3204</v>
      </c>
      <c r="F1181" s="1354" t="s">
        <v>4604</v>
      </c>
      <c r="G1181" s="1354" t="s">
        <v>4627</v>
      </c>
      <c r="H1181" s="1354" t="s">
        <v>3195</v>
      </c>
      <c r="I1181" s="1354">
        <v>485</v>
      </c>
    </row>
    <row r="1182" spans="1:9" s="1354" customFormat="1" x14ac:dyDescent="0.2">
      <c r="A1182" s="1354" t="s">
        <v>2041</v>
      </c>
      <c r="B1182" s="1361" t="str">
        <f>'Part 3 DA summary'!$Y36</f>
        <v/>
      </c>
      <c r="C1182" s="1356" t="s">
        <v>3204</v>
      </c>
      <c r="F1182" s="1354" t="s">
        <v>4604</v>
      </c>
      <c r="G1182" s="1354" t="s">
        <v>4628</v>
      </c>
      <c r="H1182" s="1354" t="s">
        <v>3195</v>
      </c>
      <c r="I1182" s="1354">
        <v>486</v>
      </c>
    </row>
    <row r="1183" spans="1:9" s="1354" customFormat="1" x14ac:dyDescent="0.2">
      <c r="A1183" s="1354" t="s">
        <v>2042</v>
      </c>
      <c r="B1183" s="1361" t="str">
        <f>'Part 3 DA summary'!$Y37</f>
        <v/>
      </c>
      <c r="C1183" s="1356" t="s">
        <v>3204</v>
      </c>
      <c r="F1183" s="1354" t="s">
        <v>4604</v>
      </c>
      <c r="G1183" s="1354" t="s">
        <v>4629</v>
      </c>
      <c r="H1183" s="1354" t="s">
        <v>3195</v>
      </c>
      <c r="I1183" s="1354">
        <v>487</v>
      </c>
    </row>
    <row r="1184" spans="1:9" s="1354" customFormat="1" x14ac:dyDescent="0.2">
      <c r="A1184" s="1354" t="s">
        <v>2043</v>
      </c>
      <c r="B1184" s="1361" t="str">
        <f>'Part 3 DA summary'!$Y38</f>
        <v/>
      </c>
      <c r="C1184" s="1356" t="s">
        <v>3204</v>
      </c>
      <c r="F1184" s="1354" t="s">
        <v>4604</v>
      </c>
      <c r="G1184" s="1354" t="s">
        <v>4630</v>
      </c>
      <c r="H1184" s="1354" t="s">
        <v>3195</v>
      </c>
      <c r="I1184" s="1354">
        <v>488</v>
      </c>
    </row>
    <row r="1185" spans="1:9" s="1354" customFormat="1" x14ac:dyDescent="0.2">
      <c r="A1185" s="1354" t="s">
        <v>2044</v>
      </c>
      <c r="B1185" s="1361" t="str">
        <f>'Part 3 DA summary'!$Y39</f>
        <v/>
      </c>
      <c r="C1185" s="1356" t="s">
        <v>3204</v>
      </c>
      <c r="F1185" s="1354" t="s">
        <v>4604</v>
      </c>
      <c r="G1185" s="1354" t="s">
        <v>4631</v>
      </c>
      <c r="H1185" s="1354" t="s">
        <v>3195</v>
      </c>
      <c r="I1185" s="1354">
        <v>489</v>
      </c>
    </row>
    <row r="1186" spans="1:9" s="1354" customFormat="1" x14ac:dyDescent="0.2">
      <c r="A1186" s="1354" t="s">
        <v>2045</v>
      </c>
      <c r="B1186" s="1361" t="str">
        <f>'Part 3 DA summary'!$Y40</f>
        <v/>
      </c>
      <c r="C1186" s="1356" t="s">
        <v>3204</v>
      </c>
      <c r="F1186" s="1354" t="s">
        <v>4604</v>
      </c>
      <c r="G1186" s="1354" t="s">
        <v>4632</v>
      </c>
      <c r="H1186" s="1354" t="s">
        <v>3195</v>
      </c>
      <c r="I1186" s="1354">
        <v>490</v>
      </c>
    </row>
    <row r="1187" spans="1:9" s="1354" customFormat="1" x14ac:dyDescent="0.2">
      <c r="A1187" s="1354" t="s">
        <v>2046</v>
      </c>
      <c r="B1187" s="1361" t="str">
        <f>'Part 3 DA summary'!$Y41</f>
        <v/>
      </c>
      <c r="C1187" s="1356" t="s">
        <v>3204</v>
      </c>
      <c r="F1187" s="1354" t="s">
        <v>4604</v>
      </c>
      <c r="G1187" s="1354" t="s">
        <v>4633</v>
      </c>
      <c r="H1187" s="1354" t="s">
        <v>3195</v>
      </c>
      <c r="I1187" s="1354">
        <v>491</v>
      </c>
    </row>
    <row r="1188" spans="1:9" s="1354" customFormat="1" x14ac:dyDescent="0.2">
      <c r="A1188" s="1354" t="s">
        <v>2047</v>
      </c>
      <c r="B1188" s="1361" t="str">
        <f>'Part 3 DA summary'!$Y42</f>
        <v/>
      </c>
      <c r="C1188" s="1356" t="s">
        <v>3204</v>
      </c>
      <c r="F1188" s="1354" t="s">
        <v>4604</v>
      </c>
      <c r="G1188" s="1354" t="s">
        <v>4634</v>
      </c>
      <c r="H1188" s="1354" t="s">
        <v>3195</v>
      </c>
      <c r="I1188" s="1354">
        <v>492</v>
      </c>
    </row>
    <row r="1189" spans="1:9" s="1354" customFormat="1" x14ac:dyDescent="0.2">
      <c r="A1189" s="1354" t="s">
        <v>2048</v>
      </c>
      <c r="B1189" s="1361" t="str">
        <f>'Part 3 DA summary'!$Y43</f>
        <v/>
      </c>
      <c r="C1189" s="1356" t="s">
        <v>3204</v>
      </c>
      <c r="F1189" s="1354" t="s">
        <v>4604</v>
      </c>
      <c r="G1189" s="1354" t="s">
        <v>4635</v>
      </c>
      <c r="H1189" s="1354" t="s">
        <v>3195</v>
      </c>
      <c r="I1189" s="1354">
        <v>493</v>
      </c>
    </row>
    <row r="1190" spans="1:9" s="1354" customFormat="1" x14ac:dyDescent="0.2">
      <c r="A1190" s="1354" t="s">
        <v>2049</v>
      </c>
      <c r="B1190" s="1361" t="str">
        <f>'Part 3 DA summary'!$Y44</f>
        <v/>
      </c>
      <c r="C1190" s="1356" t="s">
        <v>3204</v>
      </c>
      <c r="F1190" s="1354" t="s">
        <v>4604</v>
      </c>
      <c r="G1190" s="1354" t="s">
        <v>4636</v>
      </c>
      <c r="H1190" s="1354" t="s">
        <v>3195</v>
      </c>
      <c r="I1190" s="1354">
        <v>494</v>
      </c>
    </row>
    <row r="1191" spans="1:9" s="1354" customFormat="1" x14ac:dyDescent="0.2">
      <c r="A1191" s="1354" t="s">
        <v>2050</v>
      </c>
      <c r="B1191" s="1361" t="str">
        <f>'Part 3 DA summary'!$Y45</f>
        <v/>
      </c>
      <c r="C1191" s="1356" t="s">
        <v>3204</v>
      </c>
      <c r="F1191" s="1354" t="s">
        <v>4604</v>
      </c>
      <c r="G1191" s="1354" t="s">
        <v>4637</v>
      </c>
      <c r="H1191" s="1354" t="s">
        <v>3195</v>
      </c>
      <c r="I1191" s="1354">
        <v>495</v>
      </c>
    </row>
    <row r="1192" spans="1:9" s="1354" customFormat="1" x14ac:dyDescent="0.2">
      <c r="A1192" s="1354" t="s">
        <v>2051</v>
      </c>
      <c r="B1192" s="1361" t="str">
        <f>'Part 3 DA summary'!$Y46</f>
        <v/>
      </c>
      <c r="C1192" s="1356" t="s">
        <v>3204</v>
      </c>
      <c r="F1192" s="1354" t="s">
        <v>4604</v>
      </c>
      <c r="G1192" s="1354" t="s">
        <v>4638</v>
      </c>
      <c r="H1192" s="1354" t="s">
        <v>3195</v>
      </c>
      <c r="I1192" s="1354">
        <v>496</v>
      </c>
    </row>
    <row r="1193" spans="1:9" s="1354" customFormat="1" ht="15" customHeight="1" x14ac:dyDescent="0.2">
      <c r="A1193" s="1354" t="s">
        <v>2052</v>
      </c>
      <c r="B1193" s="1361" t="str">
        <f>'Part 3 DA summary'!$Y47</f>
        <v/>
      </c>
      <c r="C1193" s="1356" t="s">
        <v>3204</v>
      </c>
      <c r="F1193" s="1354" t="s">
        <v>4604</v>
      </c>
      <c r="G1193" s="1354" t="s">
        <v>4639</v>
      </c>
      <c r="H1193" s="1354" t="s">
        <v>3195</v>
      </c>
      <c r="I1193" s="1354">
        <v>497</v>
      </c>
    </row>
    <row r="1194" spans="1:9" s="1354" customFormat="1" x14ac:dyDescent="0.2">
      <c r="A1194" s="1354" t="s">
        <v>2053</v>
      </c>
      <c r="B1194" s="1361" t="str">
        <f>'Part 3 DA summary'!$Y48</f>
        <v/>
      </c>
      <c r="C1194" s="1356" t="s">
        <v>3204</v>
      </c>
      <c r="F1194" s="1354" t="s">
        <v>4604</v>
      </c>
      <c r="G1194" s="1354" t="s">
        <v>4640</v>
      </c>
      <c r="H1194" s="1354" t="s">
        <v>3195</v>
      </c>
      <c r="I1194" s="1354">
        <v>498</v>
      </c>
    </row>
    <row r="1195" spans="1:9" s="1354" customFormat="1" x14ac:dyDescent="0.2">
      <c r="A1195" s="1354" t="s">
        <v>2054</v>
      </c>
      <c r="B1195" s="1361" t="str">
        <f>'Part 3 DA summary'!$Y49</f>
        <v/>
      </c>
      <c r="C1195" s="1356" t="s">
        <v>3204</v>
      </c>
      <c r="F1195" s="1354" t="s">
        <v>4604</v>
      </c>
      <c r="G1195" s="1354" t="s">
        <v>4641</v>
      </c>
      <c r="H1195" s="1354" t="s">
        <v>3195</v>
      </c>
      <c r="I1195" s="1354">
        <v>499</v>
      </c>
    </row>
    <row r="1196" spans="1:9" s="1354" customFormat="1" x14ac:dyDescent="0.2">
      <c r="A1196" s="1354" t="s">
        <v>2055</v>
      </c>
      <c r="B1196" s="1361" t="str">
        <f>'Part 3 DA summary'!$Y50</f>
        <v/>
      </c>
      <c r="C1196" s="1356" t="s">
        <v>3204</v>
      </c>
      <c r="F1196" s="1354" t="s">
        <v>4604</v>
      </c>
      <c r="G1196" s="1354" t="s">
        <v>4642</v>
      </c>
      <c r="H1196" s="1354" t="s">
        <v>3195</v>
      </c>
      <c r="I1196" s="1354">
        <v>500</v>
      </c>
    </row>
    <row r="1197" spans="1:9" s="1354" customFormat="1" x14ac:dyDescent="0.2">
      <c r="A1197" s="1354" t="s">
        <v>2056</v>
      </c>
      <c r="B1197" s="1361" t="str">
        <f>'Part 3 DA summary'!$Y51</f>
        <v/>
      </c>
      <c r="C1197" s="1356" t="s">
        <v>3204</v>
      </c>
      <c r="F1197" s="1354" t="s">
        <v>4604</v>
      </c>
      <c r="G1197" s="1354" t="s">
        <v>4643</v>
      </c>
      <c r="H1197" s="1354" t="s">
        <v>3195</v>
      </c>
      <c r="I1197" s="1354">
        <v>501</v>
      </c>
    </row>
    <row r="1198" spans="1:9" s="1354" customFormat="1" x14ac:dyDescent="0.2">
      <c r="A1198" s="1354" t="s">
        <v>2057</v>
      </c>
      <c r="B1198" s="1361" t="str">
        <f>'Part 3 DA summary'!$Y52</f>
        <v/>
      </c>
      <c r="C1198" s="1356" t="s">
        <v>3204</v>
      </c>
      <c r="F1198" s="1354" t="s">
        <v>4604</v>
      </c>
      <c r="G1198" s="1354" t="s">
        <v>4644</v>
      </c>
      <c r="H1198" s="1354" t="s">
        <v>3195</v>
      </c>
      <c r="I1198" s="1354">
        <v>502</v>
      </c>
    </row>
    <row r="1199" spans="1:9" s="1354" customFormat="1" x14ac:dyDescent="0.2">
      <c r="A1199" s="1354" t="s">
        <v>2058</v>
      </c>
      <c r="B1199" s="1361" t="str">
        <f>'Part 3 DA summary'!$Y53</f>
        <v/>
      </c>
      <c r="C1199" s="1356" t="s">
        <v>3204</v>
      </c>
      <c r="F1199" s="1354" t="s">
        <v>4604</v>
      </c>
      <c r="G1199" s="1354" t="s">
        <v>4645</v>
      </c>
      <c r="H1199" s="1354" t="s">
        <v>3195</v>
      </c>
      <c r="I1199" s="1354">
        <v>503</v>
      </c>
    </row>
    <row r="1200" spans="1:9" s="1354" customFormat="1" x14ac:dyDescent="0.2">
      <c r="A1200" s="1354" t="s">
        <v>2210</v>
      </c>
      <c r="B1200" s="1358">
        <f>'Part 3 DA summary'!AE54</f>
        <v>0</v>
      </c>
      <c r="C1200" s="1356" t="s">
        <v>3204</v>
      </c>
      <c r="F1200" s="1354" t="s">
        <v>4646</v>
      </c>
      <c r="G1200" s="1354" t="s">
        <v>4647</v>
      </c>
      <c r="H1200" s="1354" t="s">
        <v>3195</v>
      </c>
      <c r="I1200" s="1354">
        <v>504</v>
      </c>
    </row>
    <row r="1201" spans="1:11" s="1354" customFormat="1" x14ac:dyDescent="0.2">
      <c r="A1201" s="1365" t="s">
        <v>2059</v>
      </c>
      <c r="B1201" s="1366" t="e">
        <f>'Main Validation'!G19</f>
        <v>#N/A</v>
      </c>
      <c r="C1201" s="1367" t="s">
        <v>3204</v>
      </c>
      <c r="D1201" s="1368"/>
      <c r="E1201" s="1368"/>
      <c r="F1201" s="1365" t="s">
        <v>5144</v>
      </c>
      <c r="G1201" s="1365" t="s">
        <v>4648</v>
      </c>
      <c r="H1201" s="1365" t="s">
        <v>3196</v>
      </c>
      <c r="I1201" s="1365">
        <v>1</v>
      </c>
      <c r="J1201" s="1365"/>
      <c r="K1201" s="1365"/>
    </row>
    <row r="1202" spans="1:11" s="1380" customFormat="1" x14ac:dyDescent="0.2">
      <c r="A1202" s="1369" t="s">
        <v>2060</v>
      </c>
      <c r="B1202" s="1366" t="e">
        <f>'Main Validation'!G22</f>
        <v>#N/A</v>
      </c>
      <c r="C1202" s="1370" t="s">
        <v>3204</v>
      </c>
      <c r="D1202" s="1368"/>
      <c r="E1202" s="1368"/>
      <c r="F1202" s="1365" t="s">
        <v>5145</v>
      </c>
      <c r="G1202" s="1365" t="s">
        <v>4649</v>
      </c>
      <c r="H1202" s="1365" t="s">
        <v>3196</v>
      </c>
      <c r="I1202" s="1365">
        <v>2</v>
      </c>
      <c r="J1202" s="1365"/>
      <c r="K1202" s="1365"/>
    </row>
    <row r="1203" spans="1:11" s="1354" customFormat="1" x14ac:dyDescent="0.2">
      <c r="A1203" s="1365" t="s">
        <v>2061</v>
      </c>
      <c r="B1203" s="1366" t="e">
        <f>'Main Validation'!G23</f>
        <v>#N/A</v>
      </c>
      <c r="C1203" s="1370" t="s">
        <v>3204</v>
      </c>
      <c r="D1203" s="1368"/>
      <c r="E1203" s="1368"/>
      <c r="F1203" s="1365" t="s">
        <v>5146</v>
      </c>
      <c r="G1203" s="1365" t="s">
        <v>4650</v>
      </c>
      <c r="H1203" s="1365" t="s">
        <v>3196</v>
      </c>
      <c r="I1203" s="1365">
        <v>3</v>
      </c>
      <c r="J1203" s="1365"/>
      <c r="K1203" s="1365"/>
    </row>
    <row r="1204" spans="1:11" s="1354" customFormat="1" x14ac:dyDescent="0.2">
      <c r="A1204" s="1365" t="s">
        <v>2062</v>
      </c>
      <c r="B1204" s="1366" t="e">
        <f>'Main Validation'!G24</f>
        <v>#N/A</v>
      </c>
      <c r="C1204" s="1370" t="s">
        <v>3204</v>
      </c>
      <c r="D1204" s="1368"/>
      <c r="E1204" s="1368"/>
      <c r="F1204" s="1365" t="s">
        <v>5147</v>
      </c>
      <c r="G1204" s="1365" t="s">
        <v>4651</v>
      </c>
      <c r="H1204" s="1365" t="s">
        <v>3196</v>
      </c>
      <c r="I1204" s="1365">
        <v>4</v>
      </c>
      <c r="J1204" s="1365"/>
      <c r="K1204" s="1365"/>
    </row>
    <row r="1205" spans="1:11" s="1354" customFormat="1" x14ac:dyDescent="0.2">
      <c r="A1205" s="1365" t="s">
        <v>2063</v>
      </c>
      <c r="B1205" s="1366" t="e">
        <f>'Main Validation'!G25</f>
        <v>#N/A</v>
      </c>
      <c r="C1205" s="1370" t="s">
        <v>3204</v>
      </c>
      <c r="D1205" s="1368"/>
      <c r="E1205" s="1368"/>
      <c r="F1205" s="1365" t="s">
        <v>5148</v>
      </c>
      <c r="G1205" s="1365" t="s">
        <v>4652</v>
      </c>
      <c r="H1205" s="1365" t="s">
        <v>3196</v>
      </c>
      <c r="I1205" s="1365">
        <v>5</v>
      </c>
      <c r="J1205" s="1365"/>
      <c r="K1205" s="1365"/>
    </row>
    <row r="1206" spans="1:11" s="1354" customFormat="1" ht="14.25" customHeight="1" x14ac:dyDescent="0.2">
      <c r="A1206" s="1365" t="s">
        <v>2329</v>
      </c>
      <c r="B1206" s="1366" t="e">
        <f>'Main Validation'!G26</f>
        <v>#N/A</v>
      </c>
      <c r="C1206" s="1370" t="s">
        <v>3204</v>
      </c>
      <c r="D1206" s="1368"/>
      <c r="E1206" s="1368"/>
      <c r="F1206" s="1365" t="s">
        <v>5149</v>
      </c>
      <c r="G1206" s="1365" t="s">
        <v>4653</v>
      </c>
      <c r="H1206" s="1365" t="s">
        <v>3196</v>
      </c>
      <c r="I1206" s="1365">
        <v>6</v>
      </c>
      <c r="J1206" s="1365"/>
      <c r="K1206" s="1365"/>
    </row>
    <row r="1207" spans="1:11" s="1354" customFormat="1" ht="14.25" customHeight="1" x14ac:dyDescent="0.2">
      <c r="A1207" s="1365" t="s">
        <v>2064</v>
      </c>
      <c r="B1207" s="1366" t="e">
        <f>'Main Validation'!G27</f>
        <v>#N/A</v>
      </c>
      <c r="C1207" s="1370" t="s">
        <v>3204</v>
      </c>
      <c r="D1207" s="1368"/>
      <c r="E1207" s="1368"/>
      <c r="F1207" s="1365" t="s">
        <v>5150</v>
      </c>
      <c r="G1207" s="1365" t="s">
        <v>4654</v>
      </c>
      <c r="H1207" s="1365" t="s">
        <v>3196</v>
      </c>
      <c r="I1207" s="1365">
        <v>7</v>
      </c>
      <c r="J1207" s="1365"/>
      <c r="K1207" s="1365"/>
    </row>
    <row r="1208" spans="1:11" s="1354" customFormat="1" x14ac:dyDescent="0.2">
      <c r="A1208" s="1365" t="s">
        <v>2065</v>
      </c>
      <c r="B1208" s="1366" t="e">
        <f>'Main Validation'!G28</f>
        <v>#N/A</v>
      </c>
      <c r="C1208" s="1370" t="s">
        <v>3204</v>
      </c>
      <c r="D1208" s="1368"/>
      <c r="E1208" s="1368"/>
      <c r="F1208" s="1365" t="s">
        <v>5151</v>
      </c>
      <c r="G1208" s="1365" t="s">
        <v>4655</v>
      </c>
      <c r="H1208" s="1365" t="s">
        <v>3196</v>
      </c>
      <c r="I1208" s="1365">
        <v>8</v>
      </c>
      <c r="J1208" s="1365"/>
      <c r="K1208" s="1365"/>
    </row>
    <row r="1209" spans="1:11" s="1354" customFormat="1" x14ac:dyDescent="0.2">
      <c r="A1209" s="1365" t="s">
        <v>2066</v>
      </c>
      <c r="B1209" s="1366" t="e">
        <f>'Main Validation'!G31</f>
        <v>#N/A</v>
      </c>
      <c r="C1209" s="1370" t="s">
        <v>3204</v>
      </c>
      <c r="D1209" s="1368"/>
      <c r="E1209" s="1368"/>
      <c r="F1209" s="1365" t="s">
        <v>5152</v>
      </c>
      <c r="G1209" s="1365" t="s">
        <v>4656</v>
      </c>
      <c r="H1209" s="1365" t="s">
        <v>3196</v>
      </c>
      <c r="I1209" s="1365">
        <v>9</v>
      </c>
      <c r="J1209" s="1365"/>
      <c r="K1209" s="1365"/>
    </row>
    <row r="1210" spans="1:11" s="1354" customFormat="1" x14ac:dyDescent="0.2">
      <c r="A1210" s="1365" t="s">
        <v>2067</v>
      </c>
      <c r="B1210" s="1366" t="e">
        <f>'Main Validation'!G32</f>
        <v>#N/A</v>
      </c>
      <c r="C1210" s="1370" t="s">
        <v>3204</v>
      </c>
      <c r="D1210" s="1368"/>
      <c r="E1210" s="1368"/>
      <c r="F1210" s="1365" t="s">
        <v>5153</v>
      </c>
      <c r="G1210" s="1365" t="s">
        <v>4657</v>
      </c>
      <c r="H1210" s="1365" t="s">
        <v>3196</v>
      </c>
      <c r="I1210" s="1365">
        <v>10</v>
      </c>
      <c r="J1210" s="1365"/>
      <c r="K1210" s="1365"/>
    </row>
    <row r="1211" spans="1:11" s="1354" customFormat="1" x14ac:dyDescent="0.2">
      <c r="A1211" s="1365" t="s">
        <v>2068</v>
      </c>
      <c r="B1211" s="1366" t="e">
        <f>'Main Validation'!G33</f>
        <v>#N/A</v>
      </c>
      <c r="C1211" s="1370" t="s">
        <v>3204</v>
      </c>
      <c r="D1211" s="1368"/>
      <c r="E1211" s="1368"/>
      <c r="F1211" s="1365" t="s">
        <v>5154</v>
      </c>
      <c r="G1211" s="1365" t="s">
        <v>4658</v>
      </c>
      <c r="H1211" s="1365" t="s">
        <v>3196</v>
      </c>
      <c r="I1211" s="1365">
        <v>11</v>
      </c>
      <c r="J1211" s="1365"/>
      <c r="K1211" s="1365"/>
    </row>
    <row r="1212" spans="1:11" s="1365" customFormat="1" ht="15" customHeight="1" x14ac:dyDescent="0.25">
      <c r="A1212" s="1371" t="s">
        <v>2069</v>
      </c>
      <c r="B1212" s="1366">
        <v>0</v>
      </c>
      <c r="C1212" s="1370" t="s">
        <v>3204</v>
      </c>
      <c r="D1212" s="1368"/>
      <c r="E1212" s="1368"/>
      <c r="F1212" s="1365" t="s">
        <v>5156</v>
      </c>
      <c r="G1212" s="1365" t="s">
        <v>4659</v>
      </c>
      <c r="H1212" s="1365" t="s">
        <v>3196</v>
      </c>
      <c r="I1212" s="1365">
        <v>12</v>
      </c>
    </row>
    <row r="1213" spans="1:11" s="1354" customFormat="1" x14ac:dyDescent="0.2">
      <c r="A1213" s="1365" t="s">
        <v>2070</v>
      </c>
      <c r="B1213" s="1366" t="e">
        <f>'Main Validation'!G34</f>
        <v>#N/A</v>
      </c>
      <c r="C1213" s="1370" t="s">
        <v>3204</v>
      </c>
      <c r="D1213" s="1368"/>
      <c r="E1213" s="1368"/>
      <c r="F1213" s="1365" t="s">
        <v>5155</v>
      </c>
      <c r="G1213" s="1365" t="s">
        <v>4660</v>
      </c>
      <c r="H1213" s="1365" t="s">
        <v>3196</v>
      </c>
      <c r="I1213" s="1365">
        <v>13</v>
      </c>
      <c r="J1213" s="1365"/>
      <c r="K1213" s="1365"/>
    </row>
    <row r="1214" spans="1:11" s="1354" customFormat="1" x14ac:dyDescent="0.2">
      <c r="A1214" s="1365" t="s">
        <v>2071</v>
      </c>
      <c r="B1214" s="1366" t="e">
        <f>'Main Validation'!G35</f>
        <v>#N/A</v>
      </c>
      <c r="C1214" s="1370" t="s">
        <v>3204</v>
      </c>
      <c r="D1214" s="1368"/>
      <c r="E1214" s="1368"/>
      <c r="F1214" s="1365" t="s">
        <v>5157</v>
      </c>
      <c r="G1214" s="1365" t="s">
        <v>4661</v>
      </c>
      <c r="H1214" s="1365" t="s">
        <v>3196</v>
      </c>
      <c r="I1214" s="1365">
        <v>14</v>
      </c>
      <c r="J1214" s="1365"/>
      <c r="K1214" s="1365"/>
    </row>
    <row r="1215" spans="1:11" s="1354" customFormat="1" x14ac:dyDescent="0.2">
      <c r="A1215" s="1365" t="s">
        <v>2072</v>
      </c>
      <c r="B1215" s="1366" t="e">
        <f>'Main Validation'!G36</f>
        <v>#N/A</v>
      </c>
      <c r="C1215" s="1370" t="s">
        <v>3204</v>
      </c>
      <c r="D1215" s="1368"/>
      <c r="E1215" s="1368"/>
      <c r="F1215" s="1365" t="s">
        <v>5158</v>
      </c>
      <c r="G1215" s="1365" t="s">
        <v>4662</v>
      </c>
      <c r="H1215" s="1365" t="s">
        <v>3196</v>
      </c>
      <c r="I1215" s="1365">
        <v>15</v>
      </c>
      <c r="J1215" s="1365"/>
      <c r="K1215" s="1365"/>
    </row>
    <row r="1216" spans="1:11" s="1354" customFormat="1" x14ac:dyDescent="0.2">
      <c r="A1216" s="1365" t="s">
        <v>2073</v>
      </c>
      <c r="B1216" s="1366" t="e">
        <f>'Main Validation'!G37</f>
        <v>#N/A</v>
      </c>
      <c r="C1216" s="1370" t="s">
        <v>3204</v>
      </c>
      <c r="D1216" s="1368"/>
      <c r="E1216" s="1368"/>
      <c r="F1216" s="1365" t="s">
        <v>5159</v>
      </c>
      <c r="G1216" s="1365" t="s">
        <v>4663</v>
      </c>
      <c r="H1216" s="1365" t="s">
        <v>3196</v>
      </c>
      <c r="I1216" s="1365">
        <v>16</v>
      </c>
      <c r="J1216" s="1365"/>
      <c r="K1216" s="1365"/>
    </row>
    <row r="1217" spans="1:11" s="1354" customFormat="1" x14ac:dyDescent="0.2">
      <c r="A1217" s="1365" t="s">
        <v>2675</v>
      </c>
      <c r="B1217" s="1366" t="e">
        <f>'Main Validation'!G38</f>
        <v>#N/A</v>
      </c>
      <c r="C1217" s="1370" t="s">
        <v>3204</v>
      </c>
      <c r="D1217" s="1368"/>
      <c r="E1217" s="1368"/>
      <c r="F1217" s="1365" t="s">
        <v>5160</v>
      </c>
      <c r="G1217" s="1365" t="s">
        <v>4664</v>
      </c>
      <c r="H1217" s="1365" t="s">
        <v>3196</v>
      </c>
      <c r="I1217" s="1365">
        <v>17</v>
      </c>
      <c r="J1217" s="1365"/>
      <c r="K1217" s="1365"/>
    </row>
    <row r="1218" spans="1:11" s="1354" customFormat="1" x14ac:dyDescent="0.2">
      <c r="A1218" s="1365" t="s">
        <v>2074</v>
      </c>
      <c r="B1218" s="1366" t="e">
        <f>'Main Validation'!G40</f>
        <v>#N/A</v>
      </c>
      <c r="C1218" s="1370" t="s">
        <v>3204</v>
      </c>
      <c r="D1218" s="1368"/>
      <c r="E1218" s="1368"/>
      <c r="F1218" s="1365" t="s">
        <v>5161</v>
      </c>
      <c r="G1218" s="1365" t="s">
        <v>4665</v>
      </c>
      <c r="H1218" s="1365" t="s">
        <v>3196</v>
      </c>
      <c r="I1218" s="1365">
        <v>18</v>
      </c>
      <c r="J1218" s="1365"/>
      <c r="K1218" s="1365"/>
    </row>
    <row r="1219" spans="1:11" s="1354" customFormat="1" x14ac:dyDescent="0.2">
      <c r="A1219" s="1365" t="s">
        <v>2075</v>
      </c>
      <c r="B1219" s="1366" t="e">
        <f>'Main Validation'!G43</f>
        <v>#N/A</v>
      </c>
      <c r="C1219" s="1370" t="s">
        <v>3204</v>
      </c>
      <c r="D1219" s="1368"/>
      <c r="E1219" s="1368"/>
      <c r="F1219" s="1365" t="s">
        <v>5162</v>
      </c>
      <c r="G1219" s="1365" t="s">
        <v>4666</v>
      </c>
      <c r="H1219" s="1365" t="s">
        <v>3196</v>
      </c>
      <c r="I1219" s="1365">
        <v>19</v>
      </c>
      <c r="J1219" s="1365"/>
      <c r="K1219" s="1365"/>
    </row>
    <row r="1220" spans="1:11" s="1354" customFormat="1" x14ac:dyDescent="0.2">
      <c r="A1220" s="1365" t="s">
        <v>2076</v>
      </c>
      <c r="B1220" s="1366" t="e">
        <f>'Main Validation'!E44</f>
        <v>#N/A</v>
      </c>
      <c r="C1220" s="1370" t="s">
        <v>3204</v>
      </c>
      <c r="D1220" s="1368"/>
      <c r="E1220" s="1368"/>
      <c r="F1220" s="1365" t="s">
        <v>5163</v>
      </c>
      <c r="G1220" s="1365" t="s">
        <v>4667</v>
      </c>
      <c r="H1220" s="1365" t="s">
        <v>3196</v>
      </c>
      <c r="I1220" s="1365">
        <v>20</v>
      </c>
      <c r="J1220" s="1365"/>
      <c r="K1220" s="1365"/>
    </row>
    <row r="1221" spans="1:11" s="1354" customFormat="1" x14ac:dyDescent="0.2">
      <c r="A1221" s="1365" t="s">
        <v>2077</v>
      </c>
      <c r="B1221" s="1366" t="e">
        <f>'Main Validation'!G47</f>
        <v>#N/A</v>
      </c>
      <c r="C1221" s="1370" t="s">
        <v>3204</v>
      </c>
      <c r="D1221" s="1368"/>
      <c r="E1221" s="1368"/>
      <c r="F1221" s="1365" t="s">
        <v>5164</v>
      </c>
      <c r="G1221" s="1365" t="s">
        <v>4668</v>
      </c>
      <c r="H1221" s="1365" t="s">
        <v>3196</v>
      </c>
      <c r="I1221" s="1365">
        <v>21</v>
      </c>
      <c r="J1221" s="1365"/>
      <c r="K1221" s="1365"/>
    </row>
    <row r="1222" spans="1:11" s="1365" customFormat="1" ht="14.25" customHeight="1" x14ac:dyDescent="0.25">
      <c r="A1222" s="1500" t="s">
        <v>5706</v>
      </c>
      <c r="B1222" s="1567">
        <f>'Main Validation'!G48</f>
        <v>0</v>
      </c>
      <c r="C1222" s="1498" t="s">
        <v>3204</v>
      </c>
      <c r="D1222" s="1568"/>
      <c r="E1222" s="1568"/>
      <c r="F1222" s="1365" t="s">
        <v>5683</v>
      </c>
      <c r="G1222" s="1365" t="s">
        <v>5684</v>
      </c>
      <c r="H1222" s="1365" t="s">
        <v>3196</v>
      </c>
      <c r="I1222" s="1365">
        <v>22</v>
      </c>
      <c r="J1222" s="1500"/>
      <c r="K1222" s="1500"/>
    </row>
    <row r="1223" spans="1:11" s="1354" customFormat="1" x14ac:dyDescent="0.2">
      <c r="A1223" s="1365" t="s">
        <v>2078</v>
      </c>
      <c r="B1223" s="1372" t="e">
        <f>'Main Validation'!H19</f>
        <v>#N/A</v>
      </c>
      <c r="C1223" s="1373" t="s">
        <v>3224</v>
      </c>
      <c r="D1223" s="1374"/>
      <c r="E1223" s="1374"/>
      <c r="F1223" s="1365" t="s">
        <v>5165</v>
      </c>
      <c r="G1223" s="1365" t="s">
        <v>4669</v>
      </c>
      <c r="H1223" s="1365" t="s">
        <v>3196</v>
      </c>
      <c r="I1223" s="1365">
        <v>23</v>
      </c>
      <c r="J1223" s="1365"/>
      <c r="K1223" s="1365"/>
    </row>
    <row r="1224" spans="1:11" s="1380" customFormat="1" x14ac:dyDescent="0.2">
      <c r="A1224" s="1369" t="s">
        <v>2079</v>
      </c>
      <c r="B1224" s="1372" t="e">
        <f>'Main Validation'!H22</f>
        <v>#N/A</v>
      </c>
      <c r="C1224" s="1373" t="s">
        <v>3224</v>
      </c>
      <c r="D1224" s="1374"/>
      <c r="E1224" s="1374"/>
      <c r="F1224" s="1365" t="s">
        <v>5166</v>
      </c>
      <c r="G1224" s="1365" t="s">
        <v>4670</v>
      </c>
      <c r="H1224" s="1365" t="s">
        <v>3196</v>
      </c>
      <c r="I1224" s="1365">
        <v>23</v>
      </c>
      <c r="J1224" s="1365"/>
      <c r="K1224" s="1365"/>
    </row>
    <row r="1225" spans="1:11" s="1354" customFormat="1" x14ac:dyDescent="0.2">
      <c r="A1225" s="1365" t="s">
        <v>2080</v>
      </c>
      <c r="B1225" s="1372" t="e">
        <f>'Main Validation'!H23</f>
        <v>#N/A</v>
      </c>
      <c r="C1225" s="1373" t="s">
        <v>3224</v>
      </c>
      <c r="D1225" s="1374"/>
      <c r="E1225" s="1374"/>
      <c r="F1225" s="1365" t="s">
        <v>5167</v>
      </c>
      <c r="G1225" s="1365" t="s">
        <v>4671</v>
      </c>
      <c r="H1225" s="1365" t="s">
        <v>3196</v>
      </c>
      <c r="I1225" s="1365">
        <v>24</v>
      </c>
      <c r="J1225" s="1365"/>
      <c r="K1225" s="1365"/>
    </row>
    <row r="1226" spans="1:11" s="1354" customFormat="1" x14ac:dyDescent="0.2">
      <c r="A1226" s="1365" t="s">
        <v>2081</v>
      </c>
      <c r="B1226" s="1372" t="e">
        <f>'Main Validation'!H24</f>
        <v>#N/A</v>
      </c>
      <c r="C1226" s="1373" t="s">
        <v>3224</v>
      </c>
      <c r="D1226" s="1374"/>
      <c r="E1226" s="1374"/>
      <c r="F1226" s="1365" t="s">
        <v>5168</v>
      </c>
      <c r="G1226" s="1365" t="s">
        <v>4672</v>
      </c>
      <c r="H1226" s="1365" t="s">
        <v>3196</v>
      </c>
      <c r="I1226" s="1365">
        <v>25</v>
      </c>
      <c r="J1226" s="1365"/>
      <c r="K1226" s="1365"/>
    </row>
    <row r="1227" spans="1:11" s="1354" customFormat="1" x14ac:dyDescent="0.2">
      <c r="A1227" s="1365" t="s">
        <v>2082</v>
      </c>
      <c r="B1227" s="1372" t="e">
        <f>'Main Validation'!H25</f>
        <v>#N/A</v>
      </c>
      <c r="C1227" s="1373" t="s">
        <v>3224</v>
      </c>
      <c r="D1227" s="1374"/>
      <c r="E1227" s="1374"/>
      <c r="F1227" s="1365" t="s">
        <v>5169</v>
      </c>
      <c r="G1227" s="1365" t="s">
        <v>4673</v>
      </c>
      <c r="H1227" s="1365" t="s">
        <v>3196</v>
      </c>
      <c r="I1227" s="1365">
        <v>26</v>
      </c>
      <c r="J1227" s="1365"/>
      <c r="K1227" s="1365"/>
    </row>
    <row r="1228" spans="1:11" s="1569" customFormat="1" ht="15" x14ac:dyDescent="0.25">
      <c r="A1228" s="1365" t="s">
        <v>2330</v>
      </c>
      <c r="B1228" s="1372" t="e">
        <f>'Main Validation'!H26</f>
        <v>#N/A</v>
      </c>
      <c r="C1228" s="1373" t="s">
        <v>3224</v>
      </c>
      <c r="D1228" s="1374"/>
      <c r="E1228" s="1374"/>
      <c r="F1228" s="1365" t="s">
        <v>5170</v>
      </c>
      <c r="G1228" s="1365" t="s">
        <v>4674</v>
      </c>
      <c r="H1228" s="1365" t="s">
        <v>3196</v>
      </c>
      <c r="I1228" s="1365">
        <v>27</v>
      </c>
      <c r="J1228" s="1365"/>
      <c r="K1228" s="1365"/>
    </row>
    <row r="1229" spans="1:11" s="1354" customFormat="1" x14ac:dyDescent="0.2">
      <c r="A1229" s="1365" t="s">
        <v>2083</v>
      </c>
      <c r="B1229" s="1372" t="e">
        <f>'Main Validation'!H27</f>
        <v>#N/A</v>
      </c>
      <c r="C1229" s="1373" t="s">
        <v>3224</v>
      </c>
      <c r="D1229" s="1374"/>
      <c r="E1229" s="1374"/>
      <c r="F1229" s="1365" t="s">
        <v>5171</v>
      </c>
      <c r="G1229" s="1365" t="s">
        <v>4675</v>
      </c>
      <c r="H1229" s="1365" t="s">
        <v>3196</v>
      </c>
      <c r="I1229" s="1365">
        <v>28</v>
      </c>
      <c r="J1229" s="1365"/>
      <c r="K1229" s="1365"/>
    </row>
    <row r="1230" spans="1:11" s="1354" customFormat="1" x14ac:dyDescent="0.2">
      <c r="A1230" s="1365" t="s">
        <v>2084</v>
      </c>
      <c r="B1230" s="1372" t="e">
        <f>'Main Validation'!H28</f>
        <v>#N/A</v>
      </c>
      <c r="C1230" s="1373" t="s">
        <v>3224</v>
      </c>
      <c r="D1230" s="1374"/>
      <c r="E1230" s="1374"/>
      <c r="F1230" s="1365" t="s">
        <v>5172</v>
      </c>
      <c r="G1230" s="1365" t="s">
        <v>4676</v>
      </c>
      <c r="H1230" s="1365" t="s">
        <v>3196</v>
      </c>
      <c r="I1230" s="1365">
        <v>29</v>
      </c>
      <c r="J1230" s="1365"/>
      <c r="K1230" s="1365"/>
    </row>
    <row r="1231" spans="1:11" s="1354" customFormat="1" x14ac:dyDescent="0.2">
      <c r="A1231" s="1365" t="s">
        <v>2085</v>
      </c>
      <c r="B1231" s="1372" t="e">
        <f>'Main Validation'!H31</f>
        <v>#N/A</v>
      </c>
      <c r="C1231" s="1373" t="s">
        <v>3224</v>
      </c>
      <c r="D1231" s="1374"/>
      <c r="E1231" s="1374"/>
      <c r="F1231" s="1365" t="s">
        <v>5173</v>
      </c>
      <c r="G1231" s="1365" t="s">
        <v>4677</v>
      </c>
      <c r="H1231" s="1365" t="s">
        <v>3196</v>
      </c>
      <c r="I1231" s="1365">
        <v>30</v>
      </c>
      <c r="J1231" s="1365"/>
      <c r="K1231" s="1365"/>
    </row>
    <row r="1232" spans="1:11" s="1354" customFormat="1" x14ac:dyDescent="0.2">
      <c r="A1232" s="1365" t="s">
        <v>2086</v>
      </c>
      <c r="B1232" s="1372" t="e">
        <f>'Main Validation'!H32</f>
        <v>#N/A</v>
      </c>
      <c r="C1232" s="1373" t="s">
        <v>3224</v>
      </c>
      <c r="D1232" s="1374"/>
      <c r="E1232" s="1374"/>
      <c r="F1232" s="1365" t="s">
        <v>5174</v>
      </c>
      <c r="G1232" s="1365" t="s">
        <v>4678</v>
      </c>
      <c r="H1232" s="1365" t="s">
        <v>3196</v>
      </c>
      <c r="I1232" s="1365">
        <v>31</v>
      </c>
      <c r="J1232" s="1365"/>
      <c r="K1232" s="1365"/>
    </row>
    <row r="1233" spans="1:11" s="1354" customFormat="1" x14ac:dyDescent="0.2">
      <c r="A1233" s="1365" t="s">
        <v>2087</v>
      </c>
      <c r="B1233" s="1372" t="e">
        <f>'Main Validation'!H33</f>
        <v>#N/A</v>
      </c>
      <c r="C1233" s="1373" t="s">
        <v>3224</v>
      </c>
      <c r="D1233" s="1374"/>
      <c r="E1233" s="1374"/>
      <c r="F1233" s="1365" t="s">
        <v>5175</v>
      </c>
      <c r="G1233" s="1365" t="s">
        <v>4679</v>
      </c>
      <c r="H1233" s="1365" t="s">
        <v>3196</v>
      </c>
      <c r="I1233" s="1365">
        <v>32</v>
      </c>
      <c r="J1233" s="1365"/>
      <c r="K1233" s="1365"/>
    </row>
    <row r="1234" spans="1:11" s="1354" customFormat="1" x14ac:dyDescent="0.2">
      <c r="A1234" s="1365" t="s">
        <v>2089</v>
      </c>
      <c r="B1234" s="1372" t="e">
        <f>'Main Validation'!H34</f>
        <v>#N/A</v>
      </c>
      <c r="C1234" s="1373" t="s">
        <v>3224</v>
      </c>
      <c r="D1234" s="1374"/>
      <c r="E1234" s="1374"/>
      <c r="F1234" s="1365" t="s">
        <v>5176</v>
      </c>
      <c r="G1234" s="1365" t="s">
        <v>4681</v>
      </c>
      <c r="H1234" s="1365" t="s">
        <v>3196</v>
      </c>
      <c r="I1234" s="1365">
        <v>33</v>
      </c>
      <c r="J1234" s="1365"/>
      <c r="K1234" s="1365"/>
    </row>
    <row r="1235" spans="1:11" s="1365" customFormat="1" ht="15" customHeight="1" x14ac:dyDescent="0.25">
      <c r="A1235" s="1371" t="s">
        <v>2088</v>
      </c>
      <c r="B1235" s="1375">
        <v>0</v>
      </c>
      <c r="C1235" s="1373" t="s">
        <v>3224</v>
      </c>
      <c r="D1235" s="1374"/>
      <c r="E1235" s="1374"/>
      <c r="F1235" s="1365" t="s">
        <v>5177</v>
      </c>
      <c r="G1235" s="1365" t="s">
        <v>4680</v>
      </c>
      <c r="H1235" s="1365" t="s">
        <v>3196</v>
      </c>
      <c r="I1235" s="1365">
        <v>33</v>
      </c>
    </row>
    <row r="1236" spans="1:11" s="1354" customFormat="1" x14ac:dyDescent="0.2">
      <c r="A1236" s="1365" t="s">
        <v>2090</v>
      </c>
      <c r="B1236" s="1372" t="e">
        <f>'Main Validation'!H35</f>
        <v>#N/A</v>
      </c>
      <c r="C1236" s="1373" t="s">
        <v>3224</v>
      </c>
      <c r="D1236" s="1374"/>
      <c r="E1236" s="1374"/>
      <c r="F1236" s="1365" t="s">
        <v>5178</v>
      </c>
      <c r="G1236" s="1365" t="s">
        <v>4682</v>
      </c>
      <c r="H1236" s="1365" t="s">
        <v>3196</v>
      </c>
      <c r="I1236" s="1365">
        <v>34</v>
      </c>
      <c r="J1236" s="1365"/>
      <c r="K1236" s="1365"/>
    </row>
    <row r="1237" spans="1:11" s="1354" customFormat="1" x14ac:dyDescent="0.2">
      <c r="A1237" s="1365" t="s">
        <v>2091</v>
      </c>
      <c r="B1237" s="1372" t="e">
        <f>'Main Validation'!H36</f>
        <v>#N/A</v>
      </c>
      <c r="C1237" s="1373" t="s">
        <v>3224</v>
      </c>
      <c r="D1237" s="1374"/>
      <c r="E1237" s="1374"/>
      <c r="F1237" s="1365" t="s">
        <v>5179</v>
      </c>
      <c r="G1237" s="1365" t="s">
        <v>4683</v>
      </c>
      <c r="H1237" s="1365" t="s">
        <v>3196</v>
      </c>
      <c r="I1237" s="1365">
        <v>35</v>
      </c>
      <c r="J1237" s="1365"/>
      <c r="K1237" s="1365"/>
    </row>
    <row r="1238" spans="1:11" s="1354" customFormat="1" x14ac:dyDescent="0.2">
      <c r="A1238" s="1365" t="s">
        <v>2092</v>
      </c>
      <c r="B1238" s="1372" t="e">
        <f>'Main Validation'!H37</f>
        <v>#N/A</v>
      </c>
      <c r="C1238" s="1373" t="s">
        <v>3224</v>
      </c>
      <c r="D1238" s="1374"/>
      <c r="E1238" s="1374"/>
      <c r="F1238" s="1365" t="s">
        <v>5180</v>
      </c>
      <c r="G1238" s="1365" t="s">
        <v>4684</v>
      </c>
      <c r="H1238" s="1365" t="s">
        <v>3196</v>
      </c>
      <c r="I1238" s="1365">
        <v>36</v>
      </c>
      <c r="J1238" s="1365"/>
      <c r="K1238" s="1365"/>
    </row>
    <row r="1239" spans="1:11" s="1354" customFormat="1" x14ac:dyDescent="0.2">
      <c r="A1239" s="1365" t="s">
        <v>2676</v>
      </c>
      <c r="B1239" s="1372" t="e">
        <f>'Main Validation'!H38</f>
        <v>#N/A</v>
      </c>
      <c r="C1239" s="1373" t="s">
        <v>3224</v>
      </c>
      <c r="D1239" s="1374"/>
      <c r="E1239" s="1374"/>
      <c r="F1239" s="1365" t="s">
        <v>5181</v>
      </c>
      <c r="G1239" s="1365" t="s">
        <v>4685</v>
      </c>
      <c r="H1239" s="1365" t="s">
        <v>3196</v>
      </c>
      <c r="I1239" s="1365">
        <v>37</v>
      </c>
      <c r="J1239" s="1365"/>
      <c r="K1239" s="1365"/>
    </row>
    <row r="1240" spans="1:11" s="1354" customFormat="1" x14ac:dyDescent="0.2">
      <c r="A1240" s="1365" t="s">
        <v>2093</v>
      </c>
      <c r="B1240" s="1372" t="e">
        <f>'Main Validation'!H40</f>
        <v>#N/A</v>
      </c>
      <c r="C1240" s="1373" t="s">
        <v>3224</v>
      </c>
      <c r="D1240" s="1374"/>
      <c r="E1240" s="1374"/>
      <c r="F1240" s="1365" t="s">
        <v>5182</v>
      </c>
      <c r="G1240" s="1365" t="s">
        <v>4686</v>
      </c>
      <c r="H1240" s="1365" t="s">
        <v>3196</v>
      </c>
      <c r="I1240" s="1365">
        <v>38</v>
      </c>
      <c r="J1240" s="1365"/>
      <c r="K1240" s="1365"/>
    </row>
    <row r="1241" spans="1:11" s="1354" customFormat="1" ht="15" customHeight="1" x14ac:dyDescent="0.2">
      <c r="A1241" s="1365" t="s">
        <v>2094</v>
      </c>
      <c r="B1241" s="1372" t="e">
        <f>'Main Validation'!H43</f>
        <v>#N/A</v>
      </c>
      <c r="C1241" s="1373" t="s">
        <v>3224</v>
      </c>
      <c r="D1241" s="1374"/>
      <c r="E1241" s="1374"/>
      <c r="F1241" s="1365" t="s">
        <v>5183</v>
      </c>
      <c r="G1241" s="1365" t="s">
        <v>4687</v>
      </c>
      <c r="H1241" s="1365" t="s">
        <v>3196</v>
      </c>
      <c r="I1241" s="1365">
        <v>39</v>
      </c>
      <c r="J1241" s="1365"/>
      <c r="K1241" s="1365"/>
    </row>
    <row r="1242" spans="1:11" s="1354" customFormat="1" ht="15" customHeight="1" x14ac:dyDescent="0.25">
      <c r="A1242" s="1500" t="s">
        <v>5877</v>
      </c>
      <c r="B1242" s="1372" t="e">
        <f>'Main Validation'!H51</f>
        <v>#N/A</v>
      </c>
      <c r="C1242" s="1373" t="s">
        <v>3224</v>
      </c>
      <c r="D1242" s="1374"/>
      <c r="E1242" s="1374"/>
      <c r="F1242" s="1365" t="s">
        <v>5878</v>
      </c>
      <c r="G1242" s="1365" t="s">
        <v>5879</v>
      </c>
      <c r="H1242" s="1365" t="s">
        <v>3196</v>
      </c>
      <c r="I1242" s="1365">
        <v>39</v>
      </c>
      <c r="J1242" s="1365"/>
      <c r="K1242" s="1365"/>
    </row>
    <row r="1243" spans="1:11" s="1354" customFormat="1" x14ac:dyDescent="0.2">
      <c r="A1243" s="1365" t="s">
        <v>2095</v>
      </c>
      <c r="B1243" s="1375">
        <f>'Main Validation'!M53</f>
        <v>0</v>
      </c>
      <c r="C1243" s="1367" t="s">
        <v>3202</v>
      </c>
      <c r="D1243" s="1365"/>
      <c r="E1243" s="1365"/>
      <c r="F1243" s="1365" t="s">
        <v>4688</v>
      </c>
      <c r="G1243" s="1365" t="s">
        <v>4689</v>
      </c>
      <c r="H1243" s="1365" t="s">
        <v>3196</v>
      </c>
      <c r="I1243" s="1365">
        <v>40</v>
      </c>
      <c r="J1243" s="1365"/>
      <c r="K1243" s="1365"/>
    </row>
    <row r="1244" spans="1:11" s="1354" customFormat="1" x14ac:dyDescent="0.2">
      <c r="A1244" s="1376" t="s">
        <v>2096</v>
      </c>
      <c r="B1244" s="1377" t="e">
        <f>'Main Validation'!M19</f>
        <v>#N/A</v>
      </c>
      <c r="C1244" s="1367" t="s">
        <v>3202</v>
      </c>
      <c r="D1244" s="1378"/>
      <c r="E1244" s="1378"/>
      <c r="F1244" s="1365" t="s">
        <v>5313</v>
      </c>
      <c r="G1244" s="1365" t="s">
        <v>4690</v>
      </c>
      <c r="H1244" s="1365" t="s">
        <v>3196</v>
      </c>
      <c r="I1244" s="1365">
        <v>41</v>
      </c>
      <c r="J1244" s="1365"/>
      <c r="K1244" s="1365"/>
    </row>
    <row r="1245" spans="1:11" s="1354" customFormat="1" x14ac:dyDescent="0.2">
      <c r="A1245" s="1365" t="s">
        <v>2098</v>
      </c>
      <c r="B1245" s="1377" t="e">
        <f>'Main Validation'!M23</f>
        <v>#N/A</v>
      </c>
      <c r="C1245" s="1367" t="s">
        <v>3202</v>
      </c>
      <c r="D1245" s="1378"/>
      <c r="E1245" s="1378"/>
      <c r="F1245" s="1365" t="s">
        <v>5315</v>
      </c>
      <c r="G1245" s="1365" t="s">
        <v>4692</v>
      </c>
      <c r="H1245" s="1365" t="s">
        <v>3196</v>
      </c>
      <c r="I1245" s="1365">
        <v>42</v>
      </c>
      <c r="J1245" s="1365"/>
      <c r="K1245" s="1365"/>
    </row>
    <row r="1246" spans="1:11" s="1354" customFormat="1" x14ac:dyDescent="0.2">
      <c r="A1246" s="1365" t="s">
        <v>2099</v>
      </c>
      <c r="B1246" s="1377" t="e">
        <f>'Main Validation'!M24</f>
        <v>#N/A</v>
      </c>
      <c r="C1246" s="1367" t="s">
        <v>3202</v>
      </c>
      <c r="D1246" s="1378"/>
      <c r="E1246" s="1378"/>
      <c r="F1246" s="1365" t="s">
        <v>5316</v>
      </c>
      <c r="G1246" s="1365" t="s">
        <v>4693</v>
      </c>
      <c r="H1246" s="1365" t="s">
        <v>3196</v>
      </c>
      <c r="I1246" s="1365">
        <v>43</v>
      </c>
      <c r="J1246" s="1365"/>
      <c r="K1246" s="1365"/>
    </row>
    <row r="1247" spans="1:11" s="1380" customFormat="1" x14ac:dyDescent="0.2">
      <c r="A1247" s="1369" t="s">
        <v>2097</v>
      </c>
      <c r="B1247" s="1377" t="e">
        <f>'Main Validation'!M22</f>
        <v>#N/A</v>
      </c>
      <c r="C1247" s="1367" t="s">
        <v>3202</v>
      </c>
      <c r="D1247" s="1378"/>
      <c r="E1247" s="1378"/>
      <c r="F1247" s="1365" t="s">
        <v>5314</v>
      </c>
      <c r="G1247" s="1365" t="s">
        <v>4691</v>
      </c>
      <c r="H1247" s="1365" t="s">
        <v>3196</v>
      </c>
      <c r="I1247" s="1365">
        <v>43</v>
      </c>
      <c r="J1247" s="1365"/>
      <c r="K1247" s="1365"/>
    </row>
    <row r="1248" spans="1:11" s="1354" customFormat="1" x14ac:dyDescent="0.2">
      <c r="A1248" s="1365" t="s">
        <v>2100</v>
      </c>
      <c r="B1248" s="1377" t="e">
        <f>'Main Validation'!M25</f>
        <v>#N/A</v>
      </c>
      <c r="C1248" s="1367" t="s">
        <v>3202</v>
      </c>
      <c r="D1248" s="1378"/>
      <c r="E1248" s="1378"/>
      <c r="F1248" s="1365" t="s">
        <v>5317</v>
      </c>
      <c r="G1248" s="1365" t="s">
        <v>4694</v>
      </c>
      <c r="H1248" s="1365" t="s">
        <v>3196</v>
      </c>
      <c r="I1248" s="1365">
        <v>44</v>
      </c>
      <c r="J1248" s="1365"/>
      <c r="K1248" s="1365"/>
    </row>
    <row r="1249" spans="1:11" s="1354" customFormat="1" x14ac:dyDescent="0.2">
      <c r="A1249" s="1365" t="s">
        <v>2331</v>
      </c>
      <c r="B1249" s="1377" t="e">
        <f>'Main Validation'!M26</f>
        <v>#N/A</v>
      </c>
      <c r="C1249" s="1367" t="s">
        <v>3202</v>
      </c>
      <c r="D1249" s="1378"/>
      <c r="E1249" s="1378"/>
      <c r="F1249" s="1365" t="s">
        <v>5318</v>
      </c>
      <c r="G1249" s="1365" t="s">
        <v>4695</v>
      </c>
      <c r="H1249" s="1365" t="s">
        <v>3196</v>
      </c>
      <c r="I1249" s="1365">
        <v>45</v>
      </c>
      <c r="J1249" s="1365"/>
      <c r="K1249" s="1365"/>
    </row>
    <row r="1250" spans="1:11" s="1354" customFormat="1" x14ac:dyDescent="0.2">
      <c r="A1250" s="1365" t="s">
        <v>2101</v>
      </c>
      <c r="B1250" s="1377" t="e">
        <f>'Main Validation'!M27</f>
        <v>#N/A</v>
      </c>
      <c r="C1250" s="1367" t="s">
        <v>3202</v>
      </c>
      <c r="D1250" s="1378"/>
      <c r="E1250" s="1378"/>
      <c r="F1250" s="1365" t="s">
        <v>5319</v>
      </c>
      <c r="G1250" s="1365" t="s">
        <v>4696</v>
      </c>
      <c r="H1250" s="1365" t="s">
        <v>3196</v>
      </c>
      <c r="I1250" s="1365">
        <v>46</v>
      </c>
      <c r="J1250" s="1365"/>
      <c r="K1250" s="1365"/>
    </row>
    <row r="1251" spans="1:11" s="1354" customFormat="1" x14ac:dyDescent="0.2">
      <c r="A1251" s="1365" t="s">
        <v>2102</v>
      </c>
      <c r="B1251" s="1377" t="e">
        <f>'Main Validation'!M28</f>
        <v>#N/A</v>
      </c>
      <c r="C1251" s="1367" t="s">
        <v>3202</v>
      </c>
      <c r="D1251" s="1378"/>
      <c r="E1251" s="1378"/>
      <c r="F1251" s="1365" t="s">
        <v>5320</v>
      </c>
      <c r="G1251" s="1365" t="s">
        <v>4697</v>
      </c>
      <c r="H1251" s="1365" t="s">
        <v>3196</v>
      </c>
      <c r="I1251" s="1365">
        <v>47</v>
      </c>
      <c r="J1251" s="1365"/>
      <c r="K1251" s="1365"/>
    </row>
    <row r="1252" spans="1:11" s="1354" customFormat="1" x14ac:dyDescent="0.2">
      <c r="A1252" s="1365" t="s">
        <v>2103</v>
      </c>
      <c r="B1252" s="1377" t="e">
        <f>'Main Validation'!M31</f>
        <v>#N/A</v>
      </c>
      <c r="C1252" s="1367" t="s">
        <v>3202</v>
      </c>
      <c r="D1252" s="1378"/>
      <c r="E1252" s="1378"/>
      <c r="F1252" s="1365" t="s">
        <v>5321</v>
      </c>
      <c r="G1252" s="1365" t="s">
        <v>4698</v>
      </c>
      <c r="H1252" s="1365" t="s">
        <v>3196</v>
      </c>
      <c r="I1252" s="1365">
        <v>48</v>
      </c>
      <c r="J1252" s="1365"/>
      <c r="K1252" s="1365"/>
    </row>
    <row r="1253" spans="1:11" s="1354" customFormat="1" x14ac:dyDescent="0.2">
      <c r="A1253" s="1365" t="s">
        <v>2104</v>
      </c>
      <c r="B1253" s="1377" t="e">
        <f>'Main Validation'!M32</f>
        <v>#N/A</v>
      </c>
      <c r="C1253" s="1367" t="s">
        <v>3202</v>
      </c>
      <c r="D1253" s="1378"/>
      <c r="E1253" s="1378"/>
      <c r="F1253" s="1365" t="s">
        <v>5322</v>
      </c>
      <c r="G1253" s="1365" t="s">
        <v>4699</v>
      </c>
      <c r="H1253" s="1365" t="s">
        <v>3196</v>
      </c>
      <c r="I1253" s="1365">
        <v>49</v>
      </c>
      <c r="J1253" s="1365"/>
      <c r="K1253" s="1365"/>
    </row>
    <row r="1254" spans="1:11" s="1354" customFormat="1" x14ac:dyDescent="0.2">
      <c r="A1254" s="1365" t="s">
        <v>2105</v>
      </c>
      <c r="B1254" s="1377" t="e">
        <f>'Main Validation'!M33</f>
        <v>#N/A</v>
      </c>
      <c r="C1254" s="1367" t="s">
        <v>3202</v>
      </c>
      <c r="D1254" s="1378"/>
      <c r="E1254" s="1378"/>
      <c r="F1254" s="1365" t="s">
        <v>5323</v>
      </c>
      <c r="G1254" s="1365" t="s">
        <v>4700</v>
      </c>
      <c r="H1254" s="1365" t="s">
        <v>3196</v>
      </c>
      <c r="I1254" s="1365">
        <v>50</v>
      </c>
      <c r="J1254" s="1365"/>
      <c r="K1254" s="1365"/>
    </row>
    <row r="1255" spans="1:11" s="1354" customFormat="1" x14ac:dyDescent="0.2">
      <c r="A1255" s="1365" t="s">
        <v>2107</v>
      </c>
      <c r="B1255" s="1377" t="e">
        <f>'Main Validation'!M34</f>
        <v>#N/A</v>
      </c>
      <c r="C1255" s="1367" t="s">
        <v>3202</v>
      </c>
      <c r="D1255" s="1378"/>
      <c r="E1255" s="1378"/>
      <c r="F1255" s="1365" t="s">
        <v>5324</v>
      </c>
      <c r="G1255" s="1365" t="s">
        <v>4702</v>
      </c>
      <c r="H1255" s="1365" t="s">
        <v>3196</v>
      </c>
      <c r="I1255" s="1365">
        <v>51</v>
      </c>
      <c r="J1255" s="1365"/>
      <c r="K1255" s="1365"/>
    </row>
    <row r="1256" spans="1:11" s="1354" customFormat="1" ht="14.25" customHeight="1" x14ac:dyDescent="0.2">
      <c r="A1256" s="1365" t="s">
        <v>2108</v>
      </c>
      <c r="B1256" s="1377" t="e">
        <f>'Main Validation'!M35</f>
        <v>#N/A</v>
      </c>
      <c r="C1256" s="1367" t="s">
        <v>3202</v>
      </c>
      <c r="D1256" s="1378"/>
      <c r="E1256" s="1378"/>
      <c r="F1256" s="1365" t="s">
        <v>5325</v>
      </c>
      <c r="G1256" s="1365" t="s">
        <v>4703</v>
      </c>
      <c r="H1256" s="1365" t="s">
        <v>3196</v>
      </c>
      <c r="I1256" s="1365">
        <v>52</v>
      </c>
      <c r="J1256" s="1365"/>
      <c r="K1256" s="1365"/>
    </row>
    <row r="1257" spans="1:11" s="1354" customFormat="1" x14ac:dyDescent="0.2">
      <c r="A1257" s="1365" t="s">
        <v>2109</v>
      </c>
      <c r="B1257" s="1377" t="e">
        <f>'Main Validation'!M36</f>
        <v>#N/A</v>
      </c>
      <c r="C1257" s="1367" t="s">
        <v>3202</v>
      </c>
      <c r="D1257" s="1378"/>
      <c r="E1257" s="1378"/>
      <c r="F1257" s="1365" t="s">
        <v>5326</v>
      </c>
      <c r="G1257" s="1365" t="s">
        <v>4704</v>
      </c>
      <c r="H1257" s="1365" t="s">
        <v>3196</v>
      </c>
      <c r="I1257" s="1365">
        <v>53</v>
      </c>
      <c r="J1257" s="1365"/>
      <c r="K1257" s="1365"/>
    </row>
    <row r="1258" spans="1:11" s="1365" customFormat="1" ht="15" customHeight="1" x14ac:dyDescent="0.25">
      <c r="A1258" s="1371" t="s">
        <v>2106</v>
      </c>
      <c r="B1258" s="1377">
        <v>0</v>
      </c>
      <c r="C1258" s="1367" t="s">
        <v>3202</v>
      </c>
      <c r="D1258" s="1378"/>
      <c r="E1258" s="1378"/>
      <c r="F1258" s="1365" t="s">
        <v>5186</v>
      </c>
      <c r="G1258" s="1365" t="s">
        <v>4701</v>
      </c>
      <c r="H1258" s="1365" t="s">
        <v>3196</v>
      </c>
      <c r="I1258" s="1365">
        <v>53</v>
      </c>
    </row>
    <row r="1259" spans="1:11" s="1354" customFormat="1" x14ac:dyDescent="0.2">
      <c r="A1259" s="1365" t="s">
        <v>2110</v>
      </c>
      <c r="B1259" s="1377" t="e">
        <f>'Main Validation'!M37</f>
        <v>#N/A</v>
      </c>
      <c r="C1259" s="1367" t="s">
        <v>3202</v>
      </c>
      <c r="D1259" s="1378"/>
      <c r="E1259" s="1378"/>
      <c r="F1259" s="1365" t="s">
        <v>5327</v>
      </c>
      <c r="G1259" s="1365" t="s">
        <v>4705</v>
      </c>
      <c r="H1259" s="1365" t="s">
        <v>3196</v>
      </c>
      <c r="I1259" s="1365">
        <v>54</v>
      </c>
      <c r="J1259" s="1365"/>
      <c r="K1259" s="1365"/>
    </row>
    <row r="1260" spans="1:11" s="1354" customFormat="1" x14ac:dyDescent="0.2">
      <c r="A1260" s="1365" t="s">
        <v>2677</v>
      </c>
      <c r="B1260" s="1377" t="e">
        <f>'Main Validation'!M38</f>
        <v>#N/A</v>
      </c>
      <c r="C1260" s="1367" t="s">
        <v>3202</v>
      </c>
      <c r="D1260" s="1378"/>
      <c r="E1260" s="1378"/>
      <c r="F1260" s="1365" t="s">
        <v>5328</v>
      </c>
      <c r="G1260" s="1365" t="s">
        <v>4706</v>
      </c>
      <c r="H1260" s="1365" t="s">
        <v>3196</v>
      </c>
      <c r="I1260" s="1365">
        <v>55</v>
      </c>
      <c r="J1260" s="1365"/>
      <c r="K1260" s="1365"/>
    </row>
    <row r="1261" spans="1:11" s="1354" customFormat="1" x14ac:dyDescent="0.2">
      <c r="A1261" s="1365" t="s">
        <v>2111</v>
      </c>
      <c r="B1261" s="1377" t="e">
        <f>'Main Validation'!M40</f>
        <v>#N/A</v>
      </c>
      <c r="C1261" s="1367" t="s">
        <v>3202</v>
      </c>
      <c r="D1261" s="1378"/>
      <c r="E1261" s="1378"/>
      <c r="F1261" s="1365" t="s">
        <v>5329</v>
      </c>
      <c r="G1261" s="1365" t="s">
        <v>4707</v>
      </c>
      <c r="H1261" s="1365" t="s">
        <v>3196</v>
      </c>
      <c r="I1261" s="1365">
        <v>56</v>
      </c>
      <c r="J1261" s="1365"/>
      <c r="K1261" s="1365"/>
    </row>
    <row r="1262" spans="1:11" s="1354" customFormat="1" x14ac:dyDescent="0.2">
      <c r="A1262" s="1365" t="s">
        <v>2112</v>
      </c>
      <c r="B1262" s="1377" t="e">
        <f>'Main Validation'!M43</f>
        <v>#N/A</v>
      </c>
      <c r="C1262" s="1367" t="s">
        <v>3202</v>
      </c>
      <c r="D1262" s="1378"/>
      <c r="E1262" s="1378"/>
      <c r="F1262" s="1365" t="s">
        <v>5330</v>
      </c>
      <c r="G1262" s="1365" t="s">
        <v>4708</v>
      </c>
      <c r="H1262" s="1365" t="s">
        <v>3196</v>
      </c>
      <c r="I1262" s="1365">
        <v>57</v>
      </c>
      <c r="J1262" s="1365"/>
      <c r="K1262" s="1365"/>
    </row>
    <row r="1263" spans="1:11" s="1354" customFormat="1" x14ac:dyDescent="0.2">
      <c r="A1263" s="1365" t="s">
        <v>2113</v>
      </c>
      <c r="B1263" s="1377" t="e">
        <f>'Main Validation'!M44</f>
        <v>#N/A</v>
      </c>
      <c r="C1263" s="1367" t="s">
        <v>3202</v>
      </c>
      <c r="D1263" s="1378"/>
      <c r="E1263" s="1378"/>
      <c r="F1263" s="1365" t="s">
        <v>5331</v>
      </c>
      <c r="G1263" s="1365" t="s">
        <v>4709</v>
      </c>
      <c r="H1263" s="1365" t="s">
        <v>3196</v>
      </c>
      <c r="I1263" s="1365">
        <v>58</v>
      </c>
      <c r="J1263" s="1365"/>
      <c r="K1263" s="1365"/>
    </row>
    <row r="1264" spans="1:11" s="1354" customFormat="1" x14ac:dyDescent="0.2">
      <c r="A1264" s="1365" t="s">
        <v>2114</v>
      </c>
      <c r="B1264" s="1377" t="e">
        <f>'Main Validation'!M47</f>
        <v>#N/A</v>
      </c>
      <c r="C1264" s="1367" t="s">
        <v>3202</v>
      </c>
      <c r="D1264" s="1378"/>
      <c r="E1264" s="1378"/>
      <c r="F1264" s="1365" t="s">
        <v>5332</v>
      </c>
      <c r="G1264" s="1365" t="s">
        <v>4710</v>
      </c>
      <c r="H1264" s="1365" t="s">
        <v>3196</v>
      </c>
      <c r="I1264" s="1365">
        <v>59</v>
      </c>
      <c r="J1264" s="1365"/>
      <c r="K1264" s="1365"/>
    </row>
    <row r="1265" spans="1:11" s="1365" customFormat="1" ht="14.25" customHeight="1" x14ac:dyDescent="0.25">
      <c r="A1265" s="1500" t="s">
        <v>5685</v>
      </c>
      <c r="B1265" s="1497" t="str">
        <f>'Main Validation'!M48</f>
        <v>OK</v>
      </c>
      <c r="C1265" s="1570" t="s">
        <v>3202</v>
      </c>
      <c r="D1265" s="1499"/>
      <c r="E1265" s="1499"/>
      <c r="F1265" s="1500" t="s">
        <v>5686</v>
      </c>
      <c r="G1265" s="1500" t="s">
        <v>5687</v>
      </c>
      <c r="H1265" s="1500" t="s">
        <v>3196</v>
      </c>
      <c r="I1265" s="1365">
        <v>60</v>
      </c>
    </row>
    <row r="1266" spans="1:11" s="1365" customFormat="1" ht="14.25" customHeight="1" x14ac:dyDescent="0.25">
      <c r="A1266" s="1500" t="s">
        <v>5880</v>
      </c>
      <c r="B1266" s="1497" t="e">
        <f>'Main Validation'!M51</f>
        <v>#N/A</v>
      </c>
      <c r="C1266" s="1570" t="s">
        <v>3202</v>
      </c>
      <c r="D1266" s="1499"/>
      <c r="E1266" s="1499"/>
      <c r="F1266" s="1500" t="s">
        <v>5881</v>
      </c>
      <c r="G1266" s="1500" t="s">
        <v>5882</v>
      </c>
      <c r="H1266" s="1500" t="s">
        <v>3196</v>
      </c>
      <c r="I1266" s="1365">
        <v>60</v>
      </c>
    </row>
    <row r="1267" spans="1:11" s="1354" customFormat="1" x14ac:dyDescent="0.2">
      <c r="A1267" s="1376" t="s">
        <v>2115</v>
      </c>
      <c r="B1267" s="1377">
        <f>'Main Validation'!O19</f>
        <v>0</v>
      </c>
      <c r="C1267" s="1379" t="s">
        <v>3202</v>
      </c>
      <c r="D1267" s="1378"/>
      <c r="E1267" s="1378"/>
      <c r="F1267" s="1365" t="s">
        <v>5185</v>
      </c>
      <c r="G1267" s="1365" t="s">
        <v>4711</v>
      </c>
      <c r="H1267" s="1365" t="s">
        <v>3196</v>
      </c>
      <c r="I1267" s="1365">
        <v>61</v>
      </c>
      <c r="J1267" s="1365"/>
      <c r="K1267" s="1365"/>
    </row>
    <row r="1268" spans="1:11" s="1354" customFormat="1" x14ac:dyDescent="0.2">
      <c r="A1268" s="1365" t="s">
        <v>2117</v>
      </c>
      <c r="B1268" s="1377">
        <f>'Main Validation'!O23</f>
        <v>0</v>
      </c>
      <c r="C1268" s="1379" t="s">
        <v>3202</v>
      </c>
      <c r="D1268" s="1378"/>
      <c r="E1268" s="1378"/>
      <c r="F1268" s="1365" t="s">
        <v>5188</v>
      </c>
      <c r="G1268" s="1365" t="s">
        <v>4713</v>
      </c>
      <c r="H1268" s="1365" t="s">
        <v>3196</v>
      </c>
      <c r="I1268" s="1365">
        <v>62</v>
      </c>
      <c r="J1268" s="1365"/>
      <c r="K1268" s="1365"/>
    </row>
    <row r="1269" spans="1:11" s="1354" customFormat="1" x14ac:dyDescent="0.2">
      <c r="A1269" s="1365" t="s">
        <v>2118</v>
      </c>
      <c r="B1269" s="1377">
        <f>'Main Validation'!O24</f>
        <v>0</v>
      </c>
      <c r="C1269" s="1379" t="s">
        <v>3202</v>
      </c>
      <c r="D1269" s="1378"/>
      <c r="E1269" s="1378"/>
      <c r="F1269" s="1365" t="s">
        <v>5189</v>
      </c>
      <c r="G1269" s="1365" t="s">
        <v>4714</v>
      </c>
      <c r="H1269" s="1365" t="s">
        <v>3196</v>
      </c>
      <c r="I1269" s="1365">
        <v>63</v>
      </c>
      <c r="J1269" s="1365"/>
      <c r="K1269" s="1365"/>
    </row>
    <row r="1270" spans="1:11" s="1354" customFormat="1" x14ac:dyDescent="0.2">
      <c r="A1270" s="1365" t="s">
        <v>2119</v>
      </c>
      <c r="B1270" s="1377">
        <f>'Main Validation'!O25</f>
        <v>0</v>
      </c>
      <c r="C1270" s="1379" t="s">
        <v>3202</v>
      </c>
      <c r="D1270" s="1378"/>
      <c r="E1270" s="1378"/>
      <c r="F1270" s="1365" t="s">
        <v>5190</v>
      </c>
      <c r="G1270" s="1365" t="s">
        <v>4715</v>
      </c>
      <c r="H1270" s="1365" t="s">
        <v>3196</v>
      </c>
      <c r="I1270" s="1365">
        <v>64</v>
      </c>
      <c r="J1270" s="1365"/>
      <c r="K1270" s="1365"/>
    </row>
    <row r="1271" spans="1:11" s="1380" customFormat="1" x14ac:dyDescent="0.2">
      <c r="A1271" s="1369" t="s">
        <v>2116</v>
      </c>
      <c r="B1271" s="1377">
        <f>'Main Validation'!O22</f>
        <v>0</v>
      </c>
      <c r="C1271" s="1379" t="s">
        <v>3202</v>
      </c>
      <c r="D1271" s="1378"/>
      <c r="E1271" s="1378"/>
      <c r="F1271" s="1365" t="s">
        <v>5187</v>
      </c>
      <c r="G1271" s="1365" t="s">
        <v>4712</v>
      </c>
      <c r="H1271" s="1365" t="s">
        <v>3196</v>
      </c>
      <c r="I1271" s="1365">
        <v>64</v>
      </c>
      <c r="J1271" s="1365"/>
      <c r="K1271" s="1365"/>
    </row>
    <row r="1272" spans="1:11" s="1354" customFormat="1" x14ac:dyDescent="0.2">
      <c r="A1272" s="1365" t="s">
        <v>2332</v>
      </c>
      <c r="B1272" s="1377">
        <f>'Main Validation'!O26</f>
        <v>0</v>
      </c>
      <c r="C1272" s="1379" t="s">
        <v>3202</v>
      </c>
      <c r="D1272" s="1378"/>
      <c r="E1272" s="1378"/>
      <c r="F1272" s="1365" t="s">
        <v>5191</v>
      </c>
      <c r="G1272" s="1365" t="s">
        <v>4716</v>
      </c>
      <c r="H1272" s="1365" t="s">
        <v>3196</v>
      </c>
      <c r="I1272" s="1365">
        <v>65</v>
      </c>
      <c r="J1272" s="1365"/>
      <c r="K1272" s="1365"/>
    </row>
    <row r="1273" spans="1:11" s="1354" customFormat="1" ht="15" customHeight="1" x14ac:dyDescent="0.2">
      <c r="A1273" s="1365" t="s">
        <v>2120</v>
      </c>
      <c r="B1273" s="1377">
        <f>'Main Validation'!O27</f>
        <v>0</v>
      </c>
      <c r="C1273" s="1379" t="s">
        <v>3202</v>
      </c>
      <c r="D1273" s="1378"/>
      <c r="E1273" s="1378"/>
      <c r="F1273" s="1365" t="s">
        <v>5192</v>
      </c>
      <c r="G1273" s="1365" t="s">
        <v>4717</v>
      </c>
      <c r="H1273" s="1365" t="s">
        <v>3196</v>
      </c>
      <c r="I1273" s="1365">
        <v>66</v>
      </c>
      <c r="J1273" s="1365"/>
      <c r="K1273" s="1365"/>
    </row>
    <row r="1274" spans="1:11" s="1354" customFormat="1" x14ac:dyDescent="0.2">
      <c r="A1274" s="1365" t="s">
        <v>2121</v>
      </c>
      <c r="B1274" s="1377">
        <f>'Main Validation'!O28</f>
        <v>0</v>
      </c>
      <c r="C1274" s="1379" t="s">
        <v>3202</v>
      </c>
      <c r="D1274" s="1378"/>
      <c r="E1274" s="1378"/>
      <c r="F1274" s="1365" t="s">
        <v>5193</v>
      </c>
      <c r="G1274" s="1365" t="s">
        <v>4718</v>
      </c>
      <c r="H1274" s="1365" t="s">
        <v>3196</v>
      </c>
      <c r="I1274" s="1365">
        <v>67</v>
      </c>
      <c r="J1274" s="1365"/>
      <c r="K1274" s="1365"/>
    </row>
    <row r="1275" spans="1:11" s="1354" customFormat="1" x14ac:dyDescent="0.2">
      <c r="A1275" s="1365" t="s">
        <v>2122</v>
      </c>
      <c r="B1275" s="1377">
        <f>'Main Validation'!O31</f>
        <v>0</v>
      </c>
      <c r="C1275" s="1379" t="s">
        <v>3202</v>
      </c>
      <c r="D1275" s="1378"/>
      <c r="E1275" s="1378"/>
      <c r="F1275" s="1365" t="s">
        <v>5194</v>
      </c>
      <c r="G1275" s="1365" t="s">
        <v>4719</v>
      </c>
      <c r="H1275" s="1365" t="s">
        <v>3196</v>
      </c>
      <c r="I1275" s="1365">
        <v>68</v>
      </c>
      <c r="J1275" s="1365"/>
      <c r="K1275" s="1365"/>
    </row>
    <row r="1276" spans="1:11" s="1354" customFormat="1" x14ac:dyDescent="0.2">
      <c r="A1276" s="1365" t="s">
        <v>2123</v>
      </c>
      <c r="B1276" s="1377">
        <f>'Main Validation'!O32</f>
        <v>0</v>
      </c>
      <c r="C1276" s="1379" t="s">
        <v>3202</v>
      </c>
      <c r="D1276" s="1378"/>
      <c r="E1276" s="1378"/>
      <c r="F1276" s="1365" t="s">
        <v>5195</v>
      </c>
      <c r="G1276" s="1365" t="s">
        <v>4720</v>
      </c>
      <c r="H1276" s="1365" t="s">
        <v>3196</v>
      </c>
      <c r="I1276" s="1365">
        <v>69</v>
      </c>
      <c r="J1276" s="1365"/>
      <c r="K1276" s="1365"/>
    </row>
    <row r="1277" spans="1:11" s="1354" customFormat="1" x14ac:dyDescent="0.2">
      <c r="A1277" s="1365" t="s">
        <v>2124</v>
      </c>
      <c r="B1277" s="1377">
        <f>'Main Validation'!O33</f>
        <v>0</v>
      </c>
      <c r="C1277" s="1379" t="s">
        <v>3202</v>
      </c>
      <c r="D1277" s="1378"/>
      <c r="E1277" s="1378"/>
      <c r="F1277" s="1365" t="s">
        <v>5196</v>
      </c>
      <c r="G1277" s="1365" t="s">
        <v>4721</v>
      </c>
      <c r="H1277" s="1365" t="s">
        <v>3196</v>
      </c>
      <c r="I1277" s="1365">
        <v>70</v>
      </c>
      <c r="J1277" s="1365"/>
      <c r="K1277" s="1365"/>
    </row>
    <row r="1278" spans="1:11" s="1354" customFormat="1" x14ac:dyDescent="0.2">
      <c r="A1278" s="1365" t="s">
        <v>2126</v>
      </c>
      <c r="B1278" s="1377">
        <f>'Main Validation'!O34</f>
        <v>0</v>
      </c>
      <c r="C1278" s="1379" t="s">
        <v>3202</v>
      </c>
      <c r="D1278" s="1378"/>
      <c r="E1278" s="1378"/>
      <c r="F1278" s="1365" t="s">
        <v>5197</v>
      </c>
      <c r="G1278" s="1365" t="s">
        <v>4723</v>
      </c>
      <c r="H1278" s="1365" t="s">
        <v>3196</v>
      </c>
      <c r="I1278" s="1365">
        <v>71</v>
      </c>
      <c r="J1278" s="1365"/>
      <c r="K1278" s="1365"/>
    </row>
    <row r="1279" spans="1:11" s="1354" customFormat="1" x14ac:dyDescent="0.2">
      <c r="A1279" s="1365" t="s">
        <v>2127</v>
      </c>
      <c r="B1279" s="1377">
        <f>'Main Validation'!O35</f>
        <v>0</v>
      </c>
      <c r="C1279" s="1379" t="s">
        <v>3202</v>
      </c>
      <c r="D1279" s="1378"/>
      <c r="E1279" s="1378"/>
      <c r="F1279" s="1365" t="s">
        <v>5198</v>
      </c>
      <c r="G1279" s="1365" t="s">
        <v>4724</v>
      </c>
      <c r="H1279" s="1365" t="s">
        <v>3196</v>
      </c>
      <c r="I1279" s="1365">
        <v>72</v>
      </c>
      <c r="J1279" s="1365"/>
      <c r="K1279" s="1365"/>
    </row>
    <row r="1280" spans="1:11" s="1354" customFormat="1" x14ac:dyDescent="0.2">
      <c r="A1280" s="1365" t="s">
        <v>2128</v>
      </c>
      <c r="B1280" s="1377">
        <f>'Main Validation'!O36</f>
        <v>0</v>
      </c>
      <c r="C1280" s="1379" t="s">
        <v>3202</v>
      </c>
      <c r="D1280" s="1378"/>
      <c r="E1280" s="1378"/>
      <c r="F1280" s="1365" t="s">
        <v>5199</v>
      </c>
      <c r="G1280" s="1365" t="s">
        <v>4725</v>
      </c>
      <c r="H1280" s="1365" t="s">
        <v>3196</v>
      </c>
      <c r="I1280" s="1365">
        <v>73</v>
      </c>
      <c r="J1280" s="1365"/>
      <c r="K1280" s="1365"/>
    </row>
    <row r="1281" spans="1:11" s="1354" customFormat="1" x14ac:dyDescent="0.2">
      <c r="A1281" s="1365" t="s">
        <v>2129</v>
      </c>
      <c r="B1281" s="1377">
        <f>'Main Validation'!O37</f>
        <v>0</v>
      </c>
      <c r="C1281" s="1379" t="s">
        <v>3202</v>
      </c>
      <c r="D1281" s="1378"/>
      <c r="E1281" s="1378"/>
      <c r="F1281" s="1365" t="s">
        <v>5200</v>
      </c>
      <c r="G1281" s="1365" t="s">
        <v>4726</v>
      </c>
      <c r="H1281" s="1365" t="s">
        <v>3196</v>
      </c>
      <c r="I1281" s="1365">
        <v>74</v>
      </c>
      <c r="J1281" s="1365"/>
      <c r="K1281" s="1365"/>
    </row>
    <row r="1282" spans="1:11" s="1365" customFormat="1" ht="15" customHeight="1" x14ac:dyDescent="0.25">
      <c r="A1282" s="1371" t="s">
        <v>2125</v>
      </c>
      <c r="B1282" s="1377">
        <v>0</v>
      </c>
      <c r="C1282" s="1379" t="s">
        <v>3202</v>
      </c>
      <c r="D1282" s="1378"/>
      <c r="E1282" s="1378"/>
      <c r="F1282" s="1365" t="s">
        <v>5184</v>
      </c>
      <c r="G1282" s="1365" t="s">
        <v>4722</v>
      </c>
      <c r="H1282" s="1365" t="s">
        <v>3196</v>
      </c>
      <c r="I1282" s="1365">
        <v>74</v>
      </c>
    </row>
    <row r="1283" spans="1:11" s="1354" customFormat="1" x14ac:dyDescent="0.2">
      <c r="A1283" s="1365" t="s">
        <v>2678</v>
      </c>
      <c r="B1283" s="1377">
        <f>'Main Validation'!O38</f>
        <v>0</v>
      </c>
      <c r="C1283" s="1379" t="s">
        <v>3202</v>
      </c>
      <c r="D1283" s="1378"/>
      <c r="E1283" s="1378"/>
      <c r="F1283" s="1365" t="s">
        <v>5201</v>
      </c>
      <c r="G1283" s="1365" t="s">
        <v>4727</v>
      </c>
      <c r="H1283" s="1365" t="s">
        <v>3196</v>
      </c>
      <c r="I1283" s="1365">
        <v>75</v>
      </c>
      <c r="J1283" s="1365"/>
      <c r="K1283" s="1365"/>
    </row>
    <row r="1284" spans="1:11" s="1354" customFormat="1" x14ac:dyDescent="0.2">
      <c r="A1284" s="1365" t="s">
        <v>2130</v>
      </c>
      <c r="B1284" s="1377">
        <f>'Main Validation'!O40</f>
        <v>0</v>
      </c>
      <c r="C1284" s="1379" t="s">
        <v>3202</v>
      </c>
      <c r="D1284" s="1378"/>
      <c r="E1284" s="1378"/>
      <c r="F1284" s="1365" t="s">
        <v>5202</v>
      </c>
      <c r="G1284" s="1365" t="s">
        <v>4728</v>
      </c>
      <c r="H1284" s="1365" t="s">
        <v>3196</v>
      </c>
      <c r="I1284" s="1365">
        <v>76</v>
      </c>
      <c r="J1284" s="1365"/>
      <c r="K1284" s="1365"/>
    </row>
    <row r="1285" spans="1:11" s="1354" customFormat="1" x14ac:dyDescent="0.2">
      <c r="A1285" s="1365" t="s">
        <v>2131</v>
      </c>
      <c r="B1285" s="1377">
        <f>'Main Validation'!O43</f>
        <v>0</v>
      </c>
      <c r="C1285" s="1379" t="s">
        <v>3202</v>
      </c>
      <c r="D1285" s="1378"/>
      <c r="E1285" s="1378"/>
      <c r="F1285" s="1365" t="s">
        <v>5203</v>
      </c>
      <c r="G1285" s="1365" t="s">
        <v>4729</v>
      </c>
      <c r="H1285" s="1365" t="s">
        <v>3196</v>
      </c>
      <c r="I1285" s="1365">
        <v>77</v>
      </c>
      <c r="J1285" s="1365"/>
      <c r="K1285" s="1365"/>
    </row>
    <row r="1286" spans="1:11" s="1354" customFormat="1" x14ac:dyDescent="0.2">
      <c r="A1286" s="1365" t="s">
        <v>2132</v>
      </c>
      <c r="B1286" s="1377">
        <f>'Main Validation'!O44</f>
        <v>0</v>
      </c>
      <c r="C1286" s="1379" t="s">
        <v>3202</v>
      </c>
      <c r="D1286" s="1378"/>
      <c r="E1286" s="1378"/>
      <c r="F1286" s="1365" t="s">
        <v>5204</v>
      </c>
      <c r="G1286" s="1365" t="s">
        <v>4730</v>
      </c>
      <c r="H1286" s="1365" t="s">
        <v>3196</v>
      </c>
      <c r="I1286" s="1365">
        <v>78</v>
      </c>
      <c r="J1286" s="1365"/>
      <c r="K1286" s="1365"/>
    </row>
    <row r="1287" spans="1:11" s="1354" customFormat="1" x14ac:dyDescent="0.2">
      <c r="A1287" s="1365" t="s">
        <v>2133</v>
      </c>
      <c r="B1287" s="1377">
        <f>'Main Validation'!O47</f>
        <v>0</v>
      </c>
      <c r="C1287" s="1379" t="s">
        <v>3202</v>
      </c>
      <c r="D1287" s="1378"/>
      <c r="E1287" s="1378"/>
      <c r="F1287" s="1365" t="s">
        <v>5205</v>
      </c>
      <c r="G1287" s="1365" t="s">
        <v>4731</v>
      </c>
      <c r="H1287" s="1365" t="s">
        <v>3196</v>
      </c>
      <c r="I1287" s="1365">
        <v>79</v>
      </c>
      <c r="J1287" s="1365"/>
      <c r="K1287" s="1365"/>
    </row>
    <row r="1288" spans="1:11" s="1365" customFormat="1" ht="14.25" customHeight="1" x14ac:dyDescent="0.25">
      <c r="A1288" s="1500" t="s">
        <v>5688</v>
      </c>
      <c r="B1288" s="1497">
        <f>'Main Validation'!O48</f>
        <v>0</v>
      </c>
      <c r="C1288" s="1501" t="s">
        <v>3202</v>
      </c>
      <c r="D1288" s="1499"/>
      <c r="E1288" s="1499"/>
      <c r="F1288" s="1500" t="s">
        <v>5689</v>
      </c>
      <c r="G1288" s="1500" t="s">
        <v>5690</v>
      </c>
      <c r="H1288" s="1500" t="s">
        <v>3196</v>
      </c>
      <c r="I1288" s="1365">
        <v>80</v>
      </c>
    </row>
    <row r="1289" spans="1:11" s="1365" customFormat="1" ht="14.25" customHeight="1" x14ac:dyDescent="0.25">
      <c r="A1289" s="1500" t="s">
        <v>5883</v>
      </c>
      <c r="B1289" s="1497">
        <f>'Main Validation'!O51</f>
        <v>0</v>
      </c>
      <c r="C1289" s="1501" t="s">
        <v>3202</v>
      </c>
      <c r="D1289" s="1499"/>
      <c r="E1289" s="1499"/>
      <c r="F1289" s="1500" t="s">
        <v>5884</v>
      </c>
      <c r="G1289" s="1500" t="s">
        <v>5885</v>
      </c>
      <c r="H1289" s="1500" t="s">
        <v>3196</v>
      </c>
      <c r="I1289" s="1365">
        <v>80</v>
      </c>
    </row>
    <row r="1290" spans="1:11" s="1354" customFormat="1" x14ac:dyDescent="0.2">
      <c r="A1290" s="1365" t="s">
        <v>2134</v>
      </c>
      <c r="B1290" s="1377">
        <f>'Main Validation'!B55</f>
        <v>0</v>
      </c>
      <c r="C1290" s="1379" t="s">
        <v>3202</v>
      </c>
      <c r="D1290" s="1378"/>
      <c r="E1290" s="1378"/>
      <c r="F1290" s="1365" t="s">
        <v>5206</v>
      </c>
      <c r="G1290" s="1365" t="s">
        <v>4732</v>
      </c>
      <c r="H1290" s="1365" t="s">
        <v>3196</v>
      </c>
      <c r="I1290" s="1365">
        <v>81</v>
      </c>
      <c r="J1290" s="1365"/>
      <c r="K1290" s="1365"/>
    </row>
    <row r="1291" spans="1:11" s="1380" customFormat="1" ht="14.25" customHeight="1" x14ac:dyDescent="0.25">
      <c r="A1291" s="1500" t="s">
        <v>5577</v>
      </c>
      <c r="B1291" s="1497" t="e">
        <f>'Main Validation'!D19</f>
        <v>#N/A</v>
      </c>
      <c r="C1291" s="1501" t="s">
        <v>3204</v>
      </c>
      <c r="D1291" s="1499"/>
      <c r="E1291" s="1499"/>
      <c r="F1291" s="1500" t="s">
        <v>5578</v>
      </c>
      <c r="G1291" s="1500" t="s">
        <v>5614</v>
      </c>
      <c r="H1291" s="1500" t="s">
        <v>3196</v>
      </c>
      <c r="I1291" s="1500">
        <v>84</v>
      </c>
      <c r="J1291" s="1500"/>
      <c r="K1291" s="1500"/>
    </row>
    <row r="1292" spans="1:11" s="1380" customFormat="1" ht="14.25" customHeight="1" x14ac:dyDescent="0.25">
      <c r="A1292" s="1496" t="s">
        <v>5481</v>
      </c>
      <c r="B1292" s="1497" t="e">
        <f>'Main Validation'!D22</f>
        <v>#N/A</v>
      </c>
      <c r="C1292" s="1498" t="s">
        <v>3204</v>
      </c>
      <c r="D1292" s="1499"/>
      <c r="E1292" s="1499"/>
      <c r="F1292" s="1500" t="s">
        <v>5579</v>
      </c>
      <c r="G1292" s="1500" t="s">
        <v>5482</v>
      </c>
      <c r="H1292" s="1500" t="s">
        <v>3196</v>
      </c>
      <c r="I1292" s="1500">
        <v>85</v>
      </c>
      <c r="J1292" s="1365"/>
      <c r="K1292" s="1365"/>
    </row>
    <row r="1293" spans="1:11" s="1380" customFormat="1" ht="14.25" customHeight="1" x14ac:dyDescent="0.25">
      <c r="A1293" s="1500" t="s">
        <v>5483</v>
      </c>
      <c r="B1293" s="1497" t="e">
        <f>'Main Validation'!D23</f>
        <v>#N/A</v>
      </c>
      <c r="C1293" s="1501" t="s">
        <v>3204</v>
      </c>
      <c r="D1293" s="1499"/>
      <c r="E1293" s="1499"/>
      <c r="F1293" s="1500" t="s">
        <v>5580</v>
      </c>
      <c r="G1293" s="1500" t="s">
        <v>5484</v>
      </c>
      <c r="H1293" s="1500" t="s">
        <v>3196</v>
      </c>
      <c r="I1293" s="1500">
        <v>86</v>
      </c>
      <c r="J1293" s="1365"/>
      <c r="K1293" s="1365"/>
    </row>
    <row r="1294" spans="1:11" s="1380" customFormat="1" ht="14.25" customHeight="1" x14ac:dyDescent="0.25">
      <c r="A1294" s="1500" t="s">
        <v>5485</v>
      </c>
      <c r="B1294" s="1497" t="e">
        <f>'Main Validation'!D24</f>
        <v>#N/A</v>
      </c>
      <c r="C1294" s="1501" t="s">
        <v>3204</v>
      </c>
      <c r="D1294" s="1499"/>
      <c r="E1294" s="1499"/>
      <c r="F1294" s="1500" t="s">
        <v>5581</v>
      </c>
      <c r="G1294" s="1500" t="s">
        <v>5486</v>
      </c>
      <c r="H1294" s="1500" t="s">
        <v>3196</v>
      </c>
      <c r="I1294" s="1500">
        <v>87</v>
      </c>
      <c r="J1294" s="1365"/>
      <c r="K1294" s="1365"/>
    </row>
    <row r="1295" spans="1:11" s="1380" customFormat="1" ht="14.25" customHeight="1" x14ac:dyDescent="0.25">
      <c r="A1295" s="1500" t="s">
        <v>5650</v>
      </c>
      <c r="B1295" s="1497" t="e">
        <f>'Main Validation'!D25</f>
        <v>#N/A</v>
      </c>
      <c r="C1295" s="1501" t="s">
        <v>3204</v>
      </c>
      <c r="D1295" s="1499"/>
      <c r="E1295" s="1499"/>
      <c r="F1295" s="1500" t="s">
        <v>5582</v>
      </c>
      <c r="G1295" s="1500" t="s">
        <v>5488</v>
      </c>
      <c r="H1295" s="1500" t="s">
        <v>3196</v>
      </c>
      <c r="I1295" s="1500">
        <v>88</v>
      </c>
      <c r="J1295" s="1500"/>
      <c r="K1295" s="1500"/>
    </row>
    <row r="1296" spans="1:11" s="1380" customFormat="1" ht="14.25" customHeight="1" x14ac:dyDescent="0.25">
      <c r="A1296" s="1500" t="s">
        <v>5487</v>
      </c>
      <c r="B1296" s="1497" t="e">
        <f>'Main Validation'!D26</f>
        <v>#N/A</v>
      </c>
      <c r="C1296" s="1501" t="s">
        <v>3204</v>
      </c>
      <c r="D1296" s="1499"/>
      <c r="E1296" s="1499"/>
      <c r="F1296" s="1500" t="s">
        <v>5583</v>
      </c>
      <c r="G1296" s="1500" t="s">
        <v>5489</v>
      </c>
      <c r="H1296" s="1500" t="s">
        <v>3196</v>
      </c>
      <c r="I1296" s="1500">
        <v>89</v>
      </c>
      <c r="J1296" s="1500"/>
      <c r="K1296" s="1365"/>
    </row>
    <row r="1297" spans="1:11" s="1524" customFormat="1" ht="15" x14ac:dyDescent="0.25">
      <c r="A1297" s="1500" t="s">
        <v>5490</v>
      </c>
      <c r="B1297" s="1497" t="e">
        <f>'Main Validation'!D27</f>
        <v>#N/A</v>
      </c>
      <c r="C1297" s="1501" t="s">
        <v>3204</v>
      </c>
      <c r="D1297" s="1499"/>
      <c r="E1297" s="1499"/>
      <c r="F1297" s="1500" t="s">
        <v>5584</v>
      </c>
      <c r="G1297" s="1500" t="s">
        <v>5491</v>
      </c>
      <c r="H1297" s="1500" t="s">
        <v>3196</v>
      </c>
      <c r="I1297" s="1500">
        <v>90</v>
      </c>
      <c r="J1297" s="1500"/>
      <c r="K1297" s="1365"/>
    </row>
    <row r="1298" spans="1:11" s="1380" customFormat="1" ht="14.25" customHeight="1" x14ac:dyDescent="0.25">
      <c r="A1298" s="1500" t="s">
        <v>5492</v>
      </c>
      <c r="B1298" s="1497" t="e">
        <f>'Main Validation'!D28</f>
        <v>#N/A</v>
      </c>
      <c r="C1298" s="1501" t="s">
        <v>3204</v>
      </c>
      <c r="D1298" s="1499"/>
      <c r="E1298" s="1499"/>
      <c r="F1298" s="1500" t="s">
        <v>5585</v>
      </c>
      <c r="G1298" s="1500" t="s">
        <v>5493</v>
      </c>
      <c r="H1298" s="1500" t="s">
        <v>3196</v>
      </c>
      <c r="I1298" s="1500">
        <v>91</v>
      </c>
      <c r="J1298" s="1500"/>
      <c r="K1298" s="1365"/>
    </row>
    <row r="1299" spans="1:11" s="1380" customFormat="1" ht="14.25" customHeight="1" x14ac:dyDescent="0.25">
      <c r="A1299" s="1500" t="s">
        <v>5494</v>
      </c>
      <c r="B1299" s="1497" t="e">
        <f>'Main Validation'!D31</f>
        <v>#N/A</v>
      </c>
      <c r="C1299" s="1501" t="s">
        <v>3204</v>
      </c>
      <c r="D1299" s="1499"/>
      <c r="E1299" s="1499"/>
      <c r="F1299" s="1500" t="s">
        <v>5586</v>
      </c>
      <c r="G1299" s="1500" t="s">
        <v>5495</v>
      </c>
      <c r="H1299" s="1500" t="s">
        <v>3196</v>
      </c>
      <c r="I1299" s="1500">
        <v>92</v>
      </c>
      <c r="J1299" s="1365"/>
      <c r="K1299" s="1365"/>
    </row>
    <row r="1300" spans="1:11" s="1380" customFormat="1" ht="14.25" customHeight="1" x14ac:dyDescent="0.25">
      <c r="A1300" s="1500" t="s">
        <v>5496</v>
      </c>
      <c r="B1300" s="1497" t="e">
        <f>'Main Validation'!D32</f>
        <v>#N/A</v>
      </c>
      <c r="C1300" s="1501" t="s">
        <v>3204</v>
      </c>
      <c r="D1300" s="1499"/>
      <c r="E1300" s="1499"/>
      <c r="F1300" s="1500" t="s">
        <v>5587</v>
      </c>
      <c r="G1300" s="1500" t="s">
        <v>5497</v>
      </c>
      <c r="H1300" s="1500" t="s">
        <v>3196</v>
      </c>
      <c r="I1300" s="1500">
        <v>93</v>
      </c>
      <c r="J1300" s="1365"/>
      <c r="K1300" s="1365"/>
    </row>
    <row r="1301" spans="1:11" s="1380" customFormat="1" ht="14.25" customHeight="1" x14ac:dyDescent="0.25">
      <c r="A1301" s="1500" t="s">
        <v>5498</v>
      </c>
      <c r="B1301" s="1497" t="e">
        <f>'Main Validation'!D33</f>
        <v>#N/A</v>
      </c>
      <c r="C1301" s="1501" t="s">
        <v>3204</v>
      </c>
      <c r="D1301" s="1499"/>
      <c r="E1301" s="1499"/>
      <c r="F1301" s="1500" t="s">
        <v>5588</v>
      </c>
      <c r="G1301" s="1500" t="s">
        <v>5499</v>
      </c>
      <c r="H1301" s="1500" t="s">
        <v>3196</v>
      </c>
      <c r="I1301" s="1500">
        <v>94</v>
      </c>
      <c r="J1301" s="1365"/>
      <c r="K1301" s="1365"/>
    </row>
    <row r="1302" spans="1:11" s="1380" customFormat="1" ht="14.25" customHeight="1" x14ac:dyDescent="0.25">
      <c r="A1302" s="1500" t="s">
        <v>5500</v>
      </c>
      <c r="B1302" s="1497" t="e">
        <f>'Main Validation'!D34</f>
        <v>#N/A</v>
      </c>
      <c r="C1302" s="1501" t="s">
        <v>3204</v>
      </c>
      <c r="D1302" s="1378"/>
      <c r="E1302" s="1378"/>
      <c r="F1302" s="1500" t="s">
        <v>5589</v>
      </c>
      <c r="G1302" s="1500" t="s">
        <v>5501</v>
      </c>
      <c r="H1302" s="1500" t="s">
        <v>3196</v>
      </c>
      <c r="I1302" s="1500">
        <v>95</v>
      </c>
      <c r="J1302" s="1500"/>
      <c r="K1302" s="1365"/>
    </row>
    <row r="1303" spans="1:11" s="1380" customFormat="1" ht="14.25" customHeight="1" x14ac:dyDescent="0.25">
      <c r="A1303" s="1500" t="s">
        <v>5502</v>
      </c>
      <c r="B1303" s="1497" t="e">
        <f>'Main Validation'!D35</f>
        <v>#N/A</v>
      </c>
      <c r="C1303" s="1501" t="s">
        <v>3204</v>
      </c>
      <c r="D1303" s="1378"/>
      <c r="E1303" s="1378"/>
      <c r="F1303" s="1500" t="s">
        <v>5590</v>
      </c>
      <c r="G1303" s="1500" t="s">
        <v>5503</v>
      </c>
      <c r="H1303" s="1500" t="s">
        <v>3196</v>
      </c>
      <c r="I1303" s="1500">
        <v>96</v>
      </c>
      <c r="J1303" s="1365"/>
      <c r="K1303" s="1365"/>
    </row>
    <row r="1304" spans="1:11" s="1380" customFormat="1" ht="14.25" customHeight="1" x14ac:dyDescent="0.25">
      <c r="A1304" s="1500" t="s">
        <v>5504</v>
      </c>
      <c r="B1304" s="1497" t="e">
        <f>'Main Validation'!D36</f>
        <v>#N/A</v>
      </c>
      <c r="C1304" s="1501" t="s">
        <v>3204</v>
      </c>
      <c r="D1304" s="1378"/>
      <c r="E1304" s="1378"/>
      <c r="F1304" s="1500" t="s">
        <v>5591</v>
      </c>
      <c r="G1304" s="1500" t="s">
        <v>5505</v>
      </c>
      <c r="H1304" s="1500" t="s">
        <v>3196</v>
      </c>
      <c r="I1304" s="1500">
        <v>97</v>
      </c>
      <c r="J1304" s="1365"/>
      <c r="K1304" s="1365"/>
    </row>
    <row r="1305" spans="1:11" s="1380" customFormat="1" ht="14.25" customHeight="1" x14ac:dyDescent="0.25">
      <c r="A1305" s="1500" t="s">
        <v>5506</v>
      </c>
      <c r="B1305" s="1497" t="e">
        <f>'Main Validation'!D37</f>
        <v>#N/A</v>
      </c>
      <c r="C1305" s="1501" t="s">
        <v>3204</v>
      </c>
      <c r="D1305" s="1378"/>
      <c r="E1305" s="1378"/>
      <c r="F1305" s="1500" t="s">
        <v>5592</v>
      </c>
      <c r="G1305" s="1500" t="s">
        <v>5508</v>
      </c>
      <c r="H1305" s="1500" t="s">
        <v>3196</v>
      </c>
      <c r="I1305" s="1500">
        <v>98</v>
      </c>
      <c r="J1305" s="1365"/>
      <c r="K1305" s="1365"/>
    </row>
    <row r="1306" spans="1:11" s="1380" customFormat="1" ht="14.25" customHeight="1" x14ac:dyDescent="0.25">
      <c r="A1306" s="1500" t="s">
        <v>5507</v>
      </c>
      <c r="B1306" s="1497" t="e">
        <f>'Main Validation'!D38</f>
        <v>#N/A</v>
      </c>
      <c r="C1306" s="1501" t="s">
        <v>3204</v>
      </c>
      <c r="D1306" s="1378"/>
      <c r="E1306" s="1378"/>
      <c r="F1306" s="1500" t="s">
        <v>5593</v>
      </c>
      <c r="G1306" s="1500" t="s">
        <v>5509</v>
      </c>
      <c r="H1306" s="1500" t="s">
        <v>3196</v>
      </c>
      <c r="I1306" s="1500">
        <v>99</v>
      </c>
      <c r="J1306" s="1500"/>
      <c r="K1306" s="1365"/>
    </row>
    <row r="1307" spans="1:11" s="1380" customFormat="1" ht="14.25" customHeight="1" x14ac:dyDescent="0.25">
      <c r="A1307" s="1500" t="s">
        <v>5510</v>
      </c>
      <c r="B1307" s="1497" t="e">
        <f>'Main Validation'!D40</f>
        <v>#N/A</v>
      </c>
      <c r="C1307" s="1501" t="s">
        <v>3204</v>
      </c>
      <c r="D1307" s="1378"/>
      <c r="E1307" s="1378"/>
      <c r="F1307" s="1500" t="s">
        <v>5594</v>
      </c>
      <c r="G1307" s="1500" t="s">
        <v>5511</v>
      </c>
      <c r="H1307" s="1500" t="s">
        <v>3196</v>
      </c>
      <c r="I1307" s="1500">
        <v>100</v>
      </c>
      <c r="J1307" s="1365"/>
      <c r="K1307" s="1365"/>
    </row>
    <row r="1308" spans="1:11" s="1380" customFormat="1" ht="14.25" customHeight="1" x14ac:dyDescent="0.25">
      <c r="A1308" s="1500" t="s">
        <v>5512</v>
      </c>
      <c r="B1308" s="1497" t="e">
        <f>'Main Validation'!D43</f>
        <v>#N/A</v>
      </c>
      <c r="C1308" s="1501" t="s">
        <v>3204</v>
      </c>
      <c r="D1308" s="1378"/>
      <c r="E1308" s="1378"/>
      <c r="F1308" s="1500" t="s">
        <v>5595</v>
      </c>
      <c r="G1308" s="1500" t="s">
        <v>5515</v>
      </c>
      <c r="H1308" s="1500" t="s">
        <v>3196</v>
      </c>
      <c r="I1308" s="1500">
        <v>101</v>
      </c>
      <c r="J1308" s="1365"/>
      <c r="K1308" s="1365"/>
    </row>
    <row r="1309" spans="1:11" s="1380" customFormat="1" ht="14.25" customHeight="1" x14ac:dyDescent="0.25">
      <c r="A1309" s="1500" t="s">
        <v>5513</v>
      </c>
      <c r="B1309" s="1497">
        <v>0</v>
      </c>
      <c r="C1309" s="1501" t="s">
        <v>3204</v>
      </c>
      <c r="D1309" s="1378"/>
      <c r="E1309" s="1378"/>
      <c r="F1309" s="1500" t="s">
        <v>5596</v>
      </c>
      <c r="G1309" s="1500" t="s">
        <v>5615</v>
      </c>
      <c r="H1309" s="1500" t="s">
        <v>3196</v>
      </c>
      <c r="I1309" s="1500">
        <v>102</v>
      </c>
      <c r="J1309" s="1365"/>
      <c r="K1309" s="1365"/>
    </row>
    <row r="1310" spans="1:11" s="1380" customFormat="1" ht="15" customHeight="1" x14ac:dyDescent="0.25">
      <c r="A1310" s="1500" t="s">
        <v>5514</v>
      </c>
      <c r="B1310" s="1497" t="e">
        <f>'Main Validation'!D47</f>
        <v>#N/A</v>
      </c>
      <c r="C1310" s="1501" t="s">
        <v>3204</v>
      </c>
      <c r="D1310" s="1378"/>
      <c r="E1310" s="1378"/>
      <c r="F1310" s="1500" t="s">
        <v>5597</v>
      </c>
      <c r="G1310" s="1500" t="s">
        <v>5516</v>
      </c>
      <c r="H1310" s="1500" t="s">
        <v>3196</v>
      </c>
      <c r="I1310" s="1500">
        <v>103</v>
      </c>
      <c r="J1310" s="1500"/>
      <c r="K1310" s="1365"/>
    </row>
    <row r="1311" spans="1:11" s="1380" customFormat="1" ht="15" customHeight="1" x14ac:dyDescent="0.25">
      <c r="A1311" s="1500" t="s">
        <v>5680</v>
      </c>
      <c r="B1311" s="1497">
        <f>'Main Validation'!D48</f>
        <v>0</v>
      </c>
      <c r="C1311" s="1501" t="s">
        <v>3204</v>
      </c>
      <c r="D1311" s="1378"/>
      <c r="E1311" s="1378"/>
      <c r="F1311" s="1500" t="s">
        <v>5681</v>
      </c>
      <c r="G1311" s="1500" t="s">
        <v>5682</v>
      </c>
      <c r="H1311" s="1500" t="s">
        <v>3196</v>
      </c>
      <c r="I1311" s="1500">
        <v>104</v>
      </c>
      <c r="J1311" s="1500"/>
      <c r="K1311" s="1365"/>
    </row>
    <row r="1312" spans="1:11" s="1380" customFormat="1" ht="15" customHeight="1" x14ac:dyDescent="0.25">
      <c r="A1312" s="1500" t="s">
        <v>5876</v>
      </c>
      <c r="B1312" s="1635" t="e">
        <f>'Main Validation'!D51</f>
        <v>#N/A</v>
      </c>
      <c r="C1312" s="1501" t="s">
        <v>3224</v>
      </c>
      <c r="D1312" s="1378"/>
      <c r="E1312" s="1378"/>
      <c r="F1312" s="1500" t="s">
        <v>5874</v>
      </c>
      <c r="G1312" s="1500" t="s">
        <v>5875</v>
      </c>
      <c r="H1312" s="1500"/>
      <c r="I1312" s="1500"/>
      <c r="J1312" s="1500"/>
      <c r="K1312" s="1365"/>
    </row>
    <row r="1313" spans="1:11" s="1380" customFormat="1" ht="14.25" customHeight="1" x14ac:dyDescent="0.25">
      <c r="A1313" s="1500" t="s">
        <v>5651</v>
      </c>
      <c r="B1313" s="1497" t="e">
        <f>'Main Validation'!U42</f>
        <v>#N/A</v>
      </c>
      <c r="C1313" s="1501" t="s">
        <v>3204</v>
      </c>
      <c r="D1313" s="1499"/>
      <c r="E1313" s="1499"/>
      <c r="F1313" s="1500" t="s">
        <v>5662</v>
      </c>
      <c r="G1313" s="1500" t="s">
        <v>5663</v>
      </c>
      <c r="H1313" s="1500" t="s">
        <v>3196</v>
      </c>
      <c r="I1313" s="1500">
        <v>105</v>
      </c>
      <c r="J1313" s="1365"/>
      <c r="K1313" s="1365"/>
    </row>
    <row r="1314" spans="1:11" s="1380" customFormat="1" ht="14.25" customHeight="1" x14ac:dyDescent="0.25">
      <c r="A1314" s="1500" t="s">
        <v>5652</v>
      </c>
      <c r="B1314" s="1497">
        <f>'Main Validation'!U43</f>
        <v>0</v>
      </c>
      <c r="C1314" s="1501" t="s">
        <v>3204</v>
      </c>
      <c r="D1314" s="1499"/>
      <c r="E1314" s="1499"/>
      <c r="F1314" s="1500" t="s">
        <v>5664</v>
      </c>
      <c r="G1314" s="1500" t="s">
        <v>5668</v>
      </c>
      <c r="H1314" s="1500" t="s">
        <v>3196</v>
      </c>
      <c r="I1314" s="1500">
        <v>106</v>
      </c>
      <c r="J1314" s="1365"/>
      <c r="K1314" s="1365"/>
    </row>
    <row r="1315" spans="1:11" s="1380" customFormat="1" ht="14.25" customHeight="1" x14ac:dyDescent="0.25">
      <c r="A1315" s="1500" t="s">
        <v>5653</v>
      </c>
      <c r="B1315" s="1497">
        <f>'Main Validation'!U44</f>
        <v>0</v>
      </c>
      <c r="C1315" s="1501" t="s">
        <v>3204</v>
      </c>
      <c r="D1315" s="1499"/>
      <c r="E1315" s="1499"/>
      <c r="F1315" s="1500" t="s">
        <v>5665</v>
      </c>
      <c r="G1315" s="1500" t="s">
        <v>5669</v>
      </c>
      <c r="H1315" s="1500" t="s">
        <v>3196</v>
      </c>
      <c r="I1315" s="1500">
        <v>107</v>
      </c>
      <c r="J1315" s="1365"/>
      <c r="K1315" s="1365"/>
    </row>
    <row r="1316" spans="1:11" s="1380" customFormat="1" ht="15" customHeight="1" x14ac:dyDescent="0.25">
      <c r="A1316" s="1500" t="s">
        <v>5654</v>
      </c>
      <c r="B1316" s="1497">
        <f>'Main Validation'!U45</f>
        <v>0</v>
      </c>
      <c r="C1316" s="1501" t="s">
        <v>3204</v>
      </c>
      <c r="D1316" s="1499"/>
      <c r="E1316" s="1499"/>
      <c r="F1316" s="1500" t="s">
        <v>5666</v>
      </c>
      <c r="G1316" s="1500" t="s">
        <v>5670</v>
      </c>
      <c r="H1316" s="1500" t="s">
        <v>3196</v>
      </c>
      <c r="I1316" s="1500">
        <v>108</v>
      </c>
      <c r="J1316" s="1365"/>
      <c r="K1316" s="1365"/>
    </row>
    <row r="1317" spans="1:11" s="1380" customFormat="1" ht="15" x14ac:dyDescent="0.25">
      <c r="A1317" s="1500" t="s">
        <v>5655</v>
      </c>
      <c r="B1317" s="1497">
        <f>'Main Validation'!U46</f>
        <v>0</v>
      </c>
      <c r="C1317" s="1501" t="s">
        <v>3204</v>
      </c>
      <c r="D1317" s="1499"/>
      <c r="E1317" s="1499"/>
      <c r="F1317" s="1500" t="s">
        <v>5667</v>
      </c>
      <c r="G1317" s="1500" t="s">
        <v>5671</v>
      </c>
      <c r="H1317" s="1500" t="s">
        <v>3196</v>
      </c>
      <c r="I1317" s="1500">
        <v>109</v>
      </c>
      <c r="J1317" s="1365"/>
      <c r="K1317" s="1365"/>
    </row>
    <row r="1318" spans="1:11" s="1354" customFormat="1" x14ac:dyDescent="0.2">
      <c r="A1318" s="1380" t="s">
        <v>2135</v>
      </c>
      <c r="B1318" s="1381" t="e">
        <f>'Supplementary Validation'!G20</f>
        <v>#N/A</v>
      </c>
      <c r="C1318" s="1382" t="s">
        <v>3204</v>
      </c>
      <c r="D1318" s="1383"/>
      <c r="E1318" s="1383"/>
      <c r="F1318" s="1380" t="s">
        <v>5207</v>
      </c>
      <c r="G1318" s="1380" t="s">
        <v>4733</v>
      </c>
      <c r="H1318" s="1380" t="s">
        <v>3197</v>
      </c>
      <c r="I1318" s="1380">
        <v>1</v>
      </c>
      <c r="J1318" s="1380"/>
      <c r="K1318" s="1380"/>
    </row>
    <row r="1319" spans="1:11" s="1354" customFormat="1" x14ac:dyDescent="0.2">
      <c r="A1319" s="1380" t="s">
        <v>2136</v>
      </c>
      <c r="B1319" s="1381" t="e">
        <f>'Supplementary Validation'!G21</f>
        <v>#N/A</v>
      </c>
      <c r="C1319" s="1382" t="s">
        <v>3204</v>
      </c>
      <c r="D1319" s="1383"/>
      <c r="E1319" s="1383"/>
      <c r="F1319" s="1380" t="s">
        <v>5208</v>
      </c>
      <c r="G1319" s="1380" t="s">
        <v>4734</v>
      </c>
      <c r="H1319" s="1380" t="s">
        <v>3197</v>
      </c>
      <c r="I1319" s="1380">
        <v>2</v>
      </c>
      <c r="J1319" s="1380"/>
      <c r="K1319" s="1380"/>
    </row>
    <row r="1320" spans="1:11" s="1354" customFormat="1" ht="15" customHeight="1" x14ac:dyDescent="0.2">
      <c r="A1320" s="1380" t="s">
        <v>2137</v>
      </c>
      <c r="B1320" s="1381" t="e">
        <f>'Supplementary Validation'!G22</f>
        <v>#N/A</v>
      </c>
      <c r="C1320" s="1382" t="s">
        <v>3204</v>
      </c>
      <c r="D1320" s="1383"/>
      <c r="E1320" s="1383"/>
      <c r="F1320" s="1380" t="s">
        <v>5209</v>
      </c>
      <c r="G1320" s="1380" t="s">
        <v>4735</v>
      </c>
      <c r="H1320" s="1380" t="s">
        <v>3197</v>
      </c>
      <c r="I1320" s="1380">
        <v>3</v>
      </c>
      <c r="J1320" s="1380"/>
      <c r="K1320" s="1380"/>
    </row>
    <row r="1321" spans="1:11" s="1354" customFormat="1" x14ac:dyDescent="0.2">
      <c r="A1321" s="1380" t="s">
        <v>2338</v>
      </c>
      <c r="B1321" s="1381" t="e">
        <f>'Supplementary Validation'!G23</f>
        <v>#N/A</v>
      </c>
      <c r="C1321" s="1382" t="s">
        <v>3204</v>
      </c>
      <c r="D1321" s="1383"/>
      <c r="E1321" s="1383"/>
      <c r="F1321" s="1380" t="s">
        <v>5210</v>
      </c>
      <c r="G1321" s="1380" t="s">
        <v>4736</v>
      </c>
      <c r="H1321" s="1380" t="s">
        <v>3197</v>
      </c>
      <c r="I1321" s="1380">
        <v>4</v>
      </c>
      <c r="J1321" s="1380"/>
      <c r="K1321" s="1380"/>
    </row>
    <row r="1322" spans="1:11" s="1354" customFormat="1" x14ac:dyDescent="0.2">
      <c r="A1322" s="1380" t="s">
        <v>2138</v>
      </c>
      <c r="B1322" s="1381" t="e">
        <f>'Supplementary Validation'!G24</f>
        <v>#N/A</v>
      </c>
      <c r="C1322" s="1382" t="s">
        <v>3204</v>
      </c>
      <c r="D1322" s="1383"/>
      <c r="E1322" s="1383"/>
      <c r="F1322" s="1380" t="s">
        <v>5211</v>
      </c>
      <c r="G1322" s="1380" t="s">
        <v>4737</v>
      </c>
      <c r="H1322" s="1380" t="s">
        <v>3197</v>
      </c>
      <c r="I1322" s="1380">
        <v>5</v>
      </c>
      <c r="J1322" s="1380"/>
      <c r="K1322" s="1380"/>
    </row>
    <row r="1323" spans="1:11" s="1354" customFormat="1" ht="15" customHeight="1" x14ac:dyDescent="0.2">
      <c r="A1323" s="1380" t="s">
        <v>2139</v>
      </c>
      <c r="B1323" s="1381" t="e">
        <f>'Supplementary Validation'!G25</f>
        <v>#N/A</v>
      </c>
      <c r="C1323" s="1382" t="s">
        <v>3204</v>
      </c>
      <c r="D1323" s="1383"/>
      <c r="E1323" s="1383"/>
      <c r="F1323" s="1380" t="s">
        <v>5212</v>
      </c>
      <c r="G1323" s="1380" t="s">
        <v>4738</v>
      </c>
      <c r="H1323" s="1380" t="s">
        <v>3197</v>
      </c>
      <c r="I1323" s="1380">
        <v>6</v>
      </c>
      <c r="J1323" s="1380"/>
      <c r="K1323" s="1380"/>
    </row>
    <row r="1324" spans="1:11" s="1354" customFormat="1" x14ac:dyDescent="0.2">
      <c r="A1324" s="1380" t="s">
        <v>2140</v>
      </c>
      <c r="B1324" s="1381" t="e">
        <f>'Supplementary Validation'!G28</f>
        <v>#N/A</v>
      </c>
      <c r="C1324" s="1382" t="s">
        <v>3204</v>
      </c>
      <c r="D1324" s="1383"/>
      <c r="E1324" s="1383"/>
      <c r="F1324" s="1380" t="s">
        <v>5213</v>
      </c>
      <c r="G1324" s="1380" t="s">
        <v>4739</v>
      </c>
      <c r="H1324" s="1380" t="s">
        <v>3197</v>
      </c>
      <c r="I1324" s="1380">
        <v>7</v>
      </c>
      <c r="J1324" s="1380"/>
      <c r="K1324" s="1380"/>
    </row>
    <row r="1325" spans="1:11" s="1354" customFormat="1" x14ac:dyDescent="0.2">
      <c r="A1325" s="1380" t="s">
        <v>2141</v>
      </c>
      <c r="B1325" s="1381" t="e">
        <f>'Supplementary Validation'!G29</f>
        <v>#N/A</v>
      </c>
      <c r="C1325" s="1382" t="s">
        <v>3204</v>
      </c>
      <c r="D1325" s="1383"/>
      <c r="E1325" s="1383"/>
      <c r="F1325" s="1380" t="s">
        <v>5214</v>
      </c>
      <c r="G1325" s="1380" t="s">
        <v>4740</v>
      </c>
      <c r="H1325" s="1380" t="s">
        <v>3197</v>
      </c>
      <c r="I1325" s="1380">
        <v>8</v>
      </c>
      <c r="J1325" s="1380"/>
      <c r="K1325" s="1380"/>
    </row>
    <row r="1326" spans="1:11" s="1354" customFormat="1" x14ac:dyDescent="0.2">
      <c r="A1326" s="1380" t="s">
        <v>2142</v>
      </c>
      <c r="B1326" s="1381" t="e">
        <f>'Supplementary Validation'!G30</f>
        <v>#N/A</v>
      </c>
      <c r="C1326" s="1382" t="s">
        <v>3204</v>
      </c>
      <c r="D1326" s="1383"/>
      <c r="E1326" s="1383"/>
      <c r="F1326" s="1380" t="s">
        <v>5215</v>
      </c>
      <c r="G1326" s="1380" t="s">
        <v>4741</v>
      </c>
      <c r="H1326" s="1380" t="s">
        <v>3197</v>
      </c>
      <c r="I1326" s="1380">
        <v>9</v>
      </c>
      <c r="J1326" s="1380"/>
      <c r="K1326" s="1380"/>
    </row>
    <row r="1327" spans="1:11" s="1354" customFormat="1" x14ac:dyDescent="0.2">
      <c r="A1327" s="1380" t="s">
        <v>2144</v>
      </c>
      <c r="B1327" s="1381" t="e">
        <f>'Supplementary Validation'!G31</f>
        <v>#N/A</v>
      </c>
      <c r="C1327" s="1382" t="s">
        <v>3204</v>
      </c>
      <c r="D1327" s="1383"/>
      <c r="E1327" s="1383"/>
      <c r="F1327" s="1380" t="s">
        <v>5217</v>
      </c>
      <c r="G1327" s="1380" t="s">
        <v>4743</v>
      </c>
      <c r="H1327" s="1380" t="s">
        <v>3197</v>
      </c>
      <c r="I1327" s="1380">
        <v>10</v>
      </c>
      <c r="J1327" s="1380"/>
      <c r="K1327" s="1380"/>
    </row>
    <row r="1328" spans="1:11" s="1354" customFormat="1" x14ac:dyDescent="0.2">
      <c r="A1328" s="1380" t="s">
        <v>2145</v>
      </c>
      <c r="B1328" s="1381" t="e">
        <f>'Supplementary Validation'!G32</f>
        <v>#N/A</v>
      </c>
      <c r="C1328" s="1382" t="s">
        <v>3204</v>
      </c>
      <c r="D1328" s="1383"/>
      <c r="E1328" s="1383"/>
      <c r="F1328" s="1380" t="s">
        <v>5218</v>
      </c>
      <c r="G1328" s="1380" t="s">
        <v>4744</v>
      </c>
      <c r="H1328" s="1380" t="s">
        <v>3197</v>
      </c>
      <c r="I1328" s="1380">
        <v>11</v>
      </c>
      <c r="J1328" s="1380"/>
      <c r="K1328" s="1380"/>
    </row>
    <row r="1329" spans="1:11" s="1354" customFormat="1" x14ac:dyDescent="0.2">
      <c r="A1329" s="1380" t="s">
        <v>2146</v>
      </c>
      <c r="B1329" s="1381" t="e">
        <f>'Supplementary Validation'!G33</f>
        <v>#N/A</v>
      </c>
      <c r="C1329" s="1382" t="s">
        <v>3204</v>
      </c>
      <c r="D1329" s="1383"/>
      <c r="E1329" s="1383"/>
      <c r="F1329" s="1380" t="s">
        <v>5219</v>
      </c>
      <c r="G1329" s="1380" t="s">
        <v>4745</v>
      </c>
      <c r="H1329" s="1380" t="s">
        <v>3197</v>
      </c>
      <c r="I1329" s="1380">
        <v>12</v>
      </c>
      <c r="J1329" s="1380"/>
      <c r="K1329" s="1380"/>
    </row>
    <row r="1330" spans="1:11" s="1354" customFormat="1" x14ac:dyDescent="0.2">
      <c r="A1330" s="1380" t="s">
        <v>2679</v>
      </c>
      <c r="B1330" s="1381" t="e">
        <f>'Supplementary Validation'!G34</f>
        <v>#N/A</v>
      </c>
      <c r="C1330" s="1382" t="s">
        <v>3204</v>
      </c>
      <c r="D1330" s="1383"/>
      <c r="E1330" s="1383"/>
      <c r="F1330" s="1380" t="s">
        <v>5220</v>
      </c>
      <c r="G1330" s="1380" t="s">
        <v>4746</v>
      </c>
      <c r="H1330" s="1380" t="s">
        <v>3197</v>
      </c>
      <c r="I1330" s="1380">
        <v>13</v>
      </c>
      <c r="J1330" s="1380"/>
      <c r="K1330" s="1380"/>
    </row>
    <row r="1331" spans="1:11" s="1354" customFormat="1" x14ac:dyDescent="0.2">
      <c r="A1331" s="1380" t="s">
        <v>2147</v>
      </c>
      <c r="B1331" s="1381" t="e">
        <f>'Supplementary Validation'!G37</f>
        <v>#N/A</v>
      </c>
      <c r="C1331" s="1382" t="s">
        <v>3204</v>
      </c>
      <c r="D1331" s="1383"/>
      <c r="E1331" s="1383"/>
      <c r="F1331" s="1380" t="s">
        <v>5221</v>
      </c>
      <c r="G1331" s="1380" t="s">
        <v>4747</v>
      </c>
      <c r="H1331" s="1380" t="s">
        <v>3197</v>
      </c>
      <c r="I1331" s="1380">
        <v>14</v>
      </c>
      <c r="J1331" s="1380"/>
      <c r="K1331" s="1380"/>
    </row>
    <row r="1332" spans="1:11" s="1354" customFormat="1" x14ac:dyDescent="0.2">
      <c r="A1332" s="1380" t="s">
        <v>2148</v>
      </c>
      <c r="B1332" s="1381" t="e">
        <f>'Supplementary Validation'!G38</f>
        <v>#N/A</v>
      </c>
      <c r="C1332" s="1382" t="s">
        <v>3204</v>
      </c>
      <c r="D1332" s="1383"/>
      <c r="E1332" s="1383"/>
      <c r="F1332" s="1380" t="s">
        <v>5222</v>
      </c>
      <c r="G1332" s="1380" t="s">
        <v>4748</v>
      </c>
      <c r="H1332" s="1380" t="s">
        <v>3197</v>
      </c>
      <c r="I1332" s="1380">
        <v>15</v>
      </c>
      <c r="J1332" s="1380"/>
      <c r="K1332" s="1380"/>
    </row>
    <row r="1333" spans="1:11" s="1354" customFormat="1" x14ac:dyDescent="0.2">
      <c r="A1333" s="1380" t="s">
        <v>2149</v>
      </c>
      <c r="B1333" s="1381" t="e">
        <f>'Supplementary Validation'!G39</f>
        <v>#N/A</v>
      </c>
      <c r="C1333" s="1382" t="s">
        <v>3204</v>
      </c>
      <c r="D1333" s="1383"/>
      <c r="E1333" s="1383"/>
      <c r="F1333" s="1380" t="s">
        <v>5223</v>
      </c>
      <c r="G1333" s="1380" t="s">
        <v>4749</v>
      </c>
      <c r="H1333" s="1380" t="s">
        <v>3197</v>
      </c>
      <c r="I1333" s="1380">
        <v>16</v>
      </c>
      <c r="J1333" s="1380"/>
      <c r="K1333" s="1380"/>
    </row>
    <row r="1334" spans="1:11" s="1354" customFormat="1" ht="14.25" customHeight="1" x14ac:dyDescent="0.2">
      <c r="A1334" s="1380" t="s">
        <v>2150</v>
      </c>
      <c r="B1334" s="1381" t="e">
        <f>'Supplementary Validation'!G40</f>
        <v>#N/A</v>
      </c>
      <c r="C1334" s="1382" t="s">
        <v>3204</v>
      </c>
      <c r="D1334" s="1383"/>
      <c r="E1334" s="1383"/>
      <c r="F1334" s="1380" t="s">
        <v>5224</v>
      </c>
      <c r="G1334" s="1380" t="s">
        <v>4750</v>
      </c>
      <c r="H1334" s="1380" t="s">
        <v>3197</v>
      </c>
      <c r="I1334" s="1380">
        <v>17</v>
      </c>
      <c r="J1334" s="1380"/>
      <c r="K1334" s="1380"/>
    </row>
    <row r="1335" spans="1:11" s="1354" customFormat="1" x14ac:dyDescent="0.2">
      <c r="A1335" s="1380" t="s">
        <v>2151</v>
      </c>
      <c r="B1335" s="1381" t="e">
        <f>'Supplementary Validation'!G41</f>
        <v>#N/A</v>
      </c>
      <c r="C1335" s="1382" t="s">
        <v>3204</v>
      </c>
      <c r="D1335" s="1383"/>
      <c r="E1335" s="1383"/>
      <c r="F1335" s="1380" t="s">
        <v>5225</v>
      </c>
      <c r="G1335" s="1380" t="s">
        <v>4751</v>
      </c>
      <c r="H1335" s="1380" t="s">
        <v>3197</v>
      </c>
      <c r="I1335" s="1380">
        <v>18</v>
      </c>
      <c r="J1335" s="1380"/>
      <c r="K1335" s="1380"/>
    </row>
    <row r="1336" spans="1:11" s="1354" customFormat="1" x14ac:dyDescent="0.2">
      <c r="A1336" s="1380" t="s">
        <v>2152</v>
      </c>
      <c r="B1336" s="1381" t="e">
        <f>'Supplementary Validation'!G44</f>
        <v>#N/A</v>
      </c>
      <c r="C1336" s="1382" t="s">
        <v>3204</v>
      </c>
      <c r="D1336" s="1383"/>
      <c r="E1336" s="1383"/>
      <c r="F1336" s="1380" t="s">
        <v>5226</v>
      </c>
      <c r="G1336" s="1380" t="s">
        <v>4752</v>
      </c>
      <c r="H1336" s="1380" t="s">
        <v>3197</v>
      </c>
      <c r="I1336" s="1380">
        <v>19</v>
      </c>
      <c r="J1336" s="1380"/>
      <c r="K1336" s="1380"/>
    </row>
    <row r="1337" spans="1:11" s="1354" customFormat="1" x14ac:dyDescent="0.2">
      <c r="A1337" s="1380" t="s">
        <v>2957</v>
      </c>
      <c r="B1337" s="1381" t="e">
        <f>'Supplementary Validation'!G47</f>
        <v>#N/A</v>
      </c>
      <c r="C1337" s="1382" t="s">
        <v>3204</v>
      </c>
      <c r="D1337" s="1383"/>
      <c r="E1337" s="1383"/>
      <c r="F1337" s="1380" t="s">
        <v>5227</v>
      </c>
      <c r="G1337" s="1380" t="s">
        <v>4753</v>
      </c>
      <c r="H1337" s="1380" t="s">
        <v>3197</v>
      </c>
      <c r="I1337" s="1380">
        <v>20</v>
      </c>
      <c r="J1337" s="1380"/>
      <c r="K1337" s="1380"/>
    </row>
    <row r="1338" spans="1:11" s="1354" customFormat="1" x14ac:dyDescent="0.2">
      <c r="A1338" s="1380" t="s">
        <v>2958</v>
      </c>
      <c r="B1338" s="1381" t="e">
        <f>'Supplementary Validation'!G48</f>
        <v>#N/A</v>
      </c>
      <c r="C1338" s="1382" t="s">
        <v>3204</v>
      </c>
      <c r="D1338" s="1383"/>
      <c r="E1338" s="1383"/>
      <c r="F1338" s="1380" t="s">
        <v>5228</v>
      </c>
      <c r="G1338" s="1380" t="s">
        <v>4754</v>
      </c>
      <c r="H1338" s="1380" t="s">
        <v>3197</v>
      </c>
      <c r="I1338" s="1380">
        <v>21</v>
      </c>
      <c r="J1338" s="1380"/>
      <c r="K1338" s="1380"/>
    </row>
    <row r="1339" spans="1:11" s="1354" customFormat="1" x14ac:dyDescent="0.2">
      <c r="A1339" s="1380" t="s">
        <v>2960</v>
      </c>
      <c r="B1339" s="1381" t="e">
        <f>'Supplementary Validation'!G49</f>
        <v>#N/A</v>
      </c>
      <c r="C1339" s="1382" t="s">
        <v>3204</v>
      </c>
      <c r="D1339" s="1383"/>
      <c r="E1339" s="1383"/>
      <c r="F1339" s="1380" t="s">
        <v>5230</v>
      </c>
      <c r="G1339" s="1380" t="s">
        <v>4756</v>
      </c>
      <c r="H1339" s="1380" t="s">
        <v>3197</v>
      </c>
      <c r="I1339" s="1380">
        <v>22</v>
      </c>
      <c r="J1339" s="1380"/>
      <c r="K1339" s="1380"/>
    </row>
    <row r="1340" spans="1:11" s="1354" customFormat="1" x14ac:dyDescent="0.2">
      <c r="A1340" s="1380" t="s">
        <v>2961</v>
      </c>
      <c r="B1340" s="1381" t="e">
        <f>'Supplementary Validation'!G50</f>
        <v>#N/A</v>
      </c>
      <c r="C1340" s="1382" t="s">
        <v>3204</v>
      </c>
      <c r="D1340" s="1383"/>
      <c r="E1340" s="1383"/>
      <c r="F1340" s="1380" t="s">
        <v>5231</v>
      </c>
      <c r="G1340" s="1380" t="s">
        <v>4757</v>
      </c>
      <c r="H1340" s="1380" t="s">
        <v>3197</v>
      </c>
      <c r="I1340" s="1380">
        <v>23</v>
      </c>
      <c r="J1340" s="1380"/>
      <c r="K1340" s="1380"/>
    </row>
    <row r="1341" spans="1:11" s="1354" customFormat="1" x14ac:dyDescent="0.2">
      <c r="A1341" s="1380" t="s">
        <v>2962</v>
      </c>
      <c r="B1341" s="1381" t="e">
        <f>'Supplementary Validation'!G51</f>
        <v>#N/A</v>
      </c>
      <c r="C1341" s="1382" t="s">
        <v>3204</v>
      </c>
      <c r="D1341" s="1383"/>
      <c r="E1341" s="1383"/>
      <c r="F1341" s="1380" t="s">
        <v>5232</v>
      </c>
      <c r="G1341" s="1380" t="s">
        <v>4758</v>
      </c>
      <c r="H1341" s="1380" t="s">
        <v>3197</v>
      </c>
      <c r="I1341" s="1380">
        <v>24</v>
      </c>
      <c r="J1341" s="1380"/>
      <c r="K1341" s="1380"/>
    </row>
    <row r="1342" spans="1:11" s="1354" customFormat="1" x14ac:dyDescent="0.2">
      <c r="A1342" s="1380" t="s">
        <v>2153</v>
      </c>
      <c r="B1342" s="1384" t="e">
        <f>'Supplementary Validation'!H20</f>
        <v>#N/A</v>
      </c>
      <c r="C1342" s="1385" t="s">
        <v>3224</v>
      </c>
      <c r="D1342" s="1386"/>
      <c r="E1342" s="1386"/>
      <c r="F1342" s="1380" t="s">
        <v>5233</v>
      </c>
      <c r="G1342" s="1380" t="s">
        <v>4759</v>
      </c>
      <c r="H1342" s="1380" t="s">
        <v>3197</v>
      </c>
      <c r="I1342" s="1380">
        <v>25</v>
      </c>
      <c r="J1342" s="1380"/>
      <c r="K1342" s="1380"/>
    </row>
    <row r="1343" spans="1:11" s="1354" customFormat="1" x14ac:dyDescent="0.2">
      <c r="A1343" s="1380" t="s">
        <v>2154</v>
      </c>
      <c r="B1343" s="1384" t="e">
        <f>'Supplementary Validation'!H21</f>
        <v>#N/A</v>
      </c>
      <c r="C1343" s="1385" t="s">
        <v>3224</v>
      </c>
      <c r="D1343" s="1386"/>
      <c r="E1343" s="1386"/>
      <c r="F1343" s="1380" t="s">
        <v>5234</v>
      </c>
      <c r="G1343" s="1380" t="s">
        <v>4760</v>
      </c>
      <c r="H1343" s="1380" t="s">
        <v>3197</v>
      </c>
      <c r="I1343" s="1380">
        <v>26</v>
      </c>
      <c r="J1343" s="1380"/>
      <c r="K1343" s="1380"/>
    </row>
    <row r="1344" spans="1:11" s="1354" customFormat="1" x14ac:dyDescent="0.2">
      <c r="A1344" s="1380" t="s">
        <v>2155</v>
      </c>
      <c r="B1344" s="1384" t="e">
        <f>'Supplementary Validation'!H22</f>
        <v>#N/A</v>
      </c>
      <c r="C1344" s="1385" t="s">
        <v>3224</v>
      </c>
      <c r="D1344" s="1386"/>
      <c r="E1344" s="1386"/>
      <c r="F1344" s="1380" t="s">
        <v>5235</v>
      </c>
      <c r="G1344" s="1380" t="s">
        <v>4761</v>
      </c>
      <c r="H1344" s="1380" t="s">
        <v>3197</v>
      </c>
      <c r="I1344" s="1380">
        <v>27</v>
      </c>
      <c r="J1344" s="1380"/>
      <c r="K1344" s="1380"/>
    </row>
    <row r="1345" spans="1:11" s="1354" customFormat="1" x14ac:dyDescent="0.2">
      <c r="A1345" s="1380" t="s">
        <v>2339</v>
      </c>
      <c r="B1345" s="1384" t="e">
        <f>'Supplementary Validation'!H23</f>
        <v>#N/A</v>
      </c>
      <c r="C1345" s="1385" t="s">
        <v>3224</v>
      </c>
      <c r="D1345" s="1386"/>
      <c r="E1345" s="1386"/>
      <c r="F1345" s="1380" t="s">
        <v>5236</v>
      </c>
      <c r="G1345" s="1380" t="s">
        <v>4762</v>
      </c>
      <c r="H1345" s="1380" t="s">
        <v>3197</v>
      </c>
      <c r="I1345" s="1380">
        <v>28</v>
      </c>
      <c r="J1345" s="1380"/>
      <c r="K1345" s="1380"/>
    </row>
    <row r="1346" spans="1:11" s="1354" customFormat="1" x14ac:dyDescent="0.2">
      <c r="A1346" s="1380" t="s">
        <v>2156</v>
      </c>
      <c r="B1346" s="1384" t="e">
        <f>'Supplementary Validation'!H24</f>
        <v>#N/A</v>
      </c>
      <c r="C1346" s="1385" t="s">
        <v>3224</v>
      </c>
      <c r="D1346" s="1386"/>
      <c r="E1346" s="1386"/>
      <c r="F1346" s="1380" t="s">
        <v>5237</v>
      </c>
      <c r="G1346" s="1380" t="s">
        <v>4763</v>
      </c>
      <c r="H1346" s="1380" t="s">
        <v>3197</v>
      </c>
      <c r="I1346" s="1380">
        <v>29</v>
      </c>
      <c r="J1346" s="1380"/>
      <c r="K1346" s="1380"/>
    </row>
    <row r="1347" spans="1:11" s="1354" customFormat="1" x14ac:dyDescent="0.2">
      <c r="A1347" s="1380" t="s">
        <v>2157</v>
      </c>
      <c r="B1347" s="1384" t="e">
        <f>'Supplementary Validation'!H25</f>
        <v>#N/A</v>
      </c>
      <c r="C1347" s="1385" t="s">
        <v>3224</v>
      </c>
      <c r="D1347" s="1386"/>
      <c r="E1347" s="1386"/>
      <c r="F1347" s="1380" t="s">
        <v>5238</v>
      </c>
      <c r="G1347" s="1380" t="s">
        <v>4764</v>
      </c>
      <c r="H1347" s="1380" t="s">
        <v>3197</v>
      </c>
      <c r="I1347" s="1380">
        <v>30</v>
      </c>
      <c r="J1347" s="1380"/>
      <c r="K1347" s="1380"/>
    </row>
    <row r="1348" spans="1:11" s="1354" customFormat="1" x14ac:dyDescent="0.2">
      <c r="A1348" s="1380" t="s">
        <v>2158</v>
      </c>
      <c r="B1348" s="1384" t="e">
        <f>'Supplementary Validation'!H28</f>
        <v>#N/A</v>
      </c>
      <c r="C1348" s="1385" t="s">
        <v>3224</v>
      </c>
      <c r="D1348" s="1386"/>
      <c r="E1348" s="1386"/>
      <c r="F1348" s="1380" t="s">
        <v>5239</v>
      </c>
      <c r="G1348" s="1380" t="s">
        <v>4765</v>
      </c>
      <c r="H1348" s="1380" t="s">
        <v>3197</v>
      </c>
      <c r="I1348" s="1380">
        <v>31</v>
      </c>
      <c r="J1348" s="1380"/>
      <c r="K1348" s="1380"/>
    </row>
    <row r="1349" spans="1:11" s="1354" customFormat="1" x14ac:dyDescent="0.2">
      <c r="A1349" s="1380" t="s">
        <v>2159</v>
      </c>
      <c r="B1349" s="1384" t="e">
        <f>'Supplementary Validation'!H29</f>
        <v>#N/A</v>
      </c>
      <c r="C1349" s="1385" t="s">
        <v>3224</v>
      </c>
      <c r="D1349" s="1386"/>
      <c r="E1349" s="1386"/>
      <c r="F1349" s="1380" t="s">
        <v>5240</v>
      </c>
      <c r="G1349" s="1380" t="s">
        <v>4766</v>
      </c>
      <c r="H1349" s="1380" t="s">
        <v>3197</v>
      </c>
      <c r="I1349" s="1380">
        <v>32</v>
      </c>
      <c r="J1349" s="1380"/>
      <c r="K1349" s="1380"/>
    </row>
    <row r="1350" spans="1:11" s="1354" customFormat="1" x14ac:dyDescent="0.2">
      <c r="A1350" s="1380" t="s">
        <v>2160</v>
      </c>
      <c r="B1350" s="1384" t="e">
        <f>'Supplementary Validation'!H30</f>
        <v>#N/A</v>
      </c>
      <c r="C1350" s="1385" t="s">
        <v>3224</v>
      </c>
      <c r="D1350" s="1386"/>
      <c r="E1350" s="1386"/>
      <c r="F1350" s="1380" t="s">
        <v>5241</v>
      </c>
      <c r="G1350" s="1380" t="s">
        <v>4767</v>
      </c>
      <c r="H1350" s="1380" t="s">
        <v>3197</v>
      </c>
      <c r="I1350" s="1380">
        <v>33</v>
      </c>
      <c r="J1350" s="1380"/>
      <c r="K1350" s="1380"/>
    </row>
    <row r="1351" spans="1:11" s="1354" customFormat="1" x14ac:dyDescent="0.2">
      <c r="A1351" s="1380" t="s">
        <v>2162</v>
      </c>
      <c r="B1351" s="1384" t="e">
        <f>'Supplementary Validation'!H31</f>
        <v>#N/A</v>
      </c>
      <c r="C1351" s="1385" t="s">
        <v>3224</v>
      </c>
      <c r="D1351" s="1386"/>
      <c r="E1351" s="1386"/>
      <c r="F1351" s="1380" t="s">
        <v>5243</v>
      </c>
      <c r="G1351" s="1380" t="s">
        <v>4769</v>
      </c>
      <c r="H1351" s="1380" t="s">
        <v>3197</v>
      </c>
      <c r="I1351" s="1380">
        <v>34</v>
      </c>
      <c r="J1351" s="1380"/>
      <c r="K1351" s="1380"/>
    </row>
    <row r="1352" spans="1:11" s="1354" customFormat="1" x14ac:dyDescent="0.2">
      <c r="A1352" s="1380" t="s">
        <v>2163</v>
      </c>
      <c r="B1352" s="1384" t="e">
        <f>'Supplementary Validation'!H32</f>
        <v>#N/A</v>
      </c>
      <c r="C1352" s="1385" t="s">
        <v>3224</v>
      </c>
      <c r="D1352" s="1386"/>
      <c r="E1352" s="1386"/>
      <c r="F1352" s="1380" t="s">
        <v>5244</v>
      </c>
      <c r="G1352" s="1380" t="s">
        <v>4770</v>
      </c>
      <c r="H1352" s="1380" t="s">
        <v>3197</v>
      </c>
      <c r="I1352" s="1380">
        <v>35</v>
      </c>
      <c r="J1352" s="1380"/>
      <c r="K1352" s="1380"/>
    </row>
    <row r="1353" spans="1:11" s="1354" customFormat="1" x14ac:dyDescent="0.2">
      <c r="A1353" s="1380" t="s">
        <v>2164</v>
      </c>
      <c r="B1353" s="1384" t="e">
        <f>'Supplementary Validation'!H33</f>
        <v>#N/A</v>
      </c>
      <c r="C1353" s="1385" t="s">
        <v>3224</v>
      </c>
      <c r="D1353" s="1386"/>
      <c r="E1353" s="1386"/>
      <c r="F1353" s="1380" t="s">
        <v>5245</v>
      </c>
      <c r="G1353" s="1380" t="s">
        <v>4771</v>
      </c>
      <c r="H1353" s="1380" t="s">
        <v>3197</v>
      </c>
      <c r="I1353" s="1380">
        <v>36</v>
      </c>
      <c r="J1353" s="1380"/>
      <c r="K1353" s="1380"/>
    </row>
    <row r="1354" spans="1:11" s="1354" customFormat="1" x14ac:dyDescent="0.2">
      <c r="A1354" s="1380" t="s">
        <v>2680</v>
      </c>
      <c r="B1354" s="1384" t="e">
        <f>'Supplementary Validation'!H34</f>
        <v>#N/A</v>
      </c>
      <c r="C1354" s="1385" t="s">
        <v>3224</v>
      </c>
      <c r="D1354" s="1386"/>
      <c r="E1354" s="1386"/>
      <c r="F1354" s="1380" t="s">
        <v>5246</v>
      </c>
      <c r="G1354" s="1380" t="s">
        <v>4772</v>
      </c>
      <c r="H1354" s="1380" t="s">
        <v>3197</v>
      </c>
      <c r="I1354" s="1380">
        <v>37</v>
      </c>
      <c r="J1354" s="1380"/>
      <c r="K1354" s="1380"/>
    </row>
    <row r="1355" spans="1:11" s="1354" customFormat="1" x14ac:dyDescent="0.2">
      <c r="A1355" s="1380" t="s">
        <v>2165</v>
      </c>
      <c r="B1355" s="1384" t="e">
        <f>'Supplementary Validation'!H37</f>
        <v>#N/A</v>
      </c>
      <c r="C1355" s="1385" t="s">
        <v>3224</v>
      </c>
      <c r="D1355" s="1386"/>
      <c r="E1355" s="1386"/>
      <c r="F1355" s="1380" t="s">
        <v>5247</v>
      </c>
      <c r="G1355" s="1380" t="s">
        <v>4773</v>
      </c>
      <c r="H1355" s="1380" t="s">
        <v>3197</v>
      </c>
      <c r="I1355" s="1380">
        <v>38</v>
      </c>
      <c r="J1355" s="1380"/>
      <c r="K1355" s="1380"/>
    </row>
    <row r="1356" spans="1:11" s="1354" customFormat="1" x14ac:dyDescent="0.2">
      <c r="A1356" s="1380" t="s">
        <v>2166</v>
      </c>
      <c r="B1356" s="1384" t="e">
        <f>'Supplementary Validation'!H38</f>
        <v>#N/A</v>
      </c>
      <c r="C1356" s="1385" t="s">
        <v>3224</v>
      </c>
      <c r="D1356" s="1386"/>
      <c r="E1356" s="1386"/>
      <c r="F1356" s="1380" t="s">
        <v>5248</v>
      </c>
      <c r="G1356" s="1380" t="s">
        <v>4774</v>
      </c>
      <c r="H1356" s="1380" t="s">
        <v>3197</v>
      </c>
      <c r="I1356" s="1380">
        <v>39</v>
      </c>
      <c r="J1356" s="1380"/>
      <c r="K1356" s="1380"/>
    </row>
    <row r="1357" spans="1:11" s="1354" customFormat="1" x14ac:dyDescent="0.2">
      <c r="A1357" s="1380" t="s">
        <v>2167</v>
      </c>
      <c r="B1357" s="1384" t="e">
        <f>'Supplementary Validation'!H39</f>
        <v>#N/A</v>
      </c>
      <c r="C1357" s="1385" t="s">
        <v>3224</v>
      </c>
      <c r="D1357" s="1386"/>
      <c r="E1357" s="1386"/>
      <c r="F1357" s="1380" t="s">
        <v>5249</v>
      </c>
      <c r="G1357" s="1380" t="s">
        <v>4775</v>
      </c>
      <c r="H1357" s="1380" t="s">
        <v>3197</v>
      </c>
      <c r="I1357" s="1380">
        <v>40</v>
      </c>
      <c r="J1357" s="1380"/>
      <c r="K1357" s="1380"/>
    </row>
    <row r="1358" spans="1:11" s="1354" customFormat="1" x14ac:dyDescent="0.2">
      <c r="A1358" s="1380" t="s">
        <v>2168</v>
      </c>
      <c r="B1358" s="1384" t="e">
        <f>'Supplementary Validation'!H40</f>
        <v>#N/A</v>
      </c>
      <c r="C1358" s="1385" t="s">
        <v>3224</v>
      </c>
      <c r="D1358" s="1386"/>
      <c r="E1358" s="1386"/>
      <c r="F1358" s="1380" t="s">
        <v>5250</v>
      </c>
      <c r="G1358" s="1380" t="s">
        <v>4776</v>
      </c>
      <c r="H1358" s="1380" t="s">
        <v>3197</v>
      </c>
      <c r="I1358" s="1380">
        <v>41</v>
      </c>
      <c r="J1358" s="1380"/>
      <c r="K1358" s="1380"/>
    </row>
    <row r="1359" spans="1:11" s="1354" customFormat="1" x14ac:dyDescent="0.2">
      <c r="A1359" s="1380" t="s">
        <v>2169</v>
      </c>
      <c r="B1359" s="1384" t="e">
        <f>'Supplementary Validation'!H41</f>
        <v>#N/A</v>
      </c>
      <c r="C1359" s="1385" t="s">
        <v>3224</v>
      </c>
      <c r="D1359" s="1386"/>
      <c r="E1359" s="1386"/>
      <c r="F1359" s="1380" t="s">
        <v>5251</v>
      </c>
      <c r="G1359" s="1380" t="s">
        <v>4777</v>
      </c>
      <c r="H1359" s="1380" t="s">
        <v>3197</v>
      </c>
      <c r="I1359" s="1380">
        <v>42</v>
      </c>
      <c r="J1359" s="1380"/>
      <c r="K1359" s="1380"/>
    </row>
    <row r="1360" spans="1:11" s="1354" customFormat="1" x14ac:dyDescent="0.2">
      <c r="A1360" s="1380" t="s">
        <v>2170</v>
      </c>
      <c r="B1360" s="1384" t="e">
        <f>'Supplementary Validation'!H44</f>
        <v>#N/A</v>
      </c>
      <c r="C1360" s="1385" t="s">
        <v>3224</v>
      </c>
      <c r="D1360" s="1386"/>
      <c r="E1360" s="1386"/>
      <c r="F1360" s="1380" t="s">
        <v>5252</v>
      </c>
      <c r="G1360" s="1380" t="s">
        <v>4778</v>
      </c>
      <c r="H1360" s="1380" t="s">
        <v>3197</v>
      </c>
      <c r="I1360" s="1380">
        <v>43</v>
      </c>
      <c r="J1360" s="1380"/>
      <c r="K1360" s="1380"/>
    </row>
    <row r="1361" spans="1:11" s="1354" customFormat="1" x14ac:dyDescent="0.2">
      <c r="A1361" s="1380" t="s">
        <v>2963</v>
      </c>
      <c r="B1361" s="1384" t="e">
        <f>'Supplementary Validation'!H47</f>
        <v>#N/A</v>
      </c>
      <c r="C1361" s="1385" t="s">
        <v>3224</v>
      </c>
      <c r="D1361" s="1386"/>
      <c r="E1361" s="1386"/>
      <c r="F1361" s="1380" t="s">
        <v>5253</v>
      </c>
      <c r="G1361" s="1380" t="s">
        <v>4779</v>
      </c>
      <c r="H1361" s="1380" t="s">
        <v>3197</v>
      </c>
      <c r="I1361" s="1380">
        <v>44</v>
      </c>
      <c r="J1361" s="1380"/>
      <c r="K1361" s="1380"/>
    </row>
    <row r="1362" spans="1:11" s="1354" customFormat="1" x14ac:dyDescent="0.2">
      <c r="A1362" s="1380" t="s">
        <v>2964</v>
      </c>
      <c r="B1362" s="1384" t="e">
        <f>'Supplementary Validation'!H48</f>
        <v>#N/A</v>
      </c>
      <c r="C1362" s="1385" t="s">
        <v>3224</v>
      </c>
      <c r="D1362" s="1386"/>
      <c r="E1362" s="1386"/>
      <c r="F1362" s="1380" t="s">
        <v>5254</v>
      </c>
      <c r="G1362" s="1380" t="s">
        <v>4780</v>
      </c>
      <c r="H1362" s="1380" t="s">
        <v>3197</v>
      </c>
      <c r="I1362" s="1380">
        <v>45</v>
      </c>
      <c r="J1362" s="1380"/>
      <c r="K1362" s="1380"/>
    </row>
    <row r="1363" spans="1:11" s="1354" customFormat="1" x14ac:dyDescent="0.2">
      <c r="A1363" s="1380" t="s">
        <v>2966</v>
      </c>
      <c r="B1363" s="1384" t="e">
        <f>'Supplementary Validation'!H49</f>
        <v>#N/A</v>
      </c>
      <c r="C1363" s="1385" t="s">
        <v>3224</v>
      </c>
      <c r="D1363" s="1386"/>
      <c r="E1363" s="1386"/>
      <c r="F1363" s="1380" t="s">
        <v>5256</v>
      </c>
      <c r="G1363" s="1380" t="s">
        <v>4782</v>
      </c>
      <c r="H1363" s="1380" t="s">
        <v>3197</v>
      </c>
      <c r="I1363" s="1380">
        <v>46</v>
      </c>
      <c r="J1363" s="1380"/>
      <c r="K1363" s="1380"/>
    </row>
    <row r="1364" spans="1:11" s="1365" customFormat="1" x14ac:dyDescent="0.2">
      <c r="A1364" s="1380" t="s">
        <v>2967</v>
      </c>
      <c r="B1364" s="1384" t="e">
        <f>'Supplementary Validation'!H50</f>
        <v>#N/A</v>
      </c>
      <c r="C1364" s="1385" t="s">
        <v>3224</v>
      </c>
      <c r="D1364" s="1386"/>
      <c r="E1364" s="1386"/>
      <c r="F1364" s="1380" t="s">
        <v>5257</v>
      </c>
      <c r="G1364" s="1380" t="s">
        <v>4783</v>
      </c>
      <c r="H1364" s="1380" t="s">
        <v>3197</v>
      </c>
      <c r="I1364" s="1380">
        <v>47</v>
      </c>
      <c r="J1364" s="1380"/>
      <c r="K1364" s="1380"/>
    </row>
    <row r="1365" spans="1:11" s="1365" customFormat="1" x14ac:dyDescent="0.2">
      <c r="A1365" s="1380" t="s">
        <v>2968</v>
      </c>
      <c r="B1365" s="1384" t="e">
        <f>'Supplementary Validation'!H51</f>
        <v>#N/A</v>
      </c>
      <c r="C1365" s="1385" t="s">
        <v>3224</v>
      </c>
      <c r="D1365" s="1386"/>
      <c r="E1365" s="1386"/>
      <c r="F1365" s="1380" t="s">
        <v>5258</v>
      </c>
      <c r="G1365" s="1380" t="s">
        <v>4784</v>
      </c>
      <c r="H1365" s="1380" t="s">
        <v>3197</v>
      </c>
      <c r="I1365" s="1380">
        <v>48</v>
      </c>
      <c r="J1365" s="1380"/>
      <c r="K1365" s="1380"/>
    </row>
    <row r="1366" spans="1:11" s="1365" customFormat="1" x14ac:dyDescent="0.2">
      <c r="A1366" s="1380" t="s">
        <v>2171</v>
      </c>
      <c r="B1366" s="1387">
        <f>'Supplementary Validation'!M53</f>
        <v>0</v>
      </c>
      <c r="C1366" s="1388" t="s">
        <v>3202</v>
      </c>
      <c r="D1366" s="1389"/>
      <c r="E1366" s="1389"/>
      <c r="F1366" s="1380" t="s">
        <v>5259</v>
      </c>
      <c r="G1366" s="1380" t="s">
        <v>4785</v>
      </c>
      <c r="H1366" s="1380" t="s">
        <v>3197</v>
      </c>
      <c r="I1366" s="1380">
        <v>49</v>
      </c>
      <c r="J1366" s="1380"/>
      <c r="K1366" s="1380"/>
    </row>
    <row r="1367" spans="1:11" s="1365" customFormat="1" x14ac:dyDescent="0.2">
      <c r="A1367" s="1380" t="s">
        <v>2172</v>
      </c>
      <c r="B1367" s="1387" t="e">
        <f>'Supplementary Validation'!M20</f>
        <v>#N/A</v>
      </c>
      <c r="C1367" s="1390" t="s">
        <v>3202</v>
      </c>
      <c r="D1367" s="1389"/>
      <c r="E1367" s="1389"/>
      <c r="F1367" s="1380" t="s">
        <v>5260</v>
      </c>
      <c r="G1367" s="1380" t="s">
        <v>4786</v>
      </c>
      <c r="H1367" s="1380" t="s">
        <v>3197</v>
      </c>
      <c r="I1367" s="1380">
        <v>50</v>
      </c>
      <c r="J1367" s="1380"/>
      <c r="K1367" s="1380"/>
    </row>
    <row r="1368" spans="1:11" s="1365" customFormat="1" x14ac:dyDescent="0.2">
      <c r="A1368" s="1380" t="s">
        <v>2173</v>
      </c>
      <c r="B1368" s="1387" t="e">
        <f>'Supplementary Validation'!M21</f>
        <v>#N/A</v>
      </c>
      <c r="C1368" s="1390" t="s">
        <v>3202</v>
      </c>
      <c r="D1368" s="1389"/>
      <c r="E1368" s="1389"/>
      <c r="F1368" s="1380" t="s">
        <v>5261</v>
      </c>
      <c r="G1368" s="1380" t="s">
        <v>4787</v>
      </c>
      <c r="H1368" s="1380" t="s">
        <v>3197</v>
      </c>
      <c r="I1368" s="1380">
        <v>51</v>
      </c>
      <c r="J1368" s="1380"/>
      <c r="K1368" s="1380"/>
    </row>
    <row r="1369" spans="1:11" s="1365" customFormat="1" x14ac:dyDescent="0.2">
      <c r="A1369" s="1380" t="s">
        <v>2174</v>
      </c>
      <c r="B1369" s="1387" t="e">
        <f>'Supplementary Validation'!M22</f>
        <v>#N/A</v>
      </c>
      <c r="C1369" s="1390" t="s">
        <v>3202</v>
      </c>
      <c r="D1369" s="1389"/>
      <c r="E1369" s="1389"/>
      <c r="F1369" s="1380" t="s">
        <v>5262</v>
      </c>
      <c r="G1369" s="1380" t="s">
        <v>4788</v>
      </c>
      <c r="H1369" s="1380" t="s">
        <v>3197</v>
      </c>
      <c r="I1369" s="1380">
        <v>52</v>
      </c>
      <c r="J1369" s="1380"/>
      <c r="K1369" s="1380"/>
    </row>
    <row r="1370" spans="1:11" s="1365" customFormat="1" x14ac:dyDescent="0.2">
      <c r="A1370" s="1380" t="s">
        <v>2340</v>
      </c>
      <c r="B1370" s="1387" t="e">
        <f>'Supplementary Validation'!M23</f>
        <v>#N/A</v>
      </c>
      <c r="C1370" s="1390" t="s">
        <v>3202</v>
      </c>
      <c r="D1370" s="1389"/>
      <c r="E1370" s="1389"/>
      <c r="F1370" s="1380" t="s">
        <v>5263</v>
      </c>
      <c r="G1370" s="1380" t="s">
        <v>4789</v>
      </c>
      <c r="H1370" s="1380" t="s">
        <v>3197</v>
      </c>
      <c r="I1370" s="1380">
        <v>53</v>
      </c>
      <c r="J1370" s="1380"/>
      <c r="K1370" s="1380"/>
    </row>
    <row r="1371" spans="1:11" s="1365" customFormat="1" x14ac:dyDescent="0.2">
      <c r="A1371" s="1380" t="s">
        <v>2175</v>
      </c>
      <c r="B1371" s="1387" t="e">
        <f>'Supplementary Validation'!M24</f>
        <v>#N/A</v>
      </c>
      <c r="C1371" s="1390" t="s">
        <v>3202</v>
      </c>
      <c r="D1371" s="1389"/>
      <c r="E1371" s="1389"/>
      <c r="F1371" s="1380" t="s">
        <v>5264</v>
      </c>
      <c r="G1371" s="1380" t="s">
        <v>4790</v>
      </c>
      <c r="H1371" s="1380" t="s">
        <v>3197</v>
      </c>
      <c r="I1371" s="1380">
        <v>54</v>
      </c>
      <c r="J1371" s="1380"/>
      <c r="K1371" s="1380"/>
    </row>
    <row r="1372" spans="1:11" s="1365" customFormat="1" x14ac:dyDescent="0.2">
      <c r="A1372" s="1380" t="s">
        <v>2176</v>
      </c>
      <c r="B1372" s="1387" t="e">
        <f>'Supplementary Validation'!M25</f>
        <v>#N/A</v>
      </c>
      <c r="C1372" s="1390" t="s">
        <v>3202</v>
      </c>
      <c r="D1372" s="1389"/>
      <c r="E1372" s="1389"/>
      <c r="F1372" s="1380" t="s">
        <v>5265</v>
      </c>
      <c r="G1372" s="1380" t="s">
        <v>4791</v>
      </c>
      <c r="H1372" s="1380" t="s">
        <v>3197</v>
      </c>
      <c r="I1372" s="1380">
        <v>55</v>
      </c>
      <c r="J1372" s="1380"/>
      <c r="K1372" s="1380"/>
    </row>
    <row r="1373" spans="1:11" s="1365" customFormat="1" x14ac:dyDescent="0.2">
      <c r="A1373" s="1380" t="s">
        <v>2177</v>
      </c>
      <c r="B1373" s="1387" t="e">
        <f>'Supplementary Validation'!M28</f>
        <v>#N/A</v>
      </c>
      <c r="C1373" s="1390" t="s">
        <v>3202</v>
      </c>
      <c r="D1373" s="1389"/>
      <c r="E1373" s="1389"/>
      <c r="F1373" s="1380" t="s">
        <v>5266</v>
      </c>
      <c r="G1373" s="1380" t="s">
        <v>4792</v>
      </c>
      <c r="H1373" s="1380" t="s">
        <v>3197</v>
      </c>
      <c r="I1373" s="1380">
        <v>56</v>
      </c>
      <c r="J1373" s="1380"/>
      <c r="K1373" s="1380"/>
    </row>
    <row r="1374" spans="1:11" s="1365" customFormat="1" x14ac:dyDescent="0.2">
      <c r="A1374" s="1380" t="s">
        <v>2178</v>
      </c>
      <c r="B1374" s="1387" t="e">
        <f>'Supplementary Validation'!M29</f>
        <v>#N/A</v>
      </c>
      <c r="C1374" s="1390" t="s">
        <v>3202</v>
      </c>
      <c r="D1374" s="1389"/>
      <c r="E1374" s="1389"/>
      <c r="F1374" s="1380" t="s">
        <v>5267</v>
      </c>
      <c r="G1374" s="1380" t="s">
        <v>4793</v>
      </c>
      <c r="H1374" s="1380" t="s">
        <v>3197</v>
      </c>
      <c r="I1374" s="1380">
        <v>57</v>
      </c>
      <c r="J1374" s="1380"/>
      <c r="K1374" s="1380"/>
    </row>
    <row r="1375" spans="1:11" s="1365" customFormat="1" ht="15" customHeight="1" x14ac:dyDescent="0.2">
      <c r="A1375" s="1380" t="s">
        <v>2179</v>
      </c>
      <c r="B1375" s="1387" t="e">
        <f>'Supplementary Validation'!M30</f>
        <v>#N/A</v>
      </c>
      <c r="C1375" s="1390" t="s">
        <v>3202</v>
      </c>
      <c r="D1375" s="1389"/>
      <c r="E1375" s="1389"/>
      <c r="F1375" s="1380" t="s">
        <v>5268</v>
      </c>
      <c r="G1375" s="1380" t="s">
        <v>4794</v>
      </c>
      <c r="H1375" s="1380" t="s">
        <v>3197</v>
      </c>
      <c r="I1375" s="1380">
        <v>58</v>
      </c>
      <c r="J1375" s="1380"/>
      <c r="K1375" s="1380"/>
    </row>
    <row r="1376" spans="1:11" s="1365" customFormat="1" x14ac:dyDescent="0.2">
      <c r="A1376" s="1380" t="s">
        <v>2181</v>
      </c>
      <c r="B1376" s="1387" t="e">
        <f>'Supplementary Validation'!M31</f>
        <v>#N/A</v>
      </c>
      <c r="C1376" s="1390" t="s">
        <v>3202</v>
      </c>
      <c r="D1376" s="1389"/>
      <c r="E1376" s="1389"/>
      <c r="F1376" s="1380" t="s">
        <v>5270</v>
      </c>
      <c r="G1376" s="1380" t="s">
        <v>4796</v>
      </c>
      <c r="H1376" s="1380" t="s">
        <v>3197</v>
      </c>
      <c r="I1376" s="1380">
        <v>59</v>
      </c>
      <c r="J1376" s="1380"/>
      <c r="K1376" s="1380"/>
    </row>
    <row r="1377" spans="1:11" s="1365" customFormat="1" x14ac:dyDescent="0.2">
      <c r="A1377" s="1380" t="s">
        <v>2182</v>
      </c>
      <c r="B1377" s="1387" t="e">
        <f>'Supplementary Validation'!M32</f>
        <v>#N/A</v>
      </c>
      <c r="C1377" s="1390" t="s">
        <v>3202</v>
      </c>
      <c r="D1377" s="1389"/>
      <c r="E1377" s="1389"/>
      <c r="F1377" s="1380" t="s">
        <v>5271</v>
      </c>
      <c r="G1377" s="1380" t="s">
        <v>4797</v>
      </c>
      <c r="H1377" s="1380" t="s">
        <v>3197</v>
      </c>
      <c r="I1377" s="1380">
        <v>60</v>
      </c>
      <c r="J1377" s="1380"/>
      <c r="K1377" s="1380"/>
    </row>
    <row r="1378" spans="1:11" s="1365" customFormat="1" x14ac:dyDescent="0.2">
      <c r="A1378" s="1380" t="s">
        <v>2183</v>
      </c>
      <c r="B1378" s="1387" t="e">
        <f>'Supplementary Validation'!M33</f>
        <v>#N/A</v>
      </c>
      <c r="C1378" s="1390" t="s">
        <v>3202</v>
      </c>
      <c r="D1378" s="1389"/>
      <c r="E1378" s="1389"/>
      <c r="F1378" s="1380" t="s">
        <v>5272</v>
      </c>
      <c r="G1378" s="1380" t="s">
        <v>4798</v>
      </c>
      <c r="H1378" s="1380" t="s">
        <v>3197</v>
      </c>
      <c r="I1378" s="1380">
        <v>61</v>
      </c>
      <c r="J1378" s="1380"/>
      <c r="K1378" s="1380"/>
    </row>
    <row r="1379" spans="1:11" s="1365" customFormat="1" x14ac:dyDescent="0.2">
      <c r="A1379" s="1380" t="s">
        <v>2681</v>
      </c>
      <c r="B1379" s="1387" t="e">
        <f>'Supplementary Validation'!M34</f>
        <v>#N/A</v>
      </c>
      <c r="C1379" s="1390" t="s">
        <v>3202</v>
      </c>
      <c r="D1379" s="1389"/>
      <c r="E1379" s="1389"/>
      <c r="F1379" s="1380" t="s">
        <v>5273</v>
      </c>
      <c r="G1379" s="1380" t="s">
        <v>4799</v>
      </c>
      <c r="H1379" s="1380" t="s">
        <v>3197</v>
      </c>
      <c r="I1379" s="1380">
        <v>62</v>
      </c>
      <c r="J1379" s="1380"/>
      <c r="K1379" s="1380"/>
    </row>
    <row r="1380" spans="1:11" s="1365" customFormat="1" x14ac:dyDescent="0.2">
      <c r="A1380" s="1380" t="s">
        <v>2184</v>
      </c>
      <c r="B1380" s="1387" t="e">
        <f>'Supplementary Validation'!M37</f>
        <v>#N/A</v>
      </c>
      <c r="C1380" s="1390" t="s">
        <v>3202</v>
      </c>
      <c r="D1380" s="1389"/>
      <c r="E1380" s="1389"/>
      <c r="F1380" s="1380" t="s">
        <v>5274</v>
      </c>
      <c r="G1380" s="1380" t="s">
        <v>4800</v>
      </c>
      <c r="H1380" s="1380" t="s">
        <v>3197</v>
      </c>
      <c r="I1380" s="1380">
        <v>63</v>
      </c>
      <c r="J1380" s="1380"/>
      <c r="K1380" s="1380"/>
    </row>
    <row r="1381" spans="1:11" s="1365" customFormat="1" x14ac:dyDescent="0.2">
      <c r="A1381" s="1380" t="s">
        <v>2185</v>
      </c>
      <c r="B1381" s="1387" t="e">
        <f>'Supplementary Validation'!M38</f>
        <v>#N/A</v>
      </c>
      <c r="C1381" s="1390" t="s">
        <v>3202</v>
      </c>
      <c r="D1381" s="1389"/>
      <c r="E1381" s="1389"/>
      <c r="F1381" s="1380" t="s">
        <v>5275</v>
      </c>
      <c r="G1381" s="1380" t="s">
        <v>4801</v>
      </c>
      <c r="H1381" s="1380" t="s">
        <v>3197</v>
      </c>
      <c r="I1381" s="1380">
        <v>64</v>
      </c>
      <c r="J1381" s="1380"/>
      <c r="K1381" s="1380"/>
    </row>
    <row r="1382" spans="1:11" s="1365" customFormat="1" x14ac:dyDescent="0.2">
      <c r="A1382" s="1380" t="s">
        <v>2186</v>
      </c>
      <c r="B1382" s="1387" t="e">
        <f>'Supplementary Validation'!M39</f>
        <v>#N/A</v>
      </c>
      <c r="C1382" s="1390" t="s">
        <v>3202</v>
      </c>
      <c r="D1382" s="1389"/>
      <c r="E1382" s="1389"/>
      <c r="F1382" s="1380" t="s">
        <v>5276</v>
      </c>
      <c r="G1382" s="1380" t="s">
        <v>4802</v>
      </c>
      <c r="H1382" s="1380" t="s">
        <v>3197</v>
      </c>
      <c r="I1382" s="1380">
        <v>65</v>
      </c>
      <c r="J1382" s="1380"/>
      <c r="K1382" s="1380"/>
    </row>
    <row r="1383" spans="1:11" s="1365" customFormat="1" x14ac:dyDescent="0.2">
      <c r="A1383" s="1380" t="s">
        <v>2187</v>
      </c>
      <c r="B1383" s="1387" t="e">
        <f>'Supplementary Validation'!M40</f>
        <v>#N/A</v>
      </c>
      <c r="C1383" s="1390" t="s">
        <v>3202</v>
      </c>
      <c r="D1383" s="1389"/>
      <c r="E1383" s="1389"/>
      <c r="F1383" s="1380" t="s">
        <v>5277</v>
      </c>
      <c r="G1383" s="1380" t="s">
        <v>4803</v>
      </c>
      <c r="H1383" s="1380" t="s">
        <v>3197</v>
      </c>
      <c r="I1383" s="1380">
        <v>66</v>
      </c>
      <c r="J1383" s="1380"/>
      <c r="K1383" s="1380"/>
    </row>
    <row r="1384" spans="1:11" s="1365" customFormat="1" x14ac:dyDescent="0.2">
      <c r="A1384" s="1380" t="s">
        <v>2188</v>
      </c>
      <c r="B1384" s="1387" t="e">
        <f>'Supplementary Validation'!M41</f>
        <v>#N/A</v>
      </c>
      <c r="C1384" s="1390" t="s">
        <v>3202</v>
      </c>
      <c r="D1384" s="1389"/>
      <c r="E1384" s="1389"/>
      <c r="F1384" s="1380" t="s">
        <v>5278</v>
      </c>
      <c r="G1384" s="1380" t="s">
        <v>4804</v>
      </c>
      <c r="H1384" s="1380" t="s">
        <v>3197</v>
      </c>
      <c r="I1384" s="1380">
        <v>67</v>
      </c>
      <c r="J1384" s="1380"/>
      <c r="K1384" s="1380"/>
    </row>
    <row r="1385" spans="1:11" s="1365" customFormat="1" x14ac:dyDescent="0.2">
      <c r="A1385" s="1380" t="s">
        <v>2189</v>
      </c>
      <c r="B1385" s="1387" t="e">
        <f>'Supplementary Validation'!M44</f>
        <v>#N/A</v>
      </c>
      <c r="C1385" s="1390" t="s">
        <v>3202</v>
      </c>
      <c r="D1385" s="1389"/>
      <c r="E1385" s="1389"/>
      <c r="F1385" s="1380" t="s">
        <v>5279</v>
      </c>
      <c r="G1385" s="1380" t="s">
        <v>4805</v>
      </c>
      <c r="H1385" s="1380" t="s">
        <v>3197</v>
      </c>
      <c r="I1385" s="1380">
        <v>68</v>
      </c>
      <c r="J1385" s="1380"/>
      <c r="K1385" s="1380"/>
    </row>
    <row r="1386" spans="1:11" s="1365" customFormat="1" x14ac:dyDescent="0.2">
      <c r="A1386" s="1380" t="s">
        <v>2969</v>
      </c>
      <c r="B1386" s="1387" t="e">
        <f>'Supplementary Validation'!M47</f>
        <v>#N/A</v>
      </c>
      <c r="C1386" s="1390" t="s">
        <v>3202</v>
      </c>
      <c r="D1386" s="1389"/>
      <c r="E1386" s="1389"/>
      <c r="F1386" s="1380" t="s">
        <v>5280</v>
      </c>
      <c r="G1386" s="1380" t="s">
        <v>4806</v>
      </c>
      <c r="H1386" s="1380" t="s">
        <v>3197</v>
      </c>
      <c r="I1386" s="1380">
        <v>69</v>
      </c>
      <c r="J1386" s="1380"/>
      <c r="K1386" s="1380"/>
    </row>
    <row r="1387" spans="1:11" s="1365" customFormat="1" x14ac:dyDescent="0.2">
      <c r="A1387" s="1380" t="s">
        <v>2970</v>
      </c>
      <c r="B1387" s="1387" t="e">
        <f>'Supplementary Validation'!M48</f>
        <v>#N/A</v>
      </c>
      <c r="C1387" s="1390" t="s">
        <v>3202</v>
      </c>
      <c r="D1387" s="1389"/>
      <c r="E1387" s="1389"/>
      <c r="F1387" s="1380" t="s">
        <v>5281</v>
      </c>
      <c r="G1387" s="1380" t="s">
        <v>4807</v>
      </c>
      <c r="H1387" s="1380" t="s">
        <v>3197</v>
      </c>
      <c r="I1387" s="1380">
        <v>70</v>
      </c>
      <c r="J1387" s="1380"/>
      <c r="K1387" s="1380"/>
    </row>
    <row r="1388" spans="1:11" s="1365" customFormat="1" x14ac:dyDescent="0.2">
      <c r="A1388" s="1380" t="s">
        <v>2972</v>
      </c>
      <c r="B1388" s="1387" t="e">
        <f>'Supplementary Validation'!M49</f>
        <v>#N/A</v>
      </c>
      <c r="C1388" s="1390" t="s">
        <v>3202</v>
      </c>
      <c r="D1388" s="1389"/>
      <c r="E1388" s="1389"/>
      <c r="F1388" s="1380" t="s">
        <v>5283</v>
      </c>
      <c r="G1388" s="1380" t="s">
        <v>4809</v>
      </c>
      <c r="H1388" s="1380" t="s">
        <v>3197</v>
      </c>
      <c r="I1388" s="1380">
        <v>71</v>
      </c>
      <c r="J1388" s="1380"/>
      <c r="K1388" s="1380"/>
    </row>
    <row r="1389" spans="1:11" s="1365" customFormat="1" x14ac:dyDescent="0.2">
      <c r="A1389" s="1380" t="s">
        <v>2973</v>
      </c>
      <c r="B1389" s="1387" t="e">
        <f>'Supplementary Validation'!M50</f>
        <v>#N/A</v>
      </c>
      <c r="C1389" s="1390" t="s">
        <v>3202</v>
      </c>
      <c r="D1389" s="1389"/>
      <c r="E1389" s="1389"/>
      <c r="F1389" s="1380" t="s">
        <v>5284</v>
      </c>
      <c r="G1389" s="1380" t="s">
        <v>4810</v>
      </c>
      <c r="H1389" s="1380" t="s">
        <v>3197</v>
      </c>
      <c r="I1389" s="1380">
        <v>72</v>
      </c>
      <c r="J1389" s="1380"/>
      <c r="K1389" s="1380"/>
    </row>
    <row r="1390" spans="1:11" s="1365" customFormat="1" x14ac:dyDescent="0.2">
      <c r="A1390" s="1380" t="s">
        <v>2974</v>
      </c>
      <c r="B1390" s="1387" t="e">
        <f>'Supplementary Validation'!M51</f>
        <v>#N/A</v>
      </c>
      <c r="C1390" s="1390" t="s">
        <v>3202</v>
      </c>
      <c r="D1390" s="1389"/>
      <c r="E1390" s="1389"/>
      <c r="F1390" s="1380" t="s">
        <v>5285</v>
      </c>
      <c r="G1390" s="1380" t="s">
        <v>4811</v>
      </c>
      <c r="H1390" s="1380" t="s">
        <v>3197</v>
      </c>
      <c r="I1390" s="1380">
        <v>73</v>
      </c>
      <c r="J1390" s="1380"/>
      <c r="K1390" s="1380"/>
    </row>
    <row r="1391" spans="1:11" s="1365" customFormat="1" x14ac:dyDescent="0.2">
      <c r="A1391" s="1380" t="s">
        <v>2190</v>
      </c>
      <c r="B1391" s="1387">
        <f>'Supplementary Validation'!O20</f>
        <v>0</v>
      </c>
      <c r="C1391" s="1388" t="s">
        <v>3202</v>
      </c>
      <c r="D1391" s="1389"/>
      <c r="E1391" s="1389"/>
      <c r="F1391" s="1380" t="s">
        <v>5286</v>
      </c>
      <c r="G1391" s="1380" t="s">
        <v>4812</v>
      </c>
      <c r="H1391" s="1380" t="s">
        <v>3197</v>
      </c>
      <c r="I1391" s="1380">
        <v>74</v>
      </c>
      <c r="J1391" s="1380"/>
      <c r="K1391" s="1380"/>
    </row>
    <row r="1392" spans="1:11" s="1365" customFormat="1" x14ac:dyDescent="0.2">
      <c r="A1392" s="1380" t="s">
        <v>2191</v>
      </c>
      <c r="B1392" s="1387">
        <f>'Supplementary Validation'!O21</f>
        <v>0</v>
      </c>
      <c r="C1392" s="1388" t="s">
        <v>3202</v>
      </c>
      <c r="D1392" s="1389"/>
      <c r="E1392" s="1389"/>
      <c r="F1392" s="1380" t="s">
        <v>5287</v>
      </c>
      <c r="G1392" s="1380" t="s">
        <v>4813</v>
      </c>
      <c r="H1392" s="1380" t="s">
        <v>3197</v>
      </c>
      <c r="I1392" s="1380">
        <v>75</v>
      </c>
      <c r="J1392" s="1380"/>
      <c r="K1392" s="1380"/>
    </row>
    <row r="1393" spans="1:11" s="1365" customFormat="1" x14ac:dyDescent="0.2">
      <c r="A1393" s="1380" t="s">
        <v>2192</v>
      </c>
      <c r="B1393" s="1387">
        <f>'Supplementary Validation'!O22</f>
        <v>0</v>
      </c>
      <c r="C1393" s="1388" t="s">
        <v>3202</v>
      </c>
      <c r="D1393" s="1389"/>
      <c r="E1393" s="1389"/>
      <c r="F1393" s="1380" t="s">
        <v>5288</v>
      </c>
      <c r="G1393" s="1380" t="s">
        <v>4814</v>
      </c>
      <c r="H1393" s="1380" t="s">
        <v>3197</v>
      </c>
      <c r="I1393" s="1380">
        <v>76</v>
      </c>
      <c r="J1393" s="1380"/>
      <c r="K1393" s="1380"/>
    </row>
    <row r="1394" spans="1:11" s="1365" customFormat="1" x14ac:dyDescent="0.2">
      <c r="A1394" s="1380" t="s">
        <v>2341</v>
      </c>
      <c r="B1394" s="1387">
        <f>'Supplementary Validation'!O23</f>
        <v>0</v>
      </c>
      <c r="C1394" s="1388" t="s">
        <v>3202</v>
      </c>
      <c r="D1394" s="1389"/>
      <c r="E1394" s="1389"/>
      <c r="F1394" s="1380" t="s">
        <v>5289</v>
      </c>
      <c r="G1394" s="1380" t="s">
        <v>4815</v>
      </c>
      <c r="H1394" s="1380" t="s">
        <v>3197</v>
      </c>
      <c r="I1394" s="1380">
        <v>77</v>
      </c>
      <c r="J1394" s="1380"/>
      <c r="K1394" s="1380"/>
    </row>
    <row r="1395" spans="1:11" s="1365" customFormat="1" x14ac:dyDescent="0.2">
      <c r="A1395" s="1380" t="s">
        <v>2193</v>
      </c>
      <c r="B1395" s="1387">
        <f>'Supplementary Validation'!O24</f>
        <v>0</v>
      </c>
      <c r="C1395" s="1388" t="s">
        <v>3202</v>
      </c>
      <c r="D1395" s="1389"/>
      <c r="E1395" s="1389"/>
      <c r="F1395" s="1380" t="s">
        <v>5290</v>
      </c>
      <c r="G1395" s="1380" t="s">
        <v>4816</v>
      </c>
      <c r="H1395" s="1380" t="s">
        <v>3197</v>
      </c>
      <c r="I1395" s="1380">
        <v>78</v>
      </c>
      <c r="J1395" s="1380"/>
      <c r="K1395" s="1380"/>
    </row>
    <row r="1396" spans="1:11" s="1365" customFormat="1" ht="15" customHeight="1" x14ac:dyDescent="0.2">
      <c r="A1396" s="1380" t="s">
        <v>2194</v>
      </c>
      <c r="B1396" s="1387">
        <f>'Supplementary Validation'!O25</f>
        <v>0</v>
      </c>
      <c r="C1396" s="1388" t="s">
        <v>3202</v>
      </c>
      <c r="D1396" s="1389"/>
      <c r="E1396" s="1389"/>
      <c r="F1396" s="1380" t="s">
        <v>5291</v>
      </c>
      <c r="G1396" s="1380" t="s">
        <v>4817</v>
      </c>
      <c r="H1396" s="1380" t="s">
        <v>3197</v>
      </c>
      <c r="I1396" s="1380">
        <v>79</v>
      </c>
      <c r="J1396" s="1380"/>
      <c r="K1396" s="1380"/>
    </row>
    <row r="1397" spans="1:11" s="1365" customFormat="1" x14ac:dyDescent="0.2">
      <c r="A1397" s="1380" t="s">
        <v>2195</v>
      </c>
      <c r="B1397" s="1387">
        <f>'Supplementary Validation'!O28</f>
        <v>0</v>
      </c>
      <c r="C1397" s="1388" t="s">
        <v>3202</v>
      </c>
      <c r="D1397" s="1389"/>
      <c r="E1397" s="1389"/>
      <c r="F1397" s="1380" t="s">
        <v>5292</v>
      </c>
      <c r="G1397" s="1380" t="s">
        <v>4818</v>
      </c>
      <c r="H1397" s="1380" t="s">
        <v>3197</v>
      </c>
      <c r="I1397" s="1380">
        <v>80</v>
      </c>
      <c r="J1397" s="1380"/>
      <c r="K1397" s="1380"/>
    </row>
    <row r="1398" spans="1:11" s="1365" customFormat="1" x14ac:dyDescent="0.2">
      <c r="A1398" s="1380" t="s">
        <v>2196</v>
      </c>
      <c r="B1398" s="1387">
        <f>'Supplementary Validation'!O29</f>
        <v>0</v>
      </c>
      <c r="C1398" s="1388" t="s">
        <v>3202</v>
      </c>
      <c r="D1398" s="1389"/>
      <c r="E1398" s="1389"/>
      <c r="F1398" s="1380" t="s">
        <v>5293</v>
      </c>
      <c r="G1398" s="1380" t="s">
        <v>4819</v>
      </c>
      <c r="H1398" s="1380" t="s">
        <v>3197</v>
      </c>
      <c r="I1398" s="1380">
        <v>81</v>
      </c>
      <c r="J1398" s="1380"/>
      <c r="K1398" s="1380"/>
    </row>
    <row r="1399" spans="1:11" s="1365" customFormat="1" x14ac:dyDescent="0.2">
      <c r="A1399" s="1380" t="s">
        <v>2197</v>
      </c>
      <c r="B1399" s="1387">
        <f>'Supplementary Validation'!O30</f>
        <v>0</v>
      </c>
      <c r="C1399" s="1388" t="s">
        <v>3202</v>
      </c>
      <c r="D1399" s="1389"/>
      <c r="E1399" s="1389"/>
      <c r="F1399" s="1380" t="s">
        <v>5294</v>
      </c>
      <c r="G1399" s="1380" t="s">
        <v>4820</v>
      </c>
      <c r="H1399" s="1380" t="s">
        <v>3197</v>
      </c>
      <c r="I1399" s="1380">
        <v>82</v>
      </c>
      <c r="J1399" s="1380"/>
      <c r="K1399" s="1380"/>
    </row>
    <row r="1400" spans="1:11" s="1365" customFormat="1" x14ac:dyDescent="0.2">
      <c r="A1400" s="1380" t="s">
        <v>2199</v>
      </c>
      <c r="B1400" s="1387">
        <f>'Supplementary Validation'!O31</f>
        <v>0</v>
      </c>
      <c r="C1400" s="1388" t="s">
        <v>3202</v>
      </c>
      <c r="D1400" s="1389"/>
      <c r="E1400" s="1389"/>
      <c r="F1400" s="1380" t="s">
        <v>5296</v>
      </c>
      <c r="G1400" s="1380" t="s">
        <v>4822</v>
      </c>
      <c r="H1400" s="1380" t="s">
        <v>3197</v>
      </c>
      <c r="I1400" s="1380">
        <v>83</v>
      </c>
      <c r="J1400" s="1380"/>
      <c r="K1400" s="1380"/>
    </row>
    <row r="1401" spans="1:11" s="1365" customFormat="1" x14ac:dyDescent="0.2">
      <c r="A1401" s="1380" t="s">
        <v>2200</v>
      </c>
      <c r="B1401" s="1387">
        <f>'Supplementary Validation'!O32</f>
        <v>0</v>
      </c>
      <c r="C1401" s="1388" t="s">
        <v>3202</v>
      </c>
      <c r="D1401" s="1389"/>
      <c r="E1401" s="1389"/>
      <c r="F1401" s="1380" t="s">
        <v>5297</v>
      </c>
      <c r="G1401" s="1380" t="s">
        <v>4823</v>
      </c>
      <c r="H1401" s="1380" t="s">
        <v>3197</v>
      </c>
      <c r="I1401" s="1380">
        <v>84</v>
      </c>
      <c r="J1401" s="1380"/>
      <c r="K1401" s="1380"/>
    </row>
    <row r="1402" spans="1:11" s="1365" customFormat="1" x14ac:dyDescent="0.2">
      <c r="A1402" s="1380" t="s">
        <v>2201</v>
      </c>
      <c r="B1402" s="1387">
        <f>'Supplementary Validation'!O33</f>
        <v>0</v>
      </c>
      <c r="C1402" s="1388" t="s">
        <v>3202</v>
      </c>
      <c r="D1402" s="1389"/>
      <c r="E1402" s="1389"/>
      <c r="F1402" s="1380" t="s">
        <v>5298</v>
      </c>
      <c r="G1402" s="1380" t="s">
        <v>4824</v>
      </c>
      <c r="H1402" s="1380" t="s">
        <v>3197</v>
      </c>
      <c r="I1402" s="1380">
        <v>85</v>
      </c>
      <c r="J1402" s="1380"/>
      <c r="K1402" s="1380"/>
    </row>
    <row r="1403" spans="1:11" s="1365" customFormat="1" x14ac:dyDescent="0.2">
      <c r="A1403" s="1380" t="s">
        <v>2682</v>
      </c>
      <c r="B1403" s="1387">
        <f>'Supplementary Validation'!O34</f>
        <v>0</v>
      </c>
      <c r="C1403" s="1388" t="s">
        <v>3202</v>
      </c>
      <c r="D1403" s="1389"/>
      <c r="E1403" s="1389"/>
      <c r="F1403" s="1380" t="s">
        <v>5299</v>
      </c>
      <c r="G1403" s="1380" t="s">
        <v>4825</v>
      </c>
      <c r="H1403" s="1380" t="s">
        <v>3197</v>
      </c>
      <c r="I1403" s="1380">
        <v>86</v>
      </c>
      <c r="J1403" s="1380"/>
      <c r="K1403" s="1380"/>
    </row>
    <row r="1404" spans="1:11" s="1365" customFormat="1" x14ac:dyDescent="0.2">
      <c r="A1404" s="1380" t="s">
        <v>2202</v>
      </c>
      <c r="B1404" s="1387">
        <f>'Supplementary Validation'!O37</f>
        <v>0</v>
      </c>
      <c r="C1404" s="1388" t="s">
        <v>3202</v>
      </c>
      <c r="D1404" s="1389"/>
      <c r="E1404" s="1389"/>
      <c r="F1404" s="1380" t="s">
        <v>5300</v>
      </c>
      <c r="G1404" s="1380" t="s">
        <v>4826</v>
      </c>
      <c r="H1404" s="1380" t="s">
        <v>3197</v>
      </c>
      <c r="I1404" s="1380">
        <v>87</v>
      </c>
      <c r="J1404" s="1380"/>
      <c r="K1404" s="1380"/>
    </row>
    <row r="1405" spans="1:11" s="1365" customFormat="1" x14ac:dyDescent="0.2">
      <c r="A1405" s="1380" t="s">
        <v>2203</v>
      </c>
      <c r="B1405" s="1387">
        <f>'Supplementary Validation'!O38</f>
        <v>0</v>
      </c>
      <c r="C1405" s="1388" t="s">
        <v>3202</v>
      </c>
      <c r="D1405" s="1389"/>
      <c r="E1405" s="1389"/>
      <c r="F1405" s="1380" t="s">
        <v>5301</v>
      </c>
      <c r="G1405" s="1380" t="s">
        <v>4827</v>
      </c>
      <c r="H1405" s="1380" t="s">
        <v>3197</v>
      </c>
      <c r="I1405" s="1380">
        <v>88</v>
      </c>
      <c r="J1405" s="1380"/>
      <c r="K1405" s="1380"/>
    </row>
    <row r="1406" spans="1:11" s="1365" customFormat="1" x14ac:dyDescent="0.2">
      <c r="A1406" s="1380" t="s">
        <v>2204</v>
      </c>
      <c r="B1406" s="1387">
        <f>'Supplementary Validation'!O39</f>
        <v>0</v>
      </c>
      <c r="C1406" s="1388" t="s">
        <v>3202</v>
      </c>
      <c r="D1406" s="1389"/>
      <c r="E1406" s="1389"/>
      <c r="F1406" s="1380" t="s">
        <v>5302</v>
      </c>
      <c r="G1406" s="1380" t="s">
        <v>4828</v>
      </c>
      <c r="H1406" s="1380" t="s">
        <v>3197</v>
      </c>
      <c r="I1406" s="1380">
        <v>89</v>
      </c>
      <c r="J1406" s="1380"/>
      <c r="K1406" s="1380"/>
    </row>
    <row r="1407" spans="1:11" s="1365" customFormat="1" x14ac:dyDescent="0.2">
      <c r="A1407" s="1380" t="s">
        <v>2205</v>
      </c>
      <c r="B1407" s="1387">
        <f>'Supplementary Validation'!O40</f>
        <v>0</v>
      </c>
      <c r="C1407" s="1388" t="s">
        <v>3202</v>
      </c>
      <c r="D1407" s="1389"/>
      <c r="E1407" s="1389"/>
      <c r="F1407" s="1380" t="s">
        <v>5303</v>
      </c>
      <c r="G1407" s="1380" t="s">
        <v>4829</v>
      </c>
      <c r="H1407" s="1380" t="s">
        <v>3197</v>
      </c>
      <c r="I1407" s="1380">
        <v>90</v>
      </c>
      <c r="J1407" s="1380"/>
      <c r="K1407" s="1380"/>
    </row>
    <row r="1408" spans="1:11" s="1365" customFormat="1" x14ac:dyDescent="0.2">
      <c r="A1408" s="1380" t="s">
        <v>2206</v>
      </c>
      <c r="B1408" s="1387">
        <f>'Supplementary Validation'!O41</f>
        <v>0</v>
      </c>
      <c r="C1408" s="1388" t="s">
        <v>3202</v>
      </c>
      <c r="D1408" s="1389"/>
      <c r="E1408" s="1389"/>
      <c r="F1408" s="1380" t="s">
        <v>5304</v>
      </c>
      <c r="G1408" s="1380" t="s">
        <v>4830</v>
      </c>
      <c r="H1408" s="1380" t="s">
        <v>3197</v>
      </c>
      <c r="I1408" s="1380">
        <v>91</v>
      </c>
      <c r="J1408" s="1380"/>
      <c r="K1408" s="1380"/>
    </row>
    <row r="1409" spans="1:11" s="1365" customFormat="1" x14ac:dyDescent="0.2">
      <c r="A1409" s="1380" t="s">
        <v>2207</v>
      </c>
      <c r="B1409" s="1387">
        <f>'Supplementary Validation'!O44</f>
        <v>0</v>
      </c>
      <c r="C1409" s="1388" t="s">
        <v>3202</v>
      </c>
      <c r="D1409" s="1389"/>
      <c r="E1409" s="1389"/>
      <c r="F1409" s="1380" t="s">
        <v>5305</v>
      </c>
      <c r="G1409" s="1380" t="s">
        <v>4831</v>
      </c>
      <c r="H1409" s="1380" t="s">
        <v>3197</v>
      </c>
      <c r="I1409" s="1380">
        <v>92</v>
      </c>
      <c r="J1409" s="1380"/>
      <c r="K1409" s="1380"/>
    </row>
    <row r="1410" spans="1:11" s="1365" customFormat="1" x14ac:dyDescent="0.2">
      <c r="A1410" s="1380" t="s">
        <v>2975</v>
      </c>
      <c r="B1410" s="1387">
        <f>'Supplementary Validation'!O47</f>
        <v>0</v>
      </c>
      <c r="C1410" s="1388" t="s">
        <v>3202</v>
      </c>
      <c r="D1410" s="1389"/>
      <c r="E1410" s="1389"/>
      <c r="F1410" s="1380" t="s">
        <v>5306</v>
      </c>
      <c r="G1410" s="1380" t="s">
        <v>4832</v>
      </c>
      <c r="H1410" s="1380" t="s">
        <v>3197</v>
      </c>
      <c r="I1410" s="1380">
        <v>93</v>
      </c>
      <c r="J1410" s="1380"/>
      <c r="K1410" s="1380"/>
    </row>
    <row r="1411" spans="1:11" s="1365" customFormat="1" x14ac:dyDescent="0.2">
      <c r="A1411" s="1380" t="s">
        <v>2976</v>
      </c>
      <c r="B1411" s="1387">
        <f>'Supplementary Validation'!O48</f>
        <v>0</v>
      </c>
      <c r="C1411" s="1388" t="s">
        <v>3202</v>
      </c>
      <c r="D1411" s="1389"/>
      <c r="E1411" s="1389"/>
      <c r="F1411" s="1380" t="s">
        <v>5307</v>
      </c>
      <c r="G1411" s="1380" t="s">
        <v>4833</v>
      </c>
      <c r="H1411" s="1380" t="s">
        <v>3197</v>
      </c>
      <c r="I1411" s="1380">
        <v>94</v>
      </c>
      <c r="J1411" s="1380"/>
      <c r="K1411" s="1380"/>
    </row>
    <row r="1412" spans="1:11" s="1365" customFormat="1" x14ac:dyDescent="0.2">
      <c r="A1412" s="1380" t="s">
        <v>2978</v>
      </c>
      <c r="B1412" s="1387">
        <f>'Supplementary Validation'!O49</f>
        <v>0</v>
      </c>
      <c r="C1412" s="1388" t="s">
        <v>3202</v>
      </c>
      <c r="D1412" s="1389"/>
      <c r="E1412" s="1389"/>
      <c r="F1412" s="1380" t="s">
        <v>5309</v>
      </c>
      <c r="G1412" s="1380" t="s">
        <v>4835</v>
      </c>
      <c r="H1412" s="1380" t="s">
        <v>3197</v>
      </c>
      <c r="I1412" s="1380">
        <v>95</v>
      </c>
      <c r="J1412" s="1380"/>
      <c r="K1412" s="1380"/>
    </row>
    <row r="1413" spans="1:11" s="1365" customFormat="1" x14ac:dyDescent="0.2">
      <c r="A1413" s="1380" t="s">
        <v>2979</v>
      </c>
      <c r="B1413" s="1387">
        <f>'Supplementary Validation'!O50</f>
        <v>0</v>
      </c>
      <c r="C1413" s="1388" t="s">
        <v>3202</v>
      </c>
      <c r="D1413" s="1389"/>
      <c r="E1413" s="1389"/>
      <c r="F1413" s="1380" t="s">
        <v>5310</v>
      </c>
      <c r="G1413" s="1380" t="s">
        <v>4836</v>
      </c>
      <c r="H1413" s="1380" t="s">
        <v>3197</v>
      </c>
      <c r="I1413" s="1380">
        <v>96</v>
      </c>
      <c r="J1413" s="1380"/>
      <c r="K1413" s="1380"/>
    </row>
    <row r="1414" spans="1:11" s="1365" customFormat="1" x14ac:dyDescent="0.2">
      <c r="A1414" s="1380" t="s">
        <v>2980</v>
      </c>
      <c r="B1414" s="1387">
        <f>'Supplementary Validation'!O51</f>
        <v>0</v>
      </c>
      <c r="C1414" s="1388" t="s">
        <v>3202</v>
      </c>
      <c r="D1414" s="1389"/>
      <c r="E1414" s="1389"/>
      <c r="F1414" s="1380" t="s">
        <v>5311</v>
      </c>
      <c r="G1414" s="1380" t="s">
        <v>4837</v>
      </c>
      <c r="H1414" s="1380" t="s">
        <v>3197</v>
      </c>
      <c r="I1414" s="1380">
        <v>97</v>
      </c>
      <c r="J1414" s="1380"/>
      <c r="K1414" s="1380"/>
    </row>
    <row r="1415" spans="1:11" s="1380" customFormat="1" ht="15" x14ac:dyDescent="0.25">
      <c r="A1415" s="1502" t="s">
        <v>5517</v>
      </c>
      <c r="B1415" s="1503" t="e">
        <f>'Supplementary Validation'!D20</f>
        <v>#N/A</v>
      </c>
      <c r="C1415" s="1504" t="s">
        <v>3204</v>
      </c>
      <c r="D1415" s="1505"/>
      <c r="E1415" s="1505"/>
      <c r="F1415" s="1502" t="s">
        <v>5519</v>
      </c>
      <c r="G1415" s="1502" t="s">
        <v>5522</v>
      </c>
      <c r="H1415" s="1502" t="s">
        <v>3197</v>
      </c>
      <c r="I1415" s="1380">
        <v>98</v>
      </c>
    </row>
    <row r="1416" spans="1:11" s="1380" customFormat="1" ht="15" x14ac:dyDescent="0.25">
      <c r="A1416" s="1502" t="s">
        <v>5518</v>
      </c>
      <c r="B1416" s="1503" t="e">
        <f>'Supplementary Validation'!D21</f>
        <v>#N/A</v>
      </c>
      <c r="C1416" s="1504" t="s">
        <v>3204</v>
      </c>
      <c r="D1416" s="1505"/>
      <c r="E1416" s="1505"/>
      <c r="F1416" s="1502" t="s">
        <v>5521</v>
      </c>
      <c r="G1416" s="1502" t="s">
        <v>5523</v>
      </c>
      <c r="H1416" s="1502" t="s">
        <v>3197</v>
      </c>
      <c r="I1416" s="1380">
        <v>99</v>
      </c>
    </row>
    <row r="1417" spans="1:11" s="1380" customFormat="1" ht="15" x14ac:dyDescent="0.25">
      <c r="A1417" s="1502" t="s">
        <v>5526</v>
      </c>
      <c r="B1417" s="1503" t="e">
        <f>'Supplementary Validation'!D22</f>
        <v>#N/A</v>
      </c>
      <c r="C1417" s="1504" t="s">
        <v>3204</v>
      </c>
      <c r="D1417" s="1505"/>
      <c r="E1417" s="1505"/>
      <c r="F1417" s="1502" t="s">
        <v>5520</v>
      </c>
      <c r="G1417" s="1502" t="s">
        <v>5524</v>
      </c>
      <c r="H1417" s="1502" t="s">
        <v>3197</v>
      </c>
      <c r="I1417" s="1380">
        <v>100</v>
      </c>
    </row>
    <row r="1418" spans="1:11" s="1380" customFormat="1" ht="15" x14ac:dyDescent="0.25">
      <c r="A1418" s="1502" t="s">
        <v>5525</v>
      </c>
      <c r="B1418" s="1503" t="e">
        <f>'Supplementary Validation'!D23</f>
        <v>#N/A</v>
      </c>
      <c r="C1418" s="1504" t="s">
        <v>3204</v>
      </c>
      <c r="D1418" s="1505"/>
      <c r="E1418" s="1505"/>
      <c r="F1418" s="1502" t="s">
        <v>5560</v>
      </c>
      <c r="G1418" s="1502" t="s">
        <v>5527</v>
      </c>
      <c r="H1418" s="1502" t="s">
        <v>3197</v>
      </c>
      <c r="I1418" s="1380">
        <v>101</v>
      </c>
    </row>
    <row r="1419" spans="1:11" s="1380" customFormat="1" ht="15" x14ac:dyDescent="0.25">
      <c r="A1419" s="1502" t="s">
        <v>5528</v>
      </c>
      <c r="B1419" s="1503" t="e">
        <f>'Supplementary Validation'!D24</f>
        <v>#N/A</v>
      </c>
      <c r="C1419" s="1504" t="s">
        <v>3204</v>
      </c>
      <c r="D1419" s="1505"/>
      <c r="E1419" s="1505"/>
      <c r="F1419" s="1502" t="s">
        <v>5561</v>
      </c>
      <c r="G1419" s="1502" t="s">
        <v>5529</v>
      </c>
      <c r="H1419" s="1502" t="s">
        <v>3197</v>
      </c>
      <c r="I1419" s="1380">
        <v>102</v>
      </c>
    </row>
    <row r="1420" spans="1:11" s="1380" customFormat="1" ht="15" x14ac:dyDescent="0.25">
      <c r="A1420" s="1502" t="s">
        <v>5530</v>
      </c>
      <c r="B1420" s="1503" t="e">
        <f>'Supplementary Validation'!D25</f>
        <v>#N/A</v>
      </c>
      <c r="C1420" s="1504" t="s">
        <v>3204</v>
      </c>
      <c r="D1420" s="1505"/>
      <c r="E1420" s="1505"/>
      <c r="F1420" s="1502" t="s">
        <v>5562</v>
      </c>
      <c r="G1420" s="1502" t="s">
        <v>5531</v>
      </c>
      <c r="H1420" s="1502" t="s">
        <v>3197</v>
      </c>
      <c r="I1420" s="1380">
        <v>103</v>
      </c>
    </row>
    <row r="1421" spans="1:11" s="1380" customFormat="1" ht="15" x14ac:dyDescent="0.25">
      <c r="A1421" s="1502" t="s">
        <v>5532</v>
      </c>
      <c r="B1421" s="1503" t="e">
        <f>'Supplementary Validation'!D28</f>
        <v>#N/A</v>
      </c>
      <c r="C1421" s="1504" t="s">
        <v>3204</v>
      </c>
      <c r="D1421" s="1505"/>
      <c r="E1421" s="1505"/>
      <c r="F1421" s="1502" t="s">
        <v>5563</v>
      </c>
      <c r="G1421" s="1502" t="s">
        <v>5534</v>
      </c>
      <c r="H1421" s="1502" t="s">
        <v>3197</v>
      </c>
      <c r="I1421" s="1380">
        <v>104</v>
      </c>
    </row>
    <row r="1422" spans="1:11" s="1380" customFormat="1" ht="15" x14ac:dyDescent="0.25">
      <c r="A1422" s="1502" t="s">
        <v>5535</v>
      </c>
      <c r="B1422" s="1503" t="e">
        <f>'Supplementary Validation'!D29</f>
        <v>#N/A</v>
      </c>
      <c r="C1422" s="1504" t="s">
        <v>3204</v>
      </c>
      <c r="D1422" s="1505"/>
      <c r="E1422" s="1505"/>
      <c r="F1422" s="1502" t="s">
        <v>5564</v>
      </c>
      <c r="G1422" s="1502" t="s">
        <v>5533</v>
      </c>
      <c r="H1422" s="1502" t="s">
        <v>3197</v>
      </c>
      <c r="I1422" s="1380">
        <v>105</v>
      </c>
    </row>
    <row r="1423" spans="1:11" s="1380" customFormat="1" ht="15" x14ac:dyDescent="0.25">
      <c r="A1423" s="1502" t="s">
        <v>5536</v>
      </c>
      <c r="B1423" s="1503" t="e">
        <f>'Supplementary Validation'!D30</f>
        <v>#N/A</v>
      </c>
      <c r="C1423" s="1504" t="s">
        <v>3204</v>
      </c>
      <c r="D1423" s="1505"/>
      <c r="E1423" s="1505"/>
      <c r="F1423" s="1502" t="s">
        <v>5565</v>
      </c>
      <c r="G1423" s="1502" t="s">
        <v>5537</v>
      </c>
      <c r="H1423" s="1502" t="s">
        <v>3197</v>
      </c>
      <c r="I1423" s="1380">
        <v>106</v>
      </c>
    </row>
    <row r="1424" spans="1:11" s="1380" customFormat="1" ht="15" x14ac:dyDescent="0.25">
      <c r="A1424" s="1502" t="s">
        <v>5540</v>
      </c>
      <c r="B1424" s="1503" t="e">
        <f>'Supplementary Validation'!D31</f>
        <v>#N/A</v>
      </c>
      <c r="C1424" s="1504" t="s">
        <v>3204</v>
      </c>
      <c r="D1424" s="1505"/>
      <c r="E1424" s="1505"/>
      <c r="F1424" s="1502" t="s">
        <v>5567</v>
      </c>
      <c r="G1424" s="1502" t="s">
        <v>5541</v>
      </c>
      <c r="H1424" s="1502" t="s">
        <v>3197</v>
      </c>
      <c r="I1424" s="1380">
        <v>107</v>
      </c>
    </row>
    <row r="1425" spans="1:11" s="1380" customFormat="1" ht="15" x14ac:dyDescent="0.25">
      <c r="A1425" s="1502" t="s">
        <v>5542</v>
      </c>
      <c r="B1425" s="1503" t="e">
        <f>'Supplementary Validation'!D32</f>
        <v>#N/A</v>
      </c>
      <c r="C1425" s="1504" t="s">
        <v>3204</v>
      </c>
      <c r="D1425" s="1505"/>
      <c r="E1425" s="1505"/>
      <c r="F1425" s="1502" t="s">
        <v>5568</v>
      </c>
      <c r="G1425" s="1502" t="s">
        <v>5544</v>
      </c>
      <c r="H1425" s="1502" t="s">
        <v>3197</v>
      </c>
      <c r="I1425" s="1380">
        <v>108</v>
      </c>
    </row>
    <row r="1426" spans="1:11" s="1380" customFormat="1" ht="15" x14ac:dyDescent="0.25">
      <c r="A1426" s="1502" t="s">
        <v>5543</v>
      </c>
      <c r="B1426" s="1503" t="e">
        <f>'Supplementary Validation'!D33</f>
        <v>#N/A</v>
      </c>
      <c r="C1426" s="1504" t="s">
        <v>3204</v>
      </c>
      <c r="D1426" s="1505"/>
      <c r="E1426" s="1505"/>
      <c r="F1426" s="1502" t="s">
        <v>5569</v>
      </c>
      <c r="G1426" s="1502" t="s">
        <v>5545</v>
      </c>
      <c r="H1426" s="1502" t="s">
        <v>3197</v>
      </c>
      <c r="I1426" s="1380">
        <v>109</v>
      </c>
    </row>
    <row r="1427" spans="1:11" s="1380" customFormat="1" ht="15" x14ac:dyDescent="0.25">
      <c r="A1427" s="1502" t="s">
        <v>5546</v>
      </c>
      <c r="B1427" s="1503" t="e">
        <f>'Supplementary Validation'!D34</f>
        <v>#N/A</v>
      </c>
      <c r="C1427" s="1504" t="s">
        <v>3204</v>
      </c>
      <c r="D1427" s="1505"/>
      <c r="E1427" s="1505"/>
      <c r="F1427" s="1502" t="s">
        <v>5570</v>
      </c>
      <c r="G1427" s="1502" t="s">
        <v>5547</v>
      </c>
      <c r="H1427" s="1502" t="s">
        <v>3197</v>
      </c>
      <c r="I1427" s="1380">
        <v>110</v>
      </c>
    </row>
    <row r="1428" spans="1:11" s="1380" customFormat="1" ht="15" x14ac:dyDescent="0.25">
      <c r="A1428" s="1502" t="s">
        <v>5548</v>
      </c>
      <c r="B1428" s="1503" t="e">
        <f>'Supplementary Validation'!D37</f>
        <v>#N/A</v>
      </c>
      <c r="C1428" s="1504" t="s">
        <v>3204</v>
      </c>
      <c r="D1428" s="1505"/>
      <c r="E1428" s="1505"/>
      <c r="F1428" s="1502" t="s">
        <v>5571</v>
      </c>
      <c r="G1428" s="1502" t="s">
        <v>5549</v>
      </c>
      <c r="H1428" s="1502" t="s">
        <v>3197</v>
      </c>
      <c r="I1428" s="1380">
        <v>111</v>
      </c>
    </row>
    <row r="1429" spans="1:11" s="1380" customFormat="1" ht="15" x14ac:dyDescent="0.25">
      <c r="A1429" s="1502" t="s">
        <v>5555</v>
      </c>
      <c r="B1429" s="1503" t="e">
        <f>'Supplementary Validation'!D38</f>
        <v>#N/A</v>
      </c>
      <c r="C1429" s="1504" t="s">
        <v>3204</v>
      </c>
      <c r="D1429" s="1505"/>
      <c r="E1429" s="1505"/>
      <c r="F1429" s="1502" t="s">
        <v>5572</v>
      </c>
      <c r="G1429" s="1502" t="s">
        <v>5550</v>
      </c>
      <c r="H1429" s="1502" t="s">
        <v>3197</v>
      </c>
      <c r="I1429" s="1380">
        <v>112</v>
      </c>
    </row>
    <row r="1430" spans="1:11" s="1380" customFormat="1" ht="15" x14ac:dyDescent="0.25">
      <c r="A1430" s="1502" t="s">
        <v>5556</v>
      </c>
      <c r="B1430" s="1503" t="e">
        <f>'Supplementary Validation'!D39</f>
        <v>#N/A</v>
      </c>
      <c r="C1430" s="1504" t="s">
        <v>3204</v>
      </c>
      <c r="D1430" s="1505"/>
      <c r="E1430" s="1505"/>
      <c r="F1430" s="1502" t="s">
        <v>5573</v>
      </c>
      <c r="G1430" s="1502" t="s">
        <v>5552</v>
      </c>
      <c r="H1430" s="1502" t="s">
        <v>3197</v>
      </c>
      <c r="I1430" s="1380">
        <v>113</v>
      </c>
    </row>
    <row r="1431" spans="1:11" s="1380" customFormat="1" ht="15" x14ac:dyDescent="0.25">
      <c r="A1431" s="1502" t="s">
        <v>5558</v>
      </c>
      <c r="B1431" s="1503" t="e">
        <f>'Supplementary Validation'!D40</f>
        <v>#N/A</v>
      </c>
      <c r="C1431" s="1504" t="s">
        <v>3204</v>
      </c>
      <c r="D1431" s="1505"/>
      <c r="E1431" s="1505"/>
      <c r="F1431" s="1502" t="s">
        <v>5574</v>
      </c>
      <c r="G1431" s="1502" t="s">
        <v>5551</v>
      </c>
      <c r="H1431" s="1502" t="s">
        <v>3197</v>
      </c>
      <c r="I1431" s="1380">
        <v>114</v>
      </c>
    </row>
    <row r="1432" spans="1:11" s="1380" customFormat="1" ht="15" x14ac:dyDescent="0.25">
      <c r="A1432" s="1502" t="s">
        <v>5557</v>
      </c>
      <c r="B1432" s="1503" t="e">
        <f>'Supplementary Validation'!D41</f>
        <v>#N/A</v>
      </c>
      <c r="C1432" s="1504" t="s">
        <v>3204</v>
      </c>
      <c r="D1432" s="1505"/>
      <c r="E1432" s="1505"/>
      <c r="F1432" s="1502" t="s">
        <v>5575</v>
      </c>
      <c r="G1432" s="1502" t="s">
        <v>5553</v>
      </c>
      <c r="H1432" s="1502" t="s">
        <v>3197</v>
      </c>
      <c r="I1432" s="1380">
        <v>115</v>
      </c>
    </row>
    <row r="1433" spans="1:11" s="1380" customFormat="1" ht="15" x14ac:dyDescent="0.25">
      <c r="A1433" s="1502" t="s">
        <v>5559</v>
      </c>
      <c r="B1433" s="1503" t="e">
        <f>'Supplementary Validation'!D44</f>
        <v>#N/A</v>
      </c>
      <c r="C1433" s="1504" t="s">
        <v>3204</v>
      </c>
      <c r="D1433" s="1505"/>
      <c r="E1433" s="1505"/>
      <c r="F1433" s="1502" t="s">
        <v>5576</v>
      </c>
      <c r="G1433" s="1502" t="s">
        <v>5554</v>
      </c>
      <c r="H1433" s="1502" t="s">
        <v>3197</v>
      </c>
      <c r="I1433" s="1380">
        <v>116</v>
      </c>
    </row>
    <row r="1434" spans="1:11" s="1380" customFormat="1" ht="15" x14ac:dyDescent="0.25">
      <c r="A1434" s="1502" t="s">
        <v>5598</v>
      </c>
      <c r="B1434" s="1503" t="e">
        <f>'Supplementary Validation'!D47</f>
        <v>#N/A</v>
      </c>
      <c r="C1434" s="1504" t="s">
        <v>3204</v>
      </c>
      <c r="D1434" s="1505"/>
      <c r="E1434" s="1505"/>
      <c r="F1434" s="1502" t="s">
        <v>5599</v>
      </c>
      <c r="G1434" s="1502" t="s">
        <v>5600</v>
      </c>
      <c r="H1434" s="1502" t="s">
        <v>3197</v>
      </c>
      <c r="I1434" s="1380">
        <v>117</v>
      </c>
    </row>
    <row r="1435" spans="1:11" s="1525" customFormat="1" ht="15" x14ac:dyDescent="0.25">
      <c r="A1435" s="1502" t="s">
        <v>5601</v>
      </c>
      <c r="B1435" s="1503" t="e">
        <f>'Supplementary Validation'!D48</f>
        <v>#N/A</v>
      </c>
      <c r="C1435" s="1504" t="s">
        <v>3204</v>
      </c>
      <c r="D1435" s="1389"/>
      <c r="E1435" s="1389"/>
      <c r="F1435" s="1502" t="s">
        <v>5602</v>
      </c>
      <c r="G1435" s="1502" t="s">
        <v>5605</v>
      </c>
      <c r="H1435" s="1502" t="s">
        <v>3197</v>
      </c>
      <c r="I1435" s="1380">
        <v>118</v>
      </c>
      <c r="J1435" s="1380"/>
      <c r="K1435" s="1380"/>
    </row>
    <row r="1436" spans="1:11" s="1380" customFormat="1" ht="15" x14ac:dyDescent="0.25">
      <c r="A1436" s="1502" t="s">
        <v>5608</v>
      </c>
      <c r="B1436" s="1503" t="e">
        <f>'Supplementary Validation'!R48</f>
        <v>#N/A</v>
      </c>
      <c r="C1436" s="1504" t="s">
        <v>3204</v>
      </c>
      <c r="D1436" s="1559"/>
      <c r="E1436" s="1559"/>
      <c r="F1436" s="1502" t="s">
        <v>5674</v>
      </c>
      <c r="G1436" s="1502" t="s">
        <v>5675</v>
      </c>
      <c r="H1436" s="1502" t="s">
        <v>3197</v>
      </c>
      <c r="I1436" s="1380">
        <v>119</v>
      </c>
      <c r="J1436" s="1525"/>
      <c r="K1436" s="1525"/>
    </row>
    <row r="1437" spans="1:11" s="1380" customFormat="1" ht="15" x14ac:dyDescent="0.25">
      <c r="A1437" s="1502" t="s">
        <v>5609</v>
      </c>
      <c r="B1437" s="1503" t="e">
        <f>'Supplementary Validation'!D49</f>
        <v>#N/A</v>
      </c>
      <c r="C1437" s="1504" t="s">
        <v>3204</v>
      </c>
      <c r="D1437" s="1389"/>
      <c r="E1437" s="1389"/>
      <c r="F1437" s="1502" t="s">
        <v>5603</v>
      </c>
      <c r="G1437" s="1502" t="s">
        <v>5606</v>
      </c>
      <c r="H1437" s="1502" t="s">
        <v>3197</v>
      </c>
      <c r="I1437" s="1380">
        <v>120</v>
      </c>
    </row>
    <row r="1438" spans="1:11" s="1380" customFormat="1" ht="15" x14ac:dyDescent="0.25">
      <c r="A1438" s="1502" t="s">
        <v>5610</v>
      </c>
      <c r="B1438" s="1503" t="e">
        <f>'Supplementary Validation'!D50</f>
        <v>#N/A</v>
      </c>
      <c r="C1438" s="1504" t="s">
        <v>3204</v>
      </c>
      <c r="D1438" s="1389"/>
      <c r="E1438" s="1389"/>
      <c r="F1438" s="1502" t="s">
        <v>5604</v>
      </c>
      <c r="G1438" s="1502" t="s">
        <v>5607</v>
      </c>
      <c r="H1438" s="1502" t="s">
        <v>3197</v>
      </c>
      <c r="I1438" s="1380">
        <v>121</v>
      </c>
    </row>
    <row r="1439" spans="1:11" s="1380" customFormat="1" ht="14.25" customHeight="1" x14ac:dyDescent="0.25">
      <c r="A1439" s="1502" t="s">
        <v>5611</v>
      </c>
      <c r="B1439" s="1503" t="e">
        <f>'Supplementary Validation'!D51</f>
        <v>#N/A</v>
      </c>
      <c r="C1439" s="1504" t="s">
        <v>3204</v>
      </c>
      <c r="D1439" s="1389"/>
      <c r="E1439" s="1389"/>
      <c r="F1439" s="1502" t="s">
        <v>5612</v>
      </c>
      <c r="G1439" s="1502" t="s">
        <v>5613</v>
      </c>
      <c r="H1439" s="1502" t="s">
        <v>3197</v>
      </c>
      <c r="I1439" s="1380">
        <v>122</v>
      </c>
    </row>
    <row r="1440" spans="1:11" s="1365" customFormat="1" x14ac:dyDescent="0.2">
      <c r="A1440" s="1380" t="s">
        <v>2208</v>
      </c>
      <c r="B1440" s="1387">
        <f>'Supplementary Validation'!B55</f>
        <v>0</v>
      </c>
      <c r="C1440" s="1388" t="s">
        <v>3202</v>
      </c>
      <c r="D1440" s="1389"/>
      <c r="E1440" s="1389"/>
      <c r="F1440" s="1380" t="s">
        <v>5312</v>
      </c>
      <c r="G1440" s="1380" t="s">
        <v>4838</v>
      </c>
      <c r="H1440" s="1380" t="s">
        <v>3197</v>
      </c>
      <c r="I1440" s="1380">
        <v>123</v>
      </c>
      <c r="J1440" s="1380"/>
      <c r="K1440" s="1380"/>
    </row>
    <row r="1441" spans="1:11" s="1365" customFormat="1" ht="15" customHeight="1" x14ac:dyDescent="0.25">
      <c r="A1441" s="1524" t="s">
        <v>2143</v>
      </c>
      <c r="B1441" s="1381">
        <v>0</v>
      </c>
      <c r="C1441" s="1382" t="s">
        <v>3204</v>
      </c>
      <c r="D1441" s="1383"/>
      <c r="E1441" s="1383"/>
      <c r="F1441" s="1380" t="s">
        <v>5216</v>
      </c>
      <c r="G1441" s="1380" t="s">
        <v>4742</v>
      </c>
      <c r="H1441" s="1380" t="s">
        <v>3197</v>
      </c>
      <c r="I1441" s="1380">
        <v>124</v>
      </c>
      <c r="J1441" s="1380"/>
      <c r="K1441" s="1380"/>
    </row>
    <row r="1442" spans="1:11" s="1365" customFormat="1" ht="15" customHeight="1" x14ac:dyDescent="0.25">
      <c r="A1442" s="1524" t="s">
        <v>2959</v>
      </c>
      <c r="B1442" s="1381">
        <v>0</v>
      </c>
      <c r="C1442" s="1382" t="s">
        <v>3204</v>
      </c>
      <c r="D1442" s="1383"/>
      <c r="E1442" s="1383"/>
      <c r="F1442" s="1380" t="s">
        <v>5229</v>
      </c>
      <c r="G1442" s="1380" t="s">
        <v>4755</v>
      </c>
      <c r="H1442" s="1380" t="s">
        <v>3197</v>
      </c>
      <c r="I1442" s="1380">
        <v>125</v>
      </c>
      <c r="J1442" s="1380"/>
      <c r="K1442" s="1380"/>
    </row>
    <row r="1443" spans="1:11" s="1365" customFormat="1" ht="15" customHeight="1" x14ac:dyDescent="0.25">
      <c r="A1443" s="1524" t="s">
        <v>2161</v>
      </c>
      <c r="B1443" s="1384">
        <v>0</v>
      </c>
      <c r="C1443" s="1385" t="s">
        <v>3224</v>
      </c>
      <c r="D1443" s="1386"/>
      <c r="E1443" s="1386"/>
      <c r="F1443" s="1380" t="s">
        <v>5242</v>
      </c>
      <c r="G1443" s="1380" t="s">
        <v>4768</v>
      </c>
      <c r="H1443" s="1380" t="s">
        <v>3197</v>
      </c>
      <c r="I1443" s="1380">
        <v>126</v>
      </c>
      <c r="J1443" s="1380"/>
      <c r="K1443" s="1380"/>
    </row>
    <row r="1444" spans="1:11" s="1365" customFormat="1" ht="15" customHeight="1" x14ac:dyDescent="0.25">
      <c r="A1444" s="1524" t="s">
        <v>2965</v>
      </c>
      <c r="B1444" s="1384">
        <v>0</v>
      </c>
      <c r="C1444" s="1385" t="s">
        <v>3224</v>
      </c>
      <c r="D1444" s="1386"/>
      <c r="E1444" s="1386"/>
      <c r="F1444" s="1380" t="s">
        <v>5255</v>
      </c>
      <c r="G1444" s="1380" t="s">
        <v>4781</v>
      </c>
      <c r="H1444" s="1380" t="s">
        <v>3197</v>
      </c>
      <c r="I1444" s="1380">
        <v>127</v>
      </c>
      <c r="J1444" s="1380"/>
      <c r="K1444" s="1380"/>
    </row>
    <row r="1445" spans="1:11" s="1365" customFormat="1" ht="15" customHeight="1" x14ac:dyDescent="0.25">
      <c r="A1445" s="1524" t="s">
        <v>2180</v>
      </c>
      <c r="B1445" s="1387">
        <v>0</v>
      </c>
      <c r="C1445" s="1390" t="s">
        <v>3202</v>
      </c>
      <c r="D1445" s="1389"/>
      <c r="E1445" s="1389"/>
      <c r="F1445" s="1380" t="s">
        <v>5269</v>
      </c>
      <c r="G1445" s="1380" t="s">
        <v>4795</v>
      </c>
      <c r="H1445" s="1380" t="s">
        <v>3197</v>
      </c>
      <c r="I1445" s="1380">
        <v>128</v>
      </c>
      <c r="J1445" s="1380"/>
      <c r="K1445" s="1380"/>
    </row>
    <row r="1446" spans="1:11" s="1365" customFormat="1" ht="15" customHeight="1" x14ac:dyDescent="0.25">
      <c r="A1446" s="1524" t="s">
        <v>2971</v>
      </c>
      <c r="B1446" s="1387">
        <v>0</v>
      </c>
      <c r="C1446" s="1390" t="s">
        <v>3202</v>
      </c>
      <c r="D1446" s="1389"/>
      <c r="E1446" s="1389"/>
      <c r="F1446" s="1380" t="s">
        <v>5282</v>
      </c>
      <c r="G1446" s="1380" t="s">
        <v>4808</v>
      </c>
      <c r="H1446" s="1380" t="s">
        <v>3197</v>
      </c>
      <c r="I1446" s="1380">
        <v>129</v>
      </c>
      <c r="J1446" s="1380"/>
      <c r="K1446" s="1380"/>
    </row>
    <row r="1447" spans="1:11" s="1365" customFormat="1" ht="15" customHeight="1" x14ac:dyDescent="0.25">
      <c r="A1447" s="1524" t="s">
        <v>2198</v>
      </c>
      <c r="B1447" s="1560">
        <v>0</v>
      </c>
      <c r="C1447" s="1561" t="s">
        <v>3202</v>
      </c>
      <c r="D1447" s="1562"/>
      <c r="E1447" s="1562"/>
      <c r="F1447" s="1524" t="s">
        <v>5295</v>
      </c>
      <c r="G1447" s="1524" t="s">
        <v>4821</v>
      </c>
      <c r="H1447" s="1524" t="s">
        <v>3197</v>
      </c>
      <c r="I1447" s="1380">
        <v>130</v>
      </c>
      <c r="J1447" s="1524"/>
      <c r="K1447" s="1524"/>
    </row>
    <row r="1448" spans="1:11" s="1365" customFormat="1" ht="15" customHeight="1" x14ac:dyDescent="0.25">
      <c r="A1448" s="1524" t="s">
        <v>2977</v>
      </c>
      <c r="B1448" s="1387">
        <v>0</v>
      </c>
      <c r="C1448" s="1388" t="s">
        <v>3202</v>
      </c>
      <c r="D1448" s="1389"/>
      <c r="E1448" s="1389"/>
      <c r="F1448" s="1380" t="s">
        <v>5308</v>
      </c>
      <c r="G1448" s="1380" t="s">
        <v>4834</v>
      </c>
      <c r="H1448" s="1380" t="s">
        <v>3197</v>
      </c>
      <c r="I1448" s="1380">
        <v>131</v>
      </c>
      <c r="J1448" s="1380"/>
      <c r="K1448" s="1380"/>
    </row>
    <row r="1449" spans="1:11" s="1365" customFormat="1" ht="15" customHeight="1" x14ac:dyDescent="0.25">
      <c r="A1449" s="1524" t="s">
        <v>5538</v>
      </c>
      <c r="B1449" s="1560">
        <v>0</v>
      </c>
      <c r="C1449" s="1561" t="s">
        <v>3204</v>
      </c>
      <c r="D1449" s="1562"/>
      <c r="E1449" s="1562"/>
      <c r="F1449" s="1524" t="s">
        <v>5566</v>
      </c>
      <c r="G1449" s="1524" t="s">
        <v>5539</v>
      </c>
      <c r="H1449" s="1524" t="s">
        <v>3197</v>
      </c>
      <c r="I1449" s="1380">
        <v>132</v>
      </c>
      <c r="J1449" s="1380"/>
      <c r="K1449" s="1380"/>
    </row>
    <row r="1450" spans="1:11" s="1391" customFormat="1" x14ac:dyDescent="0.2">
      <c r="B1450" s="1392"/>
      <c r="C1450" s="1393"/>
      <c r="D1450" s="1394"/>
      <c r="E1450" s="1394"/>
    </row>
  </sheetData>
  <autoFilter ref="A1:K1449" xr:uid="{06441947-DC61-4DB2-AB31-3A3311C757B5}"/>
  <phoneticPr fontId="117" type="noConversion"/>
  <pageMargins left="0.7" right="0.7" top="0.75" bottom="0.75" header="0.3" footer="0.3"/>
  <pageSetup paperSize="9" orientation="portrait" r:id="rId1"/>
  <headerFooter>
    <oddHeader>&amp;C&amp;"Calibri"&amp;10&amp;K000000 OFFICIAL&amp;1#_x000D_</oddHeader>
    <oddFooter>&amp;C_x000D_&amp;1#&amp;"Calibri"&amp;10&amp;K000000 OFFICIAL</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92D050"/>
    <pageSetUpPr autoPageBreaks="0" fitToPage="1"/>
  </sheetPr>
  <dimension ref="A1:CT304"/>
  <sheetViews>
    <sheetView workbookViewId="0"/>
  </sheetViews>
  <sheetFormatPr defaultColWidth="9.140625" defaultRowHeight="15" x14ac:dyDescent="0.2"/>
  <cols>
    <col min="1" max="1" width="8.28515625" style="1415" customWidth="1"/>
    <col min="2" max="2" width="33.140625" style="232" customWidth="1"/>
    <col min="3" max="3" width="8.28515625" style="232" customWidth="1"/>
    <col min="4" max="4" width="20.7109375" style="232" customWidth="1"/>
    <col min="5" max="62" width="20.7109375" style="261" customWidth="1"/>
    <col min="63" max="63" width="30" style="261" bestFit="1" customWidth="1"/>
    <col min="64" max="68" width="20.7109375" style="261" customWidth="1"/>
    <col min="69" max="16384" width="9.140625" style="261"/>
  </cols>
  <sheetData>
    <row r="1" spans="1:97" s="672" customFormat="1" ht="15.75" thickBot="1" x14ac:dyDescent="0.3">
      <c r="A1" s="1418"/>
      <c r="B1" s="1409"/>
      <c r="C1" s="1410"/>
      <c r="D1" s="1916" t="s">
        <v>928</v>
      </c>
      <c r="E1" s="1917"/>
      <c r="F1" s="1918"/>
      <c r="G1" s="1424" t="s">
        <v>3145</v>
      </c>
      <c r="H1" s="1416"/>
      <c r="I1" s="1416"/>
      <c r="J1" s="1416"/>
      <c r="K1" s="1416"/>
      <c r="L1" s="1416"/>
      <c r="M1" s="1416"/>
      <c r="N1" s="1416"/>
      <c r="O1" s="1416"/>
      <c r="P1" s="1416"/>
      <c r="Q1" s="1416"/>
      <c r="R1" s="1416"/>
      <c r="S1" s="1416"/>
      <c r="T1" s="1416"/>
      <c r="U1" s="1416"/>
      <c r="V1" s="1416"/>
      <c r="W1" s="1416"/>
      <c r="X1" s="1416"/>
      <c r="Y1" s="1416"/>
      <c r="Z1" s="1416"/>
      <c r="AA1" s="1416"/>
      <c r="AB1" s="1416"/>
      <c r="AC1" s="1416"/>
      <c r="AD1" s="1416"/>
      <c r="AE1" s="1416"/>
      <c r="AF1" s="1416"/>
      <c r="AG1" s="1416"/>
      <c r="AH1" s="1416"/>
      <c r="AI1" s="1416"/>
      <c r="AJ1" s="1416"/>
      <c r="AK1" s="1416"/>
      <c r="AL1" s="1437" t="s">
        <v>3146</v>
      </c>
      <c r="AM1" s="1425"/>
      <c r="AN1" s="1425"/>
      <c r="AO1" s="1425"/>
      <c r="AP1" s="1425"/>
      <c r="AQ1" s="1425"/>
      <c r="AR1" s="1425"/>
      <c r="AS1" s="1425"/>
      <c r="AT1" s="1425"/>
      <c r="AU1" s="1425"/>
      <c r="AV1" s="1425"/>
      <c r="AW1" s="1425"/>
      <c r="AX1" s="1425"/>
      <c r="AY1" s="1425"/>
      <c r="AZ1" s="1425"/>
      <c r="BA1" s="1425"/>
      <c r="BB1" s="1425"/>
      <c r="BC1" s="1425"/>
      <c r="BD1" s="1425"/>
      <c r="BE1" s="1425"/>
      <c r="BF1" s="1425"/>
      <c r="BG1" s="1425"/>
      <c r="BH1" s="1425"/>
      <c r="BI1" s="1425"/>
      <c r="BJ1" s="1425"/>
      <c r="BK1" s="1417" t="s">
        <v>5333</v>
      </c>
      <c r="BL1" s="1913" t="s">
        <v>2345</v>
      </c>
      <c r="BM1" s="1915"/>
      <c r="BN1" s="1913" t="s">
        <v>2345</v>
      </c>
      <c r="BO1" s="1914"/>
      <c r="BP1" s="1915"/>
      <c r="BQ1" s="1411"/>
      <c r="BR1" s="508"/>
      <c r="BS1" s="508"/>
      <c r="BT1" s="508"/>
      <c r="BU1" s="508"/>
      <c r="BV1" s="508"/>
      <c r="BW1" s="508"/>
      <c r="BX1" s="508"/>
      <c r="BY1" s="1412" t="s">
        <v>1210</v>
      </c>
      <c r="BZ1" s="508"/>
      <c r="CA1" s="508"/>
      <c r="CB1" s="508"/>
      <c r="CC1" s="508"/>
      <c r="CD1" s="508"/>
      <c r="CE1" s="508"/>
      <c r="CF1" s="508"/>
      <c r="CG1" s="508"/>
      <c r="CH1" s="508"/>
      <c r="CI1" s="508"/>
      <c r="CJ1" s="508"/>
      <c r="CK1" s="1413"/>
      <c r="CL1" s="1413"/>
      <c r="CM1" s="1413"/>
      <c r="CN1" s="1413"/>
      <c r="CO1" s="1413"/>
      <c r="CP1" s="1413"/>
      <c r="CQ1" s="508"/>
      <c r="CR1" s="508"/>
      <c r="CS1" s="508"/>
    </row>
    <row r="2" spans="1:97" s="137" customFormat="1" ht="115.5" thickBot="1" x14ac:dyDescent="0.25">
      <c r="A2" s="1419"/>
      <c r="B2" s="561" t="s">
        <v>717</v>
      </c>
      <c r="C2" s="562" t="s">
        <v>718</v>
      </c>
      <c r="D2" s="1406" t="s">
        <v>5334</v>
      </c>
      <c r="E2" s="1629" t="s">
        <v>5859</v>
      </c>
      <c r="F2" s="1629" t="s">
        <v>5860</v>
      </c>
      <c r="G2" s="563" t="s">
        <v>5335</v>
      </c>
      <c r="H2" s="563" t="s">
        <v>5336</v>
      </c>
      <c r="I2" s="563" t="s">
        <v>5337</v>
      </c>
      <c r="J2" s="563" t="s">
        <v>5338</v>
      </c>
      <c r="K2" s="563" t="s">
        <v>5339</v>
      </c>
      <c r="L2" s="563" t="s">
        <v>5340</v>
      </c>
      <c r="M2" s="563" t="s">
        <v>5341</v>
      </c>
      <c r="N2" s="563" t="s">
        <v>5336</v>
      </c>
      <c r="O2" s="563" t="s">
        <v>5342</v>
      </c>
      <c r="P2" s="563" t="s">
        <v>5343</v>
      </c>
      <c r="Q2" s="563" t="s">
        <v>5344</v>
      </c>
      <c r="R2" s="563" t="s">
        <v>5345</v>
      </c>
      <c r="S2" s="563" t="s">
        <v>5347</v>
      </c>
      <c r="T2" s="563" t="s">
        <v>5346</v>
      </c>
      <c r="U2" s="563" t="s">
        <v>5350</v>
      </c>
      <c r="V2" s="563" t="s">
        <v>5348</v>
      </c>
      <c r="W2" s="563" t="s">
        <v>5349</v>
      </c>
      <c r="X2" s="563" t="s">
        <v>5872</v>
      </c>
      <c r="Y2" s="563" t="s">
        <v>5873</v>
      </c>
      <c r="Z2" s="563" t="s">
        <v>5467</v>
      </c>
      <c r="AA2" s="563" t="s">
        <v>5468</v>
      </c>
      <c r="AB2" s="563" t="s">
        <v>5469</v>
      </c>
      <c r="AC2" s="563" t="s">
        <v>5470</v>
      </c>
      <c r="AD2" s="563" t="s">
        <v>5471</v>
      </c>
      <c r="AE2" s="563" t="s">
        <v>3218</v>
      </c>
      <c r="AF2" s="563" t="s">
        <v>5472</v>
      </c>
      <c r="AG2" s="563" t="s">
        <v>5473</v>
      </c>
      <c r="AH2" s="563" t="s">
        <v>5474</v>
      </c>
      <c r="AI2" s="563" t="s">
        <v>5475</v>
      </c>
      <c r="AJ2" s="563" t="s">
        <v>5476</v>
      </c>
      <c r="AK2" s="563" t="s">
        <v>5351</v>
      </c>
      <c r="AL2" s="563" t="s">
        <v>5352</v>
      </c>
      <c r="AM2" s="563" t="s">
        <v>5353</v>
      </c>
      <c r="AN2" s="563" t="s">
        <v>5354</v>
      </c>
      <c r="AO2" s="563" t="s">
        <v>5355</v>
      </c>
      <c r="AP2" s="563" t="s">
        <v>5356</v>
      </c>
      <c r="AQ2" s="563" t="s">
        <v>5357</v>
      </c>
      <c r="AR2" s="563" t="s">
        <v>5358</v>
      </c>
      <c r="AS2" s="563" t="s">
        <v>5359</v>
      </c>
      <c r="AT2" s="563" t="s">
        <v>5362</v>
      </c>
      <c r="AU2" s="563" t="s">
        <v>5360</v>
      </c>
      <c r="AV2" s="563" t="s">
        <v>5361</v>
      </c>
      <c r="AW2" s="563" t="s">
        <v>5363</v>
      </c>
      <c r="AX2" s="563" t="s">
        <v>5364</v>
      </c>
      <c r="AY2" s="563" t="s">
        <v>5365</v>
      </c>
      <c r="AZ2" s="563" t="s">
        <v>5366</v>
      </c>
      <c r="BA2" s="563" t="s">
        <v>5367</v>
      </c>
      <c r="BB2" s="563" t="s">
        <v>5368</v>
      </c>
      <c r="BC2" s="563" t="s">
        <v>5369</v>
      </c>
      <c r="BD2" s="563" t="s">
        <v>5370</v>
      </c>
      <c r="BE2" s="563" t="s">
        <v>5371</v>
      </c>
      <c r="BF2" s="563" t="s">
        <v>5372</v>
      </c>
      <c r="BG2" s="563" t="s">
        <v>5373</v>
      </c>
      <c r="BH2" s="563" t="s">
        <v>5374</v>
      </c>
      <c r="BI2" s="563" t="s">
        <v>5375</v>
      </c>
      <c r="BJ2" s="563" t="s">
        <v>5376</v>
      </c>
      <c r="BK2" s="563" t="s">
        <v>2696</v>
      </c>
      <c r="BL2" s="563" t="s">
        <v>3028</v>
      </c>
      <c r="BM2" s="563" t="s">
        <v>3029</v>
      </c>
      <c r="BN2" s="563" t="s">
        <v>2346</v>
      </c>
      <c r="BO2" s="1407" t="s">
        <v>2347</v>
      </c>
      <c r="BP2" s="563" t="s">
        <v>2348</v>
      </c>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row>
    <row r="3" spans="1:97" s="672" customFormat="1" ht="15" customHeight="1" thickBot="1" x14ac:dyDescent="0.25">
      <c r="A3" s="1420"/>
      <c r="B3" s="1401"/>
      <c r="C3" s="1402"/>
      <c r="D3" s="1403" t="s">
        <v>1310</v>
      </c>
      <c r="E3" s="734" t="s">
        <v>2232</v>
      </c>
      <c r="F3" s="734" t="s">
        <v>2233</v>
      </c>
      <c r="G3" s="734" t="s">
        <v>1431</v>
      </c>
      <c r="H3" s="734" t="s">
        <v>1437</v>
      </c>
      <c r="I3" s="734" t="s">
        <v>1440</v>
      </c>
      <c r="J3" s="734" t="s">
        <v>1443</v>
      </c>
      <c r="K3" s="734" t="s">
        <v>2229</v>
      </c>
      <c r="L3" s="734" t="s">
        <v>1453</v>
      </c>
      <c r="M3" s="734" t="s">
        <v>1456</v>
      </c>
      <c r="N3" s="734" t="s">
        <v>1466</v>
      </c>
      <c r="O3" s="734" t="s">
        <v>1469</v>
      </c>
      <c r="P3" s="734" t="s">
        <v>1472</v>
      </c>
      <c r="Q3" s="734" t="s">
        <v>1478</v>
      </c>
      <c r="R3" s="734" t="s">
        <v>1481</v>
      </c>
      <c r="S3" s="734" t="s">
        <v>1233</v>
      </c>
      <c r="T3" s="734" t="s">
        <v>1234</v>
      </c>
      <c r="U3" s="734" t="s">
        <v>2239</v>
      </c>
      <c r="V3" s="734" t="s">
        <v>1507</v>
      </c>
      <c r="W3" s="734" t="s">
        <v>1513</v>
      </c>
      <c r="X3" s="1634" t="s">
        <v>2835</v>
      </c>
      <c r="Y3" s="1634" t="s">
        <v>1413</v>
      </c>
      <c r="Z3" s="1492" t="s">
        <v>1341</v>
      </c>
      <c r="AA3" s="1492" t="s">
        <v>1342</v>
      </c>
      <c r="AB3" s="1492" t="s">
        <v>1343</v>
      </c>
      <c r="AC3" s="1919" t="s">
        <v>1344</v>
      </c>
      <c r="AD3" s="1921" t="s">
        <v>1347</v>
      </c>
      <c r="AE3" s="1921" t="s">
        <v>1349</v>
      </c>
      <c r="AF3" s="1921" t="s">
        <v>1352</v>
      </c>
      <c r="AG3" s="1921" t="s">
        <v>1356</v>
      </c>
      <c r="AH3" s="1921" t="s">
        <v>1360</v>
      </c>
      <c r="AI3" s="1921" t="s">
        <v>1362</v>
      </c>
      <c r="AJ3" s="1921" t="s">
        <v>1364</v>
      </c>
      <c r="AK3" s="1920" t="s">
        <v>1236</v>
      </c>
      <c r="AL3" s="734" t="s">
        <v>1560</v>
      </c>
      <c r="AM3" s="734" t="s">
        <v>1561</v>
      </c>
      <c r="AN3" s="734" t="s">
        <v>1562</v>
      </c>
      <c r="AO3" s="734" t="s">
        <v>2230</v>
      </c>
      <c r="AP3" s="734" t="s">
        <v>1563</v>
      </c>
      <c r="AQ3" s="734" t="s">
        <v>1564</v>
      </c>
      <c r="AR3" s="734" t="s">
        <v>1572</v>
      </c>
      <c r="AS3" s="734" t="s">
        <v>1573</v>
      </c>
      <c r="AT3" s="734" t="s">
        <v>1574</v>
      </c>
      <c r="AU3" s="734" t="s">
        <v>1575</v>
      </c>
      <c r="AV3" s="734" t="s">
        <v>1576</v>
      </c>
      <c r="AW3" s="734" t="s">
        <v>1577</v>
      </c>
      <c r="AX3" s="734" t="s">
        <v>1578</v>
      </c>
      <c r="AY3" s="734" t="s">
        <v>1571</v>
      </c>
      <c r="AZ3" s="734" t="s">
        <v>1582</v>
      </c>
      <c r="BA3" s="734" t="s">
        <v>1583</v>
      </c>
      <c r="BB3" s="734" t="s">
        <v>1584</v>
      </c>
      <c r="BC3" s="734" t="s">
        <v>1585</v>
      </c>
      <c r="BD3" s="734" t="s">
        <v>1586</v>
      </c>
      <c r="BE3" s="734" t="s">
        <v>1588</v>
      </c>
      <c r="BF3" s="734" t="s">
        <v>1589</v>
      </c>
      <c r="BG3" s="734" t="s">
        <v>1590</v>
      </c>
      <c r="BH3" s="734" t="s">
        <v>1591</v>
      </c>
      <c r="BI3" s="734" t="s">
        <v>1592</v>
      </c>
      <c r="BJ3" s="734" t="s">
        <v>1593</v>
      </c>
      <c r="BK3" s="1404" t="s">
        <v>2665</v>
      </c>
      <c r="BL3" s="1404" t="s">
        <v>2234</v>
      </c>
      <c r="BM3" s="1404" t="s">
        <v>2235</v>
      </c>
      <c r="BN3" s="1408"/>
      <c r="BO3" s="1408"/>
      <c r="BP3" s="734"/>
      <c r="BQ3" s="508"/>
      <c r="BR3" s="508"/>
      <c r="BS3" s="508"/>
      <c r="BT3" s="508"/>
      <c r="BU3" s="508"/>
      <c r="BV3" s="508"/>
      <c r="BW3" s="508"/>
      <c r="BX3" s="508"/>
      <c r="BY3" s="508"/>
      <c r="BZ3" s="508"/>
      <c r="CA3" s="508"/>
      <c r="CB3" s="508"/>
      <c r="CC3" s="508"/>
      <c r="CD3" s="508"/>
      <c r="CE3" s="508"/>
      <c r="CF3" s="508"/>
      <c r="CG3" s="508"/>
      <c r="CH3" s="508"/>
      <c r="CI3" s="508"/>
      <c r="CJ3" s="508"/>
      <c r="CK3" s="508"/>
      <c r="CL3" s="508"/>
      <c r="CM3" s="508"/>
      <c r="CN3" s="508"/>
      <c r="CO3" s="508"/>
      <c r="CP3" s="508"/>
      <c r="CQ3" s="508"/>
      <c r="CR3" s="508"/>
      <c r="CS3" s="508"/>
    </row>
    <row r="4" spans="1:97" s="1423" customFormat="1" ht="15" customHeight="1" thickBot="1" x14ac:dyDescent="0.25">
      <c r="A4" s="1426"/>
      <c r="B4" s="1427"/>
      <c r="C4" s="1427"/>
      <c r="D4" s="1427" t="s">
        <v>5423</v>
      </c>
      <c r="E4" s="1428" t="s">
        <v>5380</v>
      </c>
      <c r="F4" s="1436" t="s">
        <v>5416</v>
      </c>
      <c r="G4" s="1428" t="s">
        <v>5381</v>
      </c>
      <c r="H4" s="1428" t="s">
        <v>5382</v>
      </c>
      <c r="I4" s="1428" t="s">
        <v>5383</v>
      </c>
      <c r="J4" s="1428" t="s">
        <v>5384</v>
      </c>
      <c r="K4" s="1428" t="s">
        <v>5385</v>
      </c>
      <c r="L4" s="1428" t="s">
        <v>5386</v>
      </c>
      <c r="M4" s="1428" t="s">
        <v>5387</v>
      </c>
      <c r="N4" s="1428" t="s">
        <v>5388</v>
      </c>
      <c r="O4" s="1428" t="s">
        <v>5389</v>
      </c>
      <c r="P4" s="1428" t="s">
        <v>5390</v>
      </c>
      <c r="Q4" s="1428" t="s">
        <v>5391</v>
      </c>
      <c r="R4" s="1428" t="s">
        <v>5392</v>
      </c>
      <c r="S4" s="1428" t="s">
        <v>5393</v>
      </c>
      <c r="T4" s="1428" t="s">
        <v>5394</v>
      </c>
      <c r="U4" s="1428" t="s">
        <v>5395</v>
      </c>
      <c r="V4" s="1428" t="s">
        <v>5396</v>
      </c>
      <c r="W4" s="1428" t="s">
        <v>5379</v>
      </c>
      <c r="X4" s="1428" t="s">
        <v>5871</v>
      </c>
      <c r="Y4" s="1428" t="s">
        <v>5871</v>
      </c>
      <c r="Z4" s="1493" t="s">
        <v>5477</v>
      </c>
      <c r="AA4" s="1493" t="s">
        <v>5478</v>
      </c>
      <c r="AB4" s="1493" t="s">
        <v>5479</v>
      </c>
      <c r="AC4" s="1493" t="s">
        <v>5479</v>
      </c>
      <c r="AD4" s="1493" t="s">
        <v>5480</v>
      </c>
      <c r="AE4" s="1493" t="s">
        <v>5480</v>
      </c>
      <c r="AF4" s="1493" t="s">
        <v>5480</v>
      </c>
      <c r="AG4" s="1493" t="s">
        <v>5480</v>
      </c>
      <c r="AH4" s="1493" t="s">
        <v>5480</v>
      </c>
      <c r="AI4" s="1493" t="s">
        <v>5480</v>
      </c>
      <c r="AJ4" s="1493" t="s">
        <v>5480</v>
      </c>
      <c r="AK4" s="1494" t="s">
        <v>5424</v>
      </c>
      <c r="AL4" s="1435" t="s">
        <v>5397</v>
      </c>
      <c r="AM4" s="1434" t="s">
        <v>5398</v>
      </c>
      <c r="AN4" s="1434" t="s">
        <v>5399</v>
      </c>
      <c r="AO4" s="1434" t="s">
        <v>5400</v>
      </c>
      <c r="AP4" s="1434" t="s">
        <v>5401</v>
      </c>
      <c r="AQ4" s="1434" t="s">
        <v>5402</v>
      </c>
      <c r="AR4" s="1434" t="s">
        <v>5403</v>
      </c>
      <c r="AS4" s="1434" t="s">
        <v>5404</v>
      </c>
      <c r="AT4" s="1434" t="s">
        <v>5405</v>
      </c>
      <c r="AU4" s="1434" t="s">
        <v>5406</v>
      </c>
      <c r="AV4" s="1434" t="s">
        <v>5407</v>
      </c>
      <c r="AW4" s="1434" t="s">
        <v>5408</v>
      </c>
      <c r="AX4" s="1434" t="s">
        <v>5409</v>
      </c>
      <c r="AY4" s="1434" t="s">
        <v>5410</v>
      </c>
      <c r="AZ4" s="1434" t="s">
        <v>5411</v>
      </c>
      <c r="BA4" s="1434" t="s">
        <v>5412</v>
      </c>
      <c r="BB4" s="1434" t="s">
        <v>5413</v>
      </c>
      <c r="BC4" s="1434" t="s">
        <v>5414</v>
      </c>
      <c r="BD4" s="1434" t="s">
        <v>5415</v>
      </c>
      <c r="BE4" s="1434" t="s">
        <v>5417</v>
      </c>
      <c r="BF4" s="1434" t="s">
        <v>5418</v>
      </c>
      <c r="BG4" s="1434" t="s">
        <v>5419</v>
      </c>
      <c r="BH4" s="1434" t="s">
        <v>5420</v>
      </c>
      <c r="BI4" s="1434" t="s">
        <v>5421</v>
      </c>
      <c r="BJ4" s="1434" t="s">
        <v>5422</v>
      </c>
      <c r="BK4" s="1432" t="s">
        <v>5378</v>
      </c>
      <c r="BL4" s="1431" t="s">
        <v>5377</v>
      </c>
      <c r="BM4" s="1433" t="s">
        <v>5377</v>
      </c>
      <c r="BN4" s="1430"/>
      <c r="BO4" s="1430"/>
      <c r="BP4" s="1429"/>
    </row>
    <row r="5" spans="1:97" s="137" customFormat="1" ht="12.75" customHeight="1" x14ac:dyDescent="0.2">
      <c r="A5" s="1421">
        <v>1</v>
      </c>
      <c r="B5" s="649" t="s">
        <v>719</v>
      </c>
      <c r="C5" s="1606" t="s">
        <v>720</v>
      </c>
      <c r="D5" s="1605">
        <v>84938</v>
      </c>
      <c r="E5" s="1405">
        <v>52520695</v>
      </c>
      <c r="F5" s="1405">
        <v>2305</v>
      </c>
      <c r="G5" s="158">
        <v>-2187462</v>
      </c>
      <c r="H5" s="158">
        <v>-2149115</v>
      </c>
      <c r="I5" s="158">
        <v>-41559</v>
      </c>
      <c r="J5" s="158">
        <v>0</v>
      </c>
      <c r="K5" s="158">
        <v>-11390</v>
      </c>
      <c r="L5" s="158">
        <v>0</v>
      </c>
      <c r="M5" s="158">
        <v>-194610</v>
      </c>
      <c r="N5" s="158">
        <v>-41922</v>
      </c>
      <c r="O5" s="158">
        <v>0</v>
      </c>
      <c r="P5" s="158">
        <v>0</v>
      </c>
      <c r="Q5" s="158">
        <v>0</v>
      </c>
      <c r="R5" s="158">
        <v>0</v>
      </c>
      <c r="S5" s="158">
        <v>0</v>
      </c>
      <c r="T5" s="158">
        <v>0</v>
      </c>
      <c r="U5" s="158">
        <v>-1653140</v>
      </c>
      <c r="V5" s="158">
        <v>20314972</v>
      </c>
      <c r="W5" s="158">
        <v>0</v>
      </c>
      <c r="X5" s="158">
        <v>34558511</v>
      </c>
      <c r="Y5" s="158">
        <v>52569284</v>
      </c>
      <c r="Z5" s="158">
        <v>10538207</v>
      </c>
      <c r="AA5" s="158">
        <v>8430565</v>
      </c>
      <c r="AB5" s="158">
        <v>2107641</v>
      </c>
      <c r="AC5" s="158">
        <v>0</v>
      </c>
      <c r="AD5" s="158">
        <v>84463</v>
      </c>
      <c r="AE5" s="158">
        <v>0</v>
      </c>
      <c r="AF5" s="158">
        <v>0</v>
      </c>
      <c r="AG5" s="158">
        <v>0</v>
      </c>
      <c r="AH5" s="158">
        <v>0</v>
      </c>
      <c r="AI5" s="158">
        <v>0</v>
      </c>
      <c r="AJ5" s="158">
        <v>0</v>
      </c>
      <c r="AK5" s="158">
        <v>-2314732</v>
      </c>
      <c r="AL5" s="158">
        <v>95</v>
      </c>
      <c r="AM5" s="158">
        <v>7</v>
      </c>
      <c r="AN5" s="158">
        <v>0</v>
      </c>
      <c r="AO5" s="158">
        <v>6</v>
      </c>
      <c r="AP5" s="158">
        <v>0</v>
      </c>
      <c r="AQ5" s="158">
        <v>111</v>
      </c>
      <c r="AR5" s="158">
        <v>19</v>
      </c>
      <c r="AS5" s="158">
        <v>0</v>
      </c>
      <c r="AT5" s="158">
        <v>0</v>
      </c>
      <c r="AU5" s="158">
        <v>0</v>
      </c>
      <c r="AV5" s="158">
        <v>0</v>
      </c>
      <c r="AW5" s="158">
        <v>0</v>
      </c>
      <c r="AX5" s="158">
        <v>0</v>
      </c>
      <c r="AY5" s="158">
        <v>227</v>
      </c>
      <c r="AZ5" s="158">
        <v>181</v>
      </c>
      <c r="BA5" s="158">
        <v>1193</v>
      </c>
      <c r="BB5" s="158">
        <v>1116</v>
      </c>
      <c r="BC5" s="158">
        <v>77</v>
      </c>
      <c r="BD5" s="158">
        <v>933</v>
      </c>
      <c r="BE5" s="158">
        <v>-29341</v>
      </c>
      <c r="BF5" s="158">
        <v>-19580</v>
      </c>
      <c r="BG5" s="158">
        <v>0</v>
      </c>
      <c r="BH5" s="158">
        <v>-10753</v>
      </c>
      <c r="BI5" s="158">
        <v>-134935</v>
      </c>
      <c r="BJ5" s="158">
        <v>0</v>
      </c>
      <c r="BK5" s="158">
        <v>-2295708</v>
      </c>
      <c r="BL5" s="1438">
        <v>7226700</v>
      </c>
      <c r="BM5" s="1439">
        <v>0</v>
      </c>
      <c r="BN5" s="784" t="s">
        <v>2349</v>
      </c>
      <c r="BO5" s="784" t="s">
        <v>2350</v>
      </c>
      <c r="BP5" s="1400" t="s">
        <v>2351</v>
      </c>
      <c r="BQ5" s="509"/>
      <c r="BR5" s="509"/>
      <c r="BS5" s="509"/>
      <c r="BT5" s="509"/>
      <c r="BU5" s="509"/>
      <c r="BV5" s="509"/>
      <c r="BW5" s="509"/>
      <c r="BX5" s="509"/>
      <c r="BY5" s="509"/>
      <c r="BZ5" s="509"/>
      <c r="CA5" s="509"/>
      <c r="CB5" s="509"/>
      <c r="CC5" s="509"/>
      <c r="CD5" s="509"/>
      <c r="CE5" s="509"/>
      <c r="CF5" s="509"/>
      <c r="CG5" s="509"/>
      <c r="CH5" s="509"/>
      <c r="CI5" s="509"/>
      <c r="CJ5" s="509"/>
      <c r="CK5" s="509"/>
      <c r="CL5" s="509"/>
      <c r="CM5" s="509"/>
      <c r="CN5" s="509"/>
      <c r="CO5" s="509"/>
      <c r="CP5" s="509"/>
      <c r="CQ5" s="509"/>
      <c r="CR5" s="509"/>
      <c r="CS5" s="509"/>
    </row>
    <row r="6" spans="1:97" s="137" customFormat="1" ht="12.75" customHeight="1" x14ac:dyDescent="0.2">
      <c r="A6" s="1421">
        <v>2</v>
      </c>
      <c r="B6" s="649" t="s">
        <v>721</v>
      </c>
      <c r="C6" s="1607" t="s">
        <v>722</v>
      </c>
      <c r="D6" s="1605">
        <v>148110</v>
      </c>
      <c r="E6" s="1405">
        <v>93515998</v>
      </c>
      <c r="F6" s="1405">
        <v>4002</v>
      </c>
      <c r="G6" s="158">
        <v>-5045140</v>
      </c>
      <c r="H6" s="158">
        <v>-2379274</v>
      </c>
      <c r="I6" s="158">
        <v>-22156</v>
      </c>
      <c r="J6" s="158">
        <v>-18472</v>
      </c>
      <c r="K6" s="158">
        <v>-4446</v>
      </c>
      <c r="L6" s="158">
        <v>0</v>
      </c>
      <c r="M6" s="158">
        <v>-1144474</v>
      </c>
      <c r="N6" s="158">
        <v>-53551</v>
      </c>
      <c r="O6" s="158">
        <v>-480650</v>
      </c>
      <c r="P6" s="158">
        <v>0</v>
      </c>
      <c r="Q6" s="158">
        <v>0</v>
      </c>
      <c r="R6" s="158">
        <v>0</v>
      </c>
      <c r="S6" s="158">
        <v>0</v>
      </c>
      <c r="T6" s="158">
        <v>0</v>
      </c>
      <c r="U6" s="158">
        <v>-3394700</v>
      </c>
      <c r="V6" s="158">
        <v>35674663</v>
      </c>
      <c r="W6" s="158">
        <v>0</v>
      </c>
      <c r="X6" s="158">
        <v>56689000</v>
      </c>
      <c r="Y6" s="158">
        <v>93612785</v>
      </c>
      <c r="Z6" s="158">
        <v>18047176</v>
      </c>
      <c r="AA6" s="158">
        <v>14437742</v>
      </c>
      <c r="AB6" s="158">
        <v>3248492</v>
      </c>
      <c r="AC6" s="158">
        <v>360944</v>
      </c>
      <c r="AD6" s="158">
        <v>147302</v>
      </c>
      <c r="AE6" s="158">
        <v>0</v>
      </c>
      <c r="AF6" s="158">
        <v>57234</v>
      </c>
      <c r="AG6" s="158">
        <v>0</v>
      </c>
      <c r="AH6" s="158">
        <v>0</v>
      </c>
      <c r="AI6" s="158">
        <v>0</v>
      </c>
      <c r="AJ6" s="158">
        <v>0</v>
      </c>
      <c r="AK6" s="158">
        <v>2573886</v>
      </c>
      <c r="AL6" s="158">
        <v>177</v>
      </c>
      <c r="AM6" s="158">
        <v>2</v>
      </c>
      <c r="AN6" s="158">
        <v>9</v>
      </c>
      <c r="AO6" s="158">
        <v>6</v>
      </c>
      <c r="AP6" s="158">
        <v>0</v>
      </c>
      <c r="AQ6" s="158">
        <v>190</v>
      </c>
      <c r="AR6" s="158">
        <v>55</v>
      </c>
      <c r="AS6" s="158">
        <v>20</v>
      </c>
      <c r="AT6" s="158">
        <v>0</v>
      </c>
      <c r="AU6" s="158">
        <v>0</v>
      </c>
      <c r="AV6" s="158">
        <v>0</v>
      </c>
      <c r="AW6" s="158">
        <v>0</v>
      </c>
      <c r="AX6" s="158">
        <v>0</v>
      </c>
      <c r="AY6" s="158">
        <v>444</v>
      </c>
      <c r="AZ6" s="158">
        <v>322</v>
      </c>
      <c r="BA6" s="158">
        <v>1961</v>
      </c>
      <c r="BB6" s="158">
        <v>1827</v>
      </c>
      <c r="BC6" s="158">
        <v>134</v>
      </c>
      <c r="BD6" s="158">
        <v>1719</v>
      </c>
      <c r="BE6" s="158">
        <v>-241289</v>
      </c>
      <c r="BF6" s="158">
        <v>-426992</v>
      </c>
      <c r="BG6" s="158">
        <v>0</v>
      </c>
      <c r="BH6" s="158">
        <v>0</v>
      </c>
      <c r="BI6" s="158">
        <v>-460350</v>
      </c>
      <c r="BJ6" s="158">
        <v>-15843</v>
      </c>
      <c r="BK6" s="158">
        <v>5820735</v>
      </c>
      <c r="BL6" s="1438">
        <v>13338650</v>
      </c>
      <c r="BM6" s="1439">
        <v>0</v>
      </c>
      <c r="BN6" s="784" t="s">
        <v>2349</v>
      </c>
      <c r="BO6" s="784" t="s">
        <v>2352</v>
      </c>
      <c r="BP6" s="1400" t="s">
        <v>2353</v>
      </c>
      <c r="BQ6" s="509"/>
      <c r="BR6" s="509"/>
      <c r="BS6" s="509"/>
      <c r="BT6" s="509"/>
      <c r="BU6" s="509"/>
      <c r="BV6" s="509"/>
      <c r="BW6" s="509"/>
      <c r="BX6" s="509"/>
      <c r="BY6" s="509"/>
      <c r="BZ6" s="509"/>
      <c r="CA6" s="509"/>
      <c r="CB6" s="509"/>
      <c r="CC6" s="509"/>
      <c r="CD6" s="509"/>
      <c r="CE6" s="509"/>
      <c r="CF6" s="509"/>
      <c r="CG6" s="509"/>
      <c r="CH6" s="509"/>
      <c r="CI6" s="509"/>
      <c r="CJ6" s="509"/>
      <c r="CK6" s="509"/>
      <c r="CL6" s="509"/>
      <c r="CM6" s="509"/>
      <c r="CN6" s="509"/>
      <c r="CO6" s="509"/>
      <c r="CP6" s="509"/>
      <c r="CQ6" s="509"/>
      <c r="CR6" s="509"/>
      <c r="CS6" s="509"/>
    </row>
    <row r="7" spans="1:97" s="137" customFormat="1" ht="12.75" customHeight="1" x14ac:dyDescent="0.2">
      <c r="A7" s="1421">
        <v>3</v>
      </c>
      <c r="B7" s="649" t="s">
        <v>723</v>
      </c>
      <c r="C7" s="1607" t="s">
        <v>724</v>
      </c>
      <c r="D7" s="1605">
        <v>180037</v>
      </c>
      <c r="E7" s="1405">
        <v>106042745</v>
      </c>
      <c r="F7" s="1405">
        <v>4933</v>
      </c>
      <c r="G7" s="158">
        <v>-5786546</v>
      </c>
      <c r="H7" s="158">
        <v>-3716318</v>
      </c>
      <c r="I7" s="158">
        <v>-118273</v>
      </c>
      <c r="J7" s="158">
        <v>0</v>
      </c>
      <c r="K7" s="158">
        <v>-50672</v>
      </c>
      <c r="L7" s="158">
        <v>0</v>
      </c>
      <c r="M7" s="158">
        <v>-355144</v>
      </c>
      <c r="N7" s="158">
        <v>-142034</v>
      </c>
      <c r="O7" s="158">
        <v>-42974</v>
      </c>
      <c r="P7" s="158">
        <v>-297</v>
      </c>
      <c r="Q7" s="158">
        <v>0</v>
      </c>
      <c r="R7" s="158">
        <v>0</v>
      </c>
      <c r="S7" s="158">
        <v>0</v>
      </c>
      <c r="T7" s="158">
        <v>0</v>
      </c>
      <c r="U7" s="158">
        <v>-5280976</v>
      </c>
      <c r="V7" s="158">
        <v>39552666</v>
      </c>
      <c r="W7" s="158">
        <v>-1816484</v>
      </c>
      <c r="X7" s="158">
        <v>62111750</v>
      </c>
      <c r="Y7" s="158">
        <v>105561579</v>
      </c>
      <c r="Z7" s="158">
        <v>18650069</v>
      </c>
      <c r="AA7" s="158">
        <v>14920055</v>
      </c>
      <c r="AB7" s="158">
        <v>3730014</v>
      </c>
      <c r="AC7" s="158">
        <v>0</v>
      </c>
      <c r="AD7" s="158">
        <v>179592</v>
      </c>
      <c r="AE7" s="158">
        <v>0</v>
      </c>
      <c r="AF7" s="158">
        <v>6452</v>
      </c>
      <c r="AG7" s="158">
        <v>0</v>
      </c>
      <c r="AH7" s="158">
        <v>0</v>
      </c>
      <c r="AI7" s="158">
        <v>0</v>
      </c>
      <c r="AJ7" s="158">
        <v>0</v>
      </c>
      <c r="AK7" s="158">
        <v>4947251</v>
      </c>
      <c r="AL7" s="158">
        <v>216</v>
      </c>
      <c r="AM7" s="158">
        <v>26</v>
      </c>
      <c r="AN7" s="158">
        <v>0</v>
      </c>
      <c r="AO7" s="158">
        <v>24</v>
      </c>
      <c r="AP7" s="158">
        <v>0</v>
      </c>
      <c r="AQ7" s="158">
        <v>301</v>
      </c>
      <c r="AR7" s="158">
        <v>49</v>
      </c>
      <c r="AS7" s="158">
        <v>5</v>
      </c>
      <c r="AT7" s="158">
        <v>2</v>
      </c>
      <c r="AU7" s="158">
        <v>0</v>
      </c>
      <c r="AV7" s="158">
        <v>0</v>
      </c>
      <c r="AW7" s="158">
        <v>0</v>
      </c>
      <c r="AX7" s="158">
        <v>0</v>
      </c>
      <c r="AY7" s="158">
        <v>678</v>
      </c>
      <c r="AZ7" s="158">
        <v>337</v>
      </c>
      <c r="BA7" s="158">
        <v>2484</v>
      </c>
      <c r="BB7" s="158">
        <v>2336</v>
      </c>
      <c r="BC7" s="158">
        <v>148</v>
      </c>
      <c r="BD7" s="158">
        <v>2106</v>
      </c>
      <c r="BE7" s="158">
        <v>-24700</v>
      </c>
      <c r="BF7" s="158">
        <v>-81663</v>
      </c>
      <c r="BG7" s="158">
        <v>0</v>
      </c>
      <c r="BH7" s="158">
        <v>0</v>
      </c>
      <c r="BI7" s="158">
        <v>-248781</v>
      </c>
      <c r="BJ7" s="158">
        <v>0</v>
      </c>
      <c r="BK7" s="158">
        <v>2263773</v>
      </c>
      <c r="BL7" s="1438">
        <v>16689700</v>
      </c>
      <c r="BM7" s="1439">
        <v>0</v>
      </c>
      <c r="BN7" s="784" t="s">
        <v>2349</v>
      </c>
      <c r="BO7" s="784" t="s">
        <v>2350</v>
      </c>
      <c r="BP7" s="1400" t="s">
        <v>2354</v>
      </c>
      <c r="BQ7" s="509"/>
      <c r="BR7" s="509"/>
      <c r="BS7" s="509"/>
      <c r="BT7" s="509"/>
      <c r="BU7" s="509"/>
      <c r="BV7" s="509"/>
      <c r="BW7" s="509"/>
      <c r="BX7" s="509"/>
      <c r="BY7" s="509"/>
      <c r="BZ7" s="509"/>
      <c r="CA7" s="509"/>
      <c r="CB7" s="509"/>
      <c r="CC7" s="509"/>
      <c r="CD7" s="509"/>
      <c r="CE7" s="509"/>
      <c r="CF7" s="509"/>
      <c r="CG7" s="509"/>
      <c r="CH7" s="509"/>
      <c r="CI7" s="509"/>
      <c r="CJ7" s="509"/>
      <c r="CK7" s="509"/>
      <c r="CL7" s="509"/>
      <c r="CM7" s="509"/>
      <c r="CN7" s="509"/>
      <c r="CO7" s="509"/>
      <c r="CP7" s="509"/>
      <c r="CQ7" s="509"/>
      <c r="CR7" s="509"/>
      <c r="CS7" s="509"/>
    </row>
    <row r="8" spans="1:97" s="137" customFormat="1" ht="12.75" customHeight="1" x14ac:dyDescent="0.2">
      <c r="A8" s="1421">
        <v>4</v>
      </c>
      <c r="B8" s="649" t="s">
        <v>725</v>
      </c>
      <c r="C8" s="1607" t="s">
        <v>726</v>
      </c>
      <c r="D8" s="1605">
        <v>155805</v>
      </c>
      <c r="E8" s="1405">
        <v>114138973</v>
      </c>
      <c r="F8" s="1405">
        <v>4008</v>
      </c>
      <c r="G8" s="158">
        <v>-3762292</v>
      </c>
      <c r="H8" s="158">
        <v>-2785490</v>
      </c>
      <c r="I8" s="158">
        <v>-24152</v>
      </c>
      <c r="J8" s="158">
        <v>-20572</v>
      </c>
      <c r="K8" s="158">
        <v>-836</v>
      </c>
      <c r="L8" s="158">
        <v>0</v>
      </c>
      <c r="M8" s="158">
        <v>-1052523</v>
      </c>
      <c r="N8" s="158">
        <v>-203645</v>
      </c>
      <c r="O8" s="158">
        <v>-38543</v>
      </c>
      <c r="P8" s="158">
        <v>0</v>
      </c>
      <c r="Q8" s="158">
        <v>0</v>
      </c>
      <c r="R8" s="158">
        <v>0</v>
      </c>
      <c r="S8" s="158">
        <v>0</v>
      </c>
      <c r="T8" s="158">
        <v>0</v>
      </c>
      <c r="U8" s="158">
        <v>-2145122</v>
      </c>
      <c r="V8" s="158">
        <v>50005881</v>
      </c>
      <c r="W8" s="158">
        <v>-200000</v>
      </c>
      <c r="X8" s="158">
        <v>85020000</v>
      </c>
      <c r="Y8" s="158">
        <v>114102823</v>
      </c>
      <c r="Z8" s="158">
        <v>24933675</v>
      </c>
      <c r="AA8" s="158">
        <v>19946940</v>
      </c>
      <c r="AB8" s="158">
        <v>4488062</v>
      </c>
      <c r="AC8" s="158">
        <v>498674</v>
      </c>
      <c r="AD8" s="158">
        <v>155792</v>
      </c>
      <c r="AE8" s="158">
        <v>0</v>
      </c>
      <c r="AF8" s="158">
        <v>29218</v>
      </c>
      <c r="AG8" s="158">
        <v>0</v>
      </c>
      <c r="AH8" s="158">
        <v>0</v>
      </c>
      <c r="AI8" s="158">
        <v>0</v>
      </c>
      <c r="AJ8" s="158">
        <v>0</v>
      </c>
      <c r="AK8" s="158">
        <v>-2960120</v>
      </c>
      <c r="AL8" s="158">
        <v>140</v>
      </c>
      <c r="AM8" s="158">
        <v>4</v>
      </c>
      <c r="AN8" s="158">
        <v>10</v>
      </c>
      <c r="AO8" s="158">
        <v>1</v>
      </c>
      <c r="AP8" s="158">
        <v>0</v>
      </c>
      <c r="AQ8" s="158">
        <v>423</v>
      </c>
      <c r="AR8" s="158">
        <v>52</v>
      </c>
      <c r="AS8" s="158">
        <v>5</v>
      </c>
      <c r="AT8" s="158">
        <v>0</v>
      </c>
      <c r="AU8" s="158">
        <v>9</v>
      </c>
      <c r="AV8" s="158">
        <v>2</v>
      </c>
      <c r="AW8" s="158">
        <v>0</v>
      </c>
      <c r="AX8" s="158">
        <v>0</v>
      </c>
      <c r="AY8" s="158">
        <v>271</v>
      </c>
      <c r="AZ8" s="158">
        <v>1018</v>
      </c>
      <c r="BA8" s="158">
        <v>1637</v>
      </c>
      <c r="BB8" s="158">
        <v>1568</v>
      </c>
      <c r="BC8" s="158">
        <v>69</v>
      </c>
      <c r="BD8" s="158">
        <v>1375</v>
      </c>
      <c r="BE8" s="158">
        <v>-562184</v>
      </c>
      <c r="BF8" s="158">
        <v>-2096</v>
      </c>
      <c r="BG8" s="158">
        <v>0</v>
      </c>
      <c r="BH8" s="158">
        <v>0</v>
      </c>
      <c r="BI8" s="158">
        <v>-364617</v>
      </c>
      <c r="BJ8" s="158">
        <v>-123627</v>
      </c>
      <c r="BK8" s="158">
        <v>-2193681</v>
      </c>
      <c r="BL8" s="1438">
        <v>11634500</v>
      </c>
      <c r="BM8" s="1439">
        <v>45000</v>
      </c>
      <c r="BN8" s="784" t="s">
        <v>2349</v>
      </c>
      <c r="BO8" s="784" t="s">
        <v>2352</v>
      </c>
      <c r="BP8" s="1400" t="s">
        <v>2355</v>
      </c>
      <c r="BQ8" s="509"/>
      <c r="BR8" s="509"/>
      <c r="BS8" s="509"/>
      <c r="BT8" s="509"/>
      <c r="BU8" s="509"/>
      <c r="BV8" s="509"/>
      <c r="BW8" s="509"/>
      <c r="BX8" s="509"/>
      <c r="BY8" s="509"/>
      <c r="BZ8" s="509"/>
      <c r="CA8" s="509"/>
      <c r="CB8" s="509"/>
      <c r="CC8" s="509"/>
      <c r="CD8" s="509"/>
      <c r="CE8" s="509"/>
      <c r="CF8" s="509"/>
      <c r="CG8" s="509"/>
      <c r="CH8" s="509"/>
      <c r="CI8" s="509"/>
      <c r="CJ8" s="509"/>
      <c r="CK8" s="509"/>
      <c r="CL8" s="509"/>
      <c r="CM8" s="509"/>
      <c r="CN8" s="509"/>
      <c r="CO8" s="509"/>
      <c r="CP8" s="509"/>
      <c r="CQ8" s="509"/>
      <c r="CR8" s="509"/>
      <c r="CS8" s="509"/>
    </row>
    <row r="9" spans="1:97" s="137" customFormat="1" ht="12.75" customHeight="1" x14ac:dyDescent="0.2">
      <c r="A9" s="1421">
        <v>5</v>
      </c>
      <c r="B9" s="649" t="s">
        <v>727</v>
      </c>
      <c r="C9" s="1607" t="s">
        <v>728</v>
      </c>
      <c r="D9" s="1605">
        <v>206782</v>
      </c>
      <c r="E9" s="1405">
        <v>144720253</v>
      </c>
      <c r="F9" s="1405">
        <v>5415</v>
      </c>
      <c r="G9" s="158">
        <v>-5100058</v>
      </c>
      <c r="H9" s="158">
        <v>-4878689</v>
      </c>
      <c r="I9" s="158">
        <v>-94365</v>
      </c>
      <c r="J9" s="158">
        <v>-19996</v>
      </c>
      <c r="K9" s="158">
        <v>-4827</v>
      </c>
      <c r="L9" s="158">
        <v>0</v>
      </c>
      <c r="M9" s="158">
        <v>-1451164</v>
      </c>
      <c r="N9" s="158">
        <v>-183093</v>
      </c>
      <c r="O9" s="158">
        <v>-141594</v>
      </c>
      <c r="P9" s="158">
        <v>-14227</v>
      </c>
      <c r="Q9" s="158">
        <v>-42456</v>
      </c>
      <c r="R9" s="158">
        <v>0</v>
      </c>
      <c r="S9" s="158">
        <v>0</v>
      </c>
      <c r="T9" s="158">
        <v>0</v>
      </c>
      <c r="U9" s="158">
        <v>-5066691</v>
      </c>
      <c r="V9" s="158">
        <v>55978752</v>
      </c>
      <c r="W9" s="158">
        <v>-955669</v>
      </c>
      <c r="X9" s="158">
        <v>91609500</v>
      </c>
      <c r="Y9" s="158">
        <v>144646319</v>
      </c>
      <c r="Z9" s="158">
        <v>28240584</v>
      </c>
      <c r="AA9" s="158">
        <v>22592468</v>
      </c>
      <c r="AB9" s="158">
        <v>5083305</v>
      </c>
      <c r="AC9" s="158">
        <v>564812</v>
      </c>
      <c r="AD9" s="158">
        <v>207115</v>
      </c>
      <c r="AE9" s="158">
        <v>0</v>
      </c>
      <c r="AF9" s="158">
        <v>75000</v>
      </c>
      <c r="AG9" s="158">
        <v>0</v>
      </c>
      <c r="AH9" s="158">
        <v>0</v>
      </c>
      <c r="AI9" s="158">
        <v>0</v>
      </c>
      <c r="AJ9" s="158">
        <v>0</v>
      </c>
      <c r="AK9" s="158">
        <v>566596</v>
      </c>
      <c r="AL9" s="158">
        <v>258</v>
      </c>
      <c r="AM9" s="158">
        <v>32</v>
      </c>
      <c r="AN9" s="158">
        <v>9</v>
      </c>
      <c r="AO9" s="158">
        <v>5</v>
      </c>
      <c r="AP9" s="158">
        <v>0</v>
      </c>
      <c r="AQ9" s="158">
        <v>452</v>
      </c>
      <c r="AR9" s="158">
        <v>84</v>
      </c>
      <c r="AS9" s="158">
        <v>35</v>
      </c>
      <c r="AT9" s="158">
        <v>25</v>
      </c>
      <c r="AU9" s="158">
        <v>6</v>
      </c>
      <c r="AV9" s="158">
        <v>0</v>
      </c>
      <c r="AW9" s="158">
        <v>0</v>
      </c>
      <c r="AX9" s="158">
        <v>0</v>
      </c>
      <c r="AY9" s="158">
        <v>565</v>
      </c>
      <c r="AZ9" s="158">
        <v>527</v>
      </c>
      <c r="BA9" s="158">
        <v>2049</v>
      </c>
      <c r="BB9" s="158">
        <v>1873</v>
      </c>
      <c r="BC9" s="158">
        <v>176</v>
      </c>
      <c r="BD9" s="158">
        <v>2875</v>
      </c>
      <c r="BE9" s="158">
        <v>-95062</v>
      </c>
      <c r="BF9" s="158">
        <v>-439108</v>
      </c>
      <c r="BG9" s="158">
        <v>0</v>
      </c>
      <c r="BH9" s="158">
        <v>-328693</v>
      </c>
      <c r="BI9" s="158">
        <v>-582251</v>
      </c>
      <c r="BJ9" s="158">
        <v>-6050</v>
      </c>
      <c r="BK9" s="158">
        <v>3437462</v>
      </c>
      <c r="BL9" s="1438">
        <v>15639150</v>
      </c>
      <c r="BM9" s="1439">
        <v>0</v>
      </c>
      <c r="BN9" s="784" t="s">
        <v>2349</v>
      </c>
      <c r="BO9" s="784" t="s">
        <v>2350</v>
      </c>
      <c r="BP9" s="1400" t="s">
        <v>2356</v>
      </c>
      <c r="BQ9" s="509"/>
      <c r="BR9" s="509"/>
      <c r="BS9" s="509"/>
      <c r="BT9" s="509"/>
      <c r="BU9" s="509"/>
      <c r="BV9" s="509"/>
      <c r="BW9" s="509"/>
      <c r="BX9" s="509"/>
      <c r="BY9" s="509"/>
      <c r="BZ9" s="509"/>
      <c r="CA9" s="509"/>
      <c r="CB9" s="509"/>
      <c r="CC9" s="509"/>
      <c r="CD9" s="509"/>
      <c r="CE9" s="509"/>
      <c r="CF9" s="509"/>
      <c r="CG9" s="509"/>
      <c r="CH9" s="509"/>
      <c r="CI9" s="509"/>
      <c r="CJ9" s="509"/>
      <c r="CK9" s="509"/>
      <c r="CL9" s="509"/>
      <c r="CM9" s="509"/>
      <c r="CN9" s="509"/>
      <c r="CO9" s="509"/>
      <c r="CP9" s="509"/>
      <c r="CQ9" s="509"/>
      <c r="CR9" s="509"/>
      <c r="CS9" s="509"/>
    </row>
    <row r="10" spans="1:97" s="137" customFormat="1" ht="12.75" customHeight="1" x14ac:dyDescent="0.2">
      <c r="A10" s="1421">
        <v>6</v>
      </c>
      <c r="B10" s="649" t="s">
        <v>729</v>
      </c>
      <c r="C10" s="1607" t="s">
        <v>730</v>
      </c>
      <c r="D10" s="1605">
        <v>134302</v>
      </c>
      <c r="E10" s="1405">
        <v>73437892</v>
      </c>
      <c r="F10" s="1405">
        <v>3707</v>
      </c>
      <c r="G10" s="158">
        <v>-3980916</v>
      </c>
      <c r="H10" s="158">
        <v>-2784378</v>
      </c>
      <c r="I10" s="158">
        <v>-53563</v>
      </c>
      <c r="J10" s="158">
        <v>-90331</v>
      </c>
      <c r="K10" s="158">
        <v>-6824</v>
      </c>
      <c r="L10" s="158">
        <v>0</v>
      </c>
      <c r="M10" s="158">
        <v>-733571</v>
      </c>
      <c r="N10" s="158">
        <v>-63927</v>
      </c>
      <c r="O10" s="158">
        <v>-39428</v>
      </c>
      <c r="P10" s="158">
        <v>-6695</v>
      </c>
      <c r="Q10" s="158">
        <v>0</v>
      </c>
      <c r="R10" s="158">
        <v>0</v>
      </c>
      <c r="S10" s="158">
        <v>0</v>
      </c>
      <c r="T10" s="158">
        <v>0</v>
      </c>
      <c r="U10" s="158">
        <v>-3113380</v>
      </c>
      <c r="V10" s="158">
        <v>25804255</v>
      </c>
      <c r="W10" s="158">
        <v>-1244117</v>
      </c>
      <c r="X10" s="158">
        <v>40244750</v>
      </c>
      <c r="Y10" s="158">
        <v>72905058</v>
      </c>
      <c r="Z10" s="158">
        <v>11948633</v>
      </c>
      <c r="AA10" s="158">
        <v>9558907</v>
      </c>
      <c r="AB10" s="158">
        <v>2389727</v>
      </c>
      <c r="AC10" s="158">
        <v>0</v>
      </c>
      <c r="AD10" s="158">
        <v>134653</v>
      </c>
      <c r="AE10" s="158">
        <v>1399276</v>
      </c>
      <c r="AF10" s="158">
        <v>95263</v>
      </c>
      <c r="AG10" s="158">
        <v>0</v>
      </c>
      <c r="AH10" s="158">
        <v>0</v>
      </c>
      <c r="AI10" s="158">
        <v>0</v>
      </c>
      <c r="AJ10" s="158">
        <v>0</v>
      </c>
      <c r="AK10" s="158">
        <v>1460213</v>
      </c>
      <c r="AL10" s="158">
        <v>226</v>
      </c>
      <c r="AM10" s="158">
        <v>27</v>
      </c>
      <c r="AN10" s="158">
        <v>40</v>
      </c>
      <c r="AO10" s="158">
        <v>6</v>
      </c>
      <c r="AP10" s="158">
        <v>0</v>
      </c>
      <c r="AQ10" s="158">
        <v>261</v>
      </c>
      <c r="AR10" s="158">
        <v>131</v>
      </c>
      <c r="AS10" s="158">
        <v>4</v>
      </c>
      <c r="AT10" s="158">
        <v>27</v>
      </c>
      <c r="AU10" s="158">
        <v>0</v>
      </c>
      <c r="AV10" s="158">
        <v>0</v>
      </c>
      <c r="AW10" s="158">
        <v>0</v>
      </c>
      <c r="AX10" s="158">
        <v>0</v>
      </c>
      <c r="AY10" s="158">
        <v>451</v>
      </c>
      <c r="AZ10" s="158">
        <v>917</v>
      </c>
      <c r="BA10" s="158">
        <v>1724</v>
      </c>
      <c r="BB10" s="158">
        <v>1647</v>
      </c>
      <c r="BC10" s="158">
        <v>77</v>
      </c>
      <c r="BD10" s="158">
        <v>1081</v>
      </c>
      <c r="BE10" s="158">
        <v>-18764</v>
      </c>
      <c r="BF10" s="158">
        <v>-520405</v>
      </c>
      <c r="BG10" s="158">
        <v>0</v>
      </c>
      <c r="BH10" s="158">
        <v>-4582</v>
      </c>
      <c r="BI10" s="158">
        <v>-189820</v>
      </c>
      <c r="BJ10" s="158">
        <v>0</v>
      </c>
      <c r="BK10" s="158">
        <v>1775842</v>
      </c>
      <c r="BL10" s="1438">
        <v>11482025</v>
      </c>
      <c r="BM10" s="1439">
        <v>0</v>
      </c>
      <c r="BN10" s="784" t="s">
        <v>2349</v>
      </c>
      <c r="BO10" s="784" t="s">
        <v>2357</v>
      </c>
      <c r="BP10" s="1400" t="s">
        <v>2358</v>
      </c>
      <c r="BQ10" s="509"/>
      <c r="BR10" s="509"/>
      <c r="BS10" s="509"/>
      <c r="BT10" s="509"/>
      <c r="BU10" s="509"/>
      <c r="BV10" s="509"/>
      <c r="BW10" s="509"/>
      <c r="BX10" s="509"/>
      <c r="BY10" s="509"/>
      <c r="BZ10" s="509"/>
      <c r="CA10" s="509"/>
      <c r="CB10" s="509"/>
      <c r="CC10" s="509"/>
      <c r="CD10" s="509"/>
      <c r="CE10" s="509"/>
      <c r="CF10" s="509"/>
      <c r="CG10" s="509"/>
      <c r="CH10" s="509"/>
      <c r="CI10" s="509"/>
      <c r="CJ10" s="509"/>
      <c r="CK10" s="509"/>
      <c r="CL10" s="509"/>
      <c r="CM10" s="509"/>
      <c r="CN10" s="509"/>
      <c r="CO10" s="509"/>
      <c r="CP10" s="509"/>
      <c r="CQ10" s="509"/>
      <c r="CR10" s="509"/>
      <c r="CS10" s="509"/>
    </row>
    <row r="11" spans="1:97" s="137" customFormat="1" ht="12.75" customHeight="1" x14ac:dyDescent="0.2">
      <c r="A11" s="1421">
        <v>7</v>
      </c>
      <c r="B11" s="649" t="s">
        <v>731</v>
      </c>
      <c r="C11" s="1607" t="s">
        <v>732</v>
      </c>
      <c r="D11" s="1605">
        <v>202563</v>
      </c>
      <c r="E11" s="1405">
        <v>188899649</v>
      </c>
      <c r="F11" s="1405">
        <v>4460</v>
      </c>
      <c r="G11" s="158">
        <v>-5184067</v>
      </c>
      <c r="H11" s="158">
        <v>-7260787</v>
      </c>
      <c r="I11" s="158">
        <v>-34487</v>
      </c>
      <c r="J11" s="158">
        <v>0</v>
      </c>
      <c r="K11" s="158">
        <v>-3442</v>
      </c>
      <c r="L11" s="158">
        <v>0</v>
      </c>
      <c r="M11" s="158">
        <v>-1212241</v>
      </c>
      <c r="N11" s="158">
        <v>-227125</v>
      </c>
      <c r="O11" s="158">
        <v>0</v>
      </c>
      <c r="P11" s="158">
        <v>-6800</v>
      </c>
      <c r="Q11" s="158">
        <v>0</v>
      </c>
      <c r="R11" s="158">
        <v>0</v>
      </c>
      <c r="S11" s="158">
        <v>0</v>
      </c>
      <c r="T11" s="158">
        <v>0</v>
      </c>
      <c r="U11" s="158">
        <v>-7088853</v>
      </c>
      <c r="V11" s="158">
        <v>76631570</v>
      </c>
      <c r="W11" s="158">
        <v>-1246154</v>
      </c>
      <c r="X11" s="158">
        <v>140140950</v>
      </c>
      <c r="Y11" s="158">
        <v>188531608</v>
      </c>
      <c r="Z11" s="158">
        <v>25159476</v>
      </c>
      <c r="AA11" s="158">
        <v>22872251</v>
      </c>
      <c r="AB11" s="158">
        <v>28209110</v>
      </c>
      <c r="AC11" s="158">
        <v>0</v>
      </c>
      <c r="AD11" s="158">
        <v>200983</v>
      </c>
      <c r="AE11" s="158">
        <v>0</v>
      </c>
      <c r="AF11" s="158">
        <v>0</v>
      </c>
      <c r="AG11" s="158">
        <v>0</v>
      </c>
      <c r="AH11" s="158">
        <v>0</v>
      </c>
      <c r="AI11" s="158">
        <v>0</v>
      </c>
      <c r="AJ11" s="158">
        <v>0</v>
      </c>
      <c r="AK11" s="158">
        <v>8165590</v>
      </c>
      <c r="AL11" s="158">
        <v>213</v>
      </c>
      <c r="AM11" s="158">
        <v>3</v>
      </c>
      <c r="AN11" s="158">
        <v>0</v>
      </c>
      <c r="AO11" s="158">
        <v>3</v>
      </c>
      <c r="AP11" s="158">
        <v>0</v>
      </c>
      <c r="AQ11" s="158">
        <v>69</v>
      </c>
      <c r="AR11" s="158">
        <v>28</v>
      </c>
      <c r="AS11" s="158">
        <v>0</v>
      </c>
      <c r="AT11" s="158">
        <v>2</v>
      </c>
      <c r="AU11" s="158">
        <v>0</v>
      </c>
      <c r="AV11" s="158">
        <v>0</v>
      </c>
      <c r="AW11" s="158">
        <v>0</v>
      </c>
      <c r="AX11" s="158">
        <v>0</v>
      </c>
      <c r="AY11" s="158">
        <v>731</v>
      </c>
      <c r="AZ11" s="158">
        <v>590</v>
      </c>
      <c r="BA11" s="158">
        <v>1525</v>
      </c>
      <c r="BB11" s="158">
        <v>1288</v>
      </c>
      <c r="BC11" s="158">
        <v>237</v>
      </c>
      <c r="BD11" s="158">
        <v>2329</v>
      </c>
      <c r="BE11" s="158">
        <v>-191228</v>
      </c>
      <c r="BF11" s="158">
        <v>0</v>
      </c>
      <c r="BG11" s="158">
        <v>0</v>
      </c>
      <c r="BH11" s="158">
        <v>0</v>
      </c>
      <c r="BI11" s="158">
        <v>-992046</v>
      </c>
      <c r="BJ11" s="158">
        <v>-28967</v>
      </c>
      <c r="BK11" s="158">
        <v>6487610</v>
      </c>
      <c r="BL11" s="1438">
        <v>0</v>
      </c>
      <c r="BM11" s="1439">
        <v>0</v>
      </c>
      <c r="BN11" s="784" t="s">
        <v>2359</v>
      </c>
      <c r="BO11" s="784" t="s">
        <v>2360</v>
      </c>
      <c r="BP11" s="1400" t="s">
        <v>2361</v>
      </c>
      <c r="BQ11" s="509"/>
      <c r="BR11" s="509"/>
      <c r="BS11" s="509"/>
      <c r="BT11" s="509"/>
      <c r="BU11" s="509"/>
      <c r="BV11" s="509"/>
      <c r="BW11" s="509"/>
      <c r="BX11" s="509"/>
      <c r="BY11" s="509"/>
      <c r="BZ11" s="509"/>
      <c r="CA11" s="509"/>
      <c r="CB11" s="509"/>
      <c r="CC11" s="509"/>
      <c r="CD11" s="509"/>
      <c r="CE11" s="509"/>
      <c r="CF11" s="509"/>
      <c r="CG11" s="509"/>
      <c r="CH11" s="509"/>
      <c r="CI11" s="509"/>
      <c r="CJ11" s="509"/>
      <c r="CK11" s="509"/>
      <c r="CL11" s="509"/>
      <c r="CM11" s="509"/>
      <c r="CN11" s="509"/>
      <c r="CO11" s="509"/>
      <c r="CP11" s="509"/>
      <c r="CQ11" s="509"/>
      <c r="CR11" s="509"/>
      <c r="CS11" s="509"/>
    </row>
    <row r="12" spans="1:97" s="137" customFormat="1" ht="12.75" customHeight="1" x14ac:dyDescent="0.2">
      <c r="A12" s="1421">
        <v>8</v>
      </c>
      <c r="B12" s="649" t="s">
        <v>733</v>
      </c>
      <c r="C12" s="1607" t="s">
        <v>734</v>
      </c>
      <c r="D12" s="1605">
        <v>367890</v>
      </c>
      <c r="E12" s="1405">
        <v>297965681</v>
      </c>
      <c r="F12" s="1405">
        <v>8149</v>
      </c>
      <c r="G12" s="158">
        <v>-8689209</v>
      </c>
      <c r="H12" s="158">
        <v>-18462197</v>
      </c>
      <c r="I12" s="158">
        <v>-127495</v>
      </c>
      <c r="J12" s="158">
        <v>0</v>
      </c>
      <c r="K12" s="158">
        <v>0</v>
      </c>
      <c r="L12" s="158">
        <v>0</v>
      </c>
      <c r="M12" s="158">
        <v>-2883502</v>
      </c>
      <c r="N12" s="158">
        <v>-349428</v>
      </c>
      <c r="O12" s="158">
        <v>-8443</v>
      </c>
      <c r="P12" s="158">
        <v>0</v>
      </c>
      <c r="Q12" s="158">
        <v>0</v>
      </c>
      <c r="R12" s="158">
        <v>0</v>
      </c>
      <c r="S12" s="158">
        <v>0</v>
      </c>
      <c r="T12" s="158">
        <v>0</v>
      </c>
      <c r="U12" s="158">
        <v>-20093298</v>
      </c>
      <c r="V12" s="158">
        <v>106058346</v>
      </c>
      <c r="W12" s="158">
        <v>-2443272</v>
      </c>
      <c r="X12" s="158">
        <v>189668550</v>
      </c>
      <c r="Y12" s="158">
        <v>299629872</v>
      </c>
      <c r="Z12" s="158">
        <v>34124248</v>
      </c>
      <c r="AA12" s="158">
        <v>31022044</v>
      </c>
      <c r="AB12" s="158">
        <v>38260521</v>
      </c>
      <c r="AC12" s="158">
        <v>0</v>
      </c>
      <c r="AD12" s="158">
        <v>369204</v>
      </c>
      <c r="AE12" s="158">
        <v>0</v>
      </c>
      <c r="AF12" s="158">
        <v>976</v>
      </c>
      <c r="AG12" s="158">
        <v>0</v>
      </c>
      <c r="AH12" s="158">
        <v>0</v>
      </c>
      <c r="AI12" s="158">
        <v>0</v>
      </c>
      <c r="AJ12" s="158">
        <v>0</v>
      </c>
      <c r="AK12" s="158">
        <v>7223256</v>
      </c>
      <c r="AL12" s="158">
        <v>461</v>
      </c>
      <c r="AM12" s="158">
        <v>9</v>
      </c>
      <c r="AN12" s="158">
        <v>0</v>
      </c>
      <c r="AO12" s="158">
        <v>0</v>
      </c>
      <c r="AP12" s="158">
        <v>0</v>
      </c>
      <c r="AQ12" s="158">
        <v>199</v>
      </c>
      <c r="AR12" s="158">
        <v>31</v>
      </c>
      <c r="AS12" s="158">
        <v>3</v>
      </c>
      <c r="AT12" s="158">
        <v>0</v>
      </c>
      <c r="AU12" s="158">
        <v>0</v>
      </c>
      <c r="AV12" s="158">
        <v>0</v>
      </c>
      <c r="AW12" s="158">
        <v>0</v>
      </c>
      <c r="AX12" s="158">
        <v>0</v>
      </c>
      <c r="AY12" s="158">
        <v>2098</v>
      </c>
      <c r="AZ12" s="158">
        <v>1753</v>
      </c>
      <c r="BA12" s="158">
        <v>2389</v>
      </c>
      <c r="BB12" s="158">
        <v>1907</v>
      </c>
      <c r="BC12" s="158">
        <v>482</v>
      </c>
      <c r="BD12" s="158">
        <v>4048</v>
      </c>
      <c r="BE12" s="158">
        <v>-430281</v>
      </c>
      <c r="BF12" s="158">
        <v>-234405</v>
      </c>
      <c r="BG12" s="158">
        <v>0</v>
      </c>
      <c r="BH12" s="158">
        <v>0</v>
      </c>
      <c r="BI12" s="158">
        <v>-696294</v>
      </c>
      <c r="BJ12" s="158">
        <v>-1522522</v>
      </c>
      <c r="BK12" s="158">
        <v>2421873</v>
      </c>
      <c r="BL12" s="1438">
        <v>35612050</v>
      </c>
      <c r="BM12" s="1439">
        <v>398250</v>
      </c>
      <c r="BN12" s="784" t="s">
        <v>2359</v>
      </c>
      <c r="BO12" s="784" t="s">
        <v>2360</v>
      </c>
      <c r="BP12" s="1400" t="s">
        <v>2362</v>
      </c>
      <c r="BQ12" s="509"/>
      <c r="BR12" s="509"/>
      <c r="BS12" s="509"/>
      <c r="BT12" s="509"/>
      <c r="BU12" s="509"/>
      <c r="BV12" s="509"/>
      <c r="BW12" s="509"/>
      <c r="BX12" s="509"/>
      <c r="BY12" s="509"/>
      <c r="BZ12" s="509"/>
      <c r="CA12" s="509"/>
      <c r="CB12" s="509"/>
      <c r="CC12" s="509"/>
      <c r="CD12" s="509"/>
      <c r="CE12" s="509"/>
      <c r="CF12" s="509"/>
      <c r="CG12" s="509"/>
      <c r="CH12" s="509"/>
      <c r="CI12" s="509"/>
      <c r="CJ12" s="509"/>
      <c r="CK12" s="509"/>
      <c r="CL12" s="509"/>
      <c r="CM12" s="509"/>
      <c r="CN12" s="509"/>
      <c r="CO12" s="509"/>
      <c r="CP12" s="509"/>
      <c r="CQ12" s="509"/>
      <c r="CR12" s="509"/>
      <c r="CS12" s="509"/>
    </row>
    <row r="13" spans="1:97" s="137" customFormat="1" ht="12.75" customHeight="1" x14ac:dyDescent="0.2">
      <c r="A13" s="1421">
        <v>9</v>
      </c>
      <c r="B13" s="649" t="s">
        <v>735</v>
      </c>
      <c r="C13" s="1607" t="s">
        <v>736</v>
      </c>
      <c r="D13" s="1605">
        <v>322427</v>
      </c>
      <c r="E13" s="1405">
        <v>165492707</v>
      </c>
      <c r="F13" s="1405">
        <v>9053</v>
      </c>
      <c r="G13" s="158">
        <v>-8738358</v>
      </c>
      <c r="H13" s="158">
        <v>-6133668</v>
      </c>
      <c r="I13" s="158">
        <v>-54518</v>
      </c>
      <c r="J13" s="158">
        <v>-3084</v>
      </c>
      <c r="K13" s="158">
        <v>-5731</v>
      </c>
      <c r="L13" s="158">
        <v>-50000</v>
      </c>
      <c r="M13" s="158">
        <v>-1513446</v>
      </c>
      <c r="N13" s="158">
        <v>-9404</v>
      </c>
      <c r="O13" s="158">
        <v>-25000</v>
      </c>
      <c r="P13" s="158">
        <v>0</v>
      </c>
      <c r="Q13" s="158">
        <v>0</v>
      </c>
      <c r="R13" s="158">
        <v>-15596</v>
      </c>
      <c r="S13" s="158">
        <v>0</v>
      </c>
      <c r="T13" s="158">
        <v>0</v>
      </c>
      <c r="U13" s="158">
        <v>-3427821</v>
      </c>
      <c r="V13" s="158">
        <v>66057052</v>
      </c>
      <c r="W13" s="158">
        <v>-1832645</v>
      </c>
      <c r="X13" s="158">
        <v>104220750</v>
      </c>
      <c r="Y13" s="158">
        <v>165090618</v>
      </c>
      <c r="Z13" s="158">
        <v>32679817</v>
      </c>
      <c r="AA13" s="158">
        <v>32026220</v>
      </c>
      <c r="AB13" s="158">
        <v>0</v>
      </c>
      <c r="AC13" s="158">
        <v>653596</v>
      </c>
      <c r="AD13" s="158">
        <v>320551</v>
      </c>
      <c r="AE13" s="158">
        <v>585382</v>
      </c>
      <c r="AF13" s="158">
        <v>62790</v>
      </c>
      <c r="AG13" s="158">
        <v>0</v>
      </c>
      <c r="AH13" s="158">
        <v>0</v>
      </c>
      <c r="AI13" s="158">
        <v>0</v>
      </c>
      <c r="AJ13" s="158">
        <v>0</v>
      </c>
      <c r="AK13" s="158">
        <v>2354639</v>
      </c>
      <c r="AL13" s="158">
        <v>313</v>
      </c>
      <c r="AM13" s="158">
        <v>7</v>
      </c>
      <c r="AN13" s="158">
        <v>3</v>
      </c>
      <c r="AO13" s="158">
        <v>5</v>
      </c>
      <c r="AP13" s="158">
        <v>1</v>
      </c>
      <c r="AQ13" s="158">
        <v>787</v>
      </c>
      <c r="AR13" s="158">
        <v>8</v>
      </c>
      <c r="AS13" s="158">
        <v>0</v>
      </c>
      <c r="AT13" s="158">
        <v>0</v>
      </c>
      <c r="AU13" s="158">
        <v>0</v>
      </c>
      <c r="AV13" s="158">
        <v>0</v>
      </c>
      <c r="AW13" s="158">
        <v>0</v>
      </c>
      <c r="AX13" s="158">
        <v>0</v>
      </c>
      <c r="AY13" s="158">
        <v>631</v>
      </c>
      <c r="AZ13" s="158">
        <v>1516</v>
      </c>
      <c r="BA13" s="158">
        <v>3997</v>
      </c>
      <c r="BB13" s="158">
        <v>3800</v>
      </c>
      <c r="BC13" s="158">
        <v>197</v>
      </c>
      <c r="BD13" s="158">
        <v>3638</v>
      </c>
      <c r="BE13" s="158">
        <v>-97024</v>
      </c>
      <c r="BF13" s="158">
        <v>-261192</v>
      </c>
      <c r="BG13" s="158">
        <v>0</v>
      </c>
      <c r="BH13" s="158">
        <v>-15843</v>
      </c>
      <c r="BI13" s="158">
        <v>-1069719</v>
      </c>
      <c r="BJ13" s="158">
        <v>-69668</v>
      </c>
      <c r="BK13" s="158">
        <v>5333533</v>
      </c>
      <c r="BL13" s="1438">
        <v>18676650</v>
      </c>
      <c r="BM13" s="1439">
        <v>269250</v>
      </c>
      <c r="BN13" s="784" t="s">
        <v>2363</v>
      </c>
      <c r="BO13" s="784" t="s">
        <v>2364</v>
      </c>
      <c r="BP13" s="1400" t="s">
        <v>2365</v>
      </c>
      <c r="BQ13" s="509"/>
      <c r="BR13" s="509"/>
      <c r="BS13" s="509"/>
      <c r="BT13" s="509"/>
      <c r="BU13" s="509"/>
      <c r="BV13" s="509"/>
      <c r="BW13" s="509"/>
      <c r="BX13" s="509"/>
      <c r="BY13" s="509"/>
      <c r="BZ13" s="509"/>
      <c r="CA13" s="509"/>
      <c r="CB13" s="509"/>
      <c r="CC13" s="509"/>
      <c r="CD13" s="509"/>
      <c r="CE13" s="509"/>
      <c r="CF13" s="509"/>
      <c r="CG13" s="509"/>
      <c r="CH13" s="509"/>
      <c r="CI13" s="509"/>
      <c r="CJ13" s="509"/>
      <c r="CK13" s="509"/>
      <c r="CL13" s="509"/>
      <c r="CM13" s="509"/>
      <c r="CN13" s="509"/>
      <c r="CO13" s="509"/>
      <c r="CP13" s="509"/>
      <c r="CQ13" s="509"/>
      <c r="CR13" s="509"/>
      <c r="CS13" s="509"/>
    </row>
    <row r="14" spans="1:97" s="137" customFormat="1" ht="12.75" customHeight="1" x14ac:dyDescent="0.2">
      <c r="A14" s="1421">
        <v>10</v>
      </c>
      <c r="B14" s="649" t="s">
        <v>737</v>
      </c>
      <c r="C14" s="1607" t="s">
        <v>738</v>
      </c>
      <c r="D14" s="1605">
        <v>224313</v>
      </c>
      <c r="E14" s="1405">
        <v>213759155</v>
      </c>
      <c r="F14" s="1405">
        <v>4989</v>
      </c>
      <c r="G14" s="158">
        <v>-4826541</v>
      </c>
      <c r="H14" s="158">
        <v>-4788773</v>
      </c>
      <c r="I14" s="158">
        <v>-56773</v>
      </c>
      <c r="J14" s="158">
        <v>-3743</v>
      </c>
      <c r="K14" s="158">
        <v>-7691</v>
      </c>
      <c r="L14" s="158">
        <v>0</v>
      </c>
      <c r="M14" s="158">
        <v>-2899040</v>
      </c>
      <c r="N14" s="158">
        <v>-152</v>
      </c>
      <c r="O14" s="158">
        <v>-62026</v>
      </c>
      <c r="P14" s="158">
        <v>0</v>
      </c>
      <c r="Q14" s="158">
        <v>0</v>
      </c>
      <c r="R14" s="158">
        <v>0</v>
      </c>
      <c r="S14" s="158">
        <v>0</v>
      </c>
      <c r="T14" s="158">
        <v>0</v>
      </c>
      <c r="U14" s="158">
        <v>-8926118</v>
      </c>
      <c r="V14" s="158">
        <v>88248571</v>
      </c>
      <c r="W14" s="158">
        <v>-3309321</v>
      </c>
      <c r="X14" s="158">
        <v>152567500</v>
      </c>
      <c r="Y14" s="158">
        <v>211760270</v>
      </c>
      <c r="Z14" s="158">
        <v>42802530</v>
      </c>
      <c r="AA14" s="158">
        <v>34242024</v>
      </c>
      <c r="AB14" s="158">
        <v>7704455</v>
      </c>
      <c r="AC14" s="158">
        <v>856051</v>
      </c>
      <c r="AD14" s="158">
        <v>222538</v>
      </c>
      <c r="AE14" s="158">
        <v>0</v>
      </c>
      <c r="AF14" s="158">
        <v>20931</v>
      </c>
      <c r="AG14" s="158">
        <v>0</v>
      </c>
      <c r="AH14" s="158">
        <v>0</v>
      </c>
      <c r="AI14" s="158">
        <v>0</v>
      </c>
      <c r="AJ14" s="158">
        <v>0</v>
      </c>
      <c r="AK14" s="158">
        <v>2372360</v>
      </c>
      <c r="AL14" s="158">
        <v>223</v>
      </c>
      <c r="AM14" s="158">
        <v>10</v>
      </c>
      <c r="AN14" s="158">
        <v>1</v>
      </c>
      <c r="AO14" s="158">
        <v>4</v>
      </c>
      <c r="AP14" s="158">
        <v>0</v>
      </c>
      <c r="AQ14" s="158">
        <v>176</v>
      </c>
      <c r="AR14" s="158">
        <v>1</v>
      </c>
      <c r="AS14" s="158">
        <v>10</v>
      </c>
      <c r="AT14" s="158">
        <v>0</v>
      </c>
      <c r="AU14" s="158">
        <v>0</v>
      </c>
      <c r="AV14" s="158">
        <v>0</v>
      </c>
      <c r="AW14" s="158">
        <v>0</v>
      </c>
      <c r="AX14" s="158">
        <v>0</v>
      </c>
      <c r="AY14" s="158">
        <v>853</v>
      </c>
      <c r="AZ14" s="158">
        <v>778</v>
      </c>
      <c r="BA14" s="158">
        <v>1573</v>
      </c>
      <c r="BB14" s="158">
        <v>1327</v>
      </c>
      <c r="BC14" s="158">
        <v>246</v>
      </c>
      <c r="BD14" s="158">
        <v>2625</v>
      </c>
      <c r="BE14" s="158">
        <v>-400701</v>
      </c>
      <c r="BF14" s="158">
        <v>-50948</v>
      </c>
      <c r="BG14" s="158">
        <v>0</v>
      </c>
      <c r="BH14" s="158">
        <v>0</v>
      </c>
      <c r="BI14" s="158">
        <v>-2299062</v>
      </c>
      <c r="BJ14" s="158">
        <v>-148329</v>
      </c>
      <c r="BK14" s="158">
        <v>3487026</v>
      </c>
      <c r="BL14" s="1438">
        <v>27922325</v>
      </c>
      <c r="BM14" s="1439">
        <v>0</v>
      </c>
      <c r="BN14" s="784" t="s">
        <v>2349</v>
      </c>
      <c r="BO14" s="784" t="s">
        <v>2357</v>
      </c>
      <c r="BP14" s="1400" t="s">
        <v>2366</v>
      </c>
      <c r="BQ14" s="509"/>
      <c r="BR14" s="509"/>
      <c r="BS14" s="509"/>
      <c r="BT14" s="509"/>
      <c r="BU14" s="509"/>
      <c r="BV14" s="509"/>
      <c r="BW14" s="509"/>
      <c r="BX14" s="509"/>
      <c r="BY14" s="509"/>
      <c r="BZ14" s="509"/>
      <c r="CA14" s="509"/>
      <c r="CB14" s="509"/>
      <c r="CC14" s="509"/>
      <c r="CD14" s="509"/>
      <c r="CE14" s="509"/>
      <c r="CF14" s="509"/>
      <c r="CG14" s="509"/>
      <c r="CH14" s="509"/>
      <c r="CI14" s="509"/>
      <c r="CJ14" s="509"/>
      <c r="CK14" s="509"/>
      <c r="CL14" s="509"/>
      <c r="CM14" s="509"/>
      <c r="CN14" s="509"/>
      <c r="CO14" s="509"/>
      <c r="CP14" s="509"/>
      <c r="CQ14" s="509"/>
      <c r="CR14" s="509"/>
      <c r="CS14" s="509"/>
    </row>
    <row r="15" spans="1:97" s="137" customFormat="1" ht="12.75" customHeight="1" x14ac:dyDescent="0.2">
      <c r="A15" s="1421">
        <v>11</v>
      </c>
      <c r="B15" s="649" t="s">
        <v>969</v>
      </c>
      <c r="C15" s="1607" t="s">
        <v>740</v>
      </c>
      <c r="D15" s="1605">
        <v>200179</v>
      </c>
      <c r="E15" s="1405">
        <v>197982471</v>
      </c>
      <c r="F15" s="1405">
        <v>4541</v>
      </c>
      <c r="G15" s="158">
        <v>-3253256</v>
      </c>
      <c r="H15" s="158">
        <v>-4502112</v>
      </c>
      <c r="I15" s="158">
        <v>-12206</v>
      </c>
      <c r="J15" s="158">
        <v>-39282</v>
      </c>
      <c r="K15" s="158">
        <v>-10545</v>
      </c>
      <c r="L15" s="158">
        <v>-300000</v>
      </c>
      <c r="M15" s="158">
        <v>-3461921</v>
      </c>
      <c r="N15" s="158">
        <v>-623236</v>
      </c>
      <c r="O15" s="158">
        <v>-204867</v>
      </c>
      <c r="P15" s="158">
        <v>-3052</v>
      </c>
      <c r="Q15" s="158">
        <v>-97565</v>
      </c>
      <c r="R15" s="158">
        <v>-224720</v>
      </c>
      <c r="S15" s="158">
        <v>-224720</v>
      </c>
      <c r="T15" s="158">
        <v>0</v>
      </c>
      <c r="U15" s="158">
        <v>-6464694</v>
      </c>
      <c r="V15" s="158">
        <v>83926303</v>
      </c>
      <c r="W15" s="158">
        <v>-3357000</v>
      </c>
      <c r="X15" s="158">
        <v>150029150</v>
      </c>
      <c r="Y15" s="158">
        <v>198526510</v>
      </c>
      <c r="Z15" s="158">
        <v>39778942</v>
      </c>
      <c r="AA15" s="158">
        <v>32002930</v>
      </c>
      <c r="AB15" s="158">
        <v>7200659</v>
      </c>
      <c r="AC15" s="158">
        <v>800073</v>
      </c>
      <c r="AD15" s="158">
        <v>200786</v>
      </c>
      <c r="AE15" s="158">
        <v>0</v>
      </c>
      <c r="AF15" s="158">
        <v>1221540</v>
      </c>
      <c r="AG15" s="158">
        <v>0</v>
      </c>
      <c r="AH15" s="158">
        <v>224720</v>
      </c>
      <c r="AI15" s="158">
        <v>0</v>
      </c>
      <c r="AJ15" s="158">
        <v>0</v>
      </c>
      <c r="AK15" s="158">
        <v>-3086591</v>
      </c>
      <c r="AL15" s="158">
        <v>237</v>
      </c>
      <c r="AM15" s="158">
        <v>5</v>
      </c>
      <c r="AN15" s="158">
        <v>17</v>
      </c>
      <c r="AO15" s="158">
        <v>11</v>
      </c>
      <c r="AP15" s="158">
        <v>0</v>
      </c>
      <c r="AQ15" s="158">
        <v>387</v>
      </c>
      <c r="AR15" s="158">
        <v>198</v>
      </c>
      <c r="AS15" s="158">
        <v>44</v>
      </c>
      <c r="AT15" s="158">
        <v>5</v>
      </c>
      <c r="AU15" s="158">
        <v>26</v>
      </c>
      <c r="AV15" s="158">
        <v>0</v>
      </c>
      <c r="AW15" s="158">
        <v>28</v>
      </c>
      <c r="AX15" s="158">
        <v>0</v>
      </c>
      <c r="AY15" s="158">
        <v>529</v>
      </c>
      <c r="AZ15" s="158">
        <v>1492</v>
      </c>
      <c r="BA15" s="158">
        <v>1068</v>
      </c>
      <c r="BB15" s="158">
        <v>958</v>
      </c>
      <c r="BC15" s="158">
        <v>110</v>
      </c>
      <c r="BD15" s="158">
        <v>1982</v>
      </c>
      <c r="BE15" s="158">
        <v>-279819</v>
      </c>
      <c r="BF15" s="158">
        <v>-1112498</v>
      </c>
      <c r="BG15" s="158">
        <v>0</v>
      </c>
      <c r="BH15" s="158">
        <v>0</v>
      </c>
      <c r="BI15" s="158">
        <v>-1725791</v>
      </c>
      <c r="BJ15" s="158">
        <v>-343813</v>
      </c>
      <c r="BK15" s="158">
        <v>-4892784</v>
      </c>
      <c r="BL15" s="1438">
        <v>23249733</v>
      </c>
      <c r="BM15" s="1439">
        <v>463250</v>
      </c>
      <c r="BN15" s="784" t="s">
        <v>2349</v>
      </c>
      <c r="BO15" s="784" t="s">
        <v>2350</v>
      </c>
      <c r="BP15" s="1400" t="s">
        <v>2367</v>
      </c>
      <c r="BQ15" s="509"/>
      <c r="BR15" s="509"/>
      <c r="BS15" s="509"/>
      <c r="BT15" s="509"/>
      <c r="BU15" s="509"/>
      <c r="BV15" s="509"/>
      <c r="BW15" s="509"/>
      <c r="BX15" s="509"/>
      <c r="BY15" s="509"/>
      <c r="BZ15" s="509"/>
      <c r="CA15" s="509"/>
      <c r="CB15" s="509"/>
      <c r="CC15" s="509"/>
      <c r="CD15" s="509"/>
      <c r="CE15" s="509"/>
      <c r="CF15" s="509"/>
      <c r="CG15" s="509"/>
      <c r="CH15" s="509"/>
      <c r="CI15" s="509"/>
      <c r="CJ15" s="509"/>
      <c r="CK15" s="509"/>
      <c r="CL15" s="509"/>
      <c r="CM15" s="509"/>
      <c r="CN15" s="509"/>
      <c r="CO15" s="509"/>
      <c r="CP15" s="509"/>
      <c r="CQ15" s="509"/>
      <c r="CR15" s="509"/>
      <c r="CS15" s="509"/>
    </row>
    <row r="16" spans="1:97" s="137" customFormat="1" ht="12.75" customHeight="1" x14ac:dyDescent="0.2">
      <c r="A16" s="1421">
        <v>12</v>
      </c>
      <c r="B16" s="649" t="s">
        <v>741</v>
      </c>
      <c r="C16" s="1607" t="s">
        <v>742</v>
      </c>
      <c r="D16" s="1605">
        <v>176482</v>
      </c>
      <c r="E16" s="1405">
        <v>128045608</v>
      </c>
      <c r="F16" s="1405">
        <v>4551</v>
      </c>
      <c r="G16" s="158">
        <v>-4948380</v>
      </c>
      <c r="H16" s="158">
        <v>-3691958</v>
      </c>
      <c r="I16" s="158">
        <v>-41706</v>
      </c>
      <c r="J16" s="158">
        <v>-50849</v>
      </c>
      <c r="K16" s="158">
        <v>-21494</v>
      </c>
      <c r="L16" s="158">
        <v>-280000</v>
      </c>
      <c r="M16" s="158">
        <v>-617379</v>
      </c>
      <c r="N16" s="158">
        <v>-91888</v>
      </c>
      <c r="O16" s="158">
        <v>-48429</v>
      </c>
      <c r="P16" s="158">
        <v>0</v>
      </c>
      <c r="Q16" s="158">
        <v>0</v>
      </c>
      <c r="R16" s="158">
        <v>0</v>
      </c>
      <c r="S16" s="158">
        <v>0</v>
      </c>
      <c r="T16" s="158">
        <v>0</v>
      </c>
      <c r="U16" s="158">
        <v>-3302451</v>
      </c>
      <c r="V16" s="158">
        <v>52114689</v>
      </c>
      <c r="W16" s="158">
        <v>-706000</v>
      </c>
      <c r="X16" s="158">
        <v>86417600</v>
      </c>
      <c r="Y16" s="158">
        <v>125768557</v>
      </c>
      <c r="Z16" s="158">
        <v>25389417</v>
      </c>
      <c r="AA16" s="158">
        <v>20311534</v>
      </c>
      <c r="AB16" s="158">
        <v>4570095</v>
      </c>
      <c r="AC16" s="158">
        <v>507788</v>
      </c>
      <c r="AD16" s="158">
        <v>174015</v>
      </c>
      <c r="AE16" s="158">
        <v>0</v>
      </c>
      <c r="AF16" s="158">
        <v>1485671</v>
      </c>
      <c r="AG16" s="158">
        <v>0</v>
      </c>
      <c r="AH16" s="158">
        <v>0</v>
      </c>
      <c r="AI16" s="158">
        <v>0</v>
      </c>
      <c r="AJ16" s="158">
        <v>0</v>
      </c>
      <c r="AK16" s="158">
        <v>4519013</v>
      </c>
      <c r="AL16" s="158">
        <v>202</v>
      </c>
      <c r="AM16" s="158">
        <v>7</v>
      </c>
      <c r="AN16" s="158">
        <v>23</v>
      </c>
      <c r="AO16" s="158">
        <v>8</v>
      </c>
      <c r="AP16" s="158">
        <v>0</v>
      </c>
      <c r="AQ16" s="158">
        <v>403</v>
      </c>
      <c r="AR16" s="158">
        <v>57</v>
      </c>
      <c r="AS16" s="158">
        <v>4</v>
      </c>
      <c r="AT16" s="158">
        <v>0</v>
      </c>
      <c r="AU16" s="158">
        <v>23</v>
      </c>
      <c r="AV16" s="158">
        <v>0</v>
      </c>
      <c r="AW16" s="158">
        <v>0</v>
      </c>
      <c r="AX16" s="158">
        <v>0</v>
      </c>
      <c r="AY16" s="158">
        <v>461</v>
      </c>
      <c r="AZ16" s="158">
        <v>355</v>
      </c>
      <c r="BA16" s="158">
        <v>2059</v>
      </c>
      <c r="BB16" s="158">
        <v>1953</v>
      </c>
      <c r="BC16" s="158">
        <v>106</v>
      </c>
      <c r="BD16" s="158">
        <v>2074</v>
      </c>
      <c r="BE16" s="158">
        <v>0</v>
      </c>
      <c r="BF16" s="158">
        <v>-299222</v>
      </c>
      <c r="BG16" s="158">
        <v>0</v>
      </c>
      <c r="BH16" s="158">
        <v>-47916</v>
      </c>
      <c r="BI16" s="158">
        <v>-270241</v>
      </c>
      <c r="BJ16" s="158">
        <v>0</v>
      </c>
      <c r="BK16" s="158">
        <v>3709168</v>
      </c>
      <c r="BL16" s="1438">
        <v>13695000</v>
      </c>
      <c r="BM16" s="1439">
        <v>0</v>
      </c>
      <c r="BN16" s="784" t="s">
        <v>2349</v>
      </c>
      <c r="BO16" s="784" t="s">
        <v>2352</v>
      </c>
      <c r="BP16" s="1400" t="s">
        <v>2368</v>
      </c>
      <c r="BQ16" s="509"/>
      <c r="BR16" s="509"/>
      <c r="BS16" s="509"/>
      <c r="BT16" s="509"/>
      <c r="BU16" s="509"/>
      <c r="BV16" s="509"/>
      <c r="BW16" s="509"/>
      <c r="BX16" s="509"/>
      <c r="BY16" s="509"/>
      <c r="BZ16" s="509"/>
      <c r="CA16" s="509"/>
      <c r="CB16" s="509"/>
      <c r="CC16" s="509"/>
      <c r="CD16" s="509"/>
      <c r="CE16" s="509"/>
      <c r="CF16" s="509"/>
      <c r="CG16" s="509"/>
      <c r="CH16" s="509"/>
      <c r="CI16" s="509"/>
      <c r="CJ16" s="509"/>
      <c r="CK16" s="509"/>
      <c r="CL16" s="509"/>
      <c r="CM16" s="509"/>
      <c r="CN16" s="509"/>
      <c r="CO16" s="509"/>
      <c r="CP16" s="509"/>
      <c r="CQ16" s="509"/>
      <c r="CR16" s="509"/>
      <c r="CS16" s="509"/>
    </row>
    <row r="17" spans="1:98" s="137" customFormat="1" ht="12.75" customHeight="1" x14ac:dyDescent="0.2">
      <c r="A17" s="1421">
        <v>13</v>
      </c>
      <c r="B17" s="649" t="s">
        <v>970</v>
      </c>
      <c r="C17" s="1607" t="s">
        <v>744</v>
      </c>
      <c r="D17" s="1605">
        <v>266148</v>
      </c>
      <c r="E17" s="1405">
        <v>194611716</v>
      </c>
      <c r="F17" s="1405">
        <v>6637</v>
      </c>
      <c r="G17" s="158">
        <v>-6455952</v>
      </c>
      <c r="H17" s="158">
        <v>-12044100</v>
      </c>
      <c r="I17" s="158">
        <v>-155040</v>
      </c>
      <c r="J17" s="158">
        <v>-22115</v>
      </c>
      <c r="K17" s="158">
        <v>-16500</v>
      </c>
      <c r="L17" s="158">
        <v>0</v>
      </c>
      <c r="M17" s="158">
        <v>-3999948</v>
      </c>
      <c r="N17" s="158">
        <v>-92668</v>
      </c>
      <c r="O17" s="158">
        <v>-33849</v>
      </c>
      <c r="P17" s="158">
        <v>-19777</v>
      </c>
      <c r="Q17" s="158">
        <v>-24466</v>
      </c>
      <c r="R17" s="158">
        <v>-26697</v>
      </c>
      <c r="S17" s="158">
        <v>-26697</v>
      </c>
      <c r="T17" s="158">
        <v>0</v>
      </c>
      <c r="U17" s="158">
        <v>-7035722</v>
      </c>
      <c r="V17" s="158">
        <v>67737346</v>
      </c>
      <c r="W17" s="158">
        <v>-2448952</v>
      </c>
      <c r="X17" s="158">
        <v>122951450</v>
      </c>
      <c r="Y17" s="158">
        <v>192975613</v>
      </c>
      <c r="Z17" s="158">
        <v>0</v>
      </c>
      <c r="AA17" s="158">
        <v>62307956</v>
      </c>
      <c r="AB17" s="158">
        <v>3314253</v>
      </c>
      <c r="AC17" s="158">
        <v>662851</v>
      </c>
      <c r="AD17" s="158">
        <v>268074</v>
      </c>
      <c r="AE17" s="158">
        <v>1660957</v>
      </c>
      <c r="AF17" s="158">
        <v>19929</v>
      </c>
      <c r="AG17" s="158">
        <v>0</v>
      </c>
      <c r="AH17" s="158">
        <v>0</v>
      </c>
      <c r="AI17" s="158">
        <v>0</v>
      </c>
      <c r="AJ17" s="158">
        <v>0</v>
      </c>
      <c r="AK17" s="158">
        <v>-60697</v>
      </c>
      <c r="AL17" s="158">
        <v>422</v>
      </c>
      <c r="AM17" s="158">
        <v>41</v>
      </c>
      <c r="AN17" s="158">
        <v>10</v>
      </c>
      <c r="AO17" s="158">
        <v>8</v>
      </c>
      <c r="AP17" s="158">
        <v>0</v>
      </c>
      <c r="AQ17" s="158">
        <v>618</v>
      </c>
      <c r="AR17" s="158">
        <v>61</v>
      </c>
      <c r="AS17" s="158">
        <v>17</v>
      </c>
      <c r="AT17" s="158">
        <v>27</v>
      </c>
      <c r="AU17" s="158">
        <v>0</v>
      </c>
      <c r="AV17" s="158">
        <v>33</v>
      </c>
      <c r="AW17" s="158">
        <v>2</v>
      </c>
      <c r="AX17" s="158">
        <v>0</v>
      </c>
      <c r="AY17" s="158">
        <v>660</v>
      </c>
      <c r="AZ17" s="158">
        <v>1731</v>
      </c>
      <c r="BA17" s="158">
        <v>2507</v>
      </c>
      <c r="BB17" s="158">
        <v>2295</v>
      </c>
      <c r="BC17" s="158">
        <v>212</v>
      </c>
      <c r="BD17" s="158">
        <v>2438</v>
      </c>
      <c r="BE17" s="158">
        <v>-28386</v>
      </c>
      <c r="BF17" s="158">
        <v>-3216882</v>
      </c>
      <c r="BG17" s="158">
        <v>0</v>
      </c>
      <c r="BH17" s="158">
        <v>-7650</v>
      </c>
      <c r="BI17" s="158">
        <v>-747030</v>
      </c>
      <c r="BJ17" s="158">
        <v>0</v>
      </c>
      <c r="BK17" s="158">
        <v>5624719</v>
      </c>
      <c r="BL17" s="1438">
        <v>26406500</v>
      </c>
      <c r="BM17" s="1439">
        <v>1149000</v>
      </c>
      <c r="BN17" s="784" t="s">
        <v>509</v>
      </c>
      <c r="BO17" s="784" t="s">
        <v>2369</v>
      </c>
      <c r="BP17" s="1400" t="s">
        <v>2370</v>
      </c>
      <c r="BQ17" s="509"/>
      <c r="BR17" s="509"/>
      <c r="BS17" s="509"/>
      <c r="BT17" s="509"/>
      <c r="BU17" s="509"/>
      <c r="BV17" s="509"/>
      <c r="BW17" s="509"/>
      <c r="BX17" s="509"/>
      <c r="BY17" s="509"/>
      <c r="BZ17" s="509"/>
      <c r="CA17" s="509"/>
      <c r="CB17" s="509"/>
      <c r="CC17" s="509"/>
      <c r="CD17" s="509"/>
      <c r="CE17" s="509"/>
      <c r="CF17" s="509"/>
      <c r="CG17" s="509"/>
      <c r="CH17" s="509"/>
      <c r="CI17" s="509"/>
      <c r="CJ17" s="509"/>
      <c r="CK17" s="509"/>
      <c r="CL17" s="509"/>
      <c r="CM17" s="509"/>
      <c r="CN17" s="509"/>
      <c r="CO17" s="509"/>
      <c r="CP17" s="509"/>
      <c r="CQ17" s="509"/>
      <c r="CR17" s="509"/>
      <c r="CS17" s="509"/>
    </row>
    <row r="18" spans="1:98" s="137" customFormat="1" ht="12.75" customHeight="1" x14ac:dyDescent="0.2">
      <c r="A18" s="1421">
        <v>14</v>
      </c>
      <c r="B18" s="649" t="s">
        <v>745</v>
      </c>
      <c r="C18" s="1607" t="s">
        <v>746</v>
      </c>
      <c r="D18" s="1605">
        <v>240364</v>
      </c>
      <c r="E18" s="1405">
        <v>215657108</v>
      </c>
      <c r="F18" s="1405">
        <v>5626</v>
      </c>
      <c r="G18" s="158">
        <v>-5797330</v>
      </c>
      <c r="H18" s="158">
        <v>-8010769</v>
      </c>
      <c r="I18" s="158">
        <v>-147145</v>
      </c>
      <c r="J18" s="158">
        <v>-59145</v>
      </c>
      <c r="K18" s="158">
        <v>0</v>
      </c>
      <c r="L18" s="158">
        <v>0</v>
      </c>
      <c r="M18" s="158">
        <v>-3600000</v>
      </c>
      <c r="N18" s="158">
        <v>-22000</v>
      </c>
      <c r="O18" s="158">
        <v>0</v>
      </c>
      <c r="P18" s="158">
        <v>-100</v>
      </c>
      <c r="Q18" s="158">
        <v>-627</v>
      </c>
      <c r="R18" s="158">
        <v>0</v>
      </c>
      <c r="S18" s="158">
        <v>0</v>
      </c>
      <c r="T18" s="158">
        <v>0</v>
      </c>
      <c r="U18" s="158">
        <v>-4422855</v>
      </c>
      <c r="V18" s="158">
        <v>89697892</v>
      </c>
      <c r="W18" s="158">
        <v>-3562278</v>
      </c>
      <c r="X18" s="158">
        <v>160014899</v>
      </c>
      <c r="Y18" s="158">
        <v>213940995</v>
      </c>
      <c r="Z18" s="158">
        <v>43803340</v>
      </c>
      <c r="AA18" s="158">
        <v>42927274</v>
      </c>
      <c r="AB18" s="158">
        <v>0</v>
      </c>
      <c r="AC18" s="158">
        <v>876067</v>
      </c>
      <c r="AD18" s="158">
        <v>238394</v>
      </c>
      <c r="AE18" s="158">
        <v>0</v>
      </c>
      <c r="AF18" s="158">
        <v>913020</v>
      </c>
      <c r="AG18" s="158">
        <v>0</v>
      </c>
      <c r="AH18" s="158">
        <v>0</v>
      </c>
      <c r="AI18" s="158">
        <v>0</v>
      </c>
      <c r="AJ18" s="158">
        <v>0</v>
      </c>
      <c r="AK18" s="158">
        <v>2913077</v>
      </c>
      <c r="AL18" s="158">
        <v>361</v>
      </c>
      <c r="AM18" s="158">
        <v>18</v>
      </c>
      <c r="AN18" s="158">
        <v>22</v>
      </c>
      <c r="AO18" s="158">
        <v>0</v>
      </c>
      <c r="AP18" s="158">
        <v>0</v>
      </c>
      <c r="AQ18" s="158">
        <v>654</v>
      </c>
      <c r="AR18" s="158">
        <v>41</v>
      </c>
      <c r="AS18" s="158">
        <v>0</v>
      </c>
      <c r="AT18" s="158">
        <v>1</v>
      </c>
      <c r="AU18" s="158">
        <v>23</v>
      </c>
      <c r="AV18" s="158">
        <v>1</v>
      </c>
      <c r="AW18" s="158">
        <v>0</v>
      </c>
      <c r="AX18" s="158">
        <v>0</v>
      </c>
      <c r="AY18" s="158">
        <v>674</v>
      </c>
      <c r="AZ18" s="158">
        <v>1820</v>
      </c>
      <c r="BA18" s="158">
        <v>2022</v>
      </c>
      <c r="BB18" s="158">
        <v>1836</v>
      </c>
      <c r="BC18" s="158">
        <v>186</v>
      </c>
      <c r="BD18" s="158">
        <v>1753</v>
      </c>
      <c r="BE18" s="158">
        <v>-1600000</v>
      </c>
      <c r="BF18" s="158">
        <v>-230000</v>
      </c>
      <c r="BG18" s="158">
        <v>0</v>
      </c>
      <c r="BH18" s="158">
        <v>0</v>
      </c>
      <c r="BI18" s="158">
        <v>-1770000</v>
      </c>
      <c r="BJ18" s="158">
        <v>0</v>
      </c>
      <c r="BK18" s="158">
        <v>2755115</v>
      </c>
      <c r="BL18" s="1438">
        <v>19919450</v>
      </c>
      <c r="BM18" s="1439">
        <v>0</v>
      </c>
      <c r="BN18" s="784" t="s">
        <v>509</v>
      </c>
      <c r="BO18" s="784" t="s">
        <v>2357</v>
      </c>
      <c r="BP18" s="1400" t="s">
        <v>2371</v>
      </c>
      <c r="BQ18" s="509"/>
      <c r="BR18" s="509"/>
      <c r="BS18" s="509"/>
      <c r="BT18" s="509"/>
      <c r="BU18" s="509"/>
      <c r="BV18" s="509"/>
      <c r="BW18" s="509"/>
      <c r="BX18" s="509"/>
      <c r="BY18" s="509"/>
      <c r="BZ18" s="509"/>
      <c r="CA18" s="509"/>
      <c r="CB18" s="509"/>
      <c r="CC18" s="509"/>
      <c r="CD18" s="509"/>
      <c r="CE18" s="509"/>
      <c r="CF18" s="509"/>
      <c r="CG18" s="509"/>
      <c r="CH18" s="509"/>
      <c r="CI18" s="509"/>
      <c r="CJ18" s="509"/>
      <c r="CK18" s="509"/>
      <c r="CL18" s="509"/>
      <c r="CM18" s="509"/>
      <c r="CN18" s="509"/>
      <c r="CO18" s="509"/>
      <c r="CP18" s="509"/>
      <c r="CQ18" s="509"/>
      <c r="CR18" s="509"/>
      <c r="CS18" s="509"/>
    </row>
    <row r="19" spans="1:98" s="137" customFormat="1" ht="12.75" customHeight="1" x14ac:dyDescent="0.2">
      <c r="A19" s="1421">
        <v>15</v>
      </c>
      <c r="B19" s="649" t="s">
        <v>747</v>
      </c>
      <c r="C19" s="1607" t="s">
        <v>748</v>
      </c>
      <c r="D19" s="1605">
        <v>244748</v>
      </c>
      <c r="E19" s="1405">
        <v>229895072</v>
      </c>
      <c r="F19" s="1405">
        <v>5374</v>
      </c>
      <c r="G19" s="158">
        <v>-6638779</v>
      </c>
      <c r="H19" s="158">
        <v>-10338936</v>
      </c>
      <c r="I19" s="158">
        <v>-108956</v>
      </c>
      <c r="J19" s="158">
        <v>0</v>
      </c>
      <c r="K19" s="158">
        <v>-9534</v>
      </c>
      <c r="L19" s="158">
        <v>-3962</v>
      </c>
      <c r="M19" s="158">
        <v>-1879000</v>
      </c>
      <c r="N19" s="158">
        <v>0</v>
      </c>
      <c r="O19" s="158">
        <v>0</v>
      </c>
      <c r="P19" s="158">
        <v>0</v>
      </c>
      <c r="Q19" s="158">
        <v>0</v>
      </c>
      <c r="R19" s="158">
        <v>0</v>
      </c>
      <c r="S19" s="158">
        <v>0</v>
      </c>
      <c r="T19" s="158">
        <v>0</v>
      </c>
      <c r="U19" s="158">
        <v>-4781626</v>
      </c>
      <c r="V19" s="158">
        <v>95273181</v>
      </c>
      <c r="W19" s="158">
        <v>-528981</v>
      </c>
      <c r="X19" s="158">
        <v>169554000</v>
      </c>
      <c r="Y19" s="158">
        <v>227666900</v>
      </c>
      <c r="Z19" s="158">
        <v>31625792</v>
      </c>
      <c r="AA19" s="158">
        <v>28750720</v>
      </c>
      <c r="AB19" s="158">
        <v>35459222</v>
      </c>
      <c r="AC19" s="158">
        <v>0</v>
      </c>
      <c r="AD19" s="158">
        <v>242476</v>
      </c>
      <c r="AE19" s="158">
        <v>0</v>
      </c>
      <c r="AF19" s="158">
        <v>28119</v>
      </c>
      <c r="AG19" s="158">
        <v>0</v>
      </c>
      <c r="AH19" s="158">
        <v>0</v>
      </c>
      <c r="AI19" s="158">
        <v>0</v>
      </c>
      <c r="AJ19" s="158">
        <v>0</v>
      </c>
      <c r="AK19" s="158">
        <v>-9034846</v>
      </c>
      <c r="AL19" s="158">
        <v>252</v>
      </c>
      <c r="AM19" s="158">
        <v>13</v>
      </c>
      <c r="AN19" s="158">
        <v>0</v>
      </c>
      <c r="AO19" s="158">
        <v>5</v>
      </c>
      <c r="AP19" s="158">
        <v>1</v>
      </c>
      <c r="AQ19" s="158">
        <v>400</v>
      </c>
      <c r="AR19" s="158">
        <v>0</v>
      </c>
      <c r="AS19" s="158">
        <v>0</v>
      </c>
      <c r="AT19" s="158">
        <v>0</v>
      </c>
      <c r="AU19" s="158">
        <v>0</v>
      </c>
      <c r="AV19" s="158">
        <v>0</v>
      </c>
      <c r="AW19" s="158">
        <v>0</v>
      </c>
      <c r="AX19" s="158">
        <v>0</v>
      </c>
      <c r="AY19" s="158">
        <v>580</v>
      </c>
      <c r="AZ19" s="158">
        <v>1225</v>
      </c>
      <c r="BA19" s="158">
        <v>1936</v>
      </c>
      <c r="BB19" s="158">
        <v>1749</v>
      </c>
      <c r="BC19" s="158">
        <v>187</v>
      </c>
      <c r="BD19" s="158">
        <v>2204</v>
      </c>
      <c r="BE19" s="158">
        <v>-168413</v>
      </c>
      <c r="BF19" s="158">
        <v>-44177</v>
      </c>
      <c r="BG19" s="158">
        <v>0</v>
      </c>
      <c r="BH19" s="158">
        <v>-4323</v>
      </c>
      <c r="BI19" s="158">
        <v>-78606</v>
      </c>
      <c r="BJ19" s="158">
        <v>-1583481</v>
      </c>
      <c r="BK19" s="158">
        <v>-7786098</v>
      </c>
      <c r="BL19" s="1438">
        <v>17651000</v>
      </c>
      <c r="BM19" s="1439">
        <v>0</v>
      </c>
      <c r="BN19" s="784" t="s">
        <v>2359</v>
      </c>
      <c r="BO19" s="784" t="s">
        <v>2360</v>
      </c>
      <c r="BP19" s="1400" t="s">
        <v>2372</v>
      </c>
      <c r="BQ19" s="509"/>
      <c r="BR19" s="509"/>
      <c r="BS19" s="509"/>
      <c r="BT19" s="509"/>
      <c r="BU19" s="509"/>
      <c r="BV19" s="509"/>
      <c r="BW19" s="509"/>
      <c r="BX19" s="509"/>
      <c r="BY19" s="509"/>
      <c r="BZ19" s="509"/>
      <c r="CA19" s="509"/>
      <c r="CB19" s="509"/>
      <c r="CC19" s="509"/>
      <c r="CD19" s="509"/>
      <c r="CE19" s="509"/>
      <c r="CF19" s="509"/>
      <c r="CG19" s="509"/>
      <c r="CH19" s="509"/>
      <c r="CI19" s="509"/>
      <c r="CJ19" s="509"/>
      <c r="CK19" s="509"/>
      <c r="CL19" s="509"/>
      <c r="CM19" s="509"/>
      <c r="CN19" s="509"/>
      <c r="CO19" s="509"/>
      <c r="CP19" s="509"/>
      <c r="CQ19" s="509"/>
      <c r="CR19" s="509"/>
      <c r="CS19" s="509"/>
    </row>
    <row r="20" spans="1:98" s="137" customFormat="1" ht="12.75" customHeight="1" x14ac:dyDescent="0.2">
      <c r="A20" s="1421">
        <v>16</v>
      </c>
      <c r="B20" s="649" t="s">
        <v>749</v>
      </c>
      <c r="C20" s="1607" t="s">
        <v>750</v>
      </c>
      <c r="D20" s="1605">
        <v>1793301</v>
      </c>
      <c r="E20" s="1405">
        <v>1215327025</v>
      </c>
      <c r="F20" s="1405">
        <v>46938</v>
      </c>
      <c r="G20" s="158">
        <v>-40711913</v>
      </c>
      <c r="H20" s="158">
        <v>-46079872</v>
      </c>
      <c r="I20" s="158">
        <v>-135000</v>
      </c>
      <c r="J20" s="158">
        <v>0</v>
      </c>
      <c r="K20" s="158">
        <v>0</v>
      </c>
      <c r="L20" s="158">
        <v>-444784</v>
      </c>
      <c r="M20" s="158">
        <v>-23755616</v>
      </c>
      <c r="N20" s="158">
        <v>-200000</v>
      </c>
      <c r="O20" s="158">
        <v>-699999</v>
      </c>
      <c r="P20" s="158">
        <v>0</v>
      </c>
      <c r="Q20" s="158">
        <v>0</v>
      </c>
      <c r="R20" s="158">
        <v>0</v>
      </c>
      <c r="S20" s="158">
        <v>0</v>
      </c>
      <c r="T20" s="158">
        <v>0</v>
      </c>
      <c r="U20" s="158">
        <v>-46824118</v>
      </c>
      <c r="V20" s="158">
        <v>476085437</v>
      </c>
      <c r="W20" s="158">
        <v>-22541192</v>
      </c>
      <c r="X20" s="158">
        <v>818108600</v>
      </c>
      <c r="Y20" s="158">
        <v>1216723719</v>
      </c>
      <c r="Z20" s="158">
        <v>0</v>
      </c>
      <c r="AA20" s="158">
        <v>435576518</v>
      </c>
      <c r="AB20" s="158">
        <v>0</v>
      </c>
      <c r="AC20" s="158">
        <v>4399763</v>
      </c>
      <c r="AD20" s="158">
        <v>1806958</v>
      </c>
      <c r="AE20" s="158">
        <v>18968532</v>
      </c>
      <c r="AF20" s="158">
        <v>0</v>
      </c>
      <c r="AG20" s="158">
        <v>0</v>
      </c>
      <c r="AH20" s="158">
        <v>0</v>
      </c>
      <c r="AI20" s="158">
        <v>0</v>
      </c>
      <c r="AJ20" s="158">
        <v>0</v>
      </c>
      <c r="AK20" s="158">
        <v>-60695922</v>
      </c>
      <c r="AL20" s="158">
        <v>1991</v>
      </c>
      <c r="AM20" s="158">
        <v>0</v>
      </c>
      <c r="AN20" s="158">
        <v>0</v>
      </c>
      <c r="AO20" s="158">
        <v>0</v>
      </c>
      <c r="AP20" s="158">
        <v>0</v>
      </c>
      <c r="AQ20" s="158">
        <v>9944</v>
      </c>
      <c r="AR20" s="158">
        <v>18</v>
      </c>
      <c r="AS20" s="158">
        <v>0</v>
      </c>
      <c r="AT20" s="158">
        <v>0</v>
      </c>
      <c r="AU20" s="158">
        <v>0</v>
      </c>
      <c r="AV20" s="158">
        <v>0</v>
      </c>
      <c r="AW20" s="158">
        <v>0</v>
      </c>
      <c r="AX20" s="158">
        <v>0</v>
      </c>
      <c r="AY20" s="158">
        <v>5614</v>
      </c>
      <c r="AZ20" s="158">
        <v>15708</v>
      </c>
      <c r="BA20" s="158">
        <v>14876</v>
      </c>
      <c r="BB20" s="158">
        <v>13190</v>
      </c>
      <c r="BC20" s="158">
        <v>1686</v>
      </c>
      <c r="BD20" s="158">
        <v>16905</v>
      </c>
      <c r="BE20" s="158">
        <v>-3865265</v>
      </c>
      <c r="BF20" s="158">
        <v>-4934105</v>
      </c>
      <c r="BG20" s="158">
        <v>0</v>
      </c>
      <c r="BH20" s="158">
        <v>-111128</v>
      </c>
      <c r="BI20" s="158">
        <v>-9275063</v>
      </c>
      <c r="BJ20" s="158">
        <v>-5570055</v>
      </c>
      <c r="BK20" s="158">
        <v>-49747394</v>
      </c>
      <c r="BL20" s="1438">
        <v>128172300</v>
      </c>
      <c r="BM20" s="1439">
        <v>3725500</v>
      </c>
      <c r="BN20" s="784" t="s">
        <v>2363</v>
      </c>
      <c r="BO20" s="784" t="s">
        <v>2373</v>
      </c>
      <c r="BP20" s="1400" t="s">
        <v>2374</v>
      </c>
      <c r="BQ20" s="509"/>
      <c r="BR20" s="509"/>
      <c r="BS20" s="509"/>
      <c r="BT20" s="509"/>
      <c r="BU20" s="509"/>
      <c r="BV20" s="509"/>
      <c r="BW20" s="509"/>
      <c r="BX20" s="509"/>
      <c r="BY20" s="509"/>
      <c r="BZ20" s="509"/>
      <c r="CA20" s="509"/>
      <c r="CB20" s="509"/>
      <c r="CC20" s="509"/>
      <c r="CD20" s="509"/>
      <c r="CE20" s="509"/>
      <c r="CF20" s="509"/>
      <c r="CG20" s="509"/>
      <c r="CH20" s="509"/>
      <c r="CI20" s="509"/>
      <c r="CJ20" s="509"/>
      <c r="CK20" s="509"/>
      <c r="CL20" s="509"/>
      <c r="CM20" s="509"/>
      <c r="CN20" s="509"/>
      <c r="CO20" s="509"/>
      <c r="CP20" s="509"/>
      <c r="CQ20" s="509"/>
      <c r="CR20" s="509"/>
      <c r="CS20" s="509"/>
    </row>
    <row r="21" spans="1:98" s="137" customFormat="1" ht="12.75" customHeight="1" x14ac:dyDescent="0.2">
      <c r="A21" s="1421">
        <v>17</v>
      </c>
      <c r="B21" s="649" t="s">
        <v>751</v>
      </c>
      <c r="C21" s="1607" t="s">
        <v>752</v>
      </c>
      <c r="D21" s="1605">
        <v>107977</v>
      </c>
      <c r="E21" s="1405">
        <v>119082735</v>
      </c>
      <c r="F21" s="1405">
        <v>2462</v>
      </c>
      <c r="G21" s="158">
        <v>-2591254</v>
      </c>
      <c r="H21" s="158">
        <v>-1707530</v>
      </c>
      <c r="I21" s="158">
        <v>-49564</v>
      </c>
      <c r="J21" s="158">
        <v>0</v>
      </c>
      <c r="K21" s="158">
        <v>-861</v>
      </c>
      <c r="L21" s="158">
        <v>-3590</v>
      </c>
      <c r="M21" s="158">
        <v>-233535</v>
      </c>
      <c r="N21" s="158">
        <v>-82690</v>
      </c>
      <c r="O21" s="158">
        <v>-5887</v>
      </c>
      <c r="P21" s="158">
        <v>-4934</v>
      </c>
      <c r="Q21" s="158">
        <v>0</v>
      </c>
      <c r="R21" s="158">
        <v>0</v>
      </c>
      <c r="S21" s="158">
        <v>0</v>
      </c>
      <c r="T21" s="158">
        <v>0</v>
      </c>
      <c r="U21" s="158">
        <v>-1689841</v>
      </c>
      <c r="V21" s="158">
        <v>55281712</v>
      </c>
      <c r="W21" s="158">
        <v>-2249000</v>
      </c>
      <c r="X21" s="158">
        <v>93507450</v>
      </c>
      <c r="Y21" s="158">
        <v>116206650</v>
      </c>
      <c r="Z21" s="158">
        <v>26324991</v>
      </c>
      <c r="AA21" s="158">
        <v>21059994</v>
      </c>
      <c r="AB21" s="158">
        <v>4738499</v>
      </c>
      <c r="AC21" s="158">
        <v>526500</v>
      </c>
      <c r="AD21" s="158">
        <v>106386</v>
      </c>
      <c r="AE21" s="158">
        <v>0</v>
      </c>
      <c r="AF21" s="158">
        <v>0</v>
      </c>
      <c r="AG21" s="158">
        <v>0</v>
      </c>
      <c r="AH21" s="158">
        <v>0</v>
      </c>
      <c r="AI21" s="158">
        <v>0</v>
      </c>
      <c r="AJ21" s="158">
        <v>0</v>
      </c>
      <c r="AK21" s="158">
        <v>-592885</v>
      </c>
      <c r="AL21" s="158">
        <v>87</v>
      </c>
      <c r="AM21" s="158">
        <v>13</v>
      </c>
      <c r="AN21" s="158">
        <v>0</v>
      </c>
      <c r="AO21" s="158">
        <v>1</v>
      </c>
      <c r="AP21" s="158">
        <v>1</v>
      </c>
      <c r="AQ21" s="158">
        <v>137</v>
      </c>
      <c r="AR21" s="158">
        <v>44</v>
      </c>
      <c r="AS21" s="158">
        <v>3</v>
      </c>
      <c r="AT21" s="158">
        <v>8</v>
      </c>
      <c r="AU21" s="158">
        <v>0</v>
      </c>
      <c r="AV21" s="158">
        <v>0</v>
      </c>
      <c r="AW21" s="158">
        <v>0</v>
      </c>
      <c r="AX21" s="158">
        <v>0</v>
      </c>
      <c r="AY21" s="158">
        <v>133</v>
      </c>
      <c r="AZ21" s="158">
        <v>752</v>
      </c>
      <c r="BA21" s="158">
        <v>906</v>
      </c>
      <c r="BB21" s="158">
        <v>819</v>
      </c>
      <c r="BC21" s="158">
        <v>87</v>
      </c>
      <c r="BD21" s="158">
        <v>836</v>
      </c>
      <c r="BE21" s="158">
        <v>-5908</v>
      </c>
      <c r="BF21" s="158">
        <v>-27167</v>
      </c>
      <c r="BG21" s="158">
        <v>0</v>
      </c>
      <c r="BH21" s="158">
        <v>0</v>
      </c>
      <c r="BI21" s="158">
        <v>-134031</v>
      </c>
      <c r="BJ21" s="158">
        <v>-66429</v>
      </c>
      <c r="BK21" s="158">
        <v>1509053</v>
      </c>
      <c r="BL21" s="1438">
        <v>9942650</v>
      </c>
      <c r="BM21" s="1439">
        <v>0</v>
      </c>
      <c r="BN21" s="784" t="s">
        <v>2349</v>
      </c>
      <c r="BO21" s="784" t="s">
        <v>2352</v>
      </c>
      <c r="BP21" s="1400" t="s">
        <v>2375</v>
      </c>
      <c r="BQ21" s="509"/>
      <c r="BR21" s="509"/>
      <c r="BS21" s="509"/>
      <c r="BT21" s="509"/>
      <c r="BU21" s="509"/>
      <c r="BV21" s="509"/>
      <c r="BW21" s="509"/>
      <c r="BX21" s="509"/>
      <c r="BY21" s="509"/>
      <c r="BZ21" s="509"/>
      <c r="CA21" s="509"/>
      <c r="CB21" s="509"/>
      <c r="CC21" s="509"/>
      <c r="CD21" s="509"/>
      <c r="CE21" s="509"/>
      <c r="CF21" s="509"/>
      <c r="CG21" s="509"/>
      <c r="CH21" s="509"/>
      <c r="CI21" s="509"/>
      <c r="CJ21" s="509"/>
      <c r="CK21" s="509"/>
      <c r="CL21" s="509"/>
      <c r="CM21" s="509"/>
      <c r="CN21" s="509"/>
      <c r="CO21" s="509"/>
      <c r="CP21" s="509"/>
      <c r="CQ21" s="509"/>
      <c r="CR21" s="509"/>
      <c r="CS21" s="509"/>
    </row>
    <row r="22" spans="1:98" s="137" customFormat="1" ht="12.75" customHeight="1" x14ac:dyDescent="0.2">
      <c r="A22" s="1421">
        <v>18</v>
      </c>
      <c r="B22" s="649" t="s">
        <v>605</v>
      </c>
      <c r="C22" s="1607" t="s">
        <v>754</v>
      </c>
      <c r="D22" s="1605">
        <v>288758</v>
      </c>
      <c r="E22" s="1405">
        <v>130183055</v>
      </c>
      <c r="F22" s="1405">
        <v>8269</v>
      </c>
      <c r="G22" s="158">
        <v>-9009625</v>
      </c>
      <c r="H22" s="158">
        <v>-5560796</v>
      </c>
      <c r="I22" s="158">
        <v>-66900</v>
      </c>
      <c r="J22" s="158">
        <v>-3394</v>
      </c>
      <c r="K22" s="158">
        <v>0</v>
      </c>
      <c r="L22" s="158">
        <v>-50000</v>
      </c>
      <c r="M22" s="158">
        <v>-1750000</v>
      </c>
      <c r="N22" s="158">
        <v>-29229</v>
      </c>
      <c r="O22" s="158">
        <v>0</v>
      </c>
      <c r="P22" s="158">
        <v>0</v>
      </c>
      <c r="Q22" s="158">
        <v>0</v>
      </c>
      <c r="R22" s="158">
        <v>0</v>
      </c>
      <c r="S22" s="158">
        <v>0</v>
      </c>
      <c r="T22" s="158">
        <v>0</v>
      </c>
      <c r="U22" s="158">
        <v>-2920345</v>
      </c>
      <c r="V22" s="158">
        <v>46550283</v>
      </c>
      <c r="W22" s="158">
        <v>-931006</v>
      </c>
      <c r="X22" s="158">
        <v>74881500</v>
      </c>
      <c r="Y22" s="158">
        <v>129914119</v>
      </c>
      <c r="Z22" s="158">
        <v>22885714</v>
      </c>
      <c r="AA22" s="158">
        <v>22428000</v>
      </c>
      <c r="AB22" s="158">
        <v>0</v>
      </c>
      <c r="AC22" s="158">
        <v>457714</v>
      </c>
      <c r="AD22" s="158">
        <v>289050</v>
      </c>
      <c r="AE22" s="158">
        <v>0</v>
      </c>
      <c r="AF22" s="158">
        <v>0</v>
      </c>
      <c r="AG22" s="158">
        <v>0</v>
      </c>
      <c r="AH22" s="158">
        <v>0</v>
      </c>
      <c r="AI22" s="158">
        <v>0</v>
      </c>
      <c r="AJ22" s="158">
        <v>0</v>
      </c>
      <c r="AK22" s="158">
        <v>3423658</v>
      </c>
      <c r="AL22" s="158">
        <v>249</v>
      </c>
      <c r="AM22" s="158">
        <v>7</v>
      </c>
      <c r="AN22" s="158">
        <v>1</v>
      </c>
      <c r="AO22" s="158">
        <v>0</v>
      </c>
      <c r="AP22" s="158">
        <v>0</v>
      </c>
      <c r="AQ22" s="158">
        <v>659</v>
      </c>
      <c r="AR22" s="158">
        <v>25</v>
      </c>
      <c r="AS22" s="158">
        <v>0</v>
      </c>
      <c r="AT22" s="158">
        <v>0</v>
      </c>
      <c r="AU22" s="158">
        <v>1</v>
      </c>
      <c r="AV22" s="158">
        <v>0</v>
      </c>
      <c r="AW22" s="158">
        <v>0</v>
      </c>
      <c r="AX22" s="158">
        <v>0</v>
      </c>
      <c r="AY22" s="158">
        <v>515</v>
      </c>
      <c r="AZ22" s="158">
        <v>1556</v>
      </c>
      <c r="BA22" s="158">
        <v>3795</v>
      </c>
      <c r="BB22" s="158">
        <v>3608</v>
      </c>
      <c r="BC22" s="158">
        <v>187</v>
      </c>
      <c r="BD22" s="158">
        <v>2894</v>
      </c>
      <c r="BE22" s="158">
        <v>-131600</v>
      </c>
      <c r="BF22" s="158">
        <v>-458769</v>
      </c>
      <c r="BG22" s="158">
        <v>0</v>
      </c>
      <c r="BH22" s="158">
        <v>-62999</v>
      </c>
      <c r="BI22" s="158">
        <v>-1093254</v>
      </c>
      <c r="BJ22" s="158">
        <v>-3378</v>
      </c>
      <c r="BK22" s="158">
        <v>3430007</v>
      </c>
      <c r="BL22" s="1438">
        <v>5147500</v>
      </c>
      <c r="BM22" s="1439">
        <v>0</v>
      </c>
      <c r="BN22" s="784" t="s">
        <v>509</v>
      </c>
      <c r="BO22" s="784" t="s">
        <v>2376</v>
      </c>
      <c r="BP22" s="1400" t="s">
        <v>2377</v>
      </c>
      <c r="BQ22" s="509"/>
      <c r="BR22" s="509"/>
      <c r="BS22" s="509"/>
      <c r="BT22" s="509"/>
      <c r="BU22" s="509"/>
      <c r="BV22" s="509"/>
      <c r="BW22" s="509"/>
      <c r="BX22" s="509"/>
      <c r="BY22" s="509"/>
      <c r="BZ22" s="509"/>
      <c r="CA22" s="509"/>
      <c r="CB22" s="509"/>
      <c r="CC22" s="509"/>
      <c r="CD22" s="509"/>
      <c r="CE22" s="509"/>
      <c r="CF22" s="509"/>
      <c r="CG22" s="509"/>
      <c r="CH22" s="509"/>
      <c r="CI22" s="509"/>
      <c r="CJ22" s="509"/>
      <c r="CK22" s="509"/>
      <c r="CL22" s="509"/>
      <c r="CM22" s="509"/>
      <c r="CN22" s="509"/>
      <c r="CO22" s="509"/>
      <c r="CP22" s="509"/>
      <c r="CQ22" s="509"/>
      <c r="CR22" s="509"/>
      <c r="CS22" s="509"/>
    </row>
    <row r="23" spans="1:98" s="137" customFormat="1" ht="12.75" customHeight="1" x14ac:dyDescent="0.2">
      <c r="A23" s="1421">
        <v>19</v>
      </c>
      <c r="B23" s="649" t="s">
        <v>608</v>
      </c>
      <c r="C23" s="1607" t="s">
        <v>756</v>
      </c>
      <c r="D23" s="1605">
        <v>234087</v>
      </c>
      <c r="E23" s="1405">
        <v>119883273</v>
      </c>
      <c r="F23" s="1405">
        <v>6575</v>
      </c>
      <c r="G23" s="158">
        <v>-9027104</v>
      </c>
      <c r="H23" s="158">
        <v>-3652652</v>
      </c>
      <c r="I23" s="158">
        <v>0</v>
      </c>
      <c r="J23" s="158">
        <v>0</v>
      </c>
      <c r="K23" s="158">
        <v>-19668</v>
      </c>
      <c r="L23" s="158">
        <v>-10000</v>
      </c>
      <c r="M23" s="158">
        <v>-1096101</v>
      </c>
      <c r="N23" s="158">
        <v>-4716</v>
      </c>
      <c r="O23" s="158">
        <v>-21731</v>
      </c>
      <c r="P23" s="158">
        <v>0</v>
      </c>
      <c r="Q23" s="158">
        <v>0</v>
      </c>
      <c r="R23" s="158">
        <v>-210983</v>
      </c>
      <c r="S23" s="158">
        <v>-210983</v>
      </c>
      <c r="T23" s="158">
        <v>0</v>
      </c>
      <c r="U23" s="158">
        <v>-7474401</v>
      </c>
      <c r="V23" s="158">
        <v>37169958</v>
      </c>
      <c r="W23" s="158">
        <v>-2060000</v>
      </c>
      <c r="X23" s="158">
        <v>69640900</v>
      </c>
      <c r="Y23" s="158">
        <v>120082115</v>
      </c>
      <c r="Z23" s="158">
        <v>16494957</v>
      </c>
      <c r="AA23" s="158">
        <v>16371822</v>
      </c>
      <c r="AB23" s="158">
        <v>0</v>
      </c>
      <c r="AC23" s="158">
        <v>334119</v>
      </c>
      <c r="AD23" s="158">
        <v>236205</v>
      </c>
      <c r="AE23" s="158">
        <v>495444</v>
      </c>
      <c r="AF23" s="158">
        <v>1348</v>
      </c>
      <c r="AG23" s="158">
        <v>0</v>
      </c>
      <c r="AH23" s="158">
        <v>210983</v>
      </c>
      <c r="AI23" s="158">
        <v>0</v>
      </c>
      <c r="AJ23" s="158">
        <v>0</v>
      </c>
      <c r="AK23" s="158">
        <v>6518885</v>
      </c>
      <c r="AL23" s="158">
        <v>146</v>
      </c>
      <c r="AM23" s="158">
        <v>0</v>
      </c>
      <c r="AN23" s="158">
        <v>0</v>
      </c>
      <c r="AO23" s="158">
        <v>8</v>
      </c>
      <c r="AP23" s="158">
        <v>1</v>
      </c>
      <c r="AQ23" s="158">
        <v>799</v>
      </c>
      <c r="AR23" s="158">
        <v>1</v>
      </c>
      <c r="AS23" s="158">
        <v>5</v>
      </c>
      <c r="AT23" s="158">
        <v>0</v>
      </c>
      <c r="AU23" s="158">
        <v>0</v>
      </c>
      <c r="AV23" s="158">
        <v>0</v>
      </c>
      <c r="AW23" s="158">
        <v>17</v>
      </c>
      <c r="AX23" s="158">
        <v>0</v>
      </c>
      <c r="AY23" s="158">
        <v>918</v>
      </c>
      <c r="AZ23" s="158">
        <v>1419</v>
      </c>
      <c r="BA23" s="158">
        <v>3452</v>
      </c>
      <c r="BB23" s="158">
        <v>3361</v>
      </c>
      <c r="BC23" s="158">
        <v>91</v>
      </c>
      <c r="BD23" s="158">
        <v>1856</v>
      </c>
      <c r="BE23" s="158">
        <v>-55809</v>
      </c>
      <c r="BF23" s="158">
        <v>-143046</v>
      </c>
      <c r="BG23" s="158">
        <v>0</v>
      </c>
      <c r="BH23" s="158">
        <v>-38812</v>
      </c>
      <c r="BI23" s="158">
        <v>-858434</v>
      </c>
      <c r="BJ23" s="158">
        <v>0</v>
      </c>
      <c r="BK23" s="158">
        <v>12184040</v>
      </c>
      <c r="BL23" s="1438">
        <v>15048750</v>
      </c>
      <c r="BM23" s="1439">
        <v>1026250</v>
      </c>
      <c r="BN23" s="784" t="s">
        <v>509</v>
      </c>
      <c r="BO23" s="784" t="s">
        <v>2376</v>
      </c>
      <c r="BP23" s="1400" t="s">
        <v>2378</v>
      </c>
      <c r="BQ23" s="509"/>
      <c r="BR23" s="509"/>
      <c r="BS23" s="509"/>
      <c r="BT23" s="509"/>
      <c r="BU23" s="509"/>
      <c r="BV23" s="509"/>
      <c r="BW23" s="509"/>
      <c r="BX23" s="509"/>
      <c r="BY23" s="509"/>
      <c r="BZ23" s="509"/>
      <c r="CA23" s="509"/>
      <c r="CB23" s="509"/>
      <c r="CC23" s="509"/>
      <c r="CD23" s="509"/>
      <c r="CE23" s="509"/>
      <c r="CF23" s="509"/>
      <c r="CG23" s="509"/>
      <c r="CH23" s="509"/>
      <c r="CI23" s="509"/>
      <c r="CJ23" s="509"/>
      <c r="CK23" s="509"/>
      <c r="CL23" s="509"/>
      <c r="CM23" s="509"/>
      <c r="CN23" s="509"/>
      <c r="CO23" s="509"/>
      <c r="CP23" s="509"/>
      <c r="CQ23" s="509"/>
      <c r="CR23" s="509"/>
      <c r="CS23" s="509"/>
    </row>
    <row r="24" spans="1:98" s="137" customFormat="1" ht="12.75" customHeight="1" x14ac:dyDescent="0.2">
      <c r="A24" s="1421">
        <v>20</v>
      </c>
      <c r="B24" s="649" t="s">
        <v>757</v>
      </c>
      <c r="C24" s="1607" t="s">
        <v>758</v>
      </c>
      <c r="D24" s="1605">
        <v>94888</v>
      </c>
      <c r="E24" s="1405">
        <v>74092935</v>
      </c>
      <c r="F24" s="1405">
        <v>2437</v>
      </c>
      <c r="G24" s="158">
        <v>-2340987</v>
      </c>
      <c r="H24" s="158">
        <v>-1178894</v>
      </c>
      <c r="I24" s="158">
        <v>-9940</v>
      </c>
      <c r="J24" s="158">
        <v>-13276</v>
      </c>
      <c r="K24" s="158">
        <v>-536</v>
      </c>
      <c r="L24" s="158">
        <v>0</v>
      </c>
      <c r="M24" s="158">
        <v>-246268</v>
      </c>
      <c r="N24" s="158">
        <v>-1009</v>
      </c>
      <c r="O24" s="158">
        <v>-14979</v>
      </c>
      <c r="P24" s="158">
        <v>0</v>
      </c>
      <c r="Q24" s="158">
        <v>0</v>
      </c>
      <c r="R24" s="158">
        <v>0</v>
      </c>
      <c r="S24" s="158">
        <v>0</v>
      </c>
      <c r="T24" s="158">
        <v>0</v>
      </c>
      <c r="U24" s="158">
        <v>-1011095</v>
      </c>
      <c r="V24" s="158">
        <v>33986709</v>
      </c>
      <c r="W24" s="158">
        <v>-606984</v>
      </c>
      <c r="X24" s="158">
        <v>54520750</v>
      </c>
      <c r="Y24" s="158">
        <v>74125745</v>
      </c>
      <c r="Z24" s="158">
        <v>16720379</v>
      </c>
      <c r="AA24" s="158">
        <v>13376303</v>
      </c>
      <c r="AB24" s="158">
        <v>3009668</v>
      </c>
      <c r="AC24" s="158">
        <v>334408</v>
      </c>
      <c r="AD24" s="158">
        <v>94093</v>
      </c>
      <c r="AE24" s="158">
        <v>0</v>
      </c>
      <c r="AF24" s="158">
        <v>62677</v>
      </c>
      <c r="AG24" s="158">
        <v>0</v>
      </c>
      <c r="AH24" s="158">
        <v>0</v>
      </c>
      <c r="AI24" s="158">
        <v>0</v>
      </c>
      <c r="AJ24" s="158">
        <v>0</v>
      </c>
      <c r="AK24" s="158">
        <v>-886403</v>
      </c>
      <c r="AL24" s="158">
        <v>67</v>
      </c>
      <c r="AM24" s="158">
        <v>6</v>
      </c>
      <c r="AN24" s="158">
        <v>5</v>
      </c>
      <c r="AO24" s="158">
        <v>1</v>
      </c>
      <c r="AP24" s="158">
        <v>0</v>
      </c>
      <c r="AQ24" s="158">
        <v>150</v>
      </c>
      <c r="AR24" s="158">
        <v>3</v>
      </c>
      <c r="AS24" s="158">
        <v>4</v>
      </c>
      <c r="AT24" s="158">
        <v>0</v>
      </c>
      <c r="AU24" s="158">
        <v>0</v>
      </c>
      <c r="AV24" s="158">
        <v>0</v>
      </c>
      <c r="AW24" s="158">
        <v>0</v>
      </c>
      <c r="AX24" s="158">
        <v>0</v>
      </c>
      <c r="AY24" s="158">
        <v>158</v>
      </c>
      <c r="AZ24" s="158">
        <v>203</v>
      </c>
      <c r="BA24" s="158">
        <v>1075</v>
      </c>
      <c r="BB24" s="158">
        <v>1023</v>
      </c>
      <c r="BC24" s="158">
        <v>52</v>
      </c>
      <c r="BD24" s="158">
        <v>1140</v>
      </c>
      <c r="BE24" s="158">
        <v>0</v>
      </c>
      <c r="BF24" s="158">
        <v>-19430</v>
      </c>
      <c r="BG24" s="158">
        <v>0</v>
      </c>
      <c r="BH24" s="158">
        <v>0</v>
      </c>
      <c r="BI24" s="158">
        <v>-226838</v>
      </c>
      <c r="BJ24" s="158">
        <v>0</v>
      </c>
      <c r="BK24" s="158">
        <v>3322915</v>
      </c>
      <c r="BL24" s="1438">
        <v>7510500</v>
      </c>
      <c r="BM24" s="1439">
        <v>0</v>
      </c>
      <c r="BN24" s="784" t="s">
        <v>2349</v>
      </c>
      <c r="BO24" s="784" t="s">
        <v>2352</v>
      </c>
      <c r="BP24" s="1400" t="s">
        <v>2379</v>
      </c>
      <c r="BQ24" s="509"/>
      <c r="BR24" s="509"/>
      <c r="BS24" s="509"/>
      <c r="BT24" s="509"/>
      <c r="BU24" s="509"/>
      <c r="BV24" s="509"/>
      <c r="BW24" s="509"/>
      <c r="BX24" s="509"/>
      <c r="BY24" s="509"/>
      <c r="BZ24" s="509"/>
      <c r="CA24" s="509"/>
      <c r="CB24" s="509"/>
      <c r="CC24" s="509"/>
      <c r="CD24" s="509"/>
      <c r="CE24" s="509"/>
      <c r="CF24" s="509"/>
      <c r="CG24" s="509"/>
      <c r="CH24" s="509"/>
      <c r="CI24" s="509"/>
      <c r="CJ24" s="509"/>
      <c r="CK24" s="509"/>
      <c r="CL24" s="509"/>
      <c r="CM24" s="509"/>
      <c r="CN24" s="509"/>
      <c r="CO24" s="509"/>
      <c r="CP24" s="509"/>
      <c r="CQ24" s="509"/>
      <c r="CR24" s="509"/>
      <c r="CS24" s="509"/>
    </row>
    <row r="25" spans="1:98" s="137" customFormat="1" ht="12.75" customHeight="1" x14ac:dyDescent="0.2">
      <c r="A25" s="1421">
        <v>21</v>
      </c>
      <c r="B25" s="649" t="s">
        <v>759</v>
      </c>
      <c r="C25" s="1607" t="s">
        <v>760</v>
      </c>
      <c r="D25" s="1605">
        <v>404463</v>
      </c>
      <c r="E25" s="1405">
        <v>249810677</v>
      </c>
      <c r="F25" s="1405">
        <v>10759</v>
      </c>
      <c r="G25" s="158">
        <v>-14090000</v>
      </c>
      <c r="H25" s="158">
        <v>-8700000</v>
      </c>
      <c r="I25" s="158">
        <v>-100000</v>
      </c>
      <c r="J25" s="158">
        <v>0</v>
      </c>
      <c r="K25" s="158">
        <v>0</v>
      </c>
      <c r="L25" s="158">
        <v>-10000</v>
      </c>
      <c r="M25" s="158">
        <v>-3920000</v>
      </c>
      <c r="N25" s="158">
        <v>-760000</v>
      </c>
      <c r="O25" s="158">
        <v>-160000</v>
      </c>
      <c r="P25" s="158">
        <v>-5000</v>
      </c>
      <c r="Q25" s="158">
        <v>0</v>
      </c>
      <c r="R25" s="158">
        <v>0</v>
      </c>
      <c r="S25" s="158">
        <v>0</v>
      </c>
      <c r="T25" s="158">
        <v>0</v>
      </c>
      <c r="U25" s="158">
        <v>-4580139</v>
      </c>
      <c r="V25" s="158">
        <v>96514400</v>
      </c>
      <c r="W25" s="158">
        <v>-1350000</v>
      </c>
      <c r="X25" s="158">
        <v>158871500</v>
      </c>
      <c r="Y25" s="158">
        <v>249303387</v>
      </c>
      <c r="Z25" s="158">
        <v>0</v>
      </c>
      <c r="AA25" s="158">
        <v>94751677</v>
      </c>
      <c r="AB25" s="158">
        <v>0</v>
      </c>
      <c r="AC25" s="158">
        <v>957088</v>
      </c>
      <c r="AD25" s="158">
        <v>403635</v>
      </c>
      <c r="AE25" s="158">
        <v>0</v>
      </c>
      <c r="AF25" s="158">
        <v>0</v>
      </c>
      <c r="AG25" s="158">
        <v>0</v>
      </c>
      <c r="AH25" s="158">
        <v>0</v>
      </c>
      <c r="AI25" s="158">
        <v>0</v>
      </c>
      <c r="AJ25" s="158">
        <v>0</v>
      </c>
      <c r="AK25" s="158">
        <v>4882855</v>
      </c>
      <c r="AL25" s="158">
        <v>420</v>
      </c>
      <c r="AM25" s="158">
        <v>14</v>
      </c>
      <c r="AN25" s="158">
        <v>0</v>
      </c>
      <c r="AO25" s="158">
        <v>0</v>
      </c>
      <c r="AP25" s="158">
        <v>0</v>
      </c>
      <c r="AQ25" s="158">
        <v>760</v>
      </c>
      <c r="AR25" s="158">
        <v>223</v>
      </c>
      <c r="AS25" s="158">
        <v>30</v>
      </c>
      <c r="AT25" s="158">
        <v>9</v>
      </c>
      <c r="AU25" s="158">
        <v>0</v>
      </c>
      <c r="AV25" s="158">
        <v>0</v>
      </c>
      <c r="AW25" s="158">
        <v>0</v>
      </c>
      <c r="AX25" s="158">
        <v>0</v>
      </c>
      <c r="AY25" s="158">
        <v>523</v>
      </c>
      <c r="AZ25" s="158">
        <v>815</v>
      </c>
      <c r="BA25" s="158">
        <v>5050</v>
      </c>
      <c r="BB25" s="158">
        <v>4788</v>
      </c>
      <c r="BC25" s="158">
        <v>262</v>
      </c>
      <c r="BD25" s="158">
        <v>4807</v>
      </c>
      <c r="BE25" s="158">
        <v>-480000</v>
      </c>
      <c r="BF25" s="158">
        <v>-1130000</v>
      </c>
      <c r="BG25" s="158">
        <v>0</v>
      </c>
      <c r="BH25" s="158">
        <v>-85000</v>
      </c>
      <c r="BI25" s="158">
        <v>-2225000</v>
      </c>
      <c r="BJ25" s="158">
        <v>0</v>
      </c>
      <c r="BK25" s="158">
        <v>14498379</v>
      </c>
      <c r="BL25" s="1438">
        <v>29117500</v>
      </c>
      <c r="BM25" s="1439">
        <v>0</v>
      </c>
      <c r="BN25" s="784" t="s">
        <v>2363</v>
      </c>
      <c r="BO25" s="784" t="s">
        <v>2376</v>
      </c>
      <c r="BP25" s="1400" t="s">
        <v>2380</v>
      </c>
      <c r="BQ25" s="509"/>
      <c r="BR25" s="509"/>
      <c r="BS25" s="509"/>
      <c r="BT25" s="509"/>
      <c r="BU25" s="509"/>
      <c r="BV25" s="509"/>
      <c r="BW25" s="509"/>
      <c r="BX25" s="509"/>
      <c r="BY25" s="509"/>
      <c r="BZ25" s="509"/>
      <c r="CA25" s="509"/>
      <c r="CB25" s="509"/>
      <c r="CC25" s="509"/>
      <c r="CD25" s="509"/>
      <c r="CE25" s="509"/>
      <c r="CF25" s="509"/>
      <c r="CG25" s="509"/>
      <c r="CH25" s="509"/>
      <c r="CI25" s="509"/>
      <c r="CJ25" s="509"/>
      <c r="CK25" s="509"/>
      <c r="CL25" s="509"/>
      <c r="CM25" s="509"/>
      <c r="CN25" s="509"/>
      <c r="CO25" s="509"/>
      <c r="CP25" s="509"/>
      <c r="CQ25" s="509"/>
      <c r="CR25" s="509"/>
      <c r="CS25" s="509"/>
    </row>
    <row r="26" spans="1:98" s="137" customFormat="1" ht="12.75" customHeight="1" x14ac:dyDescent="0.2">
      <c r="A26" s="1421">
        <v>22</v>
      </c>
      <c r="B26" s="649" t="s">
        <v>761</v>
      </c>
      <c r="C26" s="1607" t="s">
        <v>762</v>
      </c>
      <c r="D26" s="1605">
        <v>91341</v>
      </c>
      <c r="E26" s="1405">
        <v>55782515</v>
      </c>
      <c r="F26" s="1405">
        <v>2485</v>
      </c>
      <c r="G26" s="158">
        <v>-2821803</v>
      </c>
      <c r="H26" s="158">
        <v>-2043228</v>
      </c>
      <c r="I26" s="158">
        <v>-87126</v>
      </c>
      <c r="J26" s="158">
        <v>-20233</v>
      </c>
      <c r="K26" s="158">
        <v>-7510</v>
      </c>
      <c r="L26" s="158">
        <v>0</v>
      </c>
      <c r="M26" s="158">
        <v>-518094</v>
      </c>
      <c r="N26" s="158">
        <v>-58154</v>
      </c>
      <c r="O26" s="158">
        <v>-7482</v>
      </c>
      <c r="P26" s="158">
        <v>-16221</v>
      </c>
      <c r="Q26" s="158">
        <v>0</v>
      </c>
      <c r="R26" s="158">
        <v>0</v>
      </c>
      <c r="S26" s="158">
        <v>0</v>
      </c>
      <c r="T26" s="158">
        <v>0</v>
      </c>
      <c r="U26" s="158">
        <v>-2349429</v>
      </c>
      <c r="V26" s="158">
        <v>20651132</v>
      </c>
      <c r="W26" s="158">
        <v>-185860</v>
      </c>
      <c r="X26" s="158">
        <v>34128200</v>
      </c>
      <c r="Y26" s="158">
        <v>55592508</v>
      </c>
      <c r="Z26" s="158">
        <v>10137702</v>
      </c>
      <c r="AA26" s="158">
        <v>8110162</v>
      </c>
      <c r="AB26" s="158">
        <v>2027540</v>
      </c>
      <c r="AC26" s="158">
        <v>0</v>
      </c>
      <c r="AD26" s="158">
        <v>91264</v>
      </c>
      <c r="AE26" s="158">
        <v>0</v>
      </c>
      <c r="AF26" s="158">
        <v>222037</v>
      </c>
      <c r="AG26" s="158">
        <v>0</v>
      </c>
      <c r="AH26" s="158">
        <v>0</v>
      </c>
      <c r="AI26" s="158">
        <v>0</v>
      </c>
      <c r="AJ26" s="158">
        <v>0</v>
      </c>
      <c r="AK26" s="158">
        <v>553753</v>
      </c>
      <c r="AL26" s="158">
        <v>196</v>
      </c>
      <c r="AM26" s="158">
        <v>12</v>
      </c>
      <c r="AN26" s="158">
        <v>10</v>
      </c>
      <c r="AO26" s="158">
        <v>3</v>
      </c>
      <c r="AP26" s="158">
        <v>0</v>
      </c>
      <c r="AQ26" s="158">
        <v>175</v>
      </c>
      <c r="AR26" s="158">
        <v>93</v>
      </c>
      <c r="AS26" s="158">
        <v>2</v>
      </c>
      <c r="AT26" s="158">
        <v>10</v>
      </c>
      <c r="AU26" s="158">
        <v>0</v>
      </c>
      <c r="AV26" s="158">
        <v>0</v>
      </c>
      <c r="AW26" s="158">
        <v>0</v>
      </c>
      <c r="AX26" s="158">
        <v>0</v>
      </c>
      <c r="AY26" s="158">
        <v>272</v>
      </c>
      <c r="AZ26" s="158">
        <v>226</v>
      </c>
      <c r="BA26" s="158">
        <v>1102</v>
      </c>
      <c r="BB26" s="158">
        <v>1040</v>
      </c>
      <c r="BC26" s="158">
        <v>62</v>
      </c>
      <c r="BD26" s="158">
        <v>1162</v>
      </c>
      <c r="BE26" s="158">
        <v>-6916</v>
      </c>
      <c r="BF26" s="158">
        <v>-317213</v>
      </c>
      <c r="BG26" s="158">
        <v>0</v>
      </c>
      <c r="BH26" s="158">
        <v>0</v>
      </c>
      <c r="BI26" s="158">
        <v>-193965</v>
      </c>
      <c r="BJ26" s="158">
        <v>0</v>
      </c>
      <c r="BK26" s="158">
        <v>951871</v>
      </c>
      <c r="BL26" s="1438">
        <v>7627450</v>
      </c>
      <c r="BM26" s="1439">
        <v>0</v>
      </c>
      <c r="BN26" s="784" t="s">
        <v>2349</v>
      </c>
      <c r="BO26" s="784" t="s">
        <v>2352</v>
      </c>
      <c r="BP26" s="1400" t="s">
        <v>2381</v>
      </c>
      <c r="BQ26" s="509"/>
      <c r="BR26" s="509"/>
      <c r="BS26" s="509"/>
      <c r="BT26" s="509"/>
      <c r="BU26" s="509"/>
      <c r="BV26" s="509"/>
      <c r="BW26" s="509"/>
      <c r="BX26" s="509"/>
      <c r="BY26" s="509"/>
      <c r="BZ26" s="509"/>
      <c r="CA26" s="509"/>
      <c r="CB26" s="509"/>
      <c r="CC26" s="509"/>
      <c r="CD26" s="509"/>
      <c r="CE26" s="509"/>
      <c r="CF26" s="509"/>
      <c r="CG26" s="509"/>
      <c r="CH26" s="509"/>
      <c r="CI26" s="509"/>
      <c r="CJ26" s="509"/>
      <c r="CK26" s="509"/>
      <c r="CL26" s="509"/>
      <c r="CM26" s="509"/>
      <c r="CN26" s="509"/>
      <c r="CO26" s="509"/>
      <c r="CP26" s="509"/>
      <c r="CQ26" s="509"/>
      <c r="CR26" s="509"/>
      <c r="CS26" s="509"/>
    </row>
    <row r="27" spans="1:98" s="137" customFormat="1" ht="12.75" customHeight="1" x14ac:dyDescent="0.2">
      <c r="A27" s="1421">
        <v>23</v>
      </c>
      <c r="B27" s="655" t="s">
        <v>1193</v>
      </c>
      <c r="C27" s="1608" t="s">
        <v>1178</v>
      </c>
      <c r="D27" s="1605">
        <v>595576</v>
      </c>
      <c r="E27" s="1405">
        <v>398700258</v>
      </c>
      <c r="F27" s="1405">
        <v>15890</v>
      </c>
      <c r="G27" s="158">
        <v>-17125780</v>
      </c>
      <c r="H27" s="158">
        <v>-15873178</v>
      </c>
      <c r="I27" s="158">
        <v>-229028</v>
      </c>
      <c r="J27" s="158">
        <v>0</v>
      </c>
      <c r="K27" s="158">
        <v>-52235</v>
      </c>
      <c r="L27" s="158">
        <v>0</v>
      </c>
      <c r="M27" s="158">
        <v>-3638212</v>
      </c>
      <c r="N27" s="158">
        <v>-150545</v>
      </c>
      <c r="O27" s="158">
        <v>-38232</v>
      </c>
      <c r="P27" s="158">
        <v>-3878</v>
      </c>
      <c r="Q27" s="158">
        <v>0</v>
      </c>
      <c r="R27" s="158">
        <v>0</v>
      </c>
      <c r="S27" s="158">
        <v>0</v>
      </c>
      <c r="T27" s="158">
        <v>0</v>
      </c>
      <c r="U27" s="158">
        <v>-22479690</v>
      </c>
      <c r="V27" s="158">
        <v>140148403</v>
      </c>
      <c r="W27" s="158">
        <v>-15500000</v>
      </c>
      <c r="X27" s="158">
        <v>257285400</v>
      </c>
      <c r="Y27" s="158">
        <v>398095901</v>
      </c>
      <c r="Z27" s="158">
        <v>61288479</v>
      </c>
      <c r="AA27" s="158">
        <v>60062710</v>
      </c>
      <c r="AB27" s="158">
        <v>0</v>
      </c>
      <c r="AC27" s="158">
        <v>1225770</v>
      </c>
      <c r="AD27" s="158">
        <v>599262</v>
      </c>
      <c r="AE27" s="158">
        <v>0</v>
      </c>
      <c r="AF27" s="158">
        <v>410480</v>
      </c>
      <c r="AG27" s="158">
        <v>0</v>
      </c>
      <c r="AH27" s="158">
        <v>0</v>
      </c>
      <c r="AI27" s="158">
        <v>0</v>
      </c>
      <c r="AJ27" s="158">
        <v>0</v>
      </c>
      <c r="AK27" s="158">
        <v>52389510</v>
      </c>
      <c r="AL27" s="158">
        <v>549</v>
      </c>
      <c r="AM27" s="158">
        <v>15</v>
      </c>
      <c r="AN27" s="158">
        <v>0</v>
      </c>
      <c r="AO27" s="158">
        <v>26</v>
      </c>
      <c r="AP27" s="158">
        <v>0</v>
      </c>
      <c r="AQ27" s="158">
        <v>572</v>
      </c>
      <c r="AR27" s="158">
        <v>108</v>
      </c>
      <c r="AS27" s="158">
        <v>13</v>
      </c>
      <c r="AT27" s="158">
        <v>7</v>
      </c>
      <c r="AU27" s="158">
        <v>0</v>
      </c>
      <c r="AV27" s="158">
        <v>0</v>
      </c>
      <c r="AW27" s="158">
        <v>0</v>
      </c>
      <c r="AX27" s="158">
        <v>0</v>
      </c>
      <c r="AY27" s="158">
        <v>2369</v>
      </c>
      <c r="AZ27" s="158">
        <v>2266</v>
      </c>
      <c r="BA27" s="158">
        <v>7952</v>
      </c>
      <c r="BB27" s="158">
        <v>7330</v>
      </c>
      <c r="BC27" s="158">
        <v>622</v>
      </c>
      <c r="BD27" s="158">
        <v>5856</v>
      </c>
      <c r="BE27" s="158">
        <v>-426167</v>
      </c>
      <c r="BF27" s="158">
        <v>-913141</v>
      </c>
      <c r="BG27" s="158">
        <v>0</v>
      </c>
      <c r="BH27" s="158">
        <v>-156268</v>
      </c>
      <c r="BI27" s="158">
        <v>-1742523</v>
      </c>
      <c r="BJ27" s="158">
        <v>-400113</v>
      </c>
      <c r="BK27" s="158">
        <v>69054600</v>
      </c>
      <c r="BL27" s="1438">
        <v>53137250</v>
      </c>
      <c r="BM27" s="1439">
        <v>0</v>
      </c>
      <c r="BN27" s="784" t="s">
        <v>509</v>
      </c>
      <c r="BO27" s="784" t="s">
        <v>2369</v>
      </c>
      <c r="BP27" s="1400" t="s">
        <v>2382</v>
      </c>
      <c r="BQ27" s="509"/>
      <c r="BR27" s="509"/>
      <c r="BS27" s="509"/>
      <c r="BT27" s="509"/>
      <c r="BU27" s="509"/>
      <c r="BV27" s="509"/>
      <c r="BW27" s="509"/>
      <c r="BX27" s="509"/>
      <c r="BY27" s="509"/>
      <c r="BZ27" s="509"/>
      <c r="CA27" s="509"/>
      <c r="CB27" s="509"/>
      <c r="CC27" s="509"/>
      <c r="CD27" s="509"/>
      <c r="CE27" s="509"/>
      <c r="CF27" s="509"/>
      <c r="CG27" s="509"/>
      <c r="CH27" s="509"/>
      <c r="CI27" s="509"/>
      <c r="CJ27" s="509"/>
      <c r="CK27" s="509"/>
      <c r="CL27" s="509"/>
      <c r="CM27" s="509"/>
      <c r="CN27" s="509"/>
      <c r="CO27" s="509"/>
      <c r="CP27" s="509"/>
      <c r="CQ27" s="509"/>
      <c r="CR27" s="509"/>
      <c r="CS27" s="509"/>
      <c r="CT27" s="509"/>
    </row>
    <row r="28" spans="1:98" s="137" customFormat="1" ht="12.75" customHeight="1" x14ac:dyDescent="0.2">
      <c r="A28" s="1421">
        <v>24</v>
      </c>
      <c r="B28" s="649" t="s">
        <v>518</v>
      </c>
      <c r="C28" s="1607" t="s">
        <v>764</v>
      </c>
      <c r="D28" s="1605">
        <v>130731</v>
      </c>
      <c r="E28" s="1405">
        <v>139240262</v>
      </c>
      <c r="F28" s="1405">
        <v>2623</v>
      </c>
      <c r="G28" s="158">
        <v>-1732959</v>
      </c>
      <c r="H28" s="158">
        <v>-4035961</v>
      </c>
      <c r="I28" s="158">
        <v>-3713</v>
      </c>
      <c r="J28" s="158">
        <v>0</v>
      </c>
      <c r="K28" s="158">
        <v>-5696</v>
      </c>
      <c r="L28" s="158">
        <v>-38964</v>
      </c>
      <c r="M28" s="158">
        <v>-2829665</v>
      </c>
      <c r="N28" s="158">
        <v>-114990</v>
      </c>
      <c r="O28" s="158">
        <v>0</v>
      </c>
      <c r="P28" s="158">
        <v>0</v>
      </c>
      <c r="Q28" s="158">
        <v>0</v>
      </c>
      <c r="R28" s="158">
        <v>0</v>
      </c>
      <c r="S28" s="158">
        <v>0</v>
      </c>
      <c r="T28" s="158">
        <v>0</v>
      </c>
      <c r="U28" s="158">
        <v>-4665016</v>
      </c>
      <c r="V28" s="158">
        <v>61446364</v>
      </c>
      <c r="W28" s="158">
        <v>-2500000</v>
      </c>
      <c r="X28" s="158">
        <v>111369500</v>
      </c>
      <c r="Y28" s="158">
        <v>139161945</v>
      </c>
      <c r="Z28" s="158">
        <v>29397079</v>
      </c>
      <c r="AA28" s="158">
        <v>28809137</v>
      </c>
      <c r="AB28" s="158">
        <v>0</v>
      </c>
      <c r="AC28" s="158">
        <v>587942</v>
      </c>
      <c r="AD28" s="158">
        <v>130624</v>
      </c>
      <c r="AE28" s="158">
        <v>0</v>
      </c>
      <c r="AF28" s="158">
        <v>0</v>
      </c>
      <c r="AG28" s="158">
        <v>0</v>
      </c>
      <c r="AH28" s="158">
        <v>0</v>
      </c>
      <c r="AI28" s="158">
        <v>0</v>
      </c>
      <c r="AJ28" s="158">
        <v>0</v>
      </c>
      <c r="AK28" s="158">
        <v>-7593612</v>
      </c>
      <c r="AL28" s="158">
        <v>144</v>
      </c>
      <c r="AM28" s="158">
        <v>1</v>
      </c>
      <c r="AN28" s="158">
        <v>0</v>
      </c>
      <c r="AO28" s="158">
        <v>2</v>
      </c>
      <c r="AP28" s="158">
        <v>2</v>
      </c>
      <c r="AQ28" s="158">
        <v>424</v>
      </c>
      <c r="AR28" s="158">
        <v>84</v>
      </c>
      <c r="AS28" s="158">
        <v>18</v>
      </c>
      <c r="AT28" s="158">
        <v>1</v>
      </c>
      <c r="AU28" s="158">
        <v>0</v>
      </c>
      <c r="AV28" s="158">
        <v>0</v>
      </c>
      <c r="AW28" s="158">
        <v>0</v>
      </c>
      <c r="AX28" s="158">
        <v>0</v>
      </c>
      <c r="AY28" s="158">
        <v>576</v>
      </c>
      <c r="AZ28" s="158">
        <v>1138</v>
      </c>
      <c r="BA28" s="158">
        <v>526</v>
      </c>
      <c r="BB28" s="158">
        <v>464</v>
      </c>
      <c r="BC28" s="158">
        <v>62</v>
      </c>
      <c r="BD28" s="158">
        <v>1159</v>
      </c>
      <c r="BE28" s="158">
        <v>-299367</v>
      </c>
      <c r="BF28" s="158">
        <v>0</v>
      </c>
      <c r="BG28" s="158">
        <v>0</v>
      </c>
      <c r="BH28" s="158">
        <v>0</v>
      </c>
      <c r="BI28" s="158">
        <v>-2452057</v>
      </c>
      <c r="BJ28" s="158">
        <v>-78241</v>
      </c>
      <c r="BK28" s="158">
        <v>-12255898</v>
      </c>
      <c r="BL28" s="1438">
        <v>9577400</v>
      </c>
      <c r="BM28" s="1439">
        <v>0</v>
      </c>
      <c r="BN28" s="784" t="s">
        <v>509</v>
      </c>
      <c r="BO28" s="784" t="s">
        <v>2350</v>
      </c>
      <c r="BP28" s="1400" t="s">
        <v>2383</v>
      </c>
      <c r="BQ28" s="509"/>
      <c r="BR28" s="509"/>
      <c r="BS28" s="509"/>
      <c r="BT28" s="509"/>
      <c r="BU28" s="509"/>
      <c r="BV28" s="509"/>
      <c r="BW28" s="509"/>
      <c r="BX28" s="509"/>
      <c r="BY28" s="509"/>
      <c r="BZ28" s="509"/>
      <c r="CA28" s="509"/>
      <c r="CB28" s="509"/>
      <c r="CC28" s="509"/>
      <c r="CD28" s="509"/>
      <c r="CE28" s="509"/>
      <c r="CF28" s="509"/>
      <c r="CG28" s="509"/>
      <c r="CH28" s="509"/>
      <c r="CI28" s="509"/>
      <c r="CJ28" s="509"/>
      <c r="CK28" s="509"/>
      <c r="CL28" s="509"/>
      <c r="CM28" s="509"/>
      <c r="CN28" s="509"/>
      <c r="CO28" s="509"/>
      <c r="CP28" s="509"/>
      <c r="CQ28" s="509"/>
      <c r="CR28" s="509"/>
      <c r="CS28" s="509"/>
    </row>
    <row r="29" spans="1:98" s="137" customFormat="1" ht="12.75" customHeight="1" x14ac:dyDescent="0.2">
      <c r="A29" s="1421">
        <v>25</v>
      </c>
      <c r="B29" s="649" t="s">
        <v>765</v>
      </c>
      <c r="C29" s="1607" t="s">
        <v>766</v>
      </c>
      <c r="D29" s="1605">
        <v>713592</v>
      </c>
      <c r="E29" s="1405">
        <v>387214468</v>
      </c>
      <c r="F29" s="1405">
        <v>19721</v>
      </c>
      <c r="G29" s="158">
        <v>-27840298</v>
      </c>
      <c r="H29" s="158">
        <v>-19010871</v>
      </c>
      <c r="I29" s="158">
        <v>-183166</v>
      </c>
      <c r="J29" s="158">
        <v>-6028</v>
      </c>
      <c r="K29" s="158">
        <v>-24831</v>
      </c>
      <c r="L29" s="158">
        <v>-250000</v>
      </c>
      <c r="M29" s="158">
        <v>-6889854</v>
      </c>
      <c r="N29" s="158">
        <v>-3519</v>
      </c>
      <c r="O29" s="158">
        <v>0</v>
      </c>
      <c r="P29" s="158">
        <v>0</v>
      </c>
      <c r="Q29" s="158">
        <v>0</v>
      </c>
      <c r="R29" s="158">
        <v>-255720</v>
      </c>
      <c r="S29" s="158">
        <v>-255720</v>
      </c>
      <c r="T29" s="158">
        <v>0</v>
      </c>
      <c r="U29" s="158">
        <v>-13116904</v>
      </c>
      <c r="V29" s="158">
        <v>128893204</v>
      </c>
      <c r="W29" s="158">
        <v>-3009650</v>
      </c>
      <c r="X29" s="158">
        <v>221778350</v>
      </c>
      <c r="Y29" s="158">
        <v>387144536</v>
      </c>
      <c r="Z29" s="158">
        <v>62505385</v>
      </c>
      <c r="AA29" s="158">
        <v>61505882</v>
      </c>
      <c r="AB29" s="158">
        <v>0</v>
      </c>
      <c r="AC29" s="158">
        <v>1255222</v>
      </c>
      <c r="AD29" s="158">
        <v>712029</v>
      </c>
      <c r="AE29" s="158">
        <v>484110</v>
      </c>
      <c r="AF29" s="158">
        <v>0</v>
      </c>
      <c r="AG29" s="158">
        <v>0</v>
      </c>
      <c r="AH29" s="158">
        <v>255720</v>
      </c>
      <c r="AI29" s="158">
        <v>0</v>
      </c>
      <c r="AJ29" s="158">
        <v>0</v>
      </c>
      <c r="AK29" s="158">
        <v>4546756</v>
      </c>
      <c r="AL29" s="158">
        <v>849</v>
      </c>
      <c r="AM29" s="158">
        <v>21</v>
      </c>
      <c r="AN29" s="158">
        <v>2</v>
      </c>
      <c r="AO29" s="158">
        <v>11</v>
      </c>
      <c r="AP29" s="158">
        <v>0</v>
      </c>
      <c r="AQ29" s="158">
        <v>3030</v>
      </c>
      <c r="AR29" s="158">
        <v>5</v>
      </c>
      <c r="AS29" s="158">
        <v>0</v>
      </c>
      <c r="AT29" s="158">
        <v>0</v>
      </c>
      <c r="AU29" s="158">
        <v>0</v>
      </c>
      <c r="AV29" s="158">
        <v>0</v>
      </c>
      <c r="AW29" s="158">
        <v>0</v>
      </c>
      <c r="AX29" s="158">
        <v>0</v>
      </c>
      <c r="AY29" s="158">
        <v>1990</v>
      </c>
      <c r="AZ29" s="158">
        <v>5211</v>
      </c>
      <c r="BA29" s="158">
        <v>9973</v>
      </c>
      <c r="BB29" s="158">
        <v>9364</v>
      </c>
      <c r="BC29" s="158">
        <v>609</v>
      </c>
      <c r="BD29" s="158">
        <v>4515</v>
      </c>
      <c r="BE29" s="158">
        <v>-824736</v>
      </c>
      <c r="BF29" s="158">
        <v>-2963345</v>
      </c>
      <c r="BG29" s="158">
        <v>0</v>
      </c>
      <c r="BH29" s="158">
        <v>-135212</v>
      </c>
      <c r="BI29" s="158">
        <v>-2284401</v>
      </c>
      <c r="BJ29" s="158">
        <v>-682160</v>
      </c>
      <c r="BK29" s="158">
        <v>-1013509</v>
      </c>
      <c r="BL29" s="1438">
        <v>51408976</v>
      </c>
      <c r="BM29" s="1439">
        <v>0</v>
      </c>
      <c r="BN29" s="784" t="s">
        <v>2363</v>
      </c>
      <c r="BO29" s="784" t="s">
        <v>2364</v>
      </c>
      <c r="BP29" s="1400" t="s">
        <v>2384</v>
      </c>
      <c r="BQ29" s="509"/>
      <c r="BR29" s="509"/>
      <c r="BS29" s="509"/>
      <c r="BT29" s="509"/>
      <c r="BU29" s="509"/>
      <c r="BV29" s="509"/>
      <c r="BW29" s="509"/>
      <c r="BX29" s="509"/>
      <c r="BY29" s="509"/>
      <c r="BZ29" s="509"/>
      <c r="CA29" s="509"/>
      <c r="CB29" s="509"/>
      <c r="CC29" s="509"/>
      <c r="CD29" s="509"/>
      <c r="CE29" s="509"/>
      <c r="CF29" s="509"/>
      <c r="CG29" s="509"/>
      <c r="CH29" s="509"/>
      <c r="CI29" s="509"/>
      <c r="CJ29" s="509"/>
      <c r="CK29" s="509"/>
      <c r="CL29" s="509"/>
      <c r="CM29" s="509"/>
      <c r="CN29" s="509"/>
      <c r="CO29" s="509"/>
      <c r="CP29" s="509"/>
      <c r="CQ29" s="509"/>
      <c r="CR29" s="509"/>
      <c r="CS29" s="509"/>
    </row>
    <row r="30" spans="1:98" s="137" customFormat="1" ht="12.75" customHeight="1" x14ac:dyDescent="0.2">
      <c r="A30" s="1421">
        <v>26</v>
      </c>
      <c r="B30" s="649" t="s">
        <v>767</v>
      </c>
      <c r="C30" s="1607" t="s">
        <v>768</v>
      </c>
      <c r="D30" s="1605">
        <v>197296</v>
      </c>
      <c r="E30" s="1405">
        <v>138126393</v>
      </c>
      <c r="F30" s="1405">
        <v>5127</v>
      </c>
      <c r="G30" s="158">
        <v>-5905187</v>
      </c>
      <c r="H30" s="158">
        <v>-3660610</v>
      </c>
      <c r="I30" s="158">
        <v>-127681</v>
      </c>
      <c r="J30" s="158">
        <v>-21965</v>
      </c>
      <c r="K30" s="158">
        <v>-2333</v>
      </c>
      <c r="L30" s="158">
        <v>0</v>
      </c>
      <c r="M30" s="158">
        <v>-1116312</v>
      </c>
      <c r="N30" s="158">
        <v>0</v>
      </c>
      <c r="O30" s="158">
        <v>-289528</v>
      </c>
      <c r="P30" s="158">
        <v>0</v>
      </c>
      <c r="Q30" s="158">
        <v>0</v>
      </c>
      <c r="R30" s="158">
        <v>0</v>
      </c>
      <c r="S30" s="158">
        <v>0</v>
      </c>
      <c r="T30" s="158">
        <v>0</v>
      </c>
      <c r="U30" s="158">
        <v>-5355245</v>
      </c>
      <c r="V30" s="158">
        <v>50951497</v>
      </c>
      <c r="W30" s="158">
        <v>-2111700</v>
      </c>
      <c r="X30" s="158">
        <v>85618250</v>
      </c>
      <c r="Y30" s="158">
        <v>135309052</v>
      </c>
      <c r="Z30" s="158">
        <v>24452492</v>
      </c>
      <c r="AA30" s="158">
        <v>19561994</v>
      </c>
      <c r="AB30" s="158">
        <v>4401449</v>
      </c>
      <c r="AC30" s="158">
        <v>489050</v>
      </c>
      <c r="AD30" s="158">
        <v>194664</v>
      </c>
      <c r="AE30" s="158">
        <v>0</v>
      </c>
      <c r="AF30" s="158">
        <v>261465</v>
      </c>
      <c r="AG30" s="158">
        <v>0</v>
      </c>
      <c r="AH30" s="158">
        <v>0</v>
      </c>
      <c r="AI30" s="158">
        <v>0</v>
      </c>
      <c r="AJ30" s="158">
        <v>0</v>
      </c>
      <c r="AK30" s="158">
        <v>698024</v>
      </c>
      <c r="AL30" s="158">
        <v>249</v>
      </c>
      <c r="AM30" s="158">
        <v>25</v>
      </c>
      <c r="AN30" s="158">
        <v>8</v>
      </c>
      <c r="AO30" s="158">
        <v>2</v>
      </c>
      <c r="AP30" s="158">
        <v>0</v>
      </c>
      <c r="AQ30" s="158">
        <v>300</v>
      </c>
      <c r="AR30" s="158">
        <v>124</v>
      </c>
      <c r="AS30" s="158">
        <v>4</v>
      </c>
      <c r="AT30" s="158">
        <v>25</v>
      </c>
      <c r="AU30" s="158">
        <v>8</v>
      </c>
      <c r="AV30" s="158">
        <v>0</v>
      </c>
      <c r="AW30" s="158">
        <v>0</v>
      </c>
      <c r="AX30" s="158">
        <v>0</v>
      </c>
      <c r="AY30" s="158">
        <v>510</v>
      </c>
      <c r="AZ30" s="158">
        <v>0</v>
      </c>
      <c r="BA30" s="158">
        <v>2213</v>
      </c>
      <c r="BB30" s="158">
        <v>2048</v>
      </c>
      <c r="BC30" s="158">
        <v>165</v>
      </c>
      <c r="BD30" s="158">
        <v>1794</v>
      </c>
      <c r="BE30" s="158">
        <v>-499630</v>
      </c>
      <c r="BF30" s="158">
        <v>-240261</v>
      </c>
      <c r="BG30" s="158">
        <v>0</v>
      </c>
      <c r="BH30" s="158">
        <v>0</v>
      </c>
      <c r="BI30" s="158">
        <v>-331595</v>
      </c>
      <c r="BJ30" s="158">
        <v>-44826</v>
      </c>
      <c r="BK30" s="158">
        <v>6040436</v>
      </c>
      <c r="BL30" s="1438">
        <v>22689250</v>
      </c>
      <c r="BM30" s="1439">
        <v>0</v>
      </c>
      <c r="BN30" s="784" t="s">
        <v>2349</v>
      </c>
      <c r="BO30" s="784" t="s">
        <v>2357</v>
      </c>
      <c r="BP30" s="1400" t="s">
        <v>2385</v>
      </c>
      <c r="BQ30" s="509"/>
      <c r="BR30" s="509"/>
      <c r="BS30" s="509"/>
      <c r="BT30" s="509"/>
      <c r="BU30" s="509"/>
      <c r="BV30" s="509"/>
      <c r="BW30" s="509"/>
      <c r="BX30" s="509"/>
      <c r="BY30" s="509"/>
      <c r="BZ30" s="509"/>
      <c r="CA30" s="509"/>
      <c r="CB30" s="509"/>
      <c r="CC30" s="509"/>
      <c r="CD30" s="509"/>
      <c r="CE30" s="509"/>
      <c r="CF30" s="509"/>
      <c r="CG30" s="509"/>
      <c r="CH30" s="509"/>
      <c r="CI30" s="509"/>
      <c r="CJ30" s="509"/>
      <c r="CK30" s="509"/>
      <c r="CL30" s="509"/>
      <c r="CM30" s="509"/>
      <c r="CN30" s="509"/>
      <c r="CO30" s="509"/>
      <c r="CP30" s="509"/>
      <c r="CQ30" s="509"/>
      <c r="CR30" s="509"/>
      <c r="CS30" s="509"/>
    </row>
    <row r="31" spans="1:98" s="137" customFormat="1" ht="12.75" customHeight="1" x14ac:dyDescent="0.2">
      <c r="A31" s="1421">
        <v>27</v>
      </c>
      <c r="B31" s="649" t="s">
        <v>769</v>
      </c>
      <c r="C31" s="1607" t="s">
        <v>770</v>
      </c>
      <c r="D31" s="1605">
        <v>171880</v>
      </c>
      <c r="E31" s="1405">
        <v>104197579</v>
      </c>
      <c r="F31" s="1405">
        <v>4683</v>
      </c>
      <c r="G31" s="158">
        <v>-4604675</v>
      </c>
      <c r="H31" s="158">
        <v>-3246644</v>
      </c>
      <c r="I31" s="158">
        <v>-31036</v>
      </c>
      <c r="J31" s="158">
        <v>-83359</v>
      </c>
      <c r="K31" s="158">
        <v>-12026</v>
      </c>
      <c r="L31" s="158">
        <v>0</v>
      </c>
      <c r="M31" s="158">
        <v>-1035100</v>
      </c>
      <c r="N31" s="158">
        <v>-50156</v>
      </c>
      <c r="O31" s="158">
        <v>-88179</v>
      </c>
      <c r="P31" s="158">
        <v>-2235</v>
      </c>
      <c r="Q31" s="158">
        <v>0</v>
      </c>
      <c r="R31" s="158">
        <v>0</v>
      </c>
      <c r="S31" s="158">
        <v>0</v>
      </c>
      <c r="T31" s="158">
        <v>0</v>
      </c>
      <c r="U31" s="158">
        <v>-3536668</v>
      </c>
      <c r="V31" s="158">
        <v>40012906</v>
      </c>
      <c r="W31" s="158">
        <v>-3100543</v>
      </c>
      <c r="X31" s="158">
        <v>60871872</v>
      </c>
      <c r="Y31" s="158">
        <v>104768027</v>
      </c>
      <c r="Z31" s="158">
        <v>17534332</v>
      </c>
      <c r="AA31" s="158">
        <v>14027465</v>
      </c>
      <c r="AB31" s="158">
        <v>3506866</v>
      </c>
      <c r="AC31" s="158">
        <v>0</v>
      </c>
      <c r="AD31" s="158">
        <v>172024</v>
      </c>
      <c r="AE31" s="158">
        <v>0</v>
      </c>
      <c r="AF31" s="158">
        <v>3040666</v>
      </c>
      <c r="AG31" s="158">
        <v>0</v>
      </c>
      <c r="AH31" s="158">
        <v>0</v>
      </c>
      <c r="AI31" s="158">
        <v>0</v>
      </c>
      <c r="AJ31" s="158">
        <v>0</v>
      </c>
      <c r="AK31" s="158">
        <v>3185203</v>
      </c>
      <c r="AL31" s="158">
        <v>343</v>
      </c>
      <c r="AM31" s="158">
        <v>10</v>
      </c>
      <c r="AN31" s="158">
        <v>33</v>
      </c>
      <c r="AO31" s="158">
        <v>6</v>
      </c>
      <c r="AP31" s="158">
        <v>0</v>
      </c>
      <c r="AQ31" s="158">
        <v>192</v>
      </c>
      <c r="AR31" s="158">
        <v>103</v>
      </c>
      <c r="AS31" s="158">
        <v>2</v>
      </c>
      <c r="AT31" s="158">
        <v>4</v>
      </c>
      <c r="AU31" s="158">
        <v>0</v>
      </c>
      <c r="AV31" s="158">
        <v>0</v>
      </c>
      <c r="AW31" s="158">
        <v>0</v>
      </c>
      <c r="AX31" s="158">
        <v>0</v>
      </c>
      <c r="AY31" s="158">
        <v>548</v>
      </c>
      <c r="AZ31" s="158">
        <v>364</v>
      </c>
      <c r="BA31" s="158">
        <v>1914</v>
      </c>
      <c r="BB31" s="158">
        <v>1765</v>
      </c>
      <c r="BC31" s="158">
        <v>149</v>
      </c>
      <c r="BD31" s="158">
        <v>2392</v>
      </c>
      <c r="BE31" s="158">
        <v>-118302</v>
      </c>
      <c r="BF31" s="158">
        <v>-339475</v>
      </c>
      <c r="BG31" s="158">
        <v>0</v>
      </c>
      <c r="BH31" s="158">
        <v>-35277</v>
      </c>
      <c r="BI31" s="158">
        <v>-528844</v>
      </c>
      <c r="BJ31" s="158">
        <v>-13202</v>
      </c>
      <c r="BK31" s="158">
        <v>4580239</v>
      </c>
      <c r="BL31" s="1438">
        <v>15723275</v>
      </c>
      <c r="BM31" s="1439">
        <v>0</v>
      </c>
      <c r="BN31" s="784" t="s">
        <v>2349</v>
      </c>
      <c r="BO31" s="784" t="s">
        <v>2357</v>
      </c>
      <c r="BP31" s="1400" t="s">
        <v>2386</v>
      </c>
      <c r="BQ31" s="509"/>
      <c r="BR31" s="509"/>
      <c r="BS31" s="509"/>
      <c r="BT31" s="509"/>
      <c r="BU31" s="509"/>
      <c r="BV31" s="509"/>
      <c r="BW31" s="509"/>
      <c r="BX31" s="509"/>
      <c r="BY31" s="509"/>
      <c r="BZ31" s="509"/>
      <c r="CA31" s="509"/>
      <c r="CB31" s="509"/>
      <c r="CC31" s="509"/>
      <c r="CD31" s="509"/>
      <c r="CE31" s="509"/>
      <c r="CF31" s="509"/>
      <c r="CG31" s="509"/>
      <c r="CH31" s="509"/>
      <c r="CI31" s="509"/>
      <c r="CJ31" s="509"/>
      <c r="CK31" s="509"/>
      <c r="CL31" s="509"/>
      <c r="CM31" s="509"/>
      <c r="CN31" s="509"/>
      <c r="CO31" s="509"/>
      <c r="CP31" s="509"/>
      <c r="CQ31" s="509"/>
      <c r="CR31" s="509"/>
      <c r="CS31" s="509"/>
    </row>
    <row r="32" spans="1:98" s="137" customFormat="1" ht="12.75" customHeight="1" x14ac:dyDescent="0.2">
      <c r="A32" s="1421">
        <v>28</v>
      </c>
      <c r="B32" s="649" t="s">
        <v>771</v>
      </c>
      <c r="C32" s="1607" t="s">
        <v>772</v>
      </c>
      <c r="D32" s="1605">
        <v>424765</v>
      </c>
      <c r="E32" s="1405">
        <v>375185904</v>
      </c>
      <c r="F32" s="1405">
        <v>9130</v>
      </c>
      <c r="G32" s="158">
        <v>-8480415</v>
      </c>
      <c r="H32" s="158">
        <v>-12205262</v>
      </c>
      <c r="I32" s="158">
        <v>-32256</v>
      </c>
      <c r="J32" s="158">
        <v>0</v>
      </c>
      <c r="K32" s="158">
        <v>-1095</v>
      </c>
      <c r="L32" s="158">
        <v>0</v>
      </c>
      <c r="M32" s="158">
        <v>-3004336</v>
      </c>
      <c r="N32" s="158">
        <v>-693351</v>
      </c>
      <c r="O32" s="158">
        <v>-32453</v>
      </c>
      <c r="P32" s="158">
        <v>0</v>
      </c>
      <c r="Q32" s="158">
        <v>0</v>
      </c>
      <c r="R32" s="158">
        <v>0</v>
      </c>
      <c r="S32" s="158">
        <v>0</v>
      </c>
      <c r="T32" s="158">
        <v>0</v>
      </c>
      <c r="U32" s="158">
        <v>-21203296</v>
      </c>
      <c r="V32" s="158">
        <v>148137033</v>
      </c>
      <c r="W32" s="158">
        <v>-5000000</v>
      </c>
      <c r="X32" s="158">
        <v>258213450</v>
      </c>
      <c r="Y32" s="158">
        <v>373423271</v>
      </c>
      <c r="Z32" s="158">
        <v>47040642</v>
      </c>
      <c r="AA32" s="158">
        <v>42764219</v>
      </c>
      <c r="AB32" s="158">
        <v>52742537</v>
      </c>
      <c r="AC32" s="158">
        <v>0</v>
      </c>
      <c r="AD32" s="158">
        <v>419467</v>
      </c>
      <c r="AE32" s="158">
        <v>0</v>
      </c>
      <c r="AF32" s="158">
        <v>0</v>
      </c>
      <c r="AG32" s="158">
        <v>0</v>
      </c>
      <c r="AH32" s="158">
        <v>0</v>
      </c>
      <c r="AI32" s="158">
        <v>0</v>
      </c>
      <c r="AJ32" s="158">
        <v>0</v>
      </c>
      <c r="AK32" s="158">
        <v>1159544</v>
      </c>
      <c r="AL32" s="158">
        <v>309</v>
      </c>
      <c r="AM32" s="158">
        <v>6</v>
      </c>
      <c r="AN32" s="158">
        <v>0</v>
      </c>
      <c r="AO32" s="158">
        <v>1</v>
      </c>
      <c r="AP32" s="158">
        <v>0</v>
      </c>
      <c r="AQ32" s="158">
        <v>729</v>
      </c>
      <c r="AR32" s="158">
        <v>119</v>
      </c>
      <c r="AS32" s="158">
        <v>5</v>
      </c>
      <c r="AT32" s="158">
        <v>0</v>
      </c>
      <c r="AU32" s="158">
        <v>0</v>
      </c>
      <c r="AV32" s="158">
        <v>0</v>
      </c>
      <c r="AW32" s="158">
        <v>0</v>
      </c>
      <c r="AX32" s="158">
        <v>0</v>
      </c>
      <c r="AY32" s="158">
        <v>2045</v>
      </c>
      <c r="AZ32" s="158">
        <v>2060</v>
      </c>
      <c r="BA32" s="158">
        <v>2656</v>
      </c>
      <c r="BB32" s="158">
        <v>2120</v>
      </c>
      <c r="BC32" s="158">
        <v>536</v>
      </c>
      <c r="BD32" s="158">
        <v>4348</v>
      </c>
      <c r="BE32" s="158">
        <v>-98640</v>
      </c>
      <c r="BF32" s="158">
        <v>-67366</v>
      </c>
      <c r="BG32" s="158">
        <v>0</v>
      </c>
      <c r="BH32" s="158">
        <v>-19087</v>
      </c>
      <c r="BI32" s="158">
        <v>-117027</v>
      </c>
      <c r="BJ32" s="158">
        <v>-2702216</v>
      </c>
      <c r="BK32" s="158">
        <v>8981398</v>
      </c>
      <c r="BL32" s="1438">
        <v>36594750</v>
      </c>
      <c r="BM32" s="1439">
        <v>0</v>
      </c>
      <c r="BN32" s="784" t="s">
        <v>2359</v>
      </c>
      <c r="BO32" s="784" t="s">
        <v>2360</v>
      </c>
      <c r="BP32" s="1400" t="s">
        <v>2387</v>
      </c>
      <c r="BQ32" s="509"/>
      <c r="BR32" s="509"/>
      <c r="BS32" s="509"/>
      <c r="BT32" s="509"/>
      <c r="BU32" s="509"/>
      <c r="BV32" s="509"/>
      <c r="BW32" s="509"/>
      <c r="BX32" s="509"/>
      <c r="BY32" s="509"/>
      <c r="BZ32" s="509"/>
      <c r="CA32" s="509"/>
      <c r="CB32" s="509"/>
      <c r="CC32" s="509"/>
      <c r="CD32" s="509"/>
      <c r="CE32" s="509"/>
      <c r="CF32" s="509"/>
      <c r="CG32" s="509"/>
      <c r="CH32" s="509"/>
      <c r="CI32" s="509"/>
      <c r="CJ32" s="509"/>
      <c r="CK32" s="509"/>
      <c r="CL32" s="509"/>
      <c r="CM32" s="509"/>
      <c r="CN32" s="509"/>
      <c r="CO32" s="509"/>
      <c r="CP32" s="509"/>
      <c r="CQ32" s="509"/>
      <c r="CR32" s="509"/>
      <c r="CS32" s="509"/>
    </row>
    <row r="33" spans="1:97" s="137" customFormat="1" ht="12.75" customHeight="1" x14ac:dyDescent="0.2">
      <c r="A33" s="1421">
        <v>29</v>
      </c>
      <c r="B33" s="649" t="s">
        <v>773</v>
      </c>
      <c r="C33" s="1607" t="s">
        <v>774</v>
      </c>
      <c r="D33" s="1605">
        <v>103696</v>
      </c>
      <c r="E33" s="1405">
        <v>72931552</v>
      </c>
      <c r="F33" s="1405">
        <v>2538</v>
      </c>
      <c r="G33" s="158">
        <v>-2793962</v>
      </c>
      <c r="H33" s="158">
        <v>-2989755</v>
      </c>
      <c r="I33" s="158">
        <v>-48669</v>
      </c>
      <c r="J33" s="158">
        <v>0</v>
      </c>
      <c r="K33" s="158">
        <v>-3343</v>
      </c>
      <c r="L33" s="158">
        <v>-50000</v>
      </c>
      <c r="M33" s="158">
        <v>-1361692</v>
      </c>
      <c r="N33" s="158">
        <v>-1072</v>
      </c>
      <c r="O33" s="158">
        <v>-2137</v>
      </c>
      <c r="P33" s="158">
        <v>0</v>
      </c>
      <c r="Q33" s="158">
        <v>0</v>
      </c>
      <c r="R33" s="158">
        <v>0</v>
      </c>
      <c r="S33" s="158">
        <v>0</v>
      </c>
      <c r="T33" s="158">
        <v>0</v>
      </c>
      <c r="U33" s="158">
        <v>-4047410</v>
      </c>
      <c r="V33" s="158">
        <v>25758254</v>
      </c>
      <c r="W33" s="158">
        <v>-824264</v>
      </c>
      <c r="X33" s="158">
        <v>42266250</v>
      </c>
      <c r="Y33" s="158">
        <v>72298282</v>
      </c>
      <c r="Z33" s="158">
        <v>12405753</v>
      </c>
      <c r="AA33" s="158">
        <v>9924603</v>
      </c>
      <c r="AB33" s="158">
        <v>2233036</v>
      </c>
      <c r="AC33" s="158">
        <v>248115</v>
      </c>
      <c r="AD33" s="158">
        <v>103411</v>
      </c>
      <c r="AE33" s="158">
        <v>0</v>
      </c>
      <c r="AF33" s="158">
        <v>0</v>
      </c>
      <c r="AG33" s="158">
        <v>0</v>
      </c>
      <c r="AH33" s="158">
        <v>0</v>
      </c>
      <c r="AI33" s="158">
        <v>0</v>
      </c>
      <c r="AJ33" s="158">
        <v>0</v>
      </c>
      <c r="AK33" s="158">
        <v>-3352490</v>
      </c>
      <c r="AL33" s="158">
        <v>104</v>
      </c>
      <c r="AM33" s="158">
        <v>2</v>
      </c>
      <c r="AN33" s="158">
        <v>0</v>
      </c>
      <c r="AO33" s="158">
        <v>1</v>
      </c>
      <c r="AP33" s="158">
        <v>0</v>
      </c>
      <c r="AQ33" s="158">
        <v>92</v>
      </c>
      <c r="AR33" s="158">
        <v>1</v>
      </c>
      <c r="AS33" s="158">
        <v>2</v>
      </c>
      <c r="AT33" s="158">
        <v>0</v>
      </c>
      <c r="AU33" s="158">
        <v>0</v>
      </c>
      <c r="AV33" s="158">
        <v>0</v>
      </c>
      <c r="AW33" s="158">
        <v>0</v>
      </c>
      <c r="AX33" s="158">
        <v>0</v>
      </c>
      <c r="AY33" s="158">
        <v>411</v>
      </c>
      <c r="AZ33" s="158">
        <v>576</v>
      </c>
      <c r="BA33" s="158">
        <v>888</v>
      </c>
      <c r="BB33" s="158">
        <v>814</v>
      </c>
      <c r="BC33" s="158">
        <v>74</v>
      </c>
      <c r="BD33" s="158">
        <v>1089</v>
      </c>
      <c r="BE33" s="158">
        <v>0</v>
      </c>
      <c r="BF33" s="158">
        <v>0</v>
      </c>
      <c r="BG33" s="158">
        <v>0</v>
      </c>
      <c r="BH33" s="158">
        <v>0</v>
      </c>
      <c r="BI33" s="158">
        <v>-1270552</v>
      </c>
      <c r="BJ33" s="158">
        <v>-91140</v>
      </c>
      <c r="BK33" s="158">
        <v>-2256933</v>
      </c>
      <c r="BL33" s="1438">
        <v>14184850</v>
      </c>
      <c r="BM33" s="1439">
        <v>0</v>
      </c>
      <c r="BN33" s="784" t="s">
        <v>2349</v>
      </c>
      <c r="BO33" s="784" t="s">
        <v>2357</v>
      </c>
      <c r="BP33" s="1400" t="s">
        <v>2388</v>
      </c>
      <c r="BQ33" s="509"/>
      <c r="BR33" s="509"/>
      <c r="BS33" s="509"/>
      <c r="BT33" s="509"/>
      <c r="BU33" s="509"/>
      <c r="BV33" s="509"/>
      <c r="BW33" s="509"/>
      <c r="BX33" s="509"/>
      <c r="BY33" s="509"/>
      <c r="BZ33" s="509"/>
      <c r="CA33" s="509"/>
      <c r="CB33" s="509"/>
      <c r="CC33" s="509"/>
      <c r="CD33" s="509"/>
      <c r="CE33" s="509"/>
      <c r="CF33" s="509"/>
      <c r="CG33" s="509"/>
      <c r="CH33" s="509"/>
      <c r="CI33" s="509"/>
      <c r="CJ33" s="509"/>
      <c r="CK33" s="509"/>
      <c r="CL33" s="509"/>
      <c r="CM33" s="509"/>
      <c r="CN33" s="509"/>
      <c r="CO33" s="509"/>
      <c r="CP33" s="509"/>
      <c r="CQ33" s="509"/>
      <c r="CR33" s="509"/>
      <c r="CS33" s="509"/>
    </row>
    <row r="34" spans="1:97" s="137" customFormat="1" ht="12.75" customHeight="1" x14ac:dyDescent="0.2">
      <c r="A34" s="1421">
        <v>30</v>
      </c>
      <c r="B34" s="649" t="s">
        <v>968</v>
      </c>
      <c r="C34" s="1607" t="s">
        <v>776</v>
      </c>
      <c r="D34" s="1605">
        <v>439086</v>
      </c>
      <c r="E34" s="1405">
        <v>312590181</v>
      </c>
      <c r="F34" s="1405">
        <v>11420</v>
      </c>
      <c r="G34" s="158">
        <v>-11813914</v>
      </c>
      <c r="H34" s="158">
        <v>-14255505</v>
      </c>
      <c r="I34" s="158">
        <v>-63680</v>
      </c>
      <c r="J34" s="158">
        <v>0</v>
      </c>
      <c r="K34" s="158">
        <v>-10971</v>
      </c>
      <c r="L34" s="158">
        <v>0</v>
      </c>
      <c r="M34" s="158">
        <v>-4110134</v>
      </c>
      <c r="N34" s="158">
        <v>-84452</v>
      </c>
      <c r="O34" s="158">
        <v>-45405</v>
      </c>
      <c r="P34" s="158">
        <v>-127</v>
      </c>
      <c r="Q34" s="158">
        <v>0</v>
      </c>
      <c r="R34" s="158">
        <v>0</v>
      </c>
      <c r="S34" s="158">
        <v>0</v>
      </c>
      <c r="T34" s="158">
        <v>0</v>
      </c>
      <c r="U34" s="158">
        <v>-21263267</v>
      </c>
      <c r="V34" s="158">
        <v>114153238</v>
      </c>
      <c r="W34" s="158">
        <v>-3550182</v>
      </c>
      <c r="X34" s="158">
        <v>202956750</v>
      </c>
      <c r="Y34" s="158">
        <v>315393225</v>
      </c>
      <c r="Z34" s="158">
        <v>55257391</v>
      </c>
      <c r="AA34" s="158">
        <v>54152244</v>
      </c>
      <c r="AB34" s="158">
        <v>0</v>
      </c>
      <c r="AC34" s="158">
        <v>1105148</v>
      </c>
      <c r="AD34" s="158">
        <v>439201</v>
      </c>
      <c r="AE34" s="158">
        <v>0</v>
      </c>
      <c r="AF34" s="158">
        <v>0</v>
      </c>
      <c r="AG34" s="158">
        <v>0</v>
      </c>
      <c r="AH34" s="158">
        <v>0</v>
      </c>
      <c r="AI34" s="158">
        <v>0</v>
      </c>
      <c r="AJ34" s="158">
        <v>0</v>
      </c>
      <c r="AK34" s="158">
        <v>-3705247</v>
      </c>
      <c r="AL34" s="158">
        <v>433</v>
      </c>
      <c r="AM34" s="158">
        <v>11</v>
      </c>
      <c r="AN34" s="158">
        <v>0</v>
      </c>
      <c r="AO34" s="158">
        <v>7</v>
      </c>
      <c r="AP34" s="158">
        <v>0</v>
      </c>
      <c r="AQ34" s="158">
        <v>1082</v>
      </c>
      <c r="AR34" s="158">
        <v>36</v>
      </c>
      <c r="AS34" s="158">
        <v>36</v>
      </c>
      <c r="AT34" s="158">
        <v>1</v>
      </c>
      <c r="AU34" s="158">
        <v>0</v>
      </c>
      <c r="AV34" s="158">
        <v>0</v>
      </c>
      <c r="AW34" s="158">
        <v>0</v>
      </c>
      <c r="AX34" s="158">
        <v>0</v>
      </c>
      <c r="AY34" s="158">
        <v>2507</v>
      </c>
      <c r="AZ34" s="158">
        <v>2487</v>
      </c>
      <c r="BA34" s="158">
        <v>4354</v>
      </c>
      <c r="BB34" s="158">
        <v>3973</v>
      </c>
      <c r="BC34" s="158">
        <v>381</v>
      </c>
      <c r="BD34" s="158">
        <v>4614</v>
      </c>
      <c r="BE34" s="158">
        <v>-102107</v>
      </c>
      <c r="BF34" s="158">
        <v>-1161601</v>
      </c>
      <c r="BG34" s="158">
        <v>0</v>
      </c>
      <c r="BH34" s="158">
        <v>-260790</v>
      </c>
      <c r="BI34" s="158">
        <v>-2585636</v>
      </c>
      <c r="BJ34" s="158">
        <v>0</v>
      </c>
      <c r="BK34" s="158">
        <v>-6010597</v>
      </c>
      <c r="BL34" s="1438">
        <v>49706450</v>
      </c>
      <c r="BM34" s="1439">
        <v>0</v>
      </c>
      <c r="BN34" s="784" t="s">
        <v>509</v>
      </c>
      <c r="BO34" s="784" t="s">
        <v>2350</v>
      </c>
      <c r="BP34" s="1400" t="s">
        <v>2389</v>
      </c>
      <c r="BQ34" s="509"/>
      <c r="BR34" s="509"/>
      <c r="BS34" s="509"/>
      <c r="BT34" s="509"/>
      <c r="BU34" s="509"/>
      <c r="BV34" s="509"/>
      <c r="BW34" s="509"/>
      <c r="BX34" s="509"/>
      <c r="BY34" s="509"/>
      <c r="BZ34" s="509"/>
      <c r="CA34" s="509"/>
      <c r="CB34" s="509"/>
      <c r="CC34" s="509"/>
      <c r="CD34" s="509"/>
      <c r="CE34" s="509"/>
      <c r="CF34" s="509"/>
      <c r="CG34" s="509"/>
      <c r="CH34" s="509"/>
      <c r="CI34" s="509"/>
      <c r="CJ34" s="509"/>
      <c r="CK34" s="509"/>
      <c r="CL34" s="509"/>
      <c r="CM34" s="509"/>
      <c r="CN34" s="509"/>
      <c r="CO34" s="509"/>
      <c r="CP34" s="509"/>
      <c r="CQ34" s="509"/>
      <c r="CR34" s="509"/>
      <c r="CS34" s="509"/>
    </row>
    <row r="35" spans="1:97" s="137" customFormat="1" ht="12.75" customHeight="1" x14ac:dyDescent="0.2">
      <c r="A35" s="1421">
        <v>31</v>
      </c>
      <c r="B35" s="649" t="s">
        <v>512</v>
      </c>
      <c r="C35" s="1607" t="s">
        <v>778</v>
      </c>
      <c r="D35" s="1605">
        <v>696252</v>
      </c>
      <c r="E35" s="1405">
        <v>602256178</v>
      </c>
      <c r="F35" s="1405">
        <v>16529</v>
      </c>
      <c r="G35" s="158">
        <v>-14831247</v>
      </c>
      <c r="H35" s="158">
        <v>-24405939</v>
      </c>
      <c r="I35" s="158">
        <v>-94297</v>
      </c>
      <c r="J35" s="158">
        <v>0</v>
      </c>
      <c r="K35" s="158">
        <v>-8234</v>
      </c>
      <c r="L35" s="158">
        <v>-120000</v>
      </c>
      <c r="M35" s="158">
        <v>-6039263</v>
      </c>
      <c r="N35" s="158">
        <v>0</v>
      </c>
      <c r="O35" s="158">
        <v>-100000</v>
      </c>
      <c r="P35" s="158">
        <v>0</v>
      </c>
      <c r="Q35" s="158">
        <v>0</v>
      </c>
      <c r="R35" s="158">
        <v>0</v>
      </c>
      <c r="S35" s="158">
        <v>0</v>
      </c>
      <c r="T35" s="158">
        <v>0</v>
      </c>
      <c r="U35" s="158">
        <v>-15667788</v>
      </c>
      <c r="V35" s="158">
        <v>249630340</v>
      </c>
      <c r="W35" s="158">
        <v>-9236323</v>
      </c>
      <c r="X35" s="158">
        <v>431137950</v>
      </c>
      <c r="Y35" s="158">
        <v>602577406</v>
      </c>
      <c r="Z35" s="158">
        <v>0</v>
      </c>
      <c r="AA35" s="158">
        <v>210022904</v>
      </c>
      <c r="AB35" s="158">
        <v>11171431</v>
      </c>
      <c r="AC35" s="158">
        <v>2234286</v>
      </c>
      <c r="AD35" s="158">
        <v>700844</v>
      </c>
      <c r="AE35" s="158">
        <v>20836902</v>
      </c>
      <c r="AF35" s="158">
        <v>285815</v>
      </c>
      <c r="AG35" s="158">
        <v>0</v>
      </c>
      <c r="AH35" s="158">
        <v>0</v>
      </c>
      <c r="AI35" s="158">
        <v>0</v>
      </c>
      <c r="AJ35" s="158">
        <v>0</v>
      </c>
      <c r="AK35" s="158">
        <v>7768681</v>
      </c>
      <c r="AL35" s="158">
        <v>936</v>
      </c>
      <c r="AM35" s="158">
        <v>26</v>
      </c>
      <c r="AN35" s="158">
        <v>0</v>
      </c>
      <c r="AO35" s="158">
        <v>4</v>
      </c>
      <c r="AP35" s="158">
        <v>0</v>
      </c>
      <c r="AQ35" s="158">
        <v>1530</v>
      </c>
      <c r="AR35" s="158">
        <v>70</v>
      </c>
      <c r="AS35" s="158">
        <v>20</v>
      </c>
      <c r="AT35" s="158">
        <v>1</v>
      </c>
      <c r="AU35" s="158">
        <v>0</v>
      </c>
      <c r="AV35" s="158">
        <v>0</v>
      </c>
      <c r="AW35" s="158">
        <v>0</v>
      </c>
      <c r="AX35" s="158">
        <v>0</v>
      </c>
      <c r="AY35" s="158">
        <v>1599</v>
      </c>
      <c r="AZ35" s="158">
        <v>5556</v>
      </c>
      <c r="BA35" s="158">
        <v>5125</v>
      </c>
      <c r="BB35" s="158">
        <v>4661</v>
      </c>
      <c r="BC35" s="158">
        <v>464</v>
      </c>
      <c r="BD35" s="158">
        <v>5926</v>
      </c>
      <c r="BE35" s="158">
        <v>-167564</v>
      </c>
      <c r="BF35" s="158">
        <v>-4272522</v>
      </c>
      <c r="BG35" s="158">
        <v>0</v>
      </c>
      <c r="BH35" s="158">
        <v>-32370</v>
      </c>
      <c r="BI35" s="158">
        <v>-1558074</v>
      </c>
      <c r="BJ35" s="158">
        <v>-8733</v>
      </c>
      <c r="BK35" s="158">
        <v>5989303</v>
      </c>
      <c r="BL35" s="1438">
        <v>64917350</v>
      </c>
      <c r="BM35" s="1439">
        <v>4983000</v>
      </c>
      <c r="BN35" s="784" t="s">
        <v>509</v>
      </c>
      <c r="BO35" s="784" t="s">
        <v>2369</v>
      </c>
      <c r="BP35" s="1400" t="s">
        <v>2390</v>
      </c>
      <c r="BQ35" s="509"/>
      <c r="BR35" s="509"/>
      <c r="BS35" s="509"/>
      <c r="BT35" s="509"/>
      <c r="BU35" s="509"/>
      <c r="BV35" s="509"/>
      <c r="BW35" s="509"/>
      <c r="BX35" s="509"/>
      <c r="BY35" s="509"/>
      <c r="BZ35" s="509"/>
      <c r="CA35" s="509"/>
      <c r="CB35" s="509"/>
      <c r="CC35" s="509"/>
      <c r="CD35" s="509"/>
      <c r="CE35" s="509"/>
      <c r="CF35" s="509"/>
      <c r="CG35" s="509"/>
      <c r="CH35" s="509"/>
      <c r="CI35" s="509"/>
      <c r="CJ35" s="509"/>
      <c r="CK35" s="509"/>
      <c r="CL35" s="509"/>
      <c r="CM35" s="509"/>
      <c r="CN35" s="509"/>
      <c r="CO35" s="509"/>
      <c r="CP35" s="509"/>
      <c r="CQ35" s="509"/>
      <c r="CR35" s="509"/>
      <c r="CS35" s="509"/>
    </row>
    <row r="36" spans="1:97" s="137" customFormat="1" ht="12.75" customHeight="1" x14ac:dyDescent="0.2">
      <c r="A36" s="1421">
        <v>32</v>
      </c>
      <c r="B36" s="649" t="s">
        <v>779</v>
      </c>
      <c r="C36" s="1607" t="s">
        <v>780</v>
      </c>
      <c r="D36" s="1605">
        <v>143787</v>
      </c>
      <c r="E36" s="1405">
        <v>88016882</v>
      </c>
      <c r="F36" s="1405">
        <v>3910</v>
      </c>
      <c r="G36" s="158">
        <v>-4534023</v>
      </c>
      <c r="H36" s="158">
        <v>-2865814</v>
      </c>
      <c r="I36" s="158">
        <v>-36647</v>
      </c>
      <c r="J36" s="158">
        <v>-16826</v>
      </c>
      <c r="K36" s="158">
        <v>-10833</v>
      </c>
      <c r="L36" s="158">
        <v>-6000</v>
      </c>
      <c r="M36" s="158">
        <v>-572961</v>
      </c>
      <c r="N36" s="158">
        <v>-57418</v>
      </c>
      <c r="O36" s="158">
        <v>0</v>
      </c>
      <c r="P36" s="158">
        <v>-9162</v>
      </c>
      <c r="Q36" s="158">
        <v>0</v>
      </c>
      <c r="R36" s="158">
        <v>0</v>
      </c>
      <c r="S36" s="158">
        <v>0</v>
      </c>
      <c r="T36" s="158">
        <v>0</v>
      </c>
      <c r="U36" s="158">
        <v>-3962483</v>
      </c>
      <c r="V36" s="158">
        <v>32729779</v>
      </c>
      <c r="W36" s="158">
        <v>-950000</v>
      </c>
      <c r="X36" s="158">
        <v>53420950</v>
      </c>
      <c r="Y36" s="158">
        <v>87382879</v>
      </c>
      <c r="Z36" s="158">
        <v>16011778</v>
      </c>
      <c r="AA36" s="158">
        <v>12809422</v>
      </c>
      <c r="AB36" s="158">
        <v>3202356</v>
      </c>
      <c r="AC36" s="158">
        <v>0</v>
      </c>
      <c r="AD36" s="158">
        <v>142547</v>
      </c>
      <c r="AE36" s="158">
        <v>0</v>
      </c>
      <c r="AF36" s="158">
        <v>219530</v>
      </c>
      <c r="AG36" s="158">
        <v>0</v>
      </c>
      <c r="AH36" s="158">
        <v>0</v>
      </c>
      <c r="AI36" s="158">
        <v>0</v>
      </c>
      <c r="AJ36" s="158">
        <v>0</v>
      </c>
      <c r="AK36" s="158">
        <v>1389561</v>
      </c>
      <c r="AL36" s="158">
        <v>195</v>
      </c>
      <c r="AM36" s="158">
        <v>11</v>
      </c>
      <c r="AN36" s="158">
        <v>15</v>
      </c>
      <c r="AO36" s="158">
        <v>9</v>
      </c>
      <c r="AP36" s="158">
        <v>0</v>
      </c>
      <c r="AQ36" s="158">
        <v>139</v>
      </c>
      <c r="AR36" s="158">
        <v>28</v>
      </c>
      <c r="AS36" s="158">
        <v>8</v>
      </c>
      <c r="AT36" s="158">
        <v>11</v>
      </c>
      <c r="AU36" s="158">
        <v>18</v>
      </c>
      <c r="AV36" s="158">
        <v>0</v>
      </c>
      <c r="AW36" s="158">
        <v>0</v>
      </c>
      <c r="AX36" s="158">
        <v>12</v>
      </c>
      <c r="AY36" s="158">
        <v>487</v>
      </c>
      <c r="AZ36" s="158">
        <v>730</v>
      </c>
      <c r="BA36" s="158">
        <v>1907</v>
      </c>
      <c r="BB36" s="158">
        <v>1795</v>
      </c>
      <c r="BC36" s="158">
        <v>112</v>
      </c>
      <c r="BD36" s="158">
        <v>1208</v>
      </c>
      <c r="BE36" s="158">
        <v>-58205</v>
      </c>
      <c r="BF36" s="158">
        <v>-232532</v>
      </c>
      <c r="BG36" s="158">
        <v>0</v>
      </c>
      <c r="BH36" s="158">
        <v>0</v>
      </c>
      <c r="BI36" s="158">
        <v>-162271</v>
      </c>
      <c r="BJ36" s="158">
        <v>-119953</v>
      </c>
      <c r="BK36" s="158">
        <v>1707278</v>
      </c>
      <c r="BL36" s="1438">
        <v>12646693</v>
      </c>
      <c r="BM36" s="1439">
        <v>0</v>
      </c>
      <c r="BN36" s="784" t="s">
        <v>2349</v>
      </c>
      <c r="BO36" s="784" t="s">
        <v>2357</v>
      </c>
      <c r="BP36" s="1400" t="s">
        <v>2391</v>
      </c>
      <c r="BQ36" s="509"/>
      <c r="BR36" s="509"/>
      <c r="BS36" s="509"/>
      <c r="BT36" s="509"/>
      <c r="BU36" s="509"/>
      <c r="BV36" s="509"/>
      <c r="BW36" s="509"/>
      <c r="BX36" s="509"/>
      <c r="BY36" s="509"/>
      <c r="BZ36" s="509"/>
      <c r="CA36" s="509"/>
      <c r="CB36" s="509"/>
      <c r="CC36" s="509"/>
      <c r="CD36" s="509"/>
      <c r="CE36" s="509"/>
      <c r="CF36" s="509"/>
      <c r="CG36" s="509"/>
      <c r="CH36" s="509"/>
      <c r="CI36" s="509"/>
      <c r="CJ36" s="509"/>
      <c r="CK36" s="509"/>
      <c r="CL36" s="509"/>
      <c r="CM36" s="509"/>
      <c r="CN36" s="509"/>
      <c r="CO36" s="509"/>
      <c r="CP36" s="509"/>
      <c r="CQ36" s="509"/>
      <c r="CR36" s="509"/>
      <c r="CS36" s="509"/>
    </row>
    <row r="37" spans="1:97" s="137" customFormat="1" ht="12.75" customHeight="1" x14ac:dyDescent="0.2">
      <c r="A37" s="1421">
        <v>33</v>
      </c>
      <c r="B37" s="649" t="s">
        <v>781</v>
      </c>
      <c r="C37" s="1607" t="s">
        <v>782</v>
      </c>
      <c r="D37" s="1605">
        <v>318546</v>
      </c>
      <c r="E37" s="1405">
        <v>247410940</v>
      </c>
      <c r="F37" s="1405">
        <v>7458</v>
      </c>
      <c r="G37" s="158">
        <v>-6410292</v>
      </c>
      <c r="H37" s="158">
        <v>-14172801</v>
      </c>
      <c r="I37" s="158">
        <v>-140809</v>
      </c>
      <c r="J37" s="158">
        <v>0</v>
      </c>
      <c r="K37" s="158">
        <v>0</v>
      </c>
      <c r="L37" s="158">
        <v>0</v>
      </c>
      <c r="M37" s="158">
        <v>-1622568</v>
      </c>
      <c r="N37" s="158">
        <v>-371714</v>
      </c>
      <c r="O37" s="158">
        <v>-346512</v>
      </c>
      <c r="P37" s="158">
        <v>-35202</v>
      </c>
      <c r="Q37" s="158">
        <v>0</v>
      </c>
      <c r="R37" s="158">
        <v>0</v>
      </c>
      <c r="S37" s="158">
        <v>0</v>
      </c>
      <c r="T37" s="158">
        <v>0</v>
      </c>
      <c r="U37" s="158">
        <v>-14285033</v>
      </c>
      <c r="V37" s="158">
        <v>89356761</v>
      </c>
      <c r="W37" s="158">
        <v>-1727278</v>
      </c>
      <c r="X37" s="158">
        <v>160192050</v>
      </c>
      <c r="Y37" s="158">
        <v>244520527</v>
      </c>
      <c r="Z37" s="158">
        <v>29064014</v>
      </c>
      <c r="AA37" s="158">
        <v>26421831</v>
      </c>
      <c r="AB37" s="158">
        <v>32586925</v>
      </c>
      <c r="AC37" s="158">
        <v>0</v>
      </c>
      <c r="AD37" s="158">
        <v>313318</v>
      </c>
      <c r="AE37" s="158">
        <v>0</v>
      </c>
      <c r="AF37" s="158">
        <v>0</v>
      </c>
      <c r="AG37" s="158">
        <v>0</v>
      </c>
      <c r="AH37" s="158">
        <v>0</v>
      </c>
      <c r="AI37" s="158">
        <v>0</v>
      </c>
      <c r="AJ37" s="158">
        <v>0</v>
      </c>
      <c r="AK37" s="158">
        <v>2677811</v>
      </c>
      <c r="AL37" s="158">
        <v>387</v>
      </c>
      <c r="AM37" s="158">
        <v>29</v>
      </c>
      <c r="AN37" s="158">
        <v>0</v>
      </c>
      <c r="AO37" s="158">
        <v>0</v>
      </c>
      <c r="AP37" s="158">
        <v>0</v>
      </c>
      <c r="AQ37" s="158">
        <v>394</v>
      </c>
      <c r="AR37" s="158">
        <v>57</v>
      </c>
      <c r="AS37" s="158">
        <v>27</v>
      </c>
      <c r="AT37" s="158">
        <v>29</v>
      </c>
      <c r="AU37" s="158">
        <v>0</v>
      </c>
      <c r="AV37" s="158">
        <v>0</v>
      </c>
      <c r="AW37" s="158">
        <v>0</v>
      </c>
      <c r="AX37" s="158">
        <v>0</v>
      </c>
      <c r="AY37" s="158">
        <v>1637</v>
      </c>
      <c r="AZ37" s="158">
        <v>2017</v>
      </c>
      <c r="BA37" s="158">
        <v>1846</v>
      </c>
      <c r="BB37" s="158">
        <v>1553</v>
      </c>
      <c r="BC37" s="158">
        <v>293</v>
      </c>
      <c r="BD37" s="158">
        <v>3477</v>
      </c>
      <c r="BE37" s="158">
        <v>-88469</v>
      </c>
      <c r="BF37" s="158">
        <v>-336996</v>
      </c>
      <c r="BG37" s="158">
        <v>0</v>
      </c>
      <c r="BH37" s="158">
        <v>-62348</v>
      </c>
      <c r="BI37" s="158">
        <v>-1134755</v>
      </c>
      <c r="BJ37" s="158">
        <v>0</v>
      </c>
      <c r="BK37" s="158">
        <v>-3543443</v>
      </c>
      <c r="BL37" s="1438">
        <v>24243550</v>
      </c>
      <c r="BM37" s="1439">
        <v>0</v>
      </c>
      <c r="BN37" s="784" t="s">
        <v>2359</v>
      </c>
      <c r="BO37" s="784" t="s">
        <v>2360</v>
      </c>
      <c r="BP37" s="1400" t="s">
        <v>2392</v>
      </c>
      <c r="BQ37" s="509"/>
      <c r="BR37" s="509"/>
      <c r="BS37" s="509"/>
      <c r="BT37" s="509"/>
      <c r="BU37" s="509"/>
      <c r="BV37" s="509"/>
      <c r="BW37" s="509"/>
      <c r="BX37" s="509"/>
      <c r="BY37" s="509"/>
      <c r="BZ37" s="509"/>
      <c r="CA37" s="509"/>
      <c r="CB37" s="509"/>
      <c r="CC37" s="509"/>
      <c r="CD37" s="509"/>
      <c r="CE37" s="509"/>
      <c r="CF37" s="509"/>
      <c r="CG37" s="509"/>
      <c r="CH37" s="509"/>
      <c r="CI37" s="509"/>
      <c r="CJ37" s="509"/>
      <c r="CK37" s="509"/>
      <c r="CL37" s="509"/>
      <c r="CM37" s="509"/>
      <c r="CN37" s="509"/>
      <c r="CO37" s="509"/>
      <c r="CP37" s="509"/>
      <c r="CQ37" s="509"/>
      <c r="CR37" s="509"/>
      <c r="CS37" s="509"/>
    </row>
    <row r="38" spans="1:97" s="137" customFormat="1" ht="12.75" customHeight="1" x14ac:dyDescent="0.2">
      <c r="A38" s="1421">
        <v>34</v>
      </c>
      <c r="B38" s="649" t="s">
        <v>783</v>
      </c>
      <c r="C38" s="1607" t="s">
        <v>784</v>
      </c>
      <c r="D38" s="1605">
        <v>127454</v>
      </c>
      <c r="E38" s="1405">
        <v>79566440</v>
      </c>
      <c r="F38" s="1405">
        <v>3452</v>
      </c>
      <c r="G38" s="158">
        <v>-4052967</v>
      </c>
      <c r="H38" s="158">
        <v>-2775443</v>
      </c>
      <c r="I38" s="158">
        <v>0</v>
      </c>
      <c r="J38" s="158">
        <v>0</v>
      </c>
      <c r="K38" s="158">
        <v>-4454</v>
      </c>
      <c r="L38" s="158">
        <v>0</v>
      </c>
      <c r="M38" s="158">
        <v>-547744</v>
      </c>
      <c r="N38" s="158">
        <v>-42135</v>
      </c>
      <c r="O38" s="158">
        <v>-10786</v>
      </c>
      <c r="P38" s="158">
        <v>0</v>
      </c>
      <c r="Q38" s="158">
        <v>0</v>
      </c>
      <c r="R38" s="158">
        <v>0</v>
      </c>
      <c r="S38" s="158">
        <v>0</v>
      </c>
      <c r="T38" s="158">
        <v>0</v>
      </c>
      <c r="U38" s="158">
        <v>-2896222</v>
      </c>
      <c r="V38" s="158">
        <v>28656649</v>
      </c>
      <c r="W38" s="158">
        <v>-945666</v>
      </c>
      <c r="X38" s="158">
        <v>45893250</v>
      </c>
      <c r="Y38" s="158">
        <v>79542100</v>
      </c>
      <c r="Z38" s="158">
        <v>14040704</v>
      </c>
      <c r="AA38" s="158">
        <v>11232563</v>
      </c>
      <c r="AB38" s="158">
        <v>2527327</v>
      </c>
      <c r="AC38" s="158">
        <v>280814</v>
      </c>
      <c r="AD38" s="158">
        <v>126462</v>
      </c>
      <c r="AE38" s="158">
        <v>0</v>
      </c>
      <c r="AF38" s="158">
        <v>4793</v>
      </c>
      <c r="AG38" s="158">
        <v>0</v>
      </c>
      <c r="AH38" s="158">
        <v>0</v>
      </c>
      <c r="AI38" s="158">
        <v>0</v>
      </c>
      <c r="AJ38" s="158">
        <v>0</v>
      </c>
      <c r="AK38" s="158">
        <v>-582122</v>
      </c>
      <c r="AL38" s="158">
        <v>138</v>
      </c>
      <c r="AM38" s="158">
        <v>0</v>
      </c>
      <c r="AN38" s="158">
        <v>0</v>
      </c>
      <c r="AO38" s="158">
        <v>3</v>
      </c>
      <c r="AP38" s="158">
        <v>0</v>
      </c>
      <c r="AQ38" s="158">
        <v>252</v>
      </c>
      <c r="AR38" s="158">
        <v>45</v>
      </c>
      <c r="AS38" s="158">
        <v>10</v>
      </c>
      <c r="AT38" s="158">
        <v>0</v>
      </c>
      <c r="AU38" s="158">
        <v>0</v>
      </c>
      <c r="AV38" s="158">
        <v>0</v>
      </c>
      <c r="AW38" s="158">
        <v>0</v>
      </c>
      <c r="AX38" s="158">
        <v>0</v>
      </c>
      <c r="AY38" s="158">
        <v>321</v>
      </c>
      <c r="AZ38" s="158">
        <v>740</v>
      </c>
      <c r="BA38" s="158">
        <v>1465</v>
      </c>
      <c r="BB38" s="158">
        <v>1342</v>
      </c>
      <c r="BC38" s="158">
        <v>123</v>
      </c>
      <c r="BD38" s="158">
        <v>1239</v>
      </c>
      <c r="BE38" s="158">
        <v>-61251</v>
      </c>
      <c r="BF38" s="158">
        <v>-188577</v>
      </c>
      <c r="BG38" s="158">
        <v>0</v>
      </c>
      <c r="BH38" s="158">
        <v>0</v>
      </c>
      <c r="BI38" s="158">
        <v>-278527</v>
      </c>
      <c r="BJ38" s="158">
        <v>-19389</v>
      </c>
      <c r="BK38" s="158">
        <v>-543451</v>
      </c>
      <c r="BL38" s="1438">
        <v>0</v>
      </c>
      <c r="BM38" s="1439">
        <v>0</v>
      </c>
      <c r="BN38" s="784" t="s">
        <v>2349</v>
      </c>
      <c r="BO38" s="784" t="s">
        <v>2373</v>
      </c>
      <c r="BP38" s="1400" t="s">
        <v>2393</v>
      </c>
      <c r="BQ38" s="509"/>
      <c r="BR38" s="509"/>
      <c r="BS38" s="509"/>
      <c r="BT38" s="509"/>
      <c r="BU38" s="509"/>
      <c r="BV38" s="509"/>
      <c r="BW38" s="509"/>
      <c r="BX38" s="509"/>
      <c r="BY38" s="509"/>
      <c r="BZ38" s="509"/>
      <c r="CA38" s="509"/>
      <c r="CB38" s="509"/>
      <c r="CC38" s="509"/>
      <c r="CD38" s="509"/>
      <c r="CE38" s="509"/>
      <c r="CF38" s="509"/>
      <c r="CG38" s="509"/>
      <c r="CH38" s="509"/>
      <c r="CI38" s="509"/>
      <c r="CJ38" s="509"/>
      <c r="CK38" s="509"/>
      <c r="CL38" s="509"/>
      <c r="CM38" s="509"/>
      <c r="CN38" s="509"/>
      <c r="CO38" s="509"/>
      <c r="CP38" s="509"/>
      <c r="CQ38" s="509"/>
      <c r="CR38" s="509"/>
      <c r="CS38" s="509"/>
    </row>
    <row r="39" spans="1:97" s="137" customFormat="1" ht="12.75" customHeight="1" x14ac:dyDescent="0.2">
      <c r="A39" s="1421">
        <v>35</v>
      </c>
      <c r="B39" s="649" t="s">
        <v>785</v>
      </c>
      <c r="C39" s="1607" t="s">
        <v>786</v>
      </c>
      <c r="D39" s="1605">
        <v>109202</v>
      </c>
      <c r="E39" s="1405">
        <v>106887109</v>
      </c>
      <c r="F39" s="1405">
        <v>2342</v>
      </c>
      <c r="G39" s="158">
        <v>-2575291</v>
      </c>
      <c r="H39" s="158">
        <v>-3540702</v>
      </c>
      <c r="I39" s="158">
        <v>-44597</v>
      </c>
      <c r="J39" s="158">
        <v>0</v>
      </c>
      <c r="K39" s="158">
        <v>-1123</v>
      </c>
      <c r="L39" s="158">
        <v>0</v>
      </c>
      <c r="M39" s="158">
        <v>-593478</v>
      </c>
      <c r="N39" s="158">
        <v>-58933</v>
      </c>
      <c r="O39" s="158">
        <v>-2982</v>
      </c>
      <c r="P39" s="158">
        <v>0</v>
      </c>
      <c r="Q39" s="158">
        <v>0</v>
      </c>
      <c r="R39" s="158">
        <v>0</v>
      </c>
      <c r="S39" s="158">
        <v>0</v>
      </c>
      <c r="T39" s="158">
        <v>0</v>
      </c>
      <c r="U39" s="158">
        <v>-4005353</v>
      </c>
      <c r="V39" s="158">
        <v>43353506</v>
      </c>
      <c r="W39" s="158">
        <v>-1827000</v>
      </c>
      <c r="X39" s="158">
        <v>77728800</v>
      </c>
      <c r="Y39" s="158">
        <v>107088656</v>
      </c>
      <c r="Z39" s="158">
        <v>21335907</v>
      </c>
      <c r="AA39" s="158">
        <v>17068725</v>
      </c>
      <c r="AB39" s="158">
        <v>4267181</v>
      </c>
      <c r="AC39" s="158">
        <v>0</v>
      </c>
      <c r="AD39" s="158">
        <v>109116</v>
      </c>
      <c r="AE39" s="158">
        <v>0</v>
      </c>
      <c r="AF39" s="158">
        <v>0</v>
      </c>
      <c r="AG39" s="158">
        <v>0</v>
      </c>
      <c r="AH39" s="158">
        <v>0</v>
      </c>
      <c r="AI39" s="158">
        <v>0</v>
      </c>
      <c r="AJ39" s="158">
        <v>0</v>
      </c>
      <c r="AK39" s="158">
        <v>-4467886</v>
      </c>
      <c r="AL39" s="158">
        <v>91</v>
      </c>
      <c r="AM39" s="158">
        <v>3</v>
      </c>
      <c r="AN39" s="158">
        <v>0</v>
      </c>
      <c r="AO39" s="158">
        <v>1</v>
      </c>
      <c r="AP39" s="158">
        <v>0</v>
      </c>
      <c r="AQ39" s="158">
        <v>62</v>
      </c>
      <c r="AR39" s="158">
        <v>21</v>
      </c>
      <c r="AS39" s="158">
        <v>2</v>
      </c>
      <c r="AT39" s="158">
        <v>1</v>
      </c>
      <c r="AU39" s="158">
        <v>0</v>
      </c>
      <c r="AV39" s="158">
        <v>0</v>
      </c>
      <c r="AW39" s="158">
        <v>0</v>
      </c>
      <c r="AX39" s="158">
        <v>0</v>
      </c>
      <c r="AY39" s="158">
        <v>452</v>
      </c>
      <c r="AZ39" s="158">
        <v>341</v>
      </c>
      <c r="BA39" s="158">
        <v>807</v>
      </c>
      <c r="BB39" s="158">
        <v>665</v>
      </c>
      <c r="BC39" s="158">
        <v>142</v>
      </c>
      <c r="BD39" s="158">
        <v>1172</v>
      </c>
      <c r="BE39" s="158">
        <v>-136896</v>
      </c>
      <c r="BF39" s="158">
        <v>-50499</v>
      </c>
      <c r="BG39" s="158">
        <v>0</v>
      </c>
      <c r="BH39" s="158">
        <v>-1722</v>
      </c>
      <c r="BI39" s="158">
        <v>-404361</v>
      </c>
      <c r="BJ39" s="158">
        <v>0</v>
      </c>
      <c r="BK39" s="158">
        <v>-9516720</v>
      </c>
      <c r="BL39" s="1438">
        <v>12145150</v>
      </c>
      <c r="BM39" s="1439">
        <v>0</v>
      </c>
      <c r="BN39" s="784" t="s">
        <v>2349</v>
      </c>
      <c r="BO39" s="784" t="s">
        <v>2357</v>
      </c>
      <c r="BP39" s="1400" t="s">
        <v>2394</v>
      </c>
      <c r="BQ39" s="509"/>
      <c r="BR39" s="509"/>
      <c r="BS39" s="509"/>
      <c r="BT39" s="509"/>
      <c r="BU39" s="509"/>
      <c r="BV39" s="509"/>
      <c r="BW39" s="509"/>
      <c r="BX39" s="509"/>
      <c r="BY39" s="509"/>
      <c r="BZ39" s="509"/>
      <c r="CA39" s="509"/>
      <c r="CB39" s="509"/>
      <c r="CC39" s="509"/>
      <c r="CD39" s="509"/>
      <c r="CE39" s="509"/>
      <c r="CF39" s="509"/>
      <c r="CG39" s="509"/>
      <c r="CH39" s="509"/>
      <c r="CI39" s="509"/>
      <c r="CJ39" s="509"/>
      <c r="CK39" s="509"/>
      <c r="CL39" s="509"/>
      <c r="CM39" s="509"/>
      <c r="CN39" s="509"/>
      <c r="CO39" s="509"/>
      <c r="CP39" s="509"/>
      <c r="CQ39" s="509"/>
      <c r="CR39" s="509"/>
      <c r="CS39" s="509"/>
    </row>
    <row r="40" spans="1:97" s="137" customFormat="1" ht="12.75" customHeight="1" x14ac:dyDescent="0.2">
      <c r="A40" s="1421">
        <v>36</v>
      </c>
      <c r="B40" s="649" t="s">
        <v>787</v>
      </c>
      <c r="C40" s="1607" t="s">
        <v>788</v>
      </c>
      <c r="D40" s="1605">
        <v>103918</v>
      </c>
      <c r="E40" s="1405">
        <v>74701775</v>
      </c>
      <c r="F40" s="1405">
        <v>2686</v>
      </c>
      <c r="G40" s="158">
        <v>-3204199</v>
      </c>
      <c r="H40" s="158">
        <v>-1996689</v>
      </c>
      <c r="I40" s="158">
        <v>-4691</v>
      </c>
      <c r="J40" s="158">
        <v>-2839</v>
      </c>
      <c r="K40" s="158">
        <v>-6475</v>
      </c>
      <c r="L40" s="158">
        <v>0</v>
      </c>
      <c r="M40" s="158">
        <v>-543639</v>
      </c>
      <c r="N40" s="158">
        <v>-65826</v>
      </c>
      <c r="O40" s="158">
        <v>-15599</v>
      </c>
      <c r="P40" s="158">
        <v>0</v>
      </c>
      <c r="Q40" s="158">
        <v>0</v>
      </c>
      <c r="R40" s="158">
        <v>0</v>
      </c>
      <c r="S40" s="158">
        <v>0</v>
      </c>
      <c r="T40" s="158">
        <v>0</v>
      </c>
      <c r="U40" s="158">
        <v>-2405555</v>
      </c>
      <c r="V40" s="158">
        <v>30069410</v>
      </c>
      <c r="W40" s="158">
        <v>-280000</v>
      </c>
      <c r="X40" s="158">
        <v>48191500</v>
      </c>
      <c r="Y40" s="158">
        <v>73484496</v>
      </c>
      <c r="Z40" s="158">
        <v>15095429</v>
      </c>
      <c r="AA40" s="158">
        <v>12076343</v>
      </c>
      <c r="AB40" s="158">
        <v>2717177</v>
      </c>
      <c r="AC40" s="158">
        <v>301909</v>
      </c>
      <c r="AD40" s="158">
        <v>103231</v>
      </c>
      <c r="AE40" s="158">
        <v>0</v>
      </c>
      <c r="AF40" s="158">
        <v>12974</v>
      </c>
      <c r="AG40" s="158">
        <v>0</v>
      </c>
      <c r="AH40" s="158">
        <v>0</v>
      </c>
      <c r="AI40" s="158">
        <v>0</v>
      </c>
      <c r="AJ40" s="158">
        <v>0</v>
      </c>
      <c r="AK40" s="158">
        <v>-2985098</v>
      </c>
      <c r="AL40" s="158">
        <v>128</v>
      </c>
      <c r="AM40" s="158">
        <v>1</v>
      </c>
      <c r="AN40" s="158">
        <v>2</v>
      </c>
      <c r="AO40" s="158">
        <v>6</v>
      </c>
      <c r="AP40" s="158">
        <v>0</v>
      </c>
      <c r="AQ40" s="158">
        <v>173</v>
      </c>
      <c r="AR40" s="158">
        <v>58</v>
      </c>
      <c r="AS40" s="158">
        <v>6</v>
      </c>
      <c r="AT40" s="158">
        <v>0</v>
      </c>
      <c r="AU40" s="158">
        <v>2</v>
      </c>
      <c r="AV40" s="158">
        <v>0</v>
      </c>
      <c r="AW40" s="158">
        <v>0</v>
      </c>
      <c r="AX40" s="158">
        <v>0</v>
      </c>
      <c r="AY40" s="158">
        <v>293</v>
      </c>
      <c r="AZ40" s="158">
        <v>349</v>
      </c>
      <c r="BA40" s="158">
        <v>1131</v>
      </c>
      <c r="BB40" s="158">
        <v>1061</v>
      </c>
      <c r="BC40" s="158">
        <v>70</v>
      </c>
      <c r="BD40" s="158">
        <v>963</v>
      </c>
      <c r="BE40" s="158">
        <v>-100000</v>
      </c>
      <c r="BF40" s="158">
        <v>-8179</v>
      </c>
      <c r="BG40" s="158">
        <v>0</v>
      </c>
      <c r="BH40" s="158">
        <v>0</v>
      </c>
      <c r="BI40" s="158">
        <v>-355614</v>
      </c>
      <c r="BJ40" s="158">
        <v>-79846</v>
      </c>
      <c r="BK40" s="158">
        <v>-3625137</v>
      </c>
      <c r="BL40" s="1438">
        <v>8928750</v>
      </c>
      <c r="BM40" s="1439">
        <v>0</v>
      </c>
      <c r="BN40" s="784" t="s">
        <v>2349</v>
      </c>
      <c r="BO40" s="784" t="s">
        <v>2352</v>
      </c>
      <c r="BP40" s="1400" t="s">
        <v>2395</v>
      </c>
      <c r="BQ40" s="509"/>
      <c r="BR40" s="509"/>
      <c r="BS40" s="509"/>
      <c r="BT40" s="509"/>
      <c r="BU40" s="509"/>
      <c r="BV40" s="509"/>
      <c r="BW40" s="509"/>
      <c r="BX40" s="509"/>
      <c r="BY40" s="509"/>
      <c r="BZ40" s="509"/>
      <c r="CA40" s="509"/>
      <c r="CB40" s="509"/>
      <c r="CC40" s="509"/>
      <c r="CD40" s="509"/>
      <c r="CE40" s="509"/>
      <c r="CF40" s="509"/>
      <c r="CG40" s="509"/>
      <c r="CH40" s="509"/>
      <c r="CI40" s="509"/>
      <c r="CJ40" s="509"/>
      <c r="CK40" s="509"/>
      <c r="CL40" s="509"/>
      <c r="CM40" s="509"/>
      <c r="CN40" s="509"/>
      <c r="CO40" s="509"/>
      <c r="CP40" s="509"/>
      <c r="CQ40" s="509"/>
      <c r="CR40" s="509"/>
      <c r="CS40" s="509"/>
    </row>
    <row r="41" spans="1:97" s="137" customFormat="1" ht="12.75" customHeight="1" x14ac:dyDescent="0.2">
      <c r="A41" s="1421">
        <v>37</v>
      </c>
      <c r="B41" s="649" t="s">
        <v>529</v>
      </c>
      <c r="C41" s="1607" t="s">
        <v>1213</v>
      </c>
      <c r="D41" s="1605">
        <v>667009</v>
      </c>
      <c r="E41" s="1405">
        <v>549331954</v>
      </c>
      <c r="F41" s="1405">
        <v>15414</v>
      </c>
      <c r="G41" s="158">
        <v>-15385374</v>
      </c>
      <c r="H41" s="158">
        <v>-19958734</v>
      </c>
      <c r="I41" s="158">
        <v>-165904</v>
      </c>
      <c r="J41" s="158">
        <v>-53011</v>
      </c>
      <c r="K41" s="158">
        <v>-45718</v>
      </c>
      <c r="L41" s="158">
        <v>-50000</v>
      </c>
      <c r="M41" s="158">
        <v>-7237662</v>
      </c>
      <c r="N41" s="158">
        <v>-746474</v>
      </c>
      <c r="O41" s="158">
        <v>-190529</v>
      </c>
      <c r="P41" s="158">
        <v>-58592</v>
      </c>
      <c r="Q41" s="158">
        <v>0</v>
      </c>
      <c r="R41" s="158">
        <v>-716103</v>
      </c>
      <c r="S41" s="158">
        <v>-716103</v>
      </c>
      <c r="T41" s="158">
        <v>0</v>
      </c>
      <c r="U41" s="158">
        <v>-20620769</v>
      </c>
      <c r="V41" s="158">
        <v>190905463</v>
      </c>
      <c r="W41" s="158">
        <v>-8131981</v>
      </c>
      <c r="X41" s="158">
        <v>376689450</v>
      </c>
      <c r="Y41" s="158">
        <v>552695508</v>
      </c>
      <c r="Z41" s="158">
        <v>99858649</v>
      </c>
      <c r="AA41" s="158">
        <v>98563257</v>
      </c>
      <c r="AB41" s="158">
        <v>0</v>
      </c>
      <c r="AC41" s="158">
        <v>2011495</v>
      </c>
      <c r="AD41" s="158">
        <v>664280</v>
      </c>
      <c r="AE41" s="158">
        <v>5701478</v>
      </c>
      <c r="AF41" s="158">
        <v>240105</v>
      </c>
      <c r="AG41" s="158">
        <v>0</v>
      </c>
      <c r="AH41" s="158">
        <v>716103</v>
      </c>
      <c r="AI41" s="158">
        <v>0</v>
      </c>
      <c r="AJ41" s="158">
        <v>0</v>
      </c>
      <c r="AK41" s="158">
        <v>-30567578</v>
      </c>
      <c r="AL41" s="158">
        <v>873</v>
      </c>
      <c r="AM41" s="158">
        <v>33</v>
      </c>
      <c r="AN41" s="158">
        <v>30</v>
      </c>
      <c r="AO41" s="158">
        <v>22</v>
      </c>
      <c r="AP41" s="158">
        <v>4</v>
      </c>
      <c r="AQ41" s="158">
        <v>702</v>
      </c>
      <c r="AR41" s="158">
        <v>252</v>
      </c>
      <c r="AS41" s="158">
        <v>37</v>
      </c>
      <c r="AT41" s="158">
        <v>6</v>
      </c>
      <c r="AU41" s="158">
        <v>0</v>
      </c>
      <c r="AV41" s="158">
        <v>0</v>
      </c>
      <c r="AW41" s="158">
        <v>52</v>
      </c>
      <c r="AX41" s="158">
        <v>0</v>
      </c>
      <c r="AY41" s="158">
        <v>1797</v>
      </c>
      <c r="AZ41" s="158">
        <v>3559</v>
      </c>
      <c r="BA41" s="158">
        <v>5785</v>
      </c>
      <c r="BB41" s="158">
        <v>5223</v>
      </c>
      <c r="BC41" s="158">
        <v>562</v>
      </c>
      <c r="BD41" s="158">
        <v>6068</v>
      </c>
      <c r="BE41" s="158">
        <v>-2333080</v>
      </c>
      <c r="BF41" s="158">
        <v>-1108233</v>
      </c>
      <c r="BG41" s="158">
        <v>0</v>
      </c>
      <c r="BH41" s="158">
        <v>-163231</v>
      </c>
      <c r="BI41" s="158">
        <v>-52111</v>
      </c>
      <c r="BJ41" s="158">
        <v>-3581007</v>
      </c>
      <c r="BK41" s="158">
        <v>-36322410</v>
      </c>
      <c r="BL41" s="1438">
        <v>72664327</v>
      </c>
      <c r="BM41" s="1439">
        <v>524500</v>
      </c>
      <c r="BN41" s="784" t="s">
        <v>509</v>
      </c>
      <c r="BO41" s="784" t="s">
        <v>2350</v>
      </c>
      <c r="BP41" s="1400" t="s">
        <v>2396</v>
      </c>
      <c r="BQ41" s="509"/>
      <c r="BR41" s="509"/>
      <c r="BS41" s="509"/>
      <c r="BT41" s="509"/>
      <c r="BU41" s="509"/>
      <c r="BV41" s="509"/>
      <c r="BW41" s="509"/>
      <c r="BX41" s="509"/>
      <c r="BY41" s="509"/>
    </row>
    <row r="42" spans="1:97" s="137" customFormat="1" ht="12.75" customHeight="1" x14ac:dyDescent="0.2">
      <c r="A42" s="1421">
        <v>38</v>
      </c>
      <c r="B42" s="649" t="s">
        <v>789</v>
      </c>
      <c r="C42" s="1607" t="s">
        <v>790</v>
      </c>
      <c r="D42" s="1605">
        <v>188570</v>
      </c>
      <c r="E42" s="1405">
        <v>83446543</v>
      </c>
      <c r="F42" s="1405">
        <v>5414</v>
      </c>
      <c r="G42" s="158">
        <v>-4381294</v>
      </c>
      <c r="H42" s="158">
        <v>-3219178</v>
      </c>
      <c r="I42" s="158">
        <v>-21778</v>
      </c>
      <c r="J42" s="158">
        <v>-2295</v>
      </c>
      <c r="K42" s="158">
        <v>-1332</v>
      </c>
      <c r="L42" s="158">
        <v>-50000</v>
      </c>
      <c r="M42" s="158">
        <v>-674041</v>
      </c>
      <c r="N42" s="158">
        <v>-147967</v>
      </c>
      <c r="O42" s="158">
        <v>-117582</v>
      </c>
      <c r="P42" s="158">
        <v>0</v>
      </c>
      <c r="Q42" s="158">
        <v>0</v>
      </c>
      <c r="R42" s="158">
        <v>-75000</v>
      </c>
      <c r="S42" s="158">
        <v>0</v>
      </c>
      <c r="T42" s="158">
        <v>0</v>
      </c>
      <c r="U42" s="158">
        <v>-2350193</v>
      </c>
      <c r="V42" s="158">
        <v>31849419</v>
      </c>
      <c r="W42" s="158">
        <v>-1592471</v>
      </c>
      <c r="X42" s="158">
        <v>53052250</v>
      </c>
      <c r="Y42" s="158">
        <v>83131542</v>
      </c>
      <c r="Z42" s="158">
        <v>15031380</v>
      </c>
      <c r="AA42" s="158">
        <v>12025105</v>
      </c>
      <c r="AB42" s="158">
        <v>2705649</v>
      </c>
      <c r="AC42" s="158">
        <v>300628</v>
      </c>
      <c r="AD42" s="158">
        <v>188034</v>
      </c>
      <c r="AE42" s="158">
        <v>0</v>
      </c>
      <c r="AF42" s="158">
        <v>338077</v>
      </c>
      <c r="AG42" s="158">
        <v>0</v>
      </c>
      <c r="AH42" s="158">
        <v>0</v>
      </c>
      <c r="AI42" s="158">
        <v>0</v>
      </c>
      <c r="AJ42" s="158">
        <v>0</v>
      </c>
      <c r="AK42" s="158">
        <v>-2688838</v>
      </c>
      <c r="AL42" s="158">
        <v>147</v>
      </c>
      <c r="AM42" s="158">
        <v>2</v>
      </c>
      <c r="AN42" s="158">
        <v>1</v>
      </c>
      <c r="AO42" s="158">
        <v>4</v>
      </c>
      <c r="AP42" s="158">
        <v>0</v>
      </c>
      <c r="AQ42" s="158">
        <v>690</v>
      </c>
      <c r="AR42" s="158">
        <v>64</v>
      </c>
      <c r="AS42" s="158">
        <v>38</v>
      </c>
      <c r="AT42" s="158">
        <v>0</v>
      </c>
      <c r="AU42" s="158">
        <v>1</v>
      </c>
      <c r="AV42" s="158">
        <v>0</v>
      </c>
      <c r="AW42" s="158">
        <v>0</v>
      </c>
      <c r="AX42" s="158">
        <v>1</v>
      </c>
      <c r="AY42" s="158">
        <v>302</v>
      </c>
      <c r="AZ42" s="158">
        <v>1250</v>
      </c>
      <c r="BA42" s="158">
        <v>1958</v>
      </c>
      <c r="BB42" s="158">
        <v>1888</v>
      </c>
      <c r="BC42" s="158">
        <v>70</v>
      </c>
      <c r="BD42" s="158">
        <v>2210</v>
      </c>
      <c r="BE42" s="158">
        <v>-30198</v>
      </c>
      <c r="BF42" s="158">
        <v>-313737</v>
      </c>
      <c r="BG42" s="158">
        <v>0</v>
      </c>
      <c r="BH42" s="158">
        <v>-38153</v>
      </c>
      <c r="BI42" s="158">
        <v>-284967</v>
      </c>
      <c r="BJ42" s="158">
        <v>-6986</v>
      </c>
      <c r="BK42" s="158">
        <v>-2278135</v>
      </c>
      <c r="BL42" s="1438">
        <v>9286775</v>
      </c>
      <c r="BM42" s="1439">
        <v>0</v>
      </c>
      <c r="BN42" s="784" t="s">
        <v>2349</v>
      </c>
      <c r="BO42" s="784" t="s">
        <v>2376</v>
      </c>
      <c r="BP42" s="1400" t="s">
        <v>2397</v>
      </c>
      <c r="BQ42" s="509"/>
      <c r="BR42" s="509"/>
      <c r="BS42" s="509"/>
      <c r="BT42" s="509"/>
      <c r="BU42" s="509"/>
      <c r="BV42" s="509"/>
      <c r="BW42" s="509"/>
      <c r="BX42" s="509"/>
      <c r="BY42" s="509"/>
      <c r="BZ42" s="509"/>
      <c r="CA42" s="509"/>
      <c r="CB42" s="509"/>
      <c r="CC42" s="509"/>
      <c r="CD42" s="509"/>
      <c r="CE42" s="509"/>
      <c r="CF42" s="509"/>
      <c r="CG42" s="509"/>
      <c r="CH42" s="509"/>
      <c r="CI42" s="509"/>
      <c r="CJ42" s="509"/>
      <c r="CK42" s="509"/>
      <c r="CL42" s="509"/>
      <c r="CM42" s="509"/>
      <c r="CN42" s="509"/>
      <c r="CO42" s="509"/>
      <c r="CP42" s="509"/>
      <c r="CQ42" s="509"/>
      <c r="CR42" s="509"/>
      <c r="CS42" s="509"/>
    </row>
    <row r="43" spans="1:97" s="137" customFormat="1" ht="12.75" customHeight="1" x14ac:dyDescent="0.2">
      <c r="A43" s="1421">
        <v>39</v>
      </c>
      <c r="B43" s="649" t="s">
        <v>791</v>
      </c>
      <c r="C43" s="1607" t="s">
        <v>792</v>
      </c>
      <c r="D43" s="1605">
        <v>235369</v>
      </c>
      <c r="E43" s="1405">
        <v>136095635</v>
      </c>
      <c r="F43" s="1405">
        <v>6344</v>
      </c>
      <c r="G43" s="158">
        <v>-8793333</v>
      </c>
      <c r="H43" s="158">
        <v>-4013679</v>
      </c>
      <c r="I43" s="158">
        <v>-103913</v>
      </c>
      <c r="J43" s="158">
        <v>-3044</v>
      </c>
      <c r="K43" s="158">
        <v>-12314</v>
      </c>
      <c r="L43" s="158">
        <v>0</v>
      </c>
      <c r="M43" s="158">
        <v>-787130</v>
      </c>
      <c r="N43" s="158">
        <v>-359643</v>
      </c>
      <c r="O43" s="158">
        <v>-192805</v>
      </c>
      <c r="P43" s="158">
        <v>-25979</v>
      </c>
      <c r="Q43" s="158">
        <v>0</v>
      </c>
      <c r="R43" s="158">
        <v>0</v>
      </c>
      <c r="S43" s="158">
        <v>0</v>
      </c>
      <c r="T43" s="158">
        <v>0</v>
      </c>
      <c r="U43" s="158">
        <v>-4478262</v>
      </c>
      <c r="V43" s="158">
        <v>49824930</v>
      </c>
      <c r="W43" s="158">
        <v>-1743873</v>
      </c>
      <c r="X43" s="158">
        <v>57809778</v>
      </c>
      <c r="Y43" s="158">
        <v>135011878</v>
      </c>
      <c r="Z43" s="158">
        <v>0</v>
      </c>
      <c r="AA43" s="158">
        <v>45949863</v>
      </c>
      <c r="AB43" s="158">
        <v>0</v>
      </c>
      <c r="AC43" s="158">
        <v>464140</v>
      </c>
      <c r="AD43" s="158">
        <v>233878</v>
      </c>
      <c r="AE43" s="158">
        <v>0</v>
      </c>
      <c r="AF43" s="158">
        <v>0</v>
      </c>
      <c r="AG43" s="158">
        <v>0</v>
      </c>
      <c r="AH43" s="158">
        <v>0</v>
      </c>
      <c r="AI43" s="158">
        <v>0</v>
      </c>
      <c r="AJ43" s="158">
        <v>0</v>
      </c>
      <c r="AK43" s="158">
        <v>-5415536</v>
      </c>
      <c r="AL43" s="158">
        <v>210</v>
      </c>
      <c r="AM43" s="158">
        <v>9</v>
      </c>
      <c r="AN43" s="158">
        <v>1</v>
      </c>
      <c r="AO43" s="158">
        <v>5</v>
      </c>
      <c r="AP43" s="158">
        <v>0</v>
      </c>
      <c r="AQ43" s="158">
        <v>313</v>
      </c>
      <c r="AR43" s="158">
        <v>111</v>
      </c>
      <c r="AS43" s="158">
        <v>57</v>
      </c>
      <c r="AT43" s="158">
        <v>9</v>
      </c>
      <c r="AU43" s="158">
        <v>0</v>
      </c>
      <c r="AV43" s="158">
        <v>0</v>
      </c>
      <c r="AW43" s="158">
        <v>0</v>
      </c>
      <c r="AX43" s="158">
        <v>0</v>
      </c>
      <c r="AY43" s="158">
        <v>508</v>
      </c>
      <c r="AZ43" s="158">
        <v>1270</v>
      </c>
      <c r="BA43" s="158">
        <v>3046</v>
      </c>
      <c r="BB43" s="158">
        <v>2874</v>
      </c>
      <c r="BC43" s="158">
        <v>172</v>
      </c>
      <c r="BD43" s="158">
        <v>2073</v>
      </c>
      <c r="BE43" s="158">
        <v>-129845</v>
      </c>
      <c r="BF43" s="158">
        <v>-106499</v>
      </c>
      <c r="BG43" s="158">
        <v>0</v>
      </c>
      <c r="BH43" s="158">
        <v>0</v>
      </c>
      <c r="BI43" s="158">
        <v>-516846</v>
      </c>
      <c r="BJ43" s="158">
        <v>-33940</v>
      </c>
      <c r="BK43" s="158">
        <v>-6096030</v>
      </c>
      <c r="BL43" s="1438">
        <v>22672608</v>
      </c>
      <c r="BM43" s="1439">
        <v>0</v>
      </c>
      <c r="BN43" s="784" t="s">
        <v>2363</v>
      </c>
      <c r="BO43" s="784" t="s">
        <v>2376</v>
      </c>
      <c r="BP43" s="1400" t="s">
        <v>2398</v>
      </c>
      <c r="BQ43" s="509"/>
      <c r="BR43" s="509"/>
      <c r="BS43" s="509"/>
      <c r="BT43" s="509"/>
      <c r="BU43" s="509"/>
      <c r="BV43" s="509"/>
      <c r="BW43" s="509"/>
      <c r="BX43" s="509"/>
      <c r="BY43" s="509"/>
      <c r="BZ43" s="509"/>
      <c r="CA43" s="509"/>
      <c r="CB43" s="509"/>
      <c r="CC43" s="509"/>
      <c r="CD43" s="509"/>
      <c r="CE43" s="509"/>
      <c r="CF43" s="509"/>
      <c r="CG43" s="509"/>
      <c r="CH43" s="509"/>
      <c r="CI43" s="509"/>
      <c r="CJ43" s="509"/>
      <c r="CK43" s="509"/>
      <c r="CL43" s="509"/>
      <c r="CM43" s="509"/>
      <c r="CN43" s="509"/>
      <c r="CO43" s="509"/>
      <c r="CP43" s="509"/>
      <c r="CQ43" s="509"/>
      <c r="CR43" s="509"/>
      <c r="CS43" s="509"/>
    </row>
    <row r="44" spans="1:97" s="137" customFormat="1" ht="12.75" customHeight="1" x14ac:dyDescent="0.2">
      <c r="A44" s="1421">
        <v>40</v>
      </c>
      <c r="B44" s="649" t="s">
        <v>793</v>
      </c>
      <c r="C44" s="1607" t="s">
        <v>794</v>
      </c>
      <c r="D44" s="1605">
        <v>349683</v>
      </c>
      <c r="E44" s="1405">
        <v>170183566</v>
      </c>
      <c r="F44" s="1405">
        <v>9839</v>
      </c>
      <c r="G44" s="158">
        <v>-12724469</v>
      </c>
      <c r="H44" s="158">
        <v>-5299382</v>
      </c>
      <c r="I44" s="158">
        <v>-208845</v>
      </c>
      <c r="J44" s="158">
        <v>-2850</v>
      </c>
      <c r="K44" s="158">
        <v>-724</v>
      </c>
      <c r="L44" s="158">
        <v>0</v>
      </c>
      <c r="M44" s="158">
        <v>-4284686</v>
      </c>
      <c r="N44" s="158">
        <v>-168852</v>
      </c>
      <c r="O44" s="158">
        <v>-228861</v>
      </c>
      <c r="P44" s="158">
        <v>0</v>
      </c>
      <c r="Q44" s="158">
        <v>-2850</v>
      </c>
      <c r="R44" s="158">
        <v>0</v>
      </c>
      <c r="S44" s="158">
        <v>0</v>
      </c>
      <c r="T44" s="158">
        <v>0</v>
      </c>
      <c r="U44" s="158">
        <v>-5496219</v>
      </c>
      <c r="V44" s="158">
        <v>57973551</v>
      </c>
      <c r="W44" s="158">
        <v>-2879001</v>
      </c>
      <c r="X44" s="158">
        <v>101164006</v>
      </c>
      <c r="Y44" s="158">
        <v>170769673</v>
      </c>
      <c r="Z44" s="158">
        <v>27328621</v>
      </c>
      <c r="AA44" s="158">
        <v>26782048</v>
      </c>
      <c r="AB44" s="158">
        <v>0</v>
      </c>
      <c r="AC44" s="158">
        <v>546572</v>
      </c>
      <c r="AD44" s="158">
        <v>347925</v>
      </c>
      <c r="AE44" s="158">
        <v>0</v>
      </c>
      <c r="AF44" s="158">
        <v>732198</v>
      </c>
      <c r="AG44" s="158">
        <v>0</v>
      </c>
      <c r="AH44" s="158">
        <v>0</v>
      </c>
      <c r="AI44" s="158">
        <v>0</v>
      </c>
      <c r="AJ44" s="158">
        <v>0</v>
      </c>
      <c r="AK44" s="158">
        <v>2049960</v>
      </c>
      <c r="AL44" s="158">
        <v>361</v>
      </c>
      <c r="AM44" s="158">
        <v>31</v>
      </c>
      <c r="AN44" s="158">
        <v>4</v>
      </c>
      <c r="AO44" s="158">
        <v>1</v>
      </c>
      <c r="AP44" s="158">
        <v>0</v>
      </c>
      <c r="AQ44" s="158">
        <v>921</v>
      </c>
      <c r="AR44" s="158">
        <v>124</v>
      </c>
      <c r="AS44" s="158">
        <v>36</v>
      </c>
      <c r="AT44" s="158">
        <v>0</v>
      </c>
      <c r="AU44" s="158">
        <v>0</v>
      </c>
      <c r="AV44" s="158">
        <v>0</v>
      </c>
      <c r="AW44" s="158">
        <v>0</v>
      </c>
      <c r="AX44" s="158">
        <v>0</v>
      </c>
      <c r="AY44" s="158">
        <v>813</v>
      </c>
      <c r="AZ44" s="158">
        <v>1545</v>
      </c>
      <c r="BA44" s="158">
        <v>5142</v>
      </c>
      <c r="BB44" s="158">
        <v>4900</v>
      </c>
      <c r="BC44" s="158">
        <v>242</v>
      </c>
      <c r="BD44" s="158">
        <v>2301</v>
      </c>
      <c r="BE44" s="158">
        <v>-718074</v>
      </c>
      <c r="BF44" s="158">
        <v>-2427863</v>
      </c>
      <c r="BG44" s="158">
        <v>0</v>
      </c>
      <c r="BH44" s="158">
        <v>-40759</v>
      </c>
      <c r="BI44" s="158">
        <v>-1097990</v>
      </c>
      <c r="BJ44" s="158">
        <v>0</v>
      </c>
      <c r="BK44" s="158">
        <v>3611709</v>
      </c>
      <c r="BL44" s="1438">
        <v>23644000</v>
      </c>
      <c r="BM44" s="1439">
        <v>0</v>
      </c>
      <c r="BN44" s="784" t="s">
        <v>2363</v>
      </c>
      <c r="BO44" s="784" t="s">
        <v>2364</v>
      </c>
      <c r="BP44" s="1400" t="s">
        <v>2399</v>
      </c>
      <c r="BQ44" s="509"/>
      <c r="BR44" s="509"/>
      <c r="BS44" s="509"/>
      <c r="BT44" s="509"/>
      <c r="BU44" s="509"/>
      <c r="BV44" s="509"/>
      <c r="BW44" s="509"/>
      <c r="BX44" s="509"/>
      <c r="BY44" s="509"/>
      <c r="BZ44" s="509"/>
      <c r="CA44" s="509"/>
      <c r="CB44" s="509"/>
      <c r="CC44" s="509"/>
      <c r="CD44" s="509"/>
      <c r="CE44" s="509"/>
      <c r="CF44" s="509"/>
      <c r="CG44" s="509"/>
      <c r="CH44" s="509"/>
      <c r="CI44" s="509"/>
      <c r="CJ44" s="509"/>
      <c r="CK44" s="509"/>
      <c r="CL44" s="509"/>
      <c r="CM44" s="509"/>
      <c r="CN44" s="509"/>
      <c r="CO44" s="509"/>
      <c r="CP44" s="509"/>
      <c r="CQ44" s="509"/>
      <c r="CR44" s="509"/>
      <c r="CS44" s="509"/>
    </row>
    <row r="45" spans="1:97" s="137" customFormat="1" ht="12.75" customHeight="1" x14ac:dyDescent="0.2">
      <c r="A45" s="1421">
        <v>41</v>
      </c>
      <c r="B45" s="649" t="s">
        <v>795</v>
      </c>
      <c r="C45" s="1607" t="s">
        <v>796</v>
      </c>
      <c r="D45" s="1605">
        <v>233110</v>
      </c>
      <c r="E45" s="1405">
        <v>343403246</v>
      </c>
      <c r="F45" s="1405">
        <v>4293</v>
      </c>
      <c r="G45" s="158">
        <v>-2315541</v>
      </c>
      <c r="H45" s="158">
        <v>-36232007</v>
      </c>
      <c r="I45" s="158">
        <v>-18433</v>
      </c>
      <c r="J45" s="158">
        <v>0</v>
      </c>
      <c r="K45" s="158">
        <v>-26748</v>
      </c>
      <c r="L45" s="158">
        <v>-75000</v>
      </c>
      <c r="M45" s="158">
        <v>-1701889</v>
      </c>
      <c r="N45" s="158">
        <v>-127336</v>
      </c>
      <c r="O45" s="158">
        <v>0</v>
      </c>
      <c r="P45" s="158">
        <v>0</v>
      </c>
      <c r="Q45" s="158">
        <v>0</v>
      </c>
      <c r="R45" s="158">
        <v>0</v>
      </c>
      <c r="S45" s="158">
        <v>0</v>
      </c>
      <c r="T45" s="158">
        <v>0</v>
      </c>
      <c r="U45" s="158">
        <v>-8189348</v>
      </c>
      <c r="V45" s="158">
        <v>138782298</v>
      </c>
      <c r="W45" s="158">
        <v>-2297208</v>
      </c>
      <c r="X45" s="158">
        <v>292706300</v>
      </c>
      <c r="Y45" s="158">
        <v>343446049</v>
      </c>
      <c r="Z45" s="158">
        <v>68014498</v>
      </c>
      <c r="AA45" s="158">
        <v>54411599</v>
      </c>
      <c r="AB45" s="158">
        <v>12242610</v>
      </c>
      <c r="AC45" s="158">
        <v>1360290</v>
      </c>
      <c r="AD45" s="158">
        <v>236192</v>
      </c>
      <c r="AE45" s="158">
        <v>0</v>
      </c>
      <c r="AF45" s="158">
        <v>0</v>
      </c>
      <c r="AG45" s="158">
        <v>0</v>
      </c>
      <c r="AH45" s="158">
        <v>0</v>
      </c>
      <c r="AI45" s="158">
        <v>0</v>
      </c>
      <c r="AJ45" s="158">
        <v>0</v>
      </c>
      <c r="AK45" s="158">
        <v>-3093624</v>
      </c>
      <c r="AL45" s="158">
        <v>464</v>
      </c>
      <c r="AM45" s="158">
        <v>4</v>
      </c>
      <c r="AN45" s="158">
        <v>0</v>
      </c>
      <c r="AO45" s="158">
        <v>12</v>
      </c>
      <c r="AP45" s="158">
        <v>1</v>
      </c>
      <c r="AQ45" s="158">
        <v>534</v>
      </c>
      <c r="AR45" s="158">
        <v>34</v>
      </c>
      <c r="AS45" s="158">
        <v>0</v>
      </c>
      <c r="AT45" s="158">
        <v>0</v>
      </c>
      <c r="AU45" s="158">
        <v>0</v>
      </c>
      <c r="AV45" s="158">
        <v>0</v>
      </c>
      <c r="AW45" s="158">
        <v>0</v>
      </c>
      <c r="AX45" s="158">
        <v>0</v>
      </c>
      <c r="AY45" s="158">
        <v>818</v>
      </c>
      <c r="AZ45" s="158">
        <v>1789</v>
      </c>
      <c r="BA45" s="158">
        <v>726</v>
      </c>
      <c r="BB45" s="158">
        <v>594</v>
      </c>
      <c r="BC45" s="158">
        <v>132</v>
      </c>
      <c r="BD45" s="158">
        <v>1859</v>
      </c>
      <c r="BE45" s="158">
        <v>0</v>
      </c>
      <c r="BF45" s="158">
        <v>-382484</v>
      </c>
      <c r="BG45" s="158">
        <v>0</v>
      </c>
      <c r="BH45" s="158">
        <v>-346340</v>
      </c>
      <c r="BI45" s="158">
        <v>-973065</v>
      </c>
      <c r="BJ45" s="158">
        <v>0</v>
      </c>
      <c r="BK45" s="158">
        <v>5263</v>
      </c>
      <c r="BL45" s="1438">
        <v>24783900</v>
      </c>
      <c r="BM45" s="1439">
        <v>0</v>
      </c>
      <c r="BN45" s="784" t="s">
        <v>2349</v>
      </c>
      <c r="BO45" s="784" t="s">
        <v>2357</v>
      </c>
      <c r="BP45" s="1400" t="s">
        <v>2400</v>
      </c>
      <c r="BQ45" s="509"/>
      <c r="BR45" s="509"/>
      <c r="BS45" s="509"/>
      <c r="BT45" s="509"/>
      <c r="BU45" s="509"/>
      <c r="BV45" s="509"/>
      <c r="BW45" s="509"/>
      <c r="BX45" s="509"/>
      <c r="BY45" s="509"/>
      <c r="BZ45" s="509"/>
      <c r="CA45" s="509"/>
      <c r="CB45" s="509"/>
      <c r="CC45" s="509"/>
      <c r="CD45" s="509"/>
      <c r="CE45" s="509"/>
      <c r="CF45" s="509"/>
      <c r="CG45" s="509"/>
      <c r="CH45" s="509"/>
      <c r="CI45" s="509"/>
      <c r="CJ45" s="509"/>
      <c r="CK45" s="509"/>
      <c r="CL45" s="509"/>
      <c r="CM45" s="509"/>
      <c r="CN45" s="509"/>
      <c r="CO45" s="509"/>
      <c r="CP45" s="509"/>
      <c r="CQ45" s="509"/>
      <c r="CR45" s="509"/>
      <c r="CS45" s="509"/>
    </row>
    <row r="46" spans="1:97" s="137" customFormat="1" ht="12.75" customHeight="1" x14ac:dyDescent="0.2">
      <c r="A46" s="1421">
        <v>42</v>
      </c>
      <c r="B46" s="649" t="s">
        <v>797</v>
      </c>
      <c r="C46" s="1607" t="s">
        <v>798</v>
      </c>
      <c r="D46" s="1605">
        <v>1207541</v>
      </c>
      <c r="E46" s="1405">
        <v>1567963333</v>
      </c>
      <c r="F46" s="1405">
        <v>18284</v>
      </c>
      <c r="G46" s="158">
        <v>-6375334</v>
      </c>
      <c r="H46" s="158">
        <v>-92235452</v>
      </c>
      <c r="I46" s="158">
        <v>-30358</v>
      </c>
      <c r="J46" s="158">
        <v>0</v>
      </c>
      <c r="K46" s="158">
        <v>-19840</v>
      </c>
      <c r="L46" s="158">
        <v>-1280423</v>
      </c>
      <c r="M46" s="158">
        <v>-54359477</v>
      </c>
      <c r="N46" s="158">
        <v>-426534</v>
      </c>
      <c r="O46" s="158">
        <v>-7647</v>
      </c>
      <c r="P46" s="158">
        <v>0</v>
      </c>
      <c r="Q46" s="158">
        <v>0</v>
      </c>
      <c r="R46" s="158">
        <v>0</v>
      </c>
      <c r="S46" s="158">
        <v>0</v>
      </c>
      <c r="T46" s="158">
        <v>0</v>
      </c>
      <c r="U46" s="158">
        <v>-57930473</v>
      </c>
      <c r="V46" s="158">
        <v>638159053</v>
      </c>
      <c r="W46" s="158">
        <v>0</v>
      </c>
      <c r="X46" s="158">
        <v>1348531500</v>
      </c>
      <c r="Y46" s="158">
        <v>1560639370</v>
      </c>
      <c r="Z46" s="158">
        <v>204012378</v>
      </c>
      <c r="AA46" s="158">
        <v>185465799</v>
      </c>
      <c r="AB46" s="158">
        <v>228741152</v>
      </c>
      <c r="AC46" s="158">
        <v>0</v>
      </c>
      <c r="AD46" s="158">
        <v>1212015</v>
      </c>
      <c r="AE46" s="158">
        <v>0</v>
      </c>
      <c r="AF46" s="158">
        <v>0</v>
      </c>
      <c r="AG46" s="158">
        <v>0</v>
      </c>
      <c r="AH46" s="158">
        <v>0</v>
      </c>
      <c r="AI46" s="158">
        <v>0</v>
      </c>
      <c r="AJ46" s="158">
        <v>0</v>
      </c>
      <c r="AK46" s="158">
        <v>-56621025</v>
      </c>
      <c r="AL46" s="158">
        <v>802</v>
      </c>
      <c r="AM46" s="158">
        <v>1</v>
      </c>
      <c r="AN46" s="158">
        <v>0</v>
      </c>
      <c r="AO46" s="158">
        <v>11</v>
      </c>
      <c r="AP46" s="158">
        <v>8</v>
      </c>
      <c r="AQ46" s="158">
        <v>2137</v>
      </c>
      <c r="AR46" s="158">
        <v>25</v>
      </c>
      <c r="AS46" s="158">
        <v>4</v>
      </c>
      <c r="AT46" s="158">
        <v>0</v>
      </c>
      <c r="AU46" s="158">
        <v>0</v>
      </c>
      <c r="AV46" s="158">
        <v>0</v>
      </c>
      <c r="AW46" s="158">
        <v>0</v>
      </c>
      <c r="AX46" s="158">
        <v>0</v>
      </c>
      <c r="AY46" s="158">
        <v>3342</v>
      </c>
      <c r="AZ46" s="158">
        <v>7816</v>
      </c>
      <c r="BA46" s="158">
        <v>1731</v>
      </c>
      <c r="BB46" s="158">
        <v>1386</v>
      </c>
      <c r="BC46" s="158">
        <v>345</v>
      </c>
      <c r="BD46" s="158">
        <v>8665</v>
      </c>
      <c r="BE46" s="158">
        <v>-204144</v>
      </c>
      <c r="BF46" s="158">
        <v>-34182423</v>
      </c>
      <c r="BG46" s="158">
        <v>0</v>
      </c>
      <c r="BH46" s="158">
        <v>0</v>
      </c>
      <c r="BI46" s="158">
        <v>-4101675</v>
      </c>
      <c r="BJ46" s="158">
        <v>-15871235</v>
      </c>
      <c r="BK46" s="158">
        <v>-40844511</v>
      </c>
      <c r="BL46" s="1438">
        <v>94553850</v>
      </c>
      <c r="BM46" s="1439">
        <v>0</v>
      </c>
      <c r="BN46" s="784" t="s">
        <v>2401</v>
      </c>
      <c r="BO46" s="784" t="s">
        <v>2360</v>
      </c>
      <c r="BP46" s="1400" t="s">
        <v>2402</v>
      </c>
      <c r="BQ46" s="509"/>
      <c r="BR46" s="509"/>
      <c r="BS46" s="509"/>
      <c r="BT46" s="509"/>
      <c r="BU46" s="509"/>
      <c r="BV46" s="509"/>
      <c r="BW46" s="509"/>
      <c r="BX46" s="509"/>
      <c r="BY46" s="509"/>
      <c r="BZ46" s="509"/>
      <c r="CA46" s="509"/>
      <c r="CB46" s="509"/>
      <c r="CC46" s="509"/>
      <c r="CD46" s="509"/>
      <c r="CE46" s="509"/>
      <c r="CF46" s="509"/>
      <c r="CG46" s="509"/>
      <c r="CH46" s="509"/>
      <c r="CI46" s="509"/>
      <c r="CJ46" s="509"/>
      <c r="CK46" s="509"/>
      <c r="CL46" s="509"/>
      <c r="CM46" s="509"/>
      <c r="CN46" s="509"/>
      <c r="CO46" s="509"/>
      <c r="CP46" s="509"/>
      <c r="CQ46" s="509"/>
      <c r="CR46" s="509"/>
      <c r="CS46" s="509"/>
    </row>
    <row r="47" spans="1:97" s="137" customFormat="1" ht="12.75" customHeight="1" x14ac:dyDescent="0.2">
      <c r="A47" s="1421">
        <v>43</v>
      </c>
      <c r="B47" s="649" t="s">
        <v>799</v>
      </c>
      <c r="C47" s="1607" t="s">
        <v>800</v>
      </c>
      <c r="D47" s="1605">
        <v>137755</v>
      </c>
      <c r="E47" s="1405">
        <v>93482401</v>
      </c>
      <c r="F47" s="1405">
        <v>3664</v>
      </c>
      <c r="G47" s="158">
        <v>-4256804</v>
      </c>
      <c r="H47" s="158">
        <v>-1818818</v>
      </c>
      <c r="I47" s="158">
        <v>-634</v>
      </c>
      <c r="J47" s="158">
        <v>0</v>
      </c>
      <c r="K47" s="158">
        <v>0</v>
      </c>
      <c r="L47" s="158">
        <v>0</v>
      </c>
      <c r="M47" s="158">
        <v>-2140202</v>
      </c>
      <c r="N47" s="158">
        <v>-11442</v>
      </c>
      <c r="O47" s="158">
        <v>-417</v>
      </c>
      <c r="P47" s="158">
        <v>-331</v>
      </c>
      <c r="Q47" s="158">
        <v>0</v>
      </c>
      <c r="R47" s="158">
        <v>0</v>
      </c>
      <c r="S47" s="158">
        <v>0</v>
      </c>
      <c r="T47" s="158">
        <v>0</v>
      </c>
      <c r="U47" s="158">
        <v>-2279471</v>
      </c>
      <c r="V47" s="158">
        <v>39803805</v>
      </c>
      <c r="W47" s="158">
        <v>-1200424</v>
      </c>
      <c r="X47" s="158">
        <v>59899276</v>
      </c>
      <c r="Y47" s="158">
        <v>96451316</v>
      </c>
      <c r="Z47" s="158">
        <v>19014475</v>
      </c>
      <c r="AA47" s="158">
        <v>15211579</v>
      </c>
      <c r="AB47" s="158">
        <v>3422605</v>
      </c>
      <c r="AC47" s="158">
        <v>380289</v>
      </c>
      <c r="AD47" s="158">
        <v>137938</v>
      </c>
      <c r="AE47" s="158">
        <v>0</v>
      </c>
      <c r="AF47" s="158">
        <v>0</v>
      </c>
      <c r="AG47" s="158">
        <v>0</v>
      </c>
      <c r="AH47" s="158">
        <v>0</v>
      </c>
      <c r="AI47" s="158">
        <v>0</v>
      </c>
      <c r="AJ47" s="158">
        <v>0</v>
      </c>
      <c r="AK47" s="158">
        <v>2022024</v>
      </c>
      <c r="AL47" s="158">
        <v>97</v>
      </c>
      <c r="AM47" s="158">
        <v>1</v>
      </c>
      <c r="AN47" s="158">
        <v>0</v>
      </c>
      <c r="AO47" s="158">
        <v>0</v>
      </c>
      <c r="AP47" s="158">
        <v>0</v>
      </c>
      <c r="AQ47" s="158">
        <v>555</v>
      </c>
      <c r="AR47" s="158">
        <v>32</v>
      </c>
      <c r="AS47" s="158">
        <v>2</v>
      </c>
      <c r="AT47" s="158">
        <v>1</v>
      </c>
      <c r="AU47" s="158">
        <v>0</v>
      </c>
      <c r="AV47" s="158">
        <v>0</v>
      </c>
      <c r="AW47" s="158">
        <v>0</v>
      </c>
      <c r="AX47" s="158">
        <v>0</v>
      </c>
      <c r="AY47" s="158">
        <v>313</v>
      </c>
      <c r="AZ47" s="158">
        <v>313</v>
      </c>
      <c r="BA47" s="158">
        <v>1478</v>
      </c>
      <c r="BB47" s="158">
        <v>1348</v>
      </c>
      <c r="BC47" s="158">
        <v>130</v>
      </c>
      <c r="BD47" s="158">
        <v>1486</v>
      </c>
      <c r="BE47" s="158">
        <v>-1600041</v>
      </c>
      <c r="BF47" s="158">
        <v>-42927</v>
      </c>
      <c r="BG47" s="158">
        <v>0</v>
      </c>
      <c r="BH47" s="158">
        <v>0</v>
      </c>
      <c r="BI47" s="158">
        <v>-262271</v>
      </c>
      <c r="BJ47" s="158">
        <v>-234963</v>
      </c>
      <c r="BK47" s="158">
        <v>2305164</v>
      </c>
      <c r="BL47" s="1438">
        <v>13197700</v>
      </c>
      <c r="BM47" s="1439">
        <v>0</v>
      </c>
      <c r="BN47" s="784" t="s">
        <v>2349</v>
      </c>
      <c r="BO47" s="784" t="s">
        <v>2373</v>
      </c>
      <c r="BP47" s="1400" t="s">
        <v>2403</v>
      </c>
      <c r="BQ47" s="509"/>
      <c r="BR47" s="509"/>
      <c r="BS47" s="509"/>
      <c r="BT47" s="509"/>
      <c r="BU47" s="509"/>
      <c r="BV47" s="509"/>
      <c r="BW47" s="509"/>
      <c r="BX47" s="509"/>
      <c r="BY47" s="509"/>
      <c r="BZ47" s="509"/>
      <c r="CA47" s="509"/>
      <c r="CB47" s="509"/>
      <c r="CC47" s="509"/>
      <c r="CD47" s="509"/>
      <c r="CE47" s="509"/>
      <c r="CF47" s="509"/>
      <c r="CG47" s="509"/>
      <c r="CH47" s="509"/>
      <c r="CI47" s="509"/>
      <c r="CJ47" s="509"/>
      <c r="CK47" s="509"/>
      <c r="CL47" s="509"/>
      <c r="CM47" s="509"/>
      <c r="CN47" s="509"/>
      <c r="CO47" s="509"/>
      <c r="CP47" s="509"/>
      <c r="CQ47" s="509"/>
      <c r="CR47" s="509"/>
      <c r="CS47" s="509"/>
    </row>
    <row r="48" spans="1:97" s="137" customFormat="1" ht="12.75" customHeight="1" x14ac:dyDescent="0.2">
      <c r="A48" s="1421">
        <v>44</v>
      </c>
      <c r="B48" s="649" t="s">
        <v>801</v>
      </c>
      <c r="C48" s="1607" t="s">
        <v>802</v>
      </c>
      <c r="D48" s="1605">
        <v>238210</v>
      </c>
      <c r="E48" s="1405">
        <v>153866823</v>
      </c>
      <c r="F48" s="1405">
        <v>6353</v>
      </c>
      <c r="G48" s="158">
        <v>-6019729</v>
      </c>
      <c r="H48" s="158">
        <v>-11983810</v>
      </c>
      <c r="I48" s="158">
        <v>-47358</v>
      </c>
      <c r="J48" s="158">
        <v>-9955</v>
      </c>
      <c r="K48" s="158">
        <v>-29516</v>
      </c>
      <c r="L48" s="158">
        <v>0</v>
      </c>
      <c r="M48" s="158">
        <v>-2434121</v>
      </c>
      <c r="N48" s="158">
        <v>-338498</v>
      </c>
      <c r="O48" s="158">
        <v>-121113</v>
      </c>
      <c r="P48" s="158">
        <v>-734</v>
      </c>
      <c r="Q48" s="158">
        <v>-9955</v>
      </c>
      <c r="R48" s="158">
        <v>0</v>
      </c>
      <c r="S48" s="158">
        <v>0</v>
      </c>
      <c r="T48" s="158">
        <v>0</v>
      </c>
      <c r="U48" s="158">
        <v>-7323893</v>
      </c>
      <c r="V48" s="158">
        <v>51724251</v>
      </c>
      <c r="W48" s="158">
        <v>-2538062</v>
      </c>
      <c r="X48" s="158">
        <v>102472200</v>
      </c>
      <c r="Y48" s="158">
        <v>154286822</v>
      </c>
      <c r="Z48" s="158">
        <v>24139936</v>
      </c>
      <c r="AA48" s="158">
        <v>19311949</v>
      </c>
      <c r="AB48" s="158">
        <v>4345189</v>
      </c>
      <c r="AC48" s="158">
        <v>482799</v>
      </c>
      <c r="AD48" s="158">
        <v>237394</v>
      </c>
      <c r="AE48" s="158">
        <v>0</v>
      </c>
      <c r="AF48" s="158">
        <v>365823</v>
      </c>
      <c r="AG48" s="158">
        <v>0</v>
      </c>
      <c r="AH48" s="158">
        <v>0</v>
      </c>
      <c r="AI48" s="158">
        <v>0</v>
      </c>
      <c r="AJ48" s="158">
        <v>0</v>
      </c>
      <c r="AK48" s="158">
        <v>909175</v>
      </c>
      <c r="AL48" s="158">
        <v>348</v>
      </c>
      <c r="AM48" s="158">
        <v>10</v>
      </c>
      <c r="AN48" s="158">
        <v>5</v>
      </c>
      <c r="AO48" s="158">
        <v>18</v>
      </c>
      <c r="AP48" s="158">
        <v>0</v>
      </c>
      <c r="AQ48" s="158">
        <v>303</v>
      </c>
      <c r="AR48" s="158">
        <v>149</v>
      </c>
      <c r="AS48" s="158">
        <v>0</v>
      </c>
      <c r="AT48" s="158">
        <v>2</v>
      </c>
      <c r="AU48" s="158">
        <v>5</v>
      </c>
      <c r="AV48" s="158">
        <v>0</v>
      </c>
      <c r="AW48" s="158">
        <v>0</v>
      </c>
      <c r="AX48" s="158">
        <v>0</v>
      </c>
      <c r="AY48" s="158">
        <v>849</v>
      </c>
      <c r="AZ48" s="158">
        <v>549</v>
      </c>
      <c r="BA48" s="158">
        <v>3037</v>
      </c>
      <c r="BB48" s="158">
        <v>2898</v>
      </c>
      <c r="BC48" s="158">
        <v>139</v>
      </c>
      <c r="BD48" s="158">
        <v>2747</v>
      </c>
      <c r="BE48" s="158">
        <v>-84246</v>
      </c>
      <c r="BF48" s="158">
        <v>-672967</v>
      </c>
      <c r="BG48" s="158">
        <v>0</v>
      </c>
      <c r="BH48" s="158">
        <v>0</v>
      </c>
      <c r="BI48" s="158">
        <v>-1652121</v>
      </c>
      <c r="BJ48" s="158">
        <v>-24787</v>
      </c>
      <c r="BK48" s="158">
        <v>2483378</v>
      </c>
      <c r="BL48" s="1438">
        <v>19681700</v>
      </c>
      <c r="BM48" s="1439">
        <v>0</v>
      </c>
      <c r="BN48" s="784" t="s">
        <v>2349</v>
      </c>
      <c r="BO48" s="784" t="s">
        <v>2350</v>
      </c>
      <c r="BP48" s="1400" t="s">
        <v>2404</v>
      </c>
      <c r="BQ48" s="509"/>
      <c r="BR48" s="509"/>
      <c r="BS48" s="509"/>
      <c r="BT48" s="509"/>
      <c r="BU48" s="509"/>
      <c r="BV48" s="509"/>
      <c r="BW48" s="509"/>
      <c r="BX48" s="509"/>
      <c r="BY48" s="509"/>
      <c r="BZ48" s="509"/>
      <c r="CA48" s="509"/>
      <c r="CB48" s="509"/>
      <c r="CC48" s="509"/>
      <c r="CD48" s="509"/>
      <c r="CE48" s="509"/>
      <c r="CF48" s="509"/>
      <c r="CG48" s="509"/>
      <c r="CH48" s="509"/>
      <c r="CI48" s="509"/>
      <c r="CJ48" s="509"/>
      <c r="CK48" s="509"/>
      <c r="CL48" s="509"/>
      <c r="CM48" s="509"/>
      <c r="CN48" s="509"/>
      <c r="CO48" s="509"/>
      <c r="CP48" s="509"/>
      <c r="CQ48" s="509"/>
      <c r="CR48" s="509"/>
      <c r="CS48" s="509"/>
    </row>
    <row r="49" spans="1:98" s="137" customFormat="1" ht="12.75" customHeight="1" x14ac:dyDescent="0.2">
      <c r="A49" s="1421">
        <v>45</v>
      </c>
      <c r="B49" s="649" t="s">
        <v>803</v>
      </c>
      <c r="C49" s="1607" t="s">
        <v>804</v>
      </c>
      <c r="D49" s="1605">
        <v>76877</v>
      </c>
      <c r="E49" s="1405">
        <v>47314897</v>
      </c>
      <c r="F49" s="1405">
        <v>2056</v>
      </c>
      <c r="G49" s="158">
        <v>-3200562</v>
      </c>
      <c r="H49" s="158">
        <v>-2142955</v>
      </c>
      <c r="I49" s="158">
        <v>-10539</v>
      </c>
      <c r="J49" s="158">
        <v>0</v>
      </c>
      <c r="K49" s="158">
        <v>-8832</v>
      </c>
      <c r="L49" s="158">
        <v>0</v>
      </c>
      <c r="M49" s="158">
        <v>-281517</v>
      </c>
      <c r="N49" s="158">
        <v>-72609</v>
      </c>
      <c r="O49" s="158">
        <v>-10479</v>
      </c>
      <c r="P49" s="158">
        <v>-2635</v>
      </c>
      <c r="Q49" s="158">
        <v>0</v>
      </c>
      <c r="R49" s="158">
        <v>0</v>
      </c>
      <c r="S49" s="158">
        <v>0</v>
      </c>
      <c r="T49" s="158">
        <v>0</v>
      </c>
      <c r="U49" s="158">
        <v>-2075514</v>
      </c>
      <c r="V49" s="158">
        <v>15286308</v>
      </c>
      <c r="W49" s="158">
        <v>-569260</v>
      </c>
      <c r="X49" s="158">
        <v>24918000</v>
      </c>
      <c r="Y49" s="158">
        <v>46167905</v>
      </c>
      <c r="Z49" s="158">
        <v>7550962</v>
      </c>
      <c r="AA49" s="158">
        <v>6040769</v>
      </c>
      <c r="AB49" s="158">
        <v>1359173</v>
      </c>
      <c r="AC49" s="158">
        <v>151019</v>
      </c>
      <c r="AD49" s="158">
        <v>75254</v>
      </c>
      <c r="AE49" s="158">
        <v>0</v>
      </c>
      <c r="AF49" s="158">
        <v>0</v>
      </c>
      <c r="AG49" s="158">
        <v>0</v>
      </c>
      <c r="AH49" s="158">
        <v>0</v>
      </c>
      <c r="AI49" s="158">
        <v>0</v>
      </c>
      <c r="AJ49" s="158">
        <v>0</v>
      </c>
      <c r="AK49" s="158">
        <v>691373</v>
      </c>
      <c r="AL49" s="158">
        <v>75</v>
      </c>
      <c r="AM49" s="158">
        <v>6</v>
      </c>
      <c r="AN49" s="158">
        <v>0</v>
      </c>
      <c r="AO49" s="158">
        <v>6</v>
      </c>
      <c r="AP49" s="158">
        <v>0</v>
      </c>
      <c r="AQ49" s="158">
        <v>57</v>
      </c>
      <c r="AR49" s="158">
        <v>44</v>
      </c>
      <c r="AS49" s="158">
        <v>1</v>
      </c>
      <c r="AT49" s="158">
        <v>6</v>
      </c>
      <c r="AU49" s="158">
        <v>0</v>
      </c>
      <c r="AV49" s="158">
        <v>0</v>
      </c>
      <c r="AW49" s="158">
        <v>0</v>
      </c>
      <c r="AX49" s="158">
        <v>0</v>
      </c>
      <c r="AY49" s="158">
        <v>198</v>
      </c>
      <c r="AZ49" s="158">
        <v>147</v>
      </c>
      <c r="BA49" s="158">
        <v>1023</v>
      </c>
      <c r="BB49" s="158">
        <v>909</v>
      </c>
      <c r="BC49" s="158">
        <v>114</v>
      </c>
      <c r="BD49" s="158">
        <v>721</v>
      </c>
      <c r="BE49" s="158">
        <v>-83192</v>
      </c>
      <c r="BF49" s="158">
        <v>0</v>
      </c>
      <c r="BG49" s="158">
        <v>0</v>
      </c>
      <c r="BH49" s="158">
        <v>0</v>
      </c>
      <c r="BI49" s="158">
        <v>-182748</v>
      </c>
      <c r="BJ49" s="158">
        <v>-15577</v>
      </c>
      <c r="BK49" s="158">
        <v>1783710</v>
      </c>
      <c r="BL49" s="1438">
        <v>6454500</v>
      </c>
      <c r="BM49" s="1439">
        <v>0</v>
      </c>
      <c r="BN49" s="784" t="s">
        <v>2349</v>
      </c>
      <c r="BO49" s="784" t="s">
        <v>2357</v>
      </c>
      <c r="BP49" s="1400" t="s">
        <v>2405</v>
      </c>
      <c r="BQ49" s="509"/>
      <c r="BR49" s="509"/>
      <c r="BS49" s="509"/>
      <c r="BT49" s="509"/>
      <c r="BU49" s="509"/>
      <c r="BV49" s="509"/>
      <c r="BW49" s="509"/>
      <c r="BX49" s="509"/>
      <c r="BY49" s="509"/>
      <c r="BZ49" s="509"/>
      <c r="CA49" s="509"/>
      <c r="CB49" s="509"/>
      <c r="CC49" s="509"/>
      <c r="CD49" s="509"/>
      <c r="CE49" s="509"/>
      <c r="CF49" s="509"/>
      <c r="CG49" s="509"/>
      <c r="CH49" s="509"/>
      <c r="CI49" s="509"/>
      <c r="CJ49" s="509"/>
      <c r="CK49" s="509"/>
      <c r="CL49" s="509"/>
      <c r="CM49" s="509"/>
      <c r="CN49" s="509"/>
      <c r="CO49" s="509"/>
      <c r="CP49" s="509"/>
      <c r="CQ49" s="509"/>
      <c r="CR49" s="509"/>
      <c r="CS49" s="509"/>
    </row>
    <row r="50" spans="1:98" s="137" customFormat="1" ht="12.75" customHeight="1" x14ac:dyDescent="0.2">
      <c r="A50" s="1421">
        <v>46</v>
      </c>
      <c r="B50" s="655" t="s">
        <v>805</v>
      </c>
      <c r="C50" s="1608" t="s">
        <v>806</v>
      </c>
      <c r="D50" s="1605">
        <v>321435</v>
      </c>
      <c r="E50" s="1405">
        <v>308906805</v>
      </c>
      <c r="F50" s="1405">
        <v>7340</v>
      </c>
      <c r="G50" s="158">
        <v>-7623811</v>
      </c>
      <c r="H50" s="158">
        <v>-10437058</v>
      </c>
      <c r="I50" s="158">
        <v>-67656</v>
      </c>
      <c r="J50" s="158">
        <v>-6504</v>
      </c>
      <c r="K50" s="158">
        <v>-17949</v>
      </c>
      <c r="L50" s="158">
        <v>-75000</v>
      </c>
      <c r="M50" s="158">
        <v>-2216796</v>
      </c>
      <c r="N50" s="158">
        <v>-364972</v>
      </c>
      <c r="O50" s="158">
        <v>-218755</v>
      </c>
      <c r="P50" s="158">
        <v>-5362</v>
      </c>
      <c r="Q50" s="158">
        <v>0</v>
      </c>
      <c r="R50" s="158">
        <v>0</v>
      </c>
      <c r="S50" s="158">
        <v>0</v>
      </c>
      <c r="T50" s="158">
        <v>0</v>
      </c>
      <c r="U50" s="158">
        <v>-7927833</v>
      </c>
      <c r="V50" s="158">
        <v>144988967</v>
      </c>
      <c r="W50" s="158">
        <v>-4000000</v>
      </c>
      <c r="X50" s="158">
        <v>223150000</v>
      </c>
      <c r="Y50" s="158">
        <v>301243277</v>
      </c>
      <c r="Z50" s="158">
        <v>69106319</v>
      </c>
      <c r="AA50" s="158">
        <v>67724193</v>
      </c>
      <c r="AB50" s="158">
        <v>0</v>
      </c>
      <c r="AC50" s="158">
        <v>1382126</v>
      </c>
      <c r="AD50" s="158">
        <v>318647</v>
      </c>
      <c r="AE50" s="158">
        <v>0</v>
      </c>
      <c r="AF50" s="158">
        <v>5808000</v>
      </c>
      <c r="AG50" s="158">
        <v>0</v>
      </c>
      <c r="AH50" s="158">
        <v>0</v>
      </c>
      <c r="AI50" s="158">
        <v>0</v>
      </c>
      <c r="AJ50" s="158">
        <v>0</v>
      </c>
      <c r="AK50" s="158">
        <v>-35176897</v>
      </c>
      <c r="AL50" s="158">
        <v>409</v>
      </c>
      <c r="AM50" s="158">
        <v>12</v>
      </c>
      <c r="AN50" s="158">
        <v>9</v>
      </c>
      <c r="AO50" s="158">
        <v>8</v>
      </c>
      <c r="AP50" s="158">
        <v>0</v>
      </c>
      <c r="AQ50" s="158">
        <v>355</v>
      </c>
      <c r="AR50" s="158">
        <v>188</v>
      </c>
      <c r="AS50" s="158">
        <v>30</v>
      </c>
      <c r="AT50" s="158">
        <v>7</v>
      </c>
      <c r="AU50" s="158">
        <v>9</v>
      </c>
      <c r="AV50" s="158">
        <v>0</v>
      </c>
      <c r="AW50" s="158">
        <v>0</v>
      </c>
      <c r="AX50" s="158">
        <v>0</v>
      </c>
      <c r="AY50" s="158">
        <v>871</v>
      </c>
      <c r="AZ50" s="158">
        <v>1793</v>
      </c>
      <c r="BA50" s="158">
        <v>2840</v>
      </c>
      <c r="BB50" s="158">
        <v>2567</v>
      </c>
      <c r="BC50" s="158">
        <v>273</v>
      </c>
      <c r="BD50" s="158">
        <v>2703</v>
      </c>
      <c r="BE50" s="158">
        <v>-418438</v>
      </c>
      <c r="BF50" s="158">
        <v>-425986</v>
      </c>
      <c r="BG50" s="158">
        <v>0</v>
      </c>
      <c r="BH50" s="158">
        <v>-43708</v>
      </c>
      <c r="BI50" s="158">
        <v>-1049690</v>
      </c>
      <c r="BJ50" s="158">
        <v>-14801</v>
      </c>
      <c r="BK50" s="158">
        <v>-40691445</v>
      </c>
      <c r="BL50" s="1438">
        <v>30136723</v>
      </c>
      <c r="BM50" s="1439">
        <v>411596</v>
      </c>
      <c r="BN50" s="784" t="s">
        <v>509</v>
      </c>
      <c r="BO50" s="784" t="s">
        <v>2357</v>
      </c>
      <c r="BP50" s="1400" t="s">
        <v>2406</v>
      </c>
      <c r="BQ50" s="509"/>
      <c r="BR50" s="509"/>
      <c r="BS50" s="509"/>
      <c r="BT50" s="509"/>
      <c r="BU50" s="509"/>
      <c r="BV50" s="509"/>
      <c r="BW50" s="509"/>
      <c r="BX50" s="509"/>
      <c r="BY50" s="509"/>
      <c r="BZ50" s="509"/>
      <c r="CA50" s="509"/>
      <c r="CB50" s="509"/>
      <c r="CC50" s="509"/>
      <c r="CD50" s="509"/>
      <c r="CE50" s="509"/>
      <c r="CF50" s="509"/>
      <c r="CG50" s="509"/>
      <c r="CH50" s="509"/>
      <c r="CI50" s="509"/>
      <c r="CJ50" s="509"/>
      <c r="CK50" s="509"/>
      <c r="CL50" s="509"/>
      <c r="CM50" s="509"/>
      <c r="CN50" s="509"/>
      <c r="CO50" s="509"/>
      <c r="CP50" s="509"/>
      <c r="CQ50" s="509"/>
      <c r="CR50" s="509"/>
      <c r="CS50" s="509"/>
    </row>
    <row r="51" spans="1:98" s="137" customFormat="1" ht="12.75" customHeight="1" x14ac:dyDescent="0.2">
      <c r="A51" s="1421">
        <v>47</v>
      </c>
      <c r="B51" s="649" t="s">
        <v>807</v>
      </c>
      <c r="C51" s="1607" t="s">
        <v>808</v>
      </c>
      <c r="D51" s="1605">
        <v>188041</v>
      </c>
      <c r="E51" s="1405">
        <v>142747787</v>
      </c>
      <c r="F51" s="1405">
        <v>4866</v>
      </c>
      <c r="G51" s="158">
        <v>-6235635</v>
      </c>
      <c r="H51" s="158">
        <v>-8681852</v>
      </c>
      <c r="I51" s="158">
        <v>-27445</v>
      </c>
      <c r="J51" s="158">
        <v>-4990</v>
      </c>
      <c r="K51" s="158">
        <v>-8395</v>
      </c>
      <c r="L51" s="158">
        <v>-50000</v>
      </c>
      <c r="M51" s="158">
        <v>-1800000</v>
      </c>
      <c r="N51" s="158">
        <v>-101911</v>
      </c>
      <c r="O51" s="158">
        <v>-70065</v>
      </c>
      <c r="P51" s="158">
        <v>-3431</v>
      </c>
      <c r="Q51" s="158">
        <v>0</v>
      </c>
      <c r="R51" s="158">
        <v>-141340</v>
      </c>
      <c r="S51" s="158">
        <v>-55000</v>
      </c>
      <c r="T51" s="158">
        <v>0</v>
      </c>
      <c r="U51" s="158">
        <v>-4345518</v>
      </c>
      <c r="V51" s="158">
        <v>52784377</v>
      </c>
      <c r="W51" s="158">
        <v>-3319098</v>
      </c>
      <c r="X51" s="158">
        <v>92633250</v>
      </c>
      <c r="Y51" s="158">
        <v>142731436</v>
      </c>
      <c r="Z51" s="158">
        <v>23813796</v>
      </c>
      <c r="AA51" s="158">
        <v>19095037</v>
      </c>
      <c r="AB51" s="158">
        <v>4296383</v>
      </c>
      <c r="AC51" s="158">
        <v>477376</v>
      </c>
      <c r="AD51" s="158">
        <v>186912</v>
      </c>
      <c r="AE51" s="158">
        <v>1486762</v>
      </c>
      <c r="AF51" s="158">
        <v>294155</v>
      </c>
      <c r="AG51" s="158">
        <v>0</v>
      </c>
      <c r="AH51" s="158">
        <v>55000</v>
      </c>
      <c r="AI51" s="158">
        <v>0</v>
      </c>
      <c r="AJ51" s="158">
        <v>0</v>
      </c>
      <c r="AK51" s="158">
        <v>505102</v>
      </c>
      <c r="AL51" s="158">
        <v>231</v>
      </c>
      <c r="AM51" s="158">
        <v>9</v>
      </c>
      <c r="AN51" s="158">
        <v>2</v>
      </c>
      <c r="AO51" s="158">
        <v>6</v>
      </c>
      <c r="AP51" s="158">
        <v>1</v>
      </c>
      <c r="AQ51" s="158">
        <v>404</v>
      </c>
      <c r="AR51" s="158">
        <v>91</v>
      </c>
      <c r="AS51" s="158">
        <v>24</v>
      </c>
      <c r="AT51" s="158">
        <v>9</v>
      </c>
      <c r="AU51" s="158">
        <v>0</v>
      </c>
      <c r="AV51" s="158">
        <v>0</v>
      </c>
      <c r="AW51" s="158">
        <v>0</v>
      </c>
      <c r="AX51" s="158">
        <v>0</v>
      </c>
      <c r="AY51" s="158">
        <v>610</v>
      </c>
      <c r="AZ51" s="158">
        <v>1085</v>
      </c>
      <c r="BA51" s="158">
        <v>2176</v>
      </c>
      <c r="BB51" s="158">
        <v>1954</v>
      </c>
      <c r="BC51" s="158">
        <v>222</v>
      </c>
      <c r="BD51" s="158">
        <v>1603</v>
      </c>
      <c r="BE51" s="158">
        <v>-165122</v>
      </c>
      <c r="BF51" s="158">
        <v>-88605</v>
      </c>
      <c r="BG51" s="158">
        <v>0</v>
      </c>
      <c r="BH51" s="158">
        <v>-210000</v>
      </c>
      <c r="BI51" s="158">
        <v>-181360</v>
      </c>
      <c r="BJ51" s="158">
        <v>-1154913</v>
      </c>
      <c r="BK51" s="158">
        <v>-537601</v>
      </c>
      <c r="BL51" s="1438">
        <v>20145450</v>
      </c>
      <c r="BM51" s="1439">
        <v>0</v>
      </c>
      <c r="BN51" s="784" t="s">
        <v>2349</v>
      </c>
      <c r="BO51" s="784" t="s">
        <v>2352</v>
      </c>
      <c r="BP51" s="1400" t="s">
        <v>2407</v>
      </c>
      <c r="BQ51" s="509"/>
      <c r="BR51" s="509"/>
      <c r="BS51" s="509"/>
      <c r="BT51" s="509"/>
      <c r="BU51" s="509"/>
      <c r="BV51" s="509"/>
      <c r="BW51" s="509"/>
      <c r="BX51" s="509"/>
      <c r="BY51" s="509"/>
      <c r="BZ51" s="509"/>
      <c r="CA51" s="509"/>
      <c r="CB51" s="509"/>
      <c r="CC51" s="509"/>
      <c r="CD51" s="509"/>
      <c r="CE51" s="509"/>
      <c r="CF51" s="509"/>
      <c r="CG51" s="509"/>
      <c r="CH51" s="509"/>
      <c r="CI51" s="509"/>
      <c r="CJ51" s="509"/>
      <c r="CK51" s="509"/>
      <c r="CL51" s="509"/>
      <c r="CM51" s="509"/>
      <c r="CN51" s="509"/>
      <c r="CO51" s="509"/>
      <c r="CP51" s="509"/>
      <c r="CQ51" s="509"/>
      <c r="CR51" s="509"/>
      <c r="CS51" s="509"/>
    </row>
    <row r="52" spans="1:98" s="137" customFormat="1" ht="12.75" customHeight="1" x14ac:dyDescent="0.2">
      <c r="A52" s="1421">
        <v>48</v>
      </c>
      <c r="B52" s="649" t="s">
        <v>809</v>
      </c>
      <c r="C52" s="1607" t="s">
        <v>810</v>
      </c>
      <c r="D52" s="1605">
        <v>217889</v>
      </c>
      <c r="E52" s="1405">
        <v>206530805</v>
      </c>
      <c r="F52" s="1405">
        <v>5179</v>
      </c>
      <c r="G52" s="158">
        <v>-5406423</v>
      </c>
      <c r="H52" s="158">
        <v>-7463526</v>
      </c>
      <c r="I52" s="158">
        <v>-34152</v>
      </c>
      <c r="J52" s="158">
        <v>-3559</v>
      </c>
      <c r="K52" s="158">
        <v>-8882</v>
      </c>
      <c r="L52" s="158">
        <v>0</v>
      </c>
      <c r="M52" s="158">
        <v>-2662640</v>
      </c>
      <c r="N52" s="158">
        <v>-29710</v>
      </c>
      <c r="O52" s="158">
        <v>-131639</v>
      </c>
      <c r="P52" s="158">
        <v>0</v>
      </c>
      <c r="Q52" s="158">
        <v>0</v>
      </c>
      <c r="R52" s="158">
        <v>0</v>
      </c>
      <c r="S52" s="158">
        <v>0</v>
      </c>
      <c r="T52" s="158">
        <v>0</v>
      </c>
      <c r="U52" s="158">
        <v>-5876427</v>
      </c>
      <c r="V52" s="158">
        <v>87087426</v>
      </c>
      <c r="W52" s="158">
        <v>-986990</v>
      </c>
      <c r="X52" s="158">
        <v>151912500</v>
      </c>
      <c r="Y52" s="158">
        <v>208890518</v>
      </c>
      <c r="Z52" s="158">
        <v>43316862</v>
      </c>
      <c r="AA52" s="158">
        <v>34653489</v>
      </c>
      <c r="AB52" s="158">
        <v>7797035</v>
      </c>
      <c r="AC52" s="158">
        <v>866337</v>
      </c>
      <c r="AD52" s="158">
        <v>219313</v>
      </c>
      <c r="AE52" s="158">
        <v>0</v>
      </c>
      <c r="AF52" s="158">
        <v>0</v>
      </c>
      <c r="AG52" s="158">
        <v>0</v>
      </c>
      <c r="AH52" s="158">
        <v>0</v>
      </c>
      <c r="AI52" s="158">
        <v>0</v>
      </c>
      <c r="AJ52" s="158">
        <v>0</v>
      </c>
      <c r="AK52" s="158">
        <v>-3389490</v>
      </c>
      <c r="AL52" s="158">
        <v>248</v>
      </c>
      <c r="AM52" s="158">
        <v>9</v>
      </c>
      <c r="AN52" s="158">
        <v>2</v>
      </c>
      <c r="AO52" s="158">
        <v>2</v>
      </c>
      <c r="AP52" s="158">
        <v>0</v>
      </c>
      <c r="AQ52" s="158">
        <v>515</v>
      </c>
      <c r="AR52" s="158">
        <v>23</v>
      </c>
      <c r="AS52" s="158">
        <v>12</v>
      </c>
      <c r="AT52" s="158">
        <v>0</v>
      </c>
      <c r="AU52" s="158">
        <v>0</v>
      </c>
      <c r="AV52" s="158">
        <v>0</v>
      </c>
      <c r="AW52" s="158">
        <v>0</v>
      </c>
      <c r="AX52" s="158">
        <v>0</v>
      </c>
      <c r="AY52" s="158">
        <v>439</v>
      </c>
      <c r="AZ52" s="158">
        <v>1503</v>
      </c>
      <c r="BA52" s="158">
        <v>1780</v>
      </c>
      <c r="BB52" s="158">
        <v>1576</v>
      </c>
      <c r="BC52" s="158">
        <v>204</v>
      </c>
      <c r="BD52" s="158">
        <v>1936</v>
      </c>
      <c r="BE52" s="158">
        <v>-293574</v>
      </c>
      <c r="BF52" s="158">
        <v>-645793</v>
      </c>
      <c r="BG52" s="158">
        <v>0</v>
      </c>
      <c r="BH52" s="158">
        <v>-57096</v>
      </c>
      <c r="BI52" s="158">
        <v>-88796</v>
      </c>
      <c r="BJ52" s="158">
        <v>-1577381</v>
      </c>
      <c r="BK52" s="158">
        <v>-6111021</v>
      </c>
      <c r="BL52" s="1438">
        <v>24212550</v>
      </c>
      <c r="BM52" s="1439">
        <v>0</v>
      </c>
      <c r="BN52" s="784" t="s">
        <v>2349</v>
      </c>
      <c r="BO52" s="784" t="s">
        <v>2357</v>
      </c>
      <c r="BP52" s="1400" t="s">
        <v>2408</v>
      </c>
      <c r="BQ52" s="509"/>
      <c r="BR52" s="509"/>
      <c r="BS52" s="509"/>
      <c r="BT52" s="509"/>
      <c r="BU52" s="509"/>
      <c r="BV52" s="509"/>
      <c r="BW52" s="509"/>
      <c r="BX52" s="509"/>
      <c r="BY52" s="509"/>
      <c r="BZ52" s="509"/>
      <c r="CA52" s="509"/>
      <c r="CB52" s="509"/>
      <c r="CC52" s="509"/>
      <c r="CD52" s="509"/>
      <c r="CE52" s="509"/>
      <c r="CF52" s="509"/>
      <c r="CG52" s="509"/>
      <c r="CH52" s="509"/>
      <c r="CI52" s="509"/>
      <c r="CJ52" s="509"/>
      <c r="CK52" s="509"/>
      <c r="CL52" s="509"/>
      <c r="CM52" s="509"/>
      <c r="CN52" s="509"/>
      <c r="CO52" s="509"/>
      <c r="CP52" s="509"/>
      <c r="CQ52" s="509"/>
      <c r="CR52" s="509"/>
      <c r="CS52" s="509"/>
    </row>
    <row r="53" spans="1:98" s="137" customFormat="1" ht="12.75" customHeight="1" x14ac:dyDescent="0.2">
      <c r="A53" s="1421">
        <v>49</v>
      </c>
      <c r="B53" s="649" t="s">
        <v>811</v>
      </c>
      <c r="C53" s="1607" t="s">
        <v>812</v>
      </c>
      <c r="D53" s="1605">
        <v>167103</v>
      </c>
      <c r="E53" s="1405">
        <v>149169021</v>
      </c>
      <c r="F53" s="1405">
        <v>4019</v>
      </c>
      <c r="G53" s="158">
        <v>-3432956</v>
      </c>
      <c r="H53" s="158">
        <v>-5538313</v>
      </c>
      <c r="I53" s="158">
        <v>-53077</v>
      </c>
      <c r="J53" s="158">
        <v>0</v>
      </c>
      <c r="K53" s="158">
        <v>-7111</v>
      </c>
      <c r="L53" s="158">
        <v>-25000</v>
      </c>
      <c r="M53" s="158">
        <v>-2156187</v>
      </c>
      <c r="N53" s="158">
        <v>-23461</v>
      </c>
      <c r="O53" s="158">
        <v>-43579</v>
      </c>
      <c r="P53" s="158">
        <v>0</v>
      </c>
      <c r="Q53" s="158">
        <v>0</v>
      </c>
      <c r="R53" s="158">
        <v>0</v>
      </c>
      <c r="S53" s="158">
        <v>0</v>
      </c>
      <c r="T53" s="158">
        <v>0</v>
      </c>
      <c r="U53" s="158">
        <v>-4736911</v>
      </c>
      <c r="V53" s="158">
        <v>59928793</v>
      </c>
      <c r="W53" s="158">
        <v>-800000</v>
      </c>
      <c r="X53" s="158">
        <v>103949500</v>
      </c>
      <c r="Y53" s="158">
        <v>148439636</v>
      </c>
      <c r="Z53" s="158">
        <v>30360075</v>
      </c>
      <c r="AA53" s="158">
        <v>24288060</v>
      </c>
      <c r="AB53" s="158">
        <v>6072015</v>
      </c>
      <c r="AC53" s="158">
        <v>0</v>
      </c>
      <c r="AD53" s="158">
        <v>167153</v>
      </c>
      <c r="AE53" s="158">
        <v>0</v>
      </c>
      <c r="AF53" s="158">
        <v>0</v>
      </c>
      <c r="AG53" s="158">
        <v>0</v>
      </c>
      <c r="AH53" s="158">
        <v>0</v>
      </c>
      <c r="AI53" s="158">
        <v>0</v>
      </c>
      <c r="AJ53" s="158">
        <v>0</v>
      </c>
      <c r="AK53" s="158">
        <v>-1186063</v>
      </c>
      <c r="AL53" s="158">
        <v>201</v>
      </c>
      <c r="AM53" s="158">
        <v>8</v>
      </c>
      <c r="AN53" s="158">
        <v>0</v>
      </c>
      <c r="AO53" s="158">
        <v>4</v>
      </c>
      <c r="AP53" s="158">
        <v>1</v>
      </c>
      <c r="AQ53" s="158">
        <v>295</v>
      </c>
      <c r="AR53" s="158">
        <v>10</v>
      </c>
      <c r="AS53" s="158">
        <v>5</v>
      </c>
      <c r="AT53" s="158">
        <v>0</v>
      </c>
      <c r="AU53" s="158">
        <v>0</v>
      </c>
      <c r="AV53" s="158">
        <v>0</v>
      </c>
      <c r="AW53" s="158">
        <v>0</v>
      </c>
      <c r="AX53" s="158">
        <v>0</v>
      </c>
      <c r="AY53" s="158">
        <v>518</v>
      </c>
      <c r="AZ53" s="158">
        <v>1122</v>
      </c>
      <c r="BA53" s="158">
        <v>1297</v>
      </c>
      <c r="BB53" s="158">
        <v>1154</v>
      </c>
      <c r="BC53" s="158">
        <v>143</v>
      </c>
      <c r="BD53" s="158">
        <v>1605</v>
      </c>
      <c r="BE53" s="158">
        <v>-249456</v>
      </c>
      <c r="BF53" s="158">
        <v>-1467682</v>
      </c>
      <c r="BG53" s="158">
        <v>0</v>
      </c>
      <c r="BH53" s="158">
        <v>0</v>
      </c>
      <c r="BI53" s="158">
        <v>-313976</v>
      </c>
      <c r="BJ53" s="158">
        <v>-125073</v>
      </c>
      <c r="BK53" s="158">
        <v>-2675510</v>
      </c>
      <c r="BL53" s="1438">
        <v>18034100</v>
      </c>
      <c r="BM53" s="1439">
        <v>0</v>
      </c>
      <c r="BN53" s="784" t="s">
        <v>2349</v>
      </c>
      <c r="BO53" s="784" t="s">
        <v>2369</v>
      </c>
      <c r="BP53" s="1400" t="s">
        <v>2409</v>
      </c>
      <c r="BQ53" s="509"/>
      <c r="BR53" s="509"/>
      <c r="BS53" s="509"/>
      <c r="BT53" s="509"/>
      <c r="BU53" s="509"/>
      <c r="BV53" s="509"/>
      <c r="BW53" s="509"/>
      <c r="BX53" s="509"/>
      <c r="BY53" s="509"/>
      <c r="BZ53" s="509"/>
      <c r="CA53" s="509"/>
      <c r="CB53" s="509"/>
      <c r="CC53" s="509"/>
      <c r="CD53" s="509"/>
      <c r="CE53" s="509"/>
      <c r="CF53" s="509"/>
      <c r="CG53" s="509"/>
      <c r="CH53" s="509"/>
      <c r="CI53" s="509"/>
      <c r="CJ53" s="509"/>
      <c r="CK53" s="509"/>
      <c r="CL53" s="509"/>
      <c r="CM53" s="509"/>
      <c r="CN53" s="509"/>
      <c r="CO53" s="509"/>
      <c r="CP53" s="509"/>
      <c r="CQ53" s="509"/>
      <c r="CR53" s="509"/>
      <c r="CS53" s="509"/>
    </row>
    <row r="54" spans="1:98" s="137" customFormat="1" ht="12.75" customHeight="1" x14ac:dyDescent="0.2">
      <c r="A54" s="1421">
        <v>50</v>
      </c>
      <c r="B54" s="649" t="s">
        <v>813</v>
      </c>
      <c r="C54" s="1607" t="s">
        <v>814</v>
      </c>
      <c r="D54" s="1605">
        <v>243973</v>
      </c>
      <c r="E54" s="1405">
        <v>264465446</v>
      </c>
      <c r="F54" s="1405">
        <v>5200</v>
      </c>
      <c r="G54" s="158">
        <v>-4481656</v>
      </c>
      <c r="H54" s="158">
        <v>-4970884</v>
      </c>
      <c r="I54" s="158">
        <v>-37996</v>
      </c>
      <c r="J54" s="158">
        <v>-44196</v>
      </c>
      <c r="K54" s="158">
        <v>-5140</v>
      </c>
      <c r="L54" s="158">
        <v>0</v>
      </c>
      <c r="M54" s="158">
        <v>-1799577</v>
      </c>
      <c r="N54" s="158">
        <v>-113877</v>
      </c>
      <c r="O54" s="158">
        <v>-33701</v>
      </c>
      <c r="P54" s="158">
        <v>0</v>
      </c>
      <c r="Q54" s="158">
        <v>0</v>
      </c>
      <c r="R54" s="158">
        <v>0</v>
      </c>
      <c r="S54" s="158">
        <v>0</v>
      </c>
      <c r="T54" s="158">
        <v>0</v>
      </c>
      <c r="U54" s="158">
        <v>-11009426</v>
      </c>
      <c r="V54" s="158">
        <v>117415232</v>
      </c>
      <c r="W54" s="158">
        <v>-4532228</v>
      </c>
      <c r="X54" s="158">
        <v>206715950</v>
      </c>
      <c r="Y54" s="158">
        <v>263012588</v>
      </c>
      <c r="Z54" s="158">
        <v>56432034</v>
      </c>
      <c r="AA54" s="158">
        <v>45145628</v>
      </c>
      <c r="AB54" s="158">
        <v>11286407</v>
      </c>
      <c r="AC54" s="158">
        <v>0</v>
      </c>
      <c r="AD54" s="158">
        <v>242546</v>
      </c>
      <c r="AE54" s="158">
        <v>0</v>
      </c>
      <c r="AF54" s="158">
        <v>542994</v>
      </c>
      <c r="AG54" s="158">
        <v>0</v>
      </c>
      <c r="AH54" s="158">
        <v>0</v>
      </c>
      <c r="AI54" s="158">
        <v>0</v>
      </c>
      <c r="AJ54" s="158">
        <v>0</v>
      </c>
      <c r="AK54" s="158">
        <v>5424348</v>
      </c>
      <c r="AL54" s="158">
        <v>285</v>
      </c>
      <c r="AM54" s="158">
        <v>4</v>
      </c>
      <c r="AN54" s="158">
        <v>0</v>
      </c>
      <c r="AO54" s="158">
        <v>2</v>
      </c>
      <c r="AP54" s="158">
        <v>0</v>
      </c>
      <c r="AQ54" s="158">
        <v>236</v>
      </c>
      <c r="AR54" s="158">
        <v>58</v>
      </c>
      <c r="AS54" s="158">
        <v>2</v>
      </c>
      <c r="AT54" s="158">
        <v>0</v>
      </c>
      <c r="AU54" s="158">
        <v>0</v>
      </c>
      <c r="AV54" s="158">
        <v>0</v>
      </c>
      <c r="AW54" s="158">
        <v>0</v>
      </c>
      <c r="AX54" s="158">
        <v>0</v>
      </c>
      <c r="AY54" s="158">
        <v>796</v>
      </c>
      <c r="AZ54" s="158">
        <v>862</v>
      </c>
      <c r="BA54" s="158">
        <v>1533</v>
      </c>
      <c r="BB54" s="158">
        <v>1357</v>
      </c>
      <c r="BC54" s="158">
        <v>176</v>
      </c>
      <c r="BD54" s="158">
        <v>2807</v>
      </c>
      <c r="BE54" s="158">
        <v>-63563</v>
      </c>
      <c r="BF54" s="158">
        <v>-706949</v>
      </c>
      <c r="BG54" s="158">
        <v>0</v>
      </c>
      <c r="BH54" s="158">
        <v>0</v>
      </c>
      <c r="BI54" s="158">
        <v>-368303</v>
      </c>
      <c r="BJ54" s="158">
        <v>-660762</v>
      </c>
      <c r="BK54" s="158">
        <v>2890326</v>
      </c>
      <c r="BL54" s="1438">
        <v>26111100</v>
      </c>
      <c r="BM54" s="1439">
        <v>0</v>
      </c>
      <c r="BN54" s="784" t="s">
        <v>2349</v>
      </c>
      <c r="BO54" s="784" t="s">
        <v>2350</v>
      </c>
      <c r="BP54" s="1400" t="s">
        <v>2410</v>
      </c>
      <c r="BQ54" s="509"/>
      <c r="BR54" s="509"/>
      <c r="BS54" s="509"/>
      <c r="BT54" s="509"/>
      <c r="BU54" s="509"/>
      <c r="BV54" s="509"/>
      <c r="BW54" s="509"/>
      <c r="BX54" s="509"/>
      <c r="BY54" s="509"/>
      <c r="BZ54" s="509"/>
      <c r="CA54" s="509"/>
      <c r="CB54" s="509"/>
      <c r="CC54" s="509"/>
      <c r="CD54" s="509"/>
      <c r="CE54" s="509"/>
      <c r="CF54" s="509"/>
      <c r="CG54" s="509"/>
      <c r="CH54" s="509"/>
      <c r="CI54" s="509"/>
      <c r="CJ54" s="509"/>
      <c r="CK54" s="509"/>
      <c r="CL54" s="509"/>
      <c r="CM54" s="509"/>
      <c r="CN54" s="509"/>
      <c r="CO54" s="509"/>
      <c r="CP54" s="509"/>
      <c r="CQ54" s="509"/>
      <c r="CR54" s="509"/>
      <c r="CS54" s="509"/>
    </row>
    <row r="55" spans="1:98" s="137" customFormat="1" ht="12.75" customHeight="1" x14ac:dyDescent="0.2">
      <c r="A55" s="1421">
        <v>51</v>
      </c>
      <c r="B55" s="649" t="s">
        <v>815</v>
      </c>
      <c r="C55" s="1607" t="s">
        <v>816</v>
      </c>
      <c r="D55" s="1605">
        <v>584871</v>
      </c>
      <c r="E55" s="1405">
        <v>387531801</v>
      </c>
      <c r="F55" s="1405">
        <v>15395</v>
      </c>
      <c r="G55" s="158">
        <v>-16521822</v>
      </c>
      <c r="H55" s="158">
        <v>-11706693</v>
      </c>
      <c r="I55" s="158">
        <v>-157351</v>
      </c>
      <c r="J55" s="158">
        <v>-20432</v>
      </c>
      <c r="K55" s="158">
        <v>-19158</v>
      </c>
      <c r="L55" s="158">
        <v>-562450</v>
      </c>
      <c r="M55" s="158">
        <v>-4470158</v>
      </c>
      <c r="N55" s="158">
        <v>-238127</v>
      </c>
      <c r="O55" s="158">
        <v>-25649</v>
      </c>
      <c r="P55" s="158">
        <v>-7348</v>
      </c>
      <c r="Q55" s="158">
        <v>-5737</v>
      </c>
      <c r="R55" s="158">
        <v>-156115</v>
      </c>
      <c r="S55" s="158">
        <v>-156115</v>
      </c>
      <c r="T55" s="158">
        <v>0</v>
      </c>
      <c r="U55" s="158">
        <v>-11350211</v>
      </c>
      <c r="V55" s="158">
        <v>155734773</v>
      </c>
      <c r="W55" s="158">
        <v>-2890992</v>
      </c>
      <c r="X55" s="158">
        <v>247254750</v>
      </c>
      <c r="Y55" s="158">
        <v>388260916</v>
      </c>
      <c r="Z55" s="158">
        <v>76195073</v>
      </c>
      <c r="AA55" s="158">
        <v>74824164</v>
      </c>
      <c r="AB55" s="158">
        <v>0</v>
      </c>
      <c r="AC55" s="158">
        <v>1527024</v>
      </c>
      <c r="AD55" s="158">
        <v>578438</v>
      </c>
      <c r="AE55" s="158">
        <v>1403096</v>
      </c>
      <c r="AF55" s="158">
        <v>91694</v>
      </c>
      <c r="AG55" s="158">
        <v>0</v>
      </c>
      <c r="AH55" s="158">
        <v>156115</v>
      </c>
      <c r="AI55" s="158">
        <v>0</v>
      </c>
      <c r="AJ55" s="158">
        <v>0</v>
      </c>
      <c r="AK55" s="158">
        <v>-9928563</v>
      </c>
      <c r="AL55" s="158">
        <v>589</v>
      </c>
      <c r="AM55" s="158">
        <v>33</v>
      </c>
      <c r="AN55" s="158">
        <v>9</v>
      </c>
      <c r="AO55" s="158">
        <v>12</v>
      </c>
      <c r="AP55" s="158">
        <v>1</v>
      </c>
      <c r="AQ55" s="158">
        <v>1427</v>
      </c>
      <c r="AR55" s="158">
        <v>277</v>
      </c>
      <c r="AS55" s="158">
        <v>25</v>
      </c>
      <c r="AT55" s="158">
        <v>27</v>
      </c>
      <c r="AU55" s="158">
        <v>0</v>
      </c>
      <c r="AV55" s="158">
        <v>6</v>
      </c>
      <c r="AW55" s="158">
        <v>19</v>
      </c>
      <c r="AX55" s="158">
        <v>0</v>
      </c>
      <c r="AY55" s="158">
        <v>1468</v>
      </c>
      <c r="AZ55" s="158">
        <v>3348</v>
      </c>
      <c r="BA55" s="158">
        <v>6145</v>
      </c>
      <c r="BB55" s="158">
        <v>5685</v>
      </c>
      <c r="BC55" s="158">
        <v>460</v>
      </c>
      <c r="BD55" s="158">
        <v>5766</v>
      </c>
      <c r="BE55" s="158">
        <v>-1097933</v>
      </c>
      <c r="BF55" s="158">
        <v>-1016239</v>
      </c>
      <c r="BG55" s="158">
        <v>0</v>
      </c>
      <c r="BH55" s="158">
        <v>0</v>
      </c>
      <c r="BI55" s="158">
        <v>-755179</v>
      </c>
      <c r="BJ55" s="158">
        <v>-1600807</v>
      </c>
      <c r="BK55" s="158">
        <v>-8174941</v>
      </c>
      <c r="BL55" s="1438">
        <v>54411450</v>
      </c>
      <c r="BM55" s="1439">
        <v>177000</v>
      </c>
      <c r="BN55" s="784" t="s">
        <v>509</v>
      </c>
      <c r="BO55" s="784" t="s">
        <v>2376</v>
      </c>
      <c r="BP55" s="1400" t="s">
        <v>2411</v>
      </c>
      <c r="BQ55" s="509"/>
      <c r="BR55" s="509"/>
      <c r="BS55" s="509"/>
      <c r="BT55" s="509"/>
      <c r="BU55" s="509"/>
      <c r="BV55" s="509"/>
      <c r="BW55" s="509"/>
      <c r="BX55" s="509"/>
      <c r="BY55" s="509"/>
      <c r="BZ55" s="509"/>
      <c r="CA55" s="509"/>
      <c r="CB55" s="509"/>
      <c r="CC55" s="509"/>
      <c r="CD55" s="509"/>
      <c r="CE55" s="509"/>
      <c r="CF55" s="509"/>
      <c r="CG55" s="509"/>
      <c r="CH55" s="509"/>
      <c r="CI55" s="509"/>
      <c r="CJ55" s="509"/>
      <c r="CK55" s="509"/>
      <c r="CL55" s="509"/>
      <c r="CM55" s="509"/>
      <c r="CN55" s="509"/>
      <c r="CO55" s="509"/>
      <c r="CP55" s="509"/>
      <c r="CQ55" s="509"/>
      <c r="CR55" s="509"/>
      <c r="CS55" s="509"/>
    </row>
    <row r="56" spans="1:98" s="137" customFormat="1" ht="12.75" customHeight="1" x14ac:dyDescent="0.2">
      <c r="A56" s="1421">
        <v>52</v>
      </c>
      <c r="B56" s="649" t="s">
        <v>539</v>
      </c>
      <c r="C56" s="1607" t="s">
        <v>817</v>
      </c>
      <c r="D56" s="1605">
        <v>497630</v>
      </c>
      <c r="E56" s="1405">
        <v>408687895</v>
      </c>
      <c r="F56" s="1405">
        <v>12392</v>
      </c>
      <c r="G56" s="158">
        <v>-11871694</v>
      </c>
      <c r="H56" s="158">
        <v>-11920685</v>
      </c>
      <c r="I56" s="158">
        <v>-77708</v>
      </c>
      <c r="J56" s="158">
        <v>0</v>
      </c>
      <c r="K56" s="158">
        <v>-24599</v>
      </c>
      <c r="L56" s="158">
        <v>-250000</v>
      </c>
      <c r="M56" s="158">
        <v>-10000000</v>
      </c>
      <c r="N56" s="158">
        <v>-916000</v>
      </c>
      <c r="O56" s="158">
        <v>-1500209</v>
      </c>
      <c r="P56" s="158">
        <v>-18505</v>
      </c>
      <c r="Q56" s="158">
        <v>-5676</v>
      </c>
      <c r="R56" s="158">
        <v>-511077</v>
      </c>
      <c r="S56" s="158">
        <v>-106077</v>
      </c>
      <c r="T56" s="158">
        <v>0</v>
      </c>
      <c r="U56" s="158">
        <v>-12529028</v>
      </c>
      <c r="V56" s="158">
        <v>158305252</v>
      </c>
      <c r="W56" s="158">
        <v>-13000000</v>
      </c>
      <c r="X56" s="158">
        <v>288391800</v>
      </c>
      <c r="Y56" s="158">
        <v>400606622</v>
      </c>
      <c r="Z56" s="158">
        <v>71185456</v>
      </c>
      <c r="AA56" s="158">
        <v>69865703</v>
      </c>
      <c r="AB56" s="158">
        <v>0</v>
      </c>
      <c r="AC56" s="158">
        <v>1425831</v>
      </c>
      <c r="AD56" s="158">
        <v>495065</v>
      </c>
      <c r="AE56" s="158">
        <v>1065166</v>
      </c>
      <c r="AF56" s="158">
        <v>970835</v>
      </c>
      <c r="AG56" s="158">
        <v>0</v>
      </c>
      <c r="AH56" s="158">
        <v>106077</v>
      </c>
      <c r="AI56" s="158">
        <v>0</v>
      </c>
      <c r="AJ56" s="158">
        <v>0</v>
      </c>
      <c r="AK56" s="158">
        <v>5529805</v>
      </c>
      <c r="AL56" s="158">
        <v>504</v>
      </c>
      <c r="AM56" s="158">
        <v>15</v>
      </c>
      <c r="AN56" s="158">
        <v>0</v>
      </c>
      <c r="AO56" s="158">
        <v>13</v>
      </c>
      <c r="AP56" s="158">
        <v>0</v>
      </c>
      <c r="AQ56" s="158">
        <v>1000</v>
      </c>
      <c r="AR56" s="158">
        <v>365</v>
      </c>
      <c r="AS56" s="158">
        <v>48</v>
      </c>
      <c r="AT56" s="158">
        <v>15</v>
      </c>
      <c r="AU56" s="158">
        <v>0</v>
      </c>
      <c r="AV56" s="158">
        <v>2</v>
      </c>
      <c r="AW56" s="158">
        <v>5</v>
      </c>
      <c r="AX56" s="158">
        <v>2</v>
      </c>
      <c r="AY56" s="158">
        <v>1324</v>
      </c>
      <c r="AZ56" s="158">
        <v>1312</v>
      </c>
      <c r="BA56" s="158">
        <v>4669</v>
      </c>
      <c r="BB56" s="158">
        <v>4387</v>
      </c>
      <c r="BC56" s="158">
        <v>282</v>
      </c>
      <c r="BD56" s="158">
        <v>6362</v>
      </c>
      <c r="BE56" s="158">
        <v>-886918</v>
      </c>
      <c r="BF56" s="158">
        <v>-3325942</v>
      </c>
      <c r="BG56" s="158">
        <v>0</v>
      </c>
      <c r="BH56" s="158">
        <v>-1108647</v>
      </c>
      <c r="BI56" s="158">
        <v>-2815965</v>
      </c>
      <c r="BJ56" s="158">
        <v>-1862528</v>
      </c>
      <c r="BK56" s="158">
        <v>10121373</v>
      </c>
      <c r="BL56" s="1438">
        <v>43185500</v>
      </c>
      <c r="BM56" s="1439">
        <v>50000</v>
      </c>
      <c r="BN56" s="784" t="s">
        <v>509</v>
      </c>
      <c r="BO56" s="784" t="s">
        <v>2376</v>
      </c>
      <c r="BP56" s="1400" t="s">
        <v>2412</v>
      </c>
      <c r="BQ56" s="509"/>
      <c r="BR56" s="509"/>
      <c r="BS56" s="509"/>
      <c r="BT56" s="509"/>
      <c r="BU56" s="509"/>
      <c r="BV56" s="509"/>
      <c r="BW56" s="509"/>
      <c r="BX56" s="509"/>
      <c r="BY56" s="509"/>
      <c r="BZ56" s="509"/>
      <c r="CA56" s="509"/>
      <c r="CB56" s="509"/>
      <c r="CC56" s="509"/>
      <c r="CD56" s="509"/>
      <c r="CE56" s="509"/>
      <c r="CF56" s="509"/>
      <c r="CG56" s="509"/>
      <c r="CH56" s="509"/>
      <c r="CI56" s="509"/>
      <c r="CJ56" s="509"/>
      <c r="CK56" s="509"/>
      <c r="CL56" s="509"/>
      <c r="CM56" s="509"/>
      <c r="CN56" s="509"/>
      <c r="CO56" s="509"/>
      <c r="CP56" s="509"/>
      <c r="CQ56" s="509"/>
      <c r="CR56" s="509"/>
      <c r="CS56" s="509"/>
    </row>
    <row r="57" spans="1:98" s="137" customFormat="1" ht="12.75" customHeight="1" x14ac:dyDescent="0.2">
      <c r="A57" s="1421">
        <v>53</v>
      </c>
      <c r="B57" s="649" t="s">
        <v>818</v>
      </c>
      <c r="C57" s="1607" t="s">
        <v>819</v>
      </c>
      <c r="D57" s="1605">
        <v>163876</v>
      </c>
      <c r="E57" s="1405">
        <v>106713552</v>
      </c>
      <c r="F57" s="1405">
        <v>4399</v>
      </c>
      <c r="G57" s="158">
        <v>-5189121</v>
      </c>
      <c r="H57" s="158">
        <v>-2780267</v>
      </c>
      <c r="I57" s="158">
        <v>-51651</v>
      </c>
      <c r="J57" s="158">
        <v>-6213</v>
      </c>
      <c r="K57" s="158">
        <v>-9806</v>
      </c>
      <c r="L57" s="158">
        <v>0</v>
      </c>
      <c r="M57" s="158">
        <v>-1840365</v>
      </c>
      <c r="N57" s="158">
        <v>-54432</v>
      </c>
      <c r="O57" s="158">
        <v>-34125</v>
      </c>
      <c r="P57" s="158">
        <v>-22</v>
      </c>
      <c r="Q57" s="158">
        <v>0</v>
      </c>
      <c r="R57" s="158">
        <v>0</v>
      </c>
      <c r="S57" s="158">
        <v>0</v>
      </c>
      <c r="T57" s="158">
        <v>0</v>
      </c>
      <c r="U57" s="158">
        <v>-3266733</v>
      </c>
      <c r="V57" s="158">
        <v>42416408</v>
      </c>
      <c r="W57" s="158">
        <v>-515944</v>
      </c>
      <c r="X57" s="158">
        <v>64387500</v>
      </c>
      <c r="Y57" s="158">
        <v>106389804</v>
      </c>
      <c r="Z57" s="158">
        <v>19452139</v>
      </c>
      <c r="AA57" s="158">
        <v>15561712</v>
      </c>
      <c r="AB57" s="158">
        <v>3501385</v>
      </c>
      <c r="AC57" s="158">
        <v>389043</v>
      </c>
      <c r="AD57" s="158">
        <v>162875</v>
      </c>
      <c r="AE57" s="158">
        <v>2647046</v>
      </c>
      <c r="AF57" s="158">
        <v>94695</v>
      </c>
      <c r="AG57" s="158">
        <v>0</v>
      </c>
      <c r="AH57" s="158">
        <v>0</v>
      </c>
      <c r="AI57" s="158">
        <v>0</v>
      </c>
      <c r="AJ57" s="158">
        <v>0</v>
      </c>
      <c r="AK57" s="158">
        <v>-387474</v>
      </c>
      <c r="AL57" s="158">
        <v>173</v>
      </c>
      <c r="AM57" s="158">
        <v>5</v>
      </c>
      <c r="AN57" s="158">
        <v>3</v>
      </c>
      <c r="AO57" s="158">
        <v>6</v>
      </c>
      <c r="AP57" s="158">
        <v>0</v>
      </c>
      <c r="AQ57" s="158">
        <v>246</v>
      </c>
      <c r="AR57" s="158">
        <v>45</v>
      </c>
      <c r="AS57" s="158">
        <v>1</v>
      </c>
      <c r="AT57" s="158">
        <v>1</v>
      </c>
      <c r="AU57" s="158">
        <v>0</v>
      </c>
      <c r="AV57" s="158">
        <v>0</v>
      </c>
      <c r="AW57" s="158">
        <v>0</v>
      </c>
      <c r="AX57" s="158">
        <v>0</v>
      </c>
      <c r="AY57" s="158">
        <v>457</v>
      </c>
      <c r="AZ57" s="158">
        <v>915</v>
      </c>
      <c r="BA57" s="158">
        <v>1922</v>
      </c>
      <c r="BB57" s="158">
        <v>1792</v>
      </c>
      <c r="BC57" s="158">
        <v>130</v>
      </c>
      <c r="BD57" s="158">
        <v>1548</v>
      </c>
      <c r="BE57" s="158">
        <v>-483782</v>
      </c>
      <c r="BF57" s="158">
        <v>-353098</v>
      </c>
      <c r="BG57" s="158">
        <v>0</v>
      </c>
      <c r="BH57" s="158">
        <v>0</v>
      </c>
      <c r="BI57" s="158">
        <v>-517216</v>
      </c>
      <c r="BJ57" s="158">
        <v>-486269</v>
      </c>
      <c r="BK57" s="158">
        <v>-1565581</v>
      </c>
      <c r="BL57" s="1438">
        <v>17142250</v>
      </c>
      <c r="BM57" s="1439">
        <v>0</v>
      </c>
      <c r="BN57" s="784" t="s">
        <v>2349</v>
      </c>
      <c r="BO57" s="784" t="s">
        <v>2352</v>
      </c>
      <c r="BP57" s="1400" t="s">
        <v>2413</v>
      </c>
      <c r="BQ57" s="509"/>
      <c r="BR57" s="509"/>
      <c r="BS57" s="509"/>
      <c r="BT57" s="509"/>
      <c r="BU57" s="509"/>
      <c r="BV57" s="509"/>
      <c r="BW57" s="509"/>
      <c r="BX57" s="509"/>
      <c r="BY57" s="509"/>
      <c r="BZ57" s="509"/>
      <c r="CA57" s="509"/>
      <c r="CB57" s="509"/>
      <c r="CC57" s="509"/>
      <c r="CD57" s="509"/>
      <c r="CE57" s="509"/>
      <c r="CF57" s="509"/>
      <c r="CG57" s="509"/>
      <c r="CH57" s="509"/>
      <c r="CI57" s="509"/>
      <c r="CJ57" s="509"/>
      <c r="CK57" s="509"/>
      <c r="CL57" s="509"/>
      <c r="CM57" s="509"/>
      <c r="CN57" s="509"/>
      <c r="CO57" s="509"/>
      <c r="CP57" s="509"/>
      <c r="CQ57" s="509"/>
      <c r="CR57" s="509"/>
      <c r="CS57" s="509"/>
    </row>
    <row r="58" spans="1:98" s="137" customFormat="1" ht="12.75" customHeight="1" x14ac:dyDescent="0.2">
      <c r="A58" s="1421">
        <v>54</v>
      </c>
      <c r="B58" s="649" t="s">
        <v>820</v>
      </c>
      <c r="C58" s="1607" t="s">
        <v>821</v>
      </c>
      <c r="D58" s="1605">
        <v>205473</v>
      </c>
      <c r="E58" s="1405">
        <v>135544835</v>
      </c>
      <c r="F58" s="1405">
        <v>5500</v>
      </c>
      <c r="G58" s="158">
        <v>-5686557</v>
      </c>
      <c r="H58" s="158">
        <v>-5634298</v>
      </c>
      <c r="I58" s="158">
        <v>-37735</v>
      </c>
      <c r="J58" s="158">
        <v>-18526</v>
      </c>
      <c r="K58" s="158">
        <v>-27451</v>
      </c>
      <c r="L58" s="158">
        <v>-100000</v>
      </c>
      <c r="M58" s="158">
        <v>-1687835</v>
      </c>
      <c r="N58" s="158">
        <v>-5000</v>
      </c>
      <c r="O58" s="158">
        <v>-5000</v>
      </c>
      <c r="P58" s="158">
        <v>-5000</v>
      </c>
      <c r="Q58" s="158">
        <v>-5000</v>
      </c>
      <c r="R58" s="158">
        <v>-5000</v>
      </c>
      <c r="S58" s="158">
        <v>0</v>
      </c>
      <c r="T58" s="158">
        <v>0</v>
      </c>
      <c r="U58" s="158">
        <v>-7305367</v>
      </c>
      <c r="V58" s="158">
        <v>46943469</v>
      </c>
      <c r="W58" s="158">
        <v>-750000</v>
      </c>
      <c r="X58" s="158">
        <v>80983825</v>
      </c>
      <c r="Y58" s="158">
        <v>134822488</v>
      </c>
      <c r="Z58" s="158">
        <v>23843194</v>
      </c>
      <c r="AA58" s="158">
        <v>19074555</v>
      </c>
      <c r="AB58" s="158">
        <v>4768639</v>
      </c>
      <c r="AC58" s="158">
        <v>0</v>
      </c>
      <c r="AD58" s="158">
        <v>203750</v>
      </c>
      <c r="AE58" s="158">
        <v>0</v>
      </c>
      <c r="AF58" s="158">
        <v>181982</v>
      </c>
      <c r="AG58" s="158">
        <v>0</v>
      </c>
      <c r="AH58" s="158">
        <v>0</v>
      </c>
      <c r="AI58" s="158">
        <v>0</v>
      </c>
      <c r="AJ58" s="158">
        <v>0</v>
      </c>
      <c r="AK58" s="158">
        <v>701364</v>
      </c>
      <c r="AL58" s="158">
        <v>280</v>
      </c>
      <c r="AM58" s="158">
        <v>20</v>
      </c>
      <c r="AN58" s="158">
        <v>8</v>
      </c>
      <c r="AO58" s="158">
        <v>12</v>
      </c>
      <c r="AP58" s="158">
        <v>0</v>
      </c>
      <c r="AQ58" s="158">
        <v>233</v>
      </c>
      <c r="AR58" s="158">
        <v>0</v>
      </c>
      <c r="AS58" s="158">
        <v>0</v>
      </c>
      <c r="AT58" s="158">
        <v>0</v>
      </c>
      <c r="AU58" s="158">
        <v>8</v>
      </c>
      <c r="AV58" s="158">
        <v>0</v>
      </c>
      <c r="AW58" s="158">
        <v>0</v>
      </c>
      <c r="AX58" s="158">
        <v>0</v>
      </c>
      <c r="AY58" s="158">
        <v>918</v>
      </c>
      <c r="AZ58" s="158">
        <v>1132</v>
      </c>
      <c r="BA58" s="158">
        <v>2382</v>
      </c>
      <c r="BB58" s="158">
        <v>2155</v>
      </c>
      <c r="BC58" s="158">
        <v>227</v>
      </c>
      <c r="BD58" s="158">
        <v>1956</v>
      </c>
      <c r="BE58" s="158">
        <v>-188974</v>
      </c>
      <c r="BF58" s="158">
        <v>-1320091</v>
      </c>
      <c r="BG58" s="158">
        <v>0</v>
      </c>
      <c r="BH58" s="158">
        <v>0</v>
      </c>
      <c r="BI58" s="158">
        <v>-51643</v>
      </c>
      <c r="BJ58" s="158">
        <v>-127127</v>
      </c>
      <c r="BK58" s="158">
        <v>1442496</v>
      </c>
      <c r="BL58" s="1438">
        <v>19601051</v>
      </c>
      <c r="BM58" s="1439">
        <v>0</v>
      </c>
      <c r="BN58" s="784" t="s">
        <v>2349</v>
      </c>
      <c r="BO58" s="784" t="s">
        <v>2350</v>
      </c>
      <c r="BP58" s="1400" t="s">
        <v>2414</v>
      </c>
      <c r="BQ58" s="509"/>
      <c r="BR58" s="509"/>
      <c r="BS58" s="509"/>
      <c r="BT58" s="509"/>
      <c r="BU58" s="509"/>
      <c r="BV58" s="509"/>
      <c r="BW58" s="509"/>
      <c r="BX58" s="509"/>
      <c r="BY58" s="509"/>
      <c r="BZ58" s="509"/>
      <c r="CA58" s="509"/>
      <c r="CB58" s="509"/>
      <c r="CC58" s="509"/>
      <c r="CD58" s="509"/>
      <c r="CE58" s="509"/>
      <c r="CF58" s="509"/>
      <c r="CG58" s="509"/>
      <c r="CH58" s="509"/>
      <c r="CI58" s="509"/>
      <c r="CJ58" s="509"/>
      <c r="CK58" s="509"/>
      <c r="CL58" s="509"/>
      <c r="CM58" s="509"/>
      <c r="CN58" s="509"/>
      <c r="CO58" s="509"/>
      <c r="CP58" s="509"/>
      <c r="CQ58" s="509"/>
      <c r="CR58" s="509"/>
      <c r="CS58" s="509"/>
    </row>
    <row r="59" spans="1:98" s="657" customFormat="1" ht="12.75" customHeight="1" x14ac:dyDescent="0.2">
      <c r="A59" s="1421">
        <v>55</v>
      </c>
      <c r="B59" s="649" t="s">
        <v>822</v>
      </c>
      <c r="C59" s="1607" t="s">
        <v>823</v>
      </c>
      <c r="D59" s="1605">
        <v>137517</v>
      </c>
      <c r="E59" s="1405">
        <v>78198704</v>
      </c>
      <c r="F59" s="1405">
        <v>3793</v>
      </c>
      <c r="G59" s="158">
        <v>-4035087</v>
      </c>
      <c r="H59" s="158">
        <v>-2788092</v>
      </c>
      <c r="I59" s="158">
        <v>-39051</v>
      </c>
      <c r="J59" s="158">
        <v>-6868</v>
      </c>
      <c r="K59" s="158">
        <v>-2450</v>
      </c>
      <c r="L59" s="158">
        <v>0</v>
      </c>
      <c r="M59" s="158">
        <v>-366609</v>
      </c>
      <c r="N59" s="158">
        <v>-928</v>
      </c>
      <c r="O59" s="158">
        <v>0</v>
      </c>
      <c r="P59" s="158">
        <v>0</v>
      </c>
      <c r="Q59" s="158">
        <v>0</v>
      </c>
      <c r="R59" s="158">
        <v>0</v>
      </c>
      <c r="S59" s="158">
        <v>0</v>
      </c>
      <c r="T59" s="158">
        <v>0</v>
      </c>
      <c r="U59" s="158">
        <v>-2957212</v>
      </c>
      <c r="V59" s="158">
        <v>28880674</v>
      </c>
      <c r="W59" s="158">
        <v>-1155325</v>
      </c>
      <c r="X59" s="158">
        <v>46263500</v>
      </c>
      <c r="Y59" s="158">
        <v>77514908</v>
      </c>
      <c r="Z59" s="158">
        <v>14029940</v>
      </c>
      <c r="AA59" s="158">
        <v>11223952</v>
      </c>
      <c r="AB59" s="158">
        <v>2525389</v>
      </c>
      <c r="AC59" s="158">
        <v>280599</v>
      </c>
      <c r="AD59" s="158">
        <v>135367</v>
      </c>
      <c r="AE59" s="158">
        <v>0</v>
      </c>
      <c r="AF59" s="158">
        <v>0</v>
      </c>
      <c r="AG59" s="158">
        <v>0</v>
      </c>
      <c r="AH59" s="158">
        <v>0</v>
      </c>
      <c r="AI59" s="158">
        <v>0</v>
      </c>
      <c r="AJ59" s="158">
        <v>0</v>
      </c>
      <c r="AK59" s="158">
        <v>144530</v>
      </c>
      <c r="AL59" s="158">
        <v>153</v>
      </c>
      <c r="AM59" s="158">
        <v>18</v>
      </c>
      <c r="AN59" s="158">
        <v>2</v>
      </c>
      <c r="AO59" s="158">
        <v>2</v>
      </c>
      <c r="AP59" s="158">
        <v>0</v>
      </c>
      <c r="AQ59" s="158">
        <v>264</v>
      </c>
      <c r="AR59" s="158">
        <v>0</v>
      </c>
      <c r="AS59" s="158">
        <v>0</v>
      </c>
      <c r="AT59" s="158">
        <v>1</v>
      </c>
      <c r="AU59" s="158">
        <v>0</v>
      </c>
      <c r="AV59" s="158">
        <v>0</v>
      </c>
      <c r="AW59" s="158">
        <v>0</v>
      </c>
      <c r="AX59" s="158">
        <v>0</v>
      </c>
      <c r="AY59" s="158">
        <v>399</v>
      </c>
      <c r="AZ59" s="158">
        <v>228</v>
      </c>
      <c r="BA59" s="158">
        <v>1727</v>
      </c>
      <c r="BB59" s="158">
        <v>1654</v>
      </c>
      <c r="BC59" s="158">
        <v>73</v>
      </c>
      <c r="BD59" s="158">
        <v>1766</v>
      </c>
      <c r="BE59" s="158">
        <v>0</v>
      </c>
      <c r="BF59" s="158">
        <v>-42192</v>
      </c>
      <c r="BG59" s="158">
        <v>0</v>
      </c>
      <c r="BH59" s="158">
        <v>0</v>
      </c>
      <c r="BI59" s="158">
        <v>-324417</v>
      </c>
      <c r="BJ59" s="158">
        <v>0</v>
      </c>
      <c r="BK59" s="158">
        <v>-325536</v>
      </c>
      <c r="BL59" s="1438">
        <v>10659850</v>
      </c>
      <c r="BM59" s="1439">
        <v>0</v>
      </c>
      <c r="BN59" s="784" t="s">
        <v>2349</v>
      </c>
      <c r="BO59" s="784" t="s">
        <v>2376</v>
      </c>
      <c r="BP59" s="1400" t="s">
        <v>2415</v>
      </c>
      <c r="BQ59" s="509"/>
      <c r="BR59" s="509"/>
      <c r="BS59" s="509"/>
      <c r="BT59" s="509"/>
      <c r="BU59" s="509"/>
      <c r="BV59" s="509"/>
      <c r="BW59" s="509"/>
      <c r="BX59" s="509"/>
      <c r="BY59" s="509"/>
      <c r="BZ59" s="509"/>
      <c r="CA59" s="509"/>
      <c r="CB59" s="509"/>
      <c r="CC59" s="509"/>
      <c r="CD59" s="509"/>
      <c r="CE59" s="509"/>
      <c r="CF59" s="509"/>
      <c r="CG59" s="509"/>
      <c r="CH59" s="509"/>
      <c r="CI59" s="509"/>
      <c r="CJ59" s="509"/>
      <c r="CK59" s="509"/>
      <c r="CL59" s="509"/>
      <c r="CM59" s="509"/>
      <c r="CN59" s="509"/>
      <c r="CO59" s="509"/>
      <c r="CP59" s="509"/>
      <c r="CQ59" s="509"/>
      <c r="CR59" s="509"/>
      <c r="CS59" s="509"/>
      <c r="CT59" s="137"/>
    </row>
    <row r="60" spans="1:98" s="137" customFormat="1" ht="12.75" customHeight="1" x14ac:dyDescent="0.2">
      <c r="A60" s="1421">
        <v>56</v>
      </c>
      <c r="B60" s="649" t="s">
        <v>824</v>
      </c>
      <c r="C60" s="1607" t="s">
        <v>0</v>
      </c>
      <c r="D60" s="1605">
        <v>1835603</v>
      </c>
      <c r="E60" s="1405">
        <v>2621056847</v>
      </c>
      <c r="F60" s="1405">
        <v>19200</v>
      </c>
      <c r="G60" s="158">
        <v>-2098324</v>
      </c>
      <c r="H60" s="158">
        <v>-16042262</v>
      </c>
      <c r="I60" s="158">
        <v>0</v>
      </c>
      <c r="J60" s="158">
        <v>0</v>
      </c>
      <c r="K60" s="158">
        <v>-25119</v>
      </c>
      <c r="L60" s="158">
        <v>-1500000</v>
      </c>
      <c r="M60" s="158">
        <v>-72413533</v>
      </c>
      <c r="N60" s="158">
        <v>-174123</v>
      </c>
      <c r="O60" s="158">
        <v>-78925</v>
      </c>
      <c r="P60" s="158">
        <v>0</v>
      </c>
      <c r="Q60" s="158">
        <v>0</v>
      </c>
      <c r="R60" s="158">
        <v>-146055</v>
      </c>
      <c r="S60" s="158">
        <v>0</v>
      </c>
      <c r="T60" s="158">
        <v>0</v>
      </c>
      <c r="U60" s="158">
        <v>-24408222</v>
      </c>
      <c r="V60" s="158">
        <v>1277509434</v>
      </c>
      <c r="W60" s="158">
        <v>-50232736</v>
      </c>
      <c r="X60" s="158">
        <v>2403327500</v>
      </c>
      <c r="Y60" s="158">
        <v>2575059048</v>
      </c>
      <c r="Z60" s="158">
        <v>395417236</v>
      </c>
      <c r="AA60" s="158">
        <v>359470214</v>
      </c>
      <c r="AB60" s="158">
        <v>443346597</v>
      </c>
      <c r="AC60" s="158">
        <v>0</v>
      </c>
      <c r="AD60" s="158">
        <v>1856081</v>
      </c>
      <c r="AE60" s="158">
        <v>0</v>
      </c>
      <c r="AF60" s="158">
        <v>0</v>
      </c>
      <c r="AG60" s="158">
        <v>0</v>
      </c>
      <c r="AH60" s="158">
        <v>0</v>
      </c>
      <c r="AI60" s="158">
        <v>13291000</v>
      </c>
      <c r="AJ60" s="158">
        <v>0</v>
      </c>
      <c r="AK60" s="158">
        <v>68660145</v>
      </c>
      <c r="AL60" s="158">
        <v>220</v>
      </c>
      <c r="AM60" s="158">
        <v>0</v>
      </c>
      <c r="AN60" s="158">
        <v>0</v>
      </c>
      <c r="AO60" s="158">
        <v>2</v>
      </c>
      <c r="AP60" s="158">
        <v>12</v>
      </c>
      <c r="AQ60" s="158">
        <v>2607</v>
      </c>
      <c r="AR60" s="158">
        <v>16</v>
      </c>
      <c r="AS60" s="158">
        <v>6</v>
      </c>
      <c r="AT60" s="158">
        <v>0</v>
      </c>
      <c r="AU60" s="158">
        <v>0</v>
      </c>
      <c r="AV60" s="158">
        <v>0</v>
      </c>
      <c r="AW60" s="158">
        <v>0</v>
      </c>
      <c r="AX60" s="158">
        <v>0</v>
      </c>
      <c r="AY60" s="158">
        <v>809</v>
      </c>
      <c r="AZ60" s="158">
        <v>10389</v>
      </c>
      <c r="BA60" s="158">
        <v>586</v>
      </c>
      <c r="BB60" s="158">
        <v>499</v>
      </c>
      <c r="BC60" s="158">
        <v>87</v>
      </c>
      <c r="BD60" s="158">
        <v>8925</v>
      </c>
      <c r="BE60" s="158">
        <v>-76250</v>
      </c>
      <c r="BF60" s="158">
        <v>-48355548</v>
      </c>
      <c r="BG60" s="158">
        <v>0</v>
      </c>
      <c r="BH60" s="158">
        <v>-14458</v>
      </c>
      <c r="BI60" s="158">
        <v>-4509439</v>
      </c>
      <c r="BJ60" s="158">
        <v>-19457838</v>
      </c>
      <c r="BK60" s="158">
        <v>87447618</v>
      </c>
      <c r="BL60" s="1438">
        <v>63784850</v>
      </c>
      <c r="BM60" s="1439">
        <v>0</v>
      </c>
      <c r="BN60" s="784" t="s">
        <v>2401</v>
      </c>
      <c r="BO60" s="784" t="s">
        <v>2360</v>
      </c>
      <c r="BP60" s="1400" t="s">
        <v>2416</v>
      </c>
      <c r="BQ60" s="509"/>
      <c r="BR60" s="509"/>
      <c r="BS60" s="509"/>
      <c r="BT60" s="509"/>
      <c r="BU60" s="509"/>
      <c r="BV60" s="509"/>
      <c r="BW60" s="509"/>
      <c r="BX60" s="509"/>
      <c r="BY60" s="509"/>
      <c r="BZ60" s="509"/>
      <c r="CA60" s="509"/>
      <c r="CB60" s="509"/>
      <c r="CC60" s="509"/>
      <c r="CD60" s="509"/>
      <c r="CE60" s="509"/>
      <c r="CF60" s="509"/>
      <c r="CG60" s="509"/>
      <c r="CH60" s="509"/>
      <c r="CI60" s="509"/>
      <c r="CJ60" s="509"/>
      <c r="CK60" s="509"/>
      <c r="CL60" s="509"/>
      <c r="CM60" s="509"/>
      <c r="CN60" s="509"/>
      <c r="CO60" s="509"/>
      <c r="CP60" s="509"/>
      <c r="CQ60" s="509"/>
      <c r="CR60" s="509"/>
      <c r="CS60" s="509"/>
    </row>
    <row r="61" spans="1:98" s="137" customFormat="1" ht="12.75" customHeight="1" x14ac:dyDescent="0.2">
      <c r="A61" s="1421">
        <v>57</v>
      </c>
      <c r="B61" s="649" t="s">
        <v>1</v>
      </c>
      <c r="C61" s="1607" t="s">
        <v>2</v>
      </c>
      <c r="D61" s="1605">
        <v>240013</v>
      </c>
      <c r="E61" s="1405">
        <v>174520348</v>
      </c>
      <c r="F61" s="1405">
        <v>6179</v>
      </c>
      <c r="G61" s="158">
        <v>-6315615</v>
      </c>
      <c r="H61" s="158">
        <v>-8109774</v>
      </c>
      <c r="I61" s="158">
        <v>-57888</v>
      </c>
      <c r="J61" s="158">
        <v>-7877</v>
      </c>
      <c r="K61" s="158">
        <v>-20771</v>
      </c>
      <c r="L61" s="158">
        <v>0</v>
      </c>
      <c r="M61" s="158">
        <v>-1774012</v>
      </c>
      <c r="N61" s="158">
        <v>-240752</v>
      </c>
      <c r="O61" s="158">
        <v>-6089</v>
      </c>
      <c r="P61" s="158">
        <v>-13823</v>
      </c>
      <c r="Q61" s="158">
        <v>0</v>
      </c>
      <c r="R61" s="158">
        <v>0</v>
      </c>
      <c r="S61" s="158">
        <v>0</v>
      </c>
      <c r="T61" s="158">
        <v>0</v>
      </c>
      <c r="U61" s="158">
        <v>-6180783</v>
      </c>
      <c r="V61" s="158">
        <v>67016988</v>
      </c>
      <c r="W61" s="158">
        <v>-2011000</v>
      </c>
      <c r="X61" s="158">
        <v>116669900</v>
      </c>
      <c r="Y61" s="158">
        <v>173867879</v>
      </c>
      <c r="Z61" s="158">
        <v>32978254</v>
      </c>
      <c r="AA61" s="158">
        <v>26382604</v>
      </c>
      <c r="AB61" s="158">
        <v>5936086</v>
      </c>
      <c r="AC61" s="158">
        <v>659565</v>
      </c>
      <c r="AD61" s="158">
        <v>238805</v>
      </c>
      <c r="AE61" s="158">
        <v>0</v>
      </c>
      <c r="AF61" s="158">
        <v>0</v>
      </c>
      <c r="AG61" s="158">
        <v>0</v>
      </c>
      <c r="AH61" s="158">
        <v>0</v>
      </c>
      <c r="AI61" s="158">
        <v>0</v>
      </c>
      <c r="AJ61" s="158">
        <v>0</v>
      </c>
      <c r="AK61" s="158">
        <v>1714341</v>
      </c>
      <c r="AL61" s="158">
        <v>282</v>
      </c>
      <c r="AM61" s="158">
        <v>17</v>
      </c>
      <c r="AN61" s="158">
        <v>5</v>
      </c>
      <c r="AO61" s="158">
        <v>10</v>
      </c>
      <c r="AP61" s="158">
        <v>0</v>
      </c>
      <c r="AQ61" s="158">
        <v>351</v>
      </c>
      <c r="AR61" s="158">
        <v>88</v>
      </c>
      <c r="AS61" s="158">
        <v>6</v>
      </c>
      <c r="AT61" s="158">
        <v>14</v>
      </c>
      <c r="AU61" s="158">
        <v>0</v>
      </c>
      <c r="AV61" s="158">
        <v>0</v>
      </c>
      <c r="AW61" s="158">
        <v>0</v>
      </c>
      <c r="AX61" s="158">
        <v>0</v>
      </c>
      <c r="AY61" s="158">
        <v>705</v>
      </c>
      <c r="AZ61" s="158">
        <v>1252</v>
      </c>
      <c r="BA61" s="158">
        <v>2677</v>
      </c>
      <c r="BB61" s="158">
        <v>2459</v>
      </c>
      <c r="BC61" s="158">
        <v>218</v>
      </c>
      <c r="BD61" s="158">
        <v>2290</v>
      </c>
      <c r="BE61" s="158">
        <v>-141199</v>
      </c>
      <c r="BF61" s="158">
        <v>-434226</v>
      </c>
      <c r="BG61" s="158">
        <v>0</v>
      </c>
      <c r="BH61" s="158">
        <v>-3781</v>
      </c>
      <c r="BI61" s="158">
        <v>-626276</v>
      </c>
      <c r="BJ61" s="158">
        <v>-568530</v>
      </c>
      <c r="BK61" s="158">
        <v>3427635</v>
      </c>
      <c r="BL61" s="1438">
        <v>24316700</v>
      </c>
      <c r="BM61" s="1439">
        <v>0</v>
      </c>
      <c r="BN61" s="784" t="s">
        <v>2349</v>
      </c>
      <c r="BO61" s="784" t="s">
        <v>2357</v>
      </c>
      <c r="BP61" s="1400" t="s">
        <v>2417</v>
      </c>
      <c r="BQ61" s="509"/>
      <c r="BR61" s="509"/>
      <c r="BS61" s="509"/>
      <c r="BT61" s="509"/>
      <c r="BU61" s="509"/>
      <c r="BV61" s="509"/>
      <c r="BW61" s="509"/>
      <c r="BX61" s="509"/>
      <c r="BY61" s="509"/>
      <c r="BZ61" s="509"/>
      <c r="CA61" s="509"/>
      <c r="CB61" s="509"/>
      <c r="CC61" s="509"/>
      <c r="CD61" s="509"/>
      <c r="CE61" s="509"/>
      <c r="CF61" s="509"/>
      <c r="CG61" s="509"/>
      <c r="CH61" s="509"/>
      <c r="CI61" s="509"/>
      <c r="CJ61" s="509"/>
      <c r="CK61" s="509"/>
      <c r="CL61" s="509"/>
      <c r="CM61" s="509"/>
      <c r="CN61" s="509"/>
      <c r="CO61" s="509"/>
      <c r="CP61" s="509"/>
      <c r="CQ61" s="509"/>
      <c r="CR61" s="509"/>
      <c r="CS61" s="509"/>
    </row>
    <row r="62" spans="1:98" s="137" customFormat="1" ht="12.75" customHeight="1" x14ac:dyDescent="0.2">
      <c r="A62" s="1421">
        <v>58</v>
      </c>
      <c r="B62" s="649" t="s">
        <v>3</v>
      </c>
      <c r="C62" s="1607" t="s">
        <v>4</v>
      </c>
      <c r="D62" s="1605">
        <v>1231705</v>
      </c>
      <c r="E62" s="1405">
        <v>522401204</v>
      </c>
      <c r="F62" s="1405">
        <v>35566</v>
      </c>
      <c r="G62" s="158">
        <v>-45849507</v>
      </c>
      <c r="H62" s="158">
        <v>-21570809</v>
      </c>
      <c r="I62" s="158">
        <v>-211251</v>
      </c>
      <c r="J62" s="158">
        <v>-254586</v>
      </c>
      <c r="K62" s="158">
        <v>-271474</v>
      </c>
      <c r="L62" s="158">
        <v>0</v>
      </c>
      <c r="M62" s="158">
        <v>-4115768</v>
      </c>
      <c r="N62" s="158">
        <v>-754190</v>
      </c>
      <c r="O62" s="158">
        <v>-393064</v>
      </c>
      <c r="P62" s="158">
        <v>-8775</v>
      </c>
      <c r="Q62" s="158">
        <v>0</v>
      </c>
      <c r="R62" s="158">
        <v>-110327</v>
      </c>
      <c r="S62" s="158">
        <v>-110327</v>
      </c>
      <c r="T62" s="158">
        <v>0</v>
      </c>
      <c r="U62" s="158">
        <v>-35583345</v>
      </c>
      <c r="V62" s="158">
        <v>157365125</v>
      </c>
      <c r="W62" s="158">
        <v>-3150000</v>
      </c>
      <c r="X62" s="158">
        <v>257289080</v>
      </c>
      <c r="Y62" s="158">
        <v>522331594</v>
      </c>
      <c r="Z62" s="158">
        <v>0</v>
      </c>
      <c r="AA62" s="158">
        <v>154893253</v>
      </c>
      <c r="AB62" s="158">
        <v>0</v>
      </c>
      <c r="AC62" s="158">
        <v>0</v>
      </c>
      <c r="AD62" s="158">
        <v>1255311</v>
      </c>
      <c r="AE62" s="158">
        <v>504017</v>
      </c>
      <c r="AF62" s="158">
        <v>2420000</v>
      </c>
      <c r="AG62" s="158">
        <v>0</v>
      </c>
      <c r="AH62" s="158">
        <v>0</v>
      </c>
      <c r="AI62" s="158">
        <v>0</v>
      </c>
      <c r="AJ62" s="158">
        <v>0</v>
      </c>
      <c r="AK62" s="158">
        <v>5952959</v>
      </c>
      <c r="AL62" s="158">
        <v>1809</v>
      </c>
      <c r="AM62" s="158">
        <v>51</v>
      </c>
      <c r="AN62" s="158">
        <v>101</v>
      </c>
      <c r="AO62" s="158">
        <v>203</v>
      </c>
      <c r="AP62" s="158">
        <v>0</v>
      </c>
      <c r="AQ62" s="158">
        <v>912</v>
      </c>
      <c r="AR62" s="158">
        <v>753</v>
      </c>
      <c r="AS62" s="158">
        <v>100</v>
      </c>
      <c r="AT62" s="158">
        <v>20</v>
      </c>
      <c r="AU62" s="158">
        <v>0</v>
      </c>
      <c r="AV62" s="158">
        <v>0</v>
      </c>
      <c r="AW62" s="158">
        <v>0</v>
      </c>
      <c r="AX62" s="158">
        <v>0</v>
      </c>
      <c r="AY62" s="158">
        <v>5161</v>
      </c>
      <c r="AZ62" s="158">
        <v>1591</v>
      </c>
      <c r="BA62" s="158">
        <v>20951</v>
      </c>
      <c r="BB62" s="158">
        <v>20282</v>
      </c>
      <c r="BC62" s="158">
        <v>669</v>
      </c>
      <c r="BD62" s="158">
        <v>13544</v>
      </c>
      <c r="BE62" s="158">
        <v>-111126</v>
      </c>
      <c r="BF62" s="158">
        <v>-2238566</v>
      </c>
      <c r="BG62" s="158">
        <v>0</v>
      </c>
      <c r="BH62" s="158">
        <v>-282342</v>
      </c>
      <c r="BI62" s="158">
        <v>-1483734</v>
      </c>
      <c r="BJ62" s="158">
        <v>0</v>
      </c>
      <c r="BK62" s="158">
        <v>5731096</v>
      </c>
      <c r="BL62" s="1438">
        <v>83662290</v>
      </c>
      <c r="BM62" s="1439">
        <v>345000</v>
      </c>
      <c r="BN62" s="784" t="s">
        <v>509</v>
      </c>
      <c r="BO62" s="784" t="s">
        <v>2369</v>
      </c>
      <c r="BP62" s="1400" t="s">
        <v>2418</v>
      </c>
      <c r="BQ62" s="509"/>
      <c r="BR62" s="509"/>
      <c r="BS62" s="509"/>
      <c r="BT62" s="509"/>
      <c r="BU62" s="509"/>
      <c r="BV62" s="509"/>
      <c r="BW62" s="509"/>
      <c r="BX62" s="509"/>
      <c r="BY62" s="509"/>
      <c r="BZ62" s="509"/>
      <c r="CA62" s="509"/>
      <c r="CB62" s="509"/>
      <c r="CC62" s="509"/>
      <c r="CD62" s="509"/>
      <c r="CE62" s="509"/>
      <c r="CF62" s="509"/>
      <c r="CG62" s="509"/>
      <c r="CH62" s="509"/>
      <c r="CI62" s="509"/>
      <c r="CJ62" s="509"/>
      <c r="CK62" s="509"/>
      <c r="CL62" s="509"/>
      <c r="CM62" s="509"/>
      <c r="CN62" s="509"/>
      <c r="CO62" s="509"/>
      <c r="CP62" s="509"/>
      <c r="CQ62" s="509"/>
      <c r="CR62" s="509"/>
      <c r="CS62" s="509"/>
    </row>
    <row r="63" spans="1:98" s="137" customFormat="1" ht="12.75" customHeight="1" x14ac:dyDescent="0.2">
      <c r="A63" s="1421">
        <v>59</v>
      </c>
      <c r="B63" s="649" t="s">
        <v>5</v>
      </c>
      <c r="C63" s="1607" t="s">
        <v>6</v>
      </c>
      <c r="D63" s="1605">
        <v>195808</v>
      </c>
      <c r="E63" s="1405">
        <v>103210299</v>
      </c>
      <c r="F63" s="1405">
        <v>5350</v>
      </c>
      <c r="G63" s="158">
        <v>-5719022</v>
      </c>
      <c r="H63" s="158">
        <v>-2916190</v>
      </c>
      <c r="I63" s="158">
        <v>-57051</v>
      </c>
      <c r="J63" s="158">
        <v>-31489</v>
      </c>
      <c r="K63" s="158">
        <v>-23308</v>
      </c>
      <c r="L63" s="158">
        <v>0</v>
      </c>
      <c r="M63" s="158">
        <v>-1142643</v>
      </c>
      <c r="N63" s="158">
        <v>0</v>
      </c>
      <c r="O63" s="158">
        <v>0</v>
      </c>
      <c r="P63" s="158">
        <v>0</v>
      </c>
      <c r="Q63" s="158">
        <v>0</v>
      </c>
      <c r="R63" s="158">
        <v>0</v>
      </c>
      <c r="S63" s="158">
        <v>0</v>
      </c>
      <c r="T63" s="158">
        <v>0</v>
      </c>
      <c r="U63" s="158">
        <v>-8138719</v>
      </c>
      <c r="V63" s="158">
        <v>32986719</v>
      </c>
      <c r="W63" s="158">
        <v>-810690</v>
      </c>
      <c r="X63" s="158">
        <v>50558300</v>
      </c>
      <c r="Y63" s="158">
        <v>103546663</v>
      </c>
      <c r="Z63" s="158">
        <v>16868706</v>
      </c>
      <c r="AA63" s="158">
        <v>13494964</v>
      </c>
      <c r="AB63" s="158">
        <v>3373741</v>
      </c>
      <c r="AC63" s="158">
        <v>0</v>
      </c>
      <c r="AD63" s="158">
        <v>196273</v>
      </c>
      <c r="AE63" s="158">
        <v>0</v>
      </c>
      <c r="AF63" s="158">
        <v>117424</v>
      </c>
      <c r="AG63" s="158">
        <v>0</v>
      </c>
      <c r="AH63" s="158">
        <v>0</v>
      </c>
      <c r="AI63" s="158">
        <v>0</v>
      </c>
      <c r="AJ63" s="158">
        <v>0</v>
      </c>
      <c r="AK63" s="158">
        <v>1112650</v>
      </c>
      <c r="AL63" s="158">
        <v>303</v>
      </c>
      <c r="AM63" s="158">
        <v>25</v>
      </c>
      <c r="AN63" s="158">
        <v>16</v>
      </c>
      <c r="AO63" s="158">
        <v>12</v>
      </c>
      <c r="AP63" s="158">
        <v>0</v>
      </c>
      <c r="AQ63" s="158">
        <v>246</v>
      </c>
      <c r="AR63" s="158">
        <v>0</v>
      </c>
      <c r="AS63" s="158">
        <v>0</v>
      </c>
      <c r="AT63" s="158">
        <v>0</v>
      </c>
      <c r="AU63" s="158">
        <v>0</v>
      </c>
      <c r="AV63" s="158">
        <v>0</v>
      </c>
      <c r="AW63" s="158">
        <v>0</v>
      </c>
      <c r="AX63" s="158">
        <v>0</v>
      </c>
      <c r="AY63" s="158">
        <v>1059</v>
      </c>
      <c r="AZ63" s="158">
        <v>1031</v>
      </c>
      <c r="BA63" s="158">
        <v>2397</v>
      </c>
      <c r="BB63" s="158">
        <v>2243</v>
      </c>
      <c r="BC63" s="158">
        <v>154</v>
      </c>
      <c r="BD63" s="158">
        <v>2006</v>
      </c>
      <c r="BE63" s="158">
        <v>-90879</v>
      </c>
      <c r="BF63" s="158">
        <v>-816987</v>
      </c>
      <c r="BG63" s="158">
        <v>0</v>
      </c>
      <c r="BH63" s="158">
        <v>0</v>
      </c>
      <c r="BI63" s="158">
        <v>-201643</v>
      </c>
      <c r="BJ63" s="158">
        <v>-33134</v>
      </c>
      <c r="BK63" s="158">
        <v>174475</v>
      </c>
      <c r="BL63" s="1438">
        <v>17630250</v>
      </c>
      <c r="BM63" s="1439">
        <v>0</v>
      </c>
      <c r="BN63" s="784" t="s">
        <v>2349</v>
      </c>
      <c r="BO63" s="784" t="s">
        <v>2369</v>
      </c>
      <c r="BP63" s="1400" t="s">
        <v>2419</v>
      </c>
      <c r="BQ63" s="509"/>
      <c r="BR63" s="509"/>
      <c r="BS63" s="509"/>
      <c r="BT63" s="509"/>
      <c r="BU63" s="509"/>
      <c r="BV63" s="509"/>
      <c r="BW63" s="509"/>
      <c r="BX63" s="509"/>
      <c r="BY63" s="509"/>
      <c r="BZ63" s="509"/>
      <c r="CA63" s="509"/>
      <c r="CB63" s="509"/>
      <c r="CC63" s="509"/>
      <c r="CD63" s="509"/>
      <c r="CE63" s="509"/>
      <c r="CF63" s="509"/>
      <c r="CG63" s="509"/>
      <c r="CH63" s="509"/>
      <c r="CI63" s="509"/>
      <c r="CJ63" s="509"/>
      <c r="CK63" s="509"/>
      <c r="CL63" s="509"/>
      <c r="CM63" s="509"/>
      <c r="CN63" s="509"/>
      <c r="CO63" s="509"/>
      <c r="CP63" s="509"/>
      <c r="CQ63" s="509"/>
      <c r="CR63" s="509"/>
      <c r="CS63" s="509"/>
    </row>
    <row r="64" spans="1:98" s="137" customFormat="1" ht="12.75" customHeight="1" x14ac:dyDescent="0.2">
      <c r="A64" s="1421">
        <v>60</v>
      </c>
      <c r="B64" s="649" t="s">
        <v>7</v>
      </c>
      <c r="C64" s="1607" t="s">
        <v>8</v>
      </c>
      <c r="D64" s="1605">
        <v>368736</v>
      </c>
      <c r="E64" s="1405">
        <v>342451615</v>
      </c>
      <c r="F64" s="1405">
        <v>8823</v>
      </c>
      <c r="G64" s="158">
        <v>-9585525</v>
      </c>
      <c r="H64" s="158">
        <v>-20448119</v>
      </c>
      <c r="I64" s="158">
        <v>-203306</v>
      </c>
      <c r="J64" s="158">
        <v>0</v>
      </c>
      <c r="K64" s="158">
        <v>0</v>
      </c>
      <c r="L64" s="158">
        <v>0</v>
      </c>
      <c r="M64" s="158">
        <v>-5883148</v>
      </c>
      <c r="N64" s="158">
        <v>-590895</v>
      </c>
      <c r="O64" s="158">
        <v>0</v>
      </c>
      <c r="P64" s="158">
        <v>0</v>
      </c>
      <c r="Q64" s="158">
        <v>0</v>
      </c>
      <c r="R64" s="158">
        <v>0</v>
      </c>
      <c r="S64" s="158">
        <v>0</v>
      </c>
      <c r="T64" s="158">
        <v>0</v>
      </c>
      <c r="U64" s="158">
        <v>-9203219</v>
      </c>
      <c r="V64" s="158">
        <v>126356509</v>
      </c>
      <c r="W64" s="158">
        <v>-6718683</v>
      </c>
      <c r="X64" s="158">
        <v>251186750</v>
      </c>
      <c r="Y64" s="158">
        <v>340434462</v>
      </c>
      <c r="Z64" s="158">
        <v>0</v>
      </c>
      <c r="AA64" s="158">
        <v>121756983</v>
      </c>
      <c r="AB64" s="158">
        <v>0</v>
      </c>
      <c r="AC64" s="158">
        <v>1229869</v>
      </c>
      <c r="AD64" s="158">
        <v>368210</v>
      </c>
      <c r="AE64" s="158">
        <v>0</v>
      </c>
      <c r="AF64" s="158">
        <v>0</v>
      </c>
      <c r="AG64" s="158">
        <v>0</v>
      </c>
      <c r="AH64" s="158">
        <v>0</v>
      </c>
      <c r="AI64" s="158">
        <v>0</v>
      </c>
      <c r="AJ64" s="158">
        <v>0</v>
      </c>
      <c r="AK64" s="158">
        <v>917740</v>
      </c>
      <c r="AL64" s="158">
        <v>438</v>
      </c>
      <c r="AM64" s="158">
        <v>10</v>
      </c>
      <c r="AN64" s="158">
        <v>0</v>
      </c>
      <c r="AO64" s="158">
        <v>6</v>
      </c>
      <c r="AP64" s="158">
        <v>4</v>
      </c>
      <c r="AQ64" s="158">
        <v>827</v>
      </c>
      <c r="AR64" s="158">
        <v>10</v>
      </c>
      <c r="AS64" s="158">
        <v>4</v>
      </c>
      <c r="AT64" s="158">
        <v>1</v>
      </c>
      <c r="AU64" s="158">
        <v>0</v>
      </c>
      <c r="AV64" s="158">
        <v>0</v>
      </c>
      <c r="AW64" s="158">
        <v>0</v>
      </c>
      <c r="AX64" s="158">
        <v>0</v>
      </c>
      <c r="AY64" s="158">
        <v>1106</v>
      </c>
      <c r="AZ64" s="158">
        <v>2271</v>
      </c>
      <c r="BA64" s="158">
        <v>3246</v>
      </c>
      <c r="BB64" s="158">
        <v>2934</v>
      </c>
      <c r="BC64" s="158">
        <v>312</v>
      </c>
      <c r="BD64" s="158">
        <v>3487</v>
      </c>
      <c r="BE64" s="158">
        <v>-1663334</v>
      </c>
      <c r="BF64" s="158">
        <v>-1230456</v>
      </c>
      <c r="BG64" s="158">
        <v>0</v>
      </c>
      <c r="BH64" s="158">
        <v>-98674</v>
      </c>
      <c r="BI64" s="158">
        <v>-1113280</v>
      </c>
      <c r="BJ64" s="158">
        <v>-1777404</v>
      </c>
      <c r="BK64" s="158">
        <v>4794479</v>
      </c>
      <c r="BL64" s="1438">
        <v>33001150</v>
      </c>
      <c r="BM64" s="1439">
        <v>0</v>
      </c>
      <c r="BN64" s="784" t="s">
        <v>2363</v>
      </c>
      <c r="BO64" s="784" t="s">
        <v>2373</v>
      </c>
      <c r="BP64" s="1400" t="s">
        <v>2420</v>
      </c>
      <c r="BQ64" s="509"/>
      <c r="BR64" s="509"/>
      <c r="BS64" s="509"/>
      <c r="BT64" s="509"/>
      <c r="BU64" s="509"/>
      <c r="BV64" s="509"/>
      <c r="BW64" s="509"/>
      <c r="BX64" s="509"/>
      <c r="BY64" s="509"/>
      <c r="BZ64" s="509"/>
      <c r="CA64" s="509"/>
      <c r="CB64" s="509"/>
      <c r="CC64" s="509"/>
      <c r="CD64" s="509"/>
      <c r="CE64" s="509"/>
      <c r="CF64" s="509"/>
      <c r="CG64" s="509"/>
      <c r="CH64" s="509"/>
      <c r="CI64" s="509"/>
      <c r="CJ64" s="509"/>
      <c r="CK64" s="509"/>
      <c r="CL64" s="509"/>
      <c r="CM64" s="509"/>
      <c r="CN64" s="509"/>
      <c r="CO64" s="509"/>
      <c r="CP64" s="509"/>
      <c r="CQ64" s="509"/>
      <c r="CR64" s="509"/>
      <c r="CS64" s="509"/>
    </row>
    <row r="65" spans="1:98" s="137" customFormat="1" ht="12.75" customHeight="1" x14ac:dyDescent="0.2">
      <c r="A65" s="1421">
        <v>61</v>
      </c>
      <c r="B65" s="649" t="s">
        <v>9</v>
      </c>
      <c r="C65" s="1607" t="s">
        <v>10</v>
      </c>
      <c r="D65" s="1605">
        <v>215772</v>
      </c>
      <c r="E65" s="1405">
        <v>298568634</v>
      </c>
      <c r="F65" s="1405">
        <v>3714</v>
      </c>
      <c r="G65" s="158">
        <v>-1435847</v>
      </c>
      <c r="H65" s="158">
        <v>-3626296</v>
      </c>
      <c r="I65" s="158">
        <v>-30771</v>
      </c>
      <c r="J65" s="158">
        <v>0</v>
      </c>
      <c r="K65" s="158">
        <v>-18484</v>
      </c>
      <c r="L65" s="158">
        <v>-50000</v>
      </c>
      <c r="M65" s="158">
        <v>-5050783</v>
      </c>
      <c r="N65" s="158">
        <v>-274271</v>
      </c>
      <c r="O65" s="158">
        <v>-155712</v>
      </c>
      <c r="P65" s="158">
        <v>-2340</v>
      </c>
      <c r="Q65" s="158">
        <v>0</v>
      </c>
      <c r="R65" s="158">
        <v>0</v>
      </c>
      <c r="S65" s="158">
        <v>0</v>
      </c>
      <c r="T65" s="158">
        <v>0</v>
      </c>
      <c r="U65" s="158">
        <v>-3321014</v>
      </c>
      <c r="V65" s="158">
        <v>146192201</v>
      </c>
      <c r="W65" s="158">
        <v>-5701496</v>
      </c>
      <c r="X65" s="158">
        <v>257752400</v>
      </c>
      <c r="Y65" s="158">
        <v>294548599</v>
      </c>
      <c r="Z65" s="158">
        <v>69448631</v>
      </c>
      <c r="AA65" s="158">
        <v>55558904</v>
      </c>
      <c r="AB65" s="158">
        <v>13889726</v>
      </c>
      <c r="AC65" s="158">
        <v>0</v>
      </c>
      <c r="AD65" s="158">
        <v>214393</v>
      </c>
      <c r="AE65" s="158">
        <v>0</v>
      </c>
      <c r="AF65" s="158">
        <v>1873</v>
      </c>
      <c r="AG65" s="158">
        <v>0</v>
      </c>
      <c r="AH65" s="158">
        <v>0</v>
      </c>
      <c r="AI65" s="158">
        <v>0</v>
      </c>
      <c r="AJ65" s="158">
        <v>0</v>
      </c>
      <c r="AK65" s="158">
        <v>3456455</v>
      </c>
      <c r="AL65" s="158">
        <v>109</v>
      </c>
      <c r="AM65" s="158">
        <v>13</v>
      </c>
      <c r="AN65" s="158">
        <v>0</v>
      </c>
      <c r="AO65" s="158">
        <v>13</v>
      </c>
      <c r="AP65" s="158">
        <v>0</v>
      </c>
      <c r="AQ65" s="158">
        <v>514</v>
      </c>
      <c r="AR65" s="158">
        <v>56</v>
      </c>
      <c r="AS65" s="158">
        <v>14</v>
      </c>
      <c r="AT65" s="158">
        <v>8</v>
      </c>
      <c r="AU65" s="158">
        <v>0</v>
      </c>
      <c r="AV65" s="158">
        <v>0</v>
      </c>
      <c r="AW65" s="158">
        <v>0</v>
      </c>
      <c r="AX65" s="158">
        <v>0</v>
      </c>
      <c r="AY65" s="158">
        <v>312</v>
      </c>
      <c r="AZ65" s="158">
        <v>1469</v>
      </c>
      <c r="BA65" s="158">
        <v>476</v>
      </c>
      <c r="BB65" s="158">
        <v>368</v>
      </c>
      <c r="BC65" s="158">
        <v>108</v>
      </c>
      <c r="BD65" s="158">
        <v>1790</v>
      </c>
      <c r="BE65" s="158">
        <v>-2288091</v>
      </c>
      <c r="BF65" s="158">
        <v>-96695</v>
      </c>
      <c r="BG65" s="158">
        <v>0</v>
      </c>
      <c r="BH65" s="158">
        <v>-23728</v>
      </c>
      <c r="BI65" s="158">
        <v>-891852</v>
      </c>
      <c r="BJ65" s="158">
        <v>-1750417</v>
      </c>
      <c r="BK65" s="158">
        <v>3724137</v>
      </c>
      <c r="BL65" s="1438">
        <v>17378584</v>
      </c>
      <c r="BM65" s="1439">
        <v>0</v>
      </c>
      <c r="BN65" s="784" t="s">
        <v>2349</v>
      </c>
      <c r="BO65" s="784" t="s">
        <v>2350</v>
      </c>
      <c r="BP65" s="1400" t="s">
        <v>2421</v>
      </c>
      <c r="BQ65" s="509"/>
      <c r="BR65" s="509"/>
      <c r="BS65" s="509"/>
      <c r="BT65" s="509"/>
      <c r="BU65" s="509"/>
      <c r="BV65" s="509"/>
      <c r="BW65" s="509"/>
      <c r="BX65" s="509"/>
      <c r="BY65" s="509"/>
      <c r="BZ65" s="509"/>
      <c r="CA65" s="509"/>
      <c r="CB65" s="509"/>
      <c r="CC65" s="509"/>
      <c r="CD65" s="509"/>
      <c r="CE65" s="509"/>
      <c r="CF65" s="509"/>
      <c r="CG65" s="509"/>
      <c r="CH65" s="509"/>
      <c r="CI65" s="509"/>
      <c r="CJ65" s="509"/>
      <c r="CK65" s="509"/>
      <c r="CL65" s="509"/>
      <c r="CM65" s="509"/>
      <c r="CN65" s="509"/>
      <c r="CO65" s="509"/>
      <c r="CP65" s="509"/>
      <c r="CQ65" s="509"/>
      <c r="CR65" s="509"/>
      <c r="CS65" s="509"/>
    </row>
    <row r="66" spans="1:98" s="137" customFormat="1" ht="12.75" customHeight="1" x14ac:dyDescent="0.2">
      <c r="A66" s="1421">
        <v>62</v>
      </c>
      <c r="B66" s="649" t="s">
        <v>11</v>
      </c>
      <c r="C66" s="1607" t="s">
        <v>12</v>
      </c>
      <c r="D66" s="1605">
        <v>377667</v>
      </c>
      <c r="E66" s="1405">
        <v>320389065</v>
      </c>
      <c r="F66" s="1405">
        <v>8600</v>
      </c>
      <c r="G66" s="158">
        <v>-9687497</v>
      </c>
      <c r="H66" s="158">
        <v>-15737073</v>
      </c>
      <c r="I66" s="158">
        <v>-95886</v>
      </c>
      <c r="J66" s="158">
        <v>0</v>
      </c>
      <c r="K66" s="158">
        <v>-21157</v>
      </c>
      <c r="L66" s="158">
        <v>0</v>
      </c>
      <c r="M66" s="158">
        <v>-7155016</v>
      </c>
      <c r="N66" s="158">
        <v>0</v>
      </c>
      <c r="O66" s="158">
        <v>0</v>
      </c>
      <c r="P66" s="158">
        <v>0</v>
      </c>
      <c r="Q66" s="158">
        <v>0</v>
      </c>
      <c r="R66" s="158">
        <v>0</v>
      </c>
      <c r="S66" s="158">
        <v>0</v>
      </c>
      <c r="T66" s="158">
        <v>0</v>
      </c>
      <c r="U66" s="158">
        <v>-16872241</v>
      </c>
      <c r="V66" s="158">
        <v>117345411</v>
      </c>
      <c r="W66" s="158">
        <v>-2694848</v>
      </c>
      <c r="X66" s="158">
        <v>229650050</v>
      </c>
      <c r="Y66" s="158">
        <v>322205663</v>
      </c>
      <c r="Z66" s="158">
        <v>36440406</v>
      </c>
      <c r="AA66" s="158">
        <v>33127642</v>
      </c>
      <c r="AB66" s="158">
        <v>40857425</v>
      </c>
      <c r="AC66" s="158">
        <v>0</v>
      </c>
      <c r="AD66" s="158">
        <v>384090</v>
      </c>
      <c r="AE66" s="158">
        <v>5296387</v>
      </c>
      <c r="AF66" s="158">
        <v>0</v>
      </c>
      <c r="AG66" s="158">
        <v>0</v>
      </c>
      <c r="AH66" s="158">
        <v>0</v>
      </c>
      <c r="AI66" s="158">
        <v>0</v>
      </c>
      <c r="AJ66" s="158">
        <v>0</v>
      </c>
      <c r="AK66" s="158">
        <v>-6058418</v>
      </c>
      <c r="AL66" s="158">
        <v>434</v>
      </c>
      <c r="AM66" s="158">
        <v>24</v>
      </c>
      <c r="AN66" s="158">
        <v>0</v>
      </c>
      <c r="AO66" s="158">
        <v>12</v>
      </c>
      <c r="AP66" s="158">
        <v>0</v>
      </c>
      <c r="AQ66" s="158">
        <v>1272</v>
      </c>
      <c r="AR66" s="158">
        <v>0</v>
      </c>
      <c r="AS66" s="158">
        <v>0</v>
      </c>
      <c r="AT66" s="158">
        <v>0</v>
      </c>
      <c r="AU66" s="158">
        <v>0</v>
      </c>
      <c r="AV66" s="158">
        <v>0</v>
      </c>
      <c r="AW66" s="158">
        <v>0</v>
      </c>
      <c r="AX66" s="158">
        <v>0</v>
      </c>
      <c r="AY66" s="158">
        <v>1656</v>
      </c>
      <c r="AZ66" s="158">
        <v>2514</v>
      </c>
      <c r="BA66" s="158">
        <v>2856</v>
      </c>
      <c r="BB66" s="158">
        <v>2434</v>
      </c>
      <c r="BC66" s="158">
        <v>422</v>
      </c>
      <c r="BD66" s="158">
        <v>3396</v>
      </c>
      <c r="BE66" s="158">
        <v>-1005349</v>
      </c>
      <c r="BF66" s="158">
        <v>-420264</v>
      </c>
      <c r="BG66" s="158">
        <v>0</v>
      </c>
      <c r="BH66" s="158">
        <v>-218989</v>
      </c>
      <c r="BI66" s="158">
        <v>-1505046</v>
      </c>
      <c r="BJ66" s="158">
        <v>-4005368</v>
      </c>
      <c r="BK66" s="158">
        <v>-4501856</v>
      </c>
      <c r="BL66" s="1438">
        <v>23276800</v>
      </c>
      <c r="BM66" s="1439">
        <v>2562250</v>
      </c>
      <c r="BN66" s="784" t="s">
        <v>2359</v>
      </c>
      <c r="BO66" s="784" t="s">
        <v>2360</v>
      </c>
      <c r="BP66" s="1400" t="s">
        <v>2422</v>
      </c>
      <c r="BQ66" s="509"/>
      <c r="BR66" s="509"/>
      <c r="BS66" s="509"/>
      <c r="BT66" s="509"/>
      <c r="BU66" s="509"/>
      <c r="BV66" s="509"/>
      <c r="BW66" s="509"/>
      <c r="BX66" s="509"/>
      <c r="BY66" s="509"/>
      <c r="BZ66" s="509"/>
      <c r="CA66" s="509"/>
      <c r="CB66" s="509"/>
      <c r="CC66" s="509"/>
      <c r="CD66" s="509"/>
      <c r="CE66" s="509"/>
      <c r="CF66" s="509"/>
      <c r="CG66" s="509"/>
      <c r="CH66" s="509"/>
      <c r="CI66" s="509"/>
      <c r="CJ66" s="509"/>
      <c r="CK66" s="509"/>
      <c r="CL66" s="509"/>
      <c r="CM66" s="509"/>
      <c r="CN66" s="509"/>
      <c r="CO66" s="509"/>
      <c r="CP66" s="509"/>
      <c r="CQ66" s="509"/>
      <c r="CR66" s="509"/>
      <c r="CS66" s="509"/>
    </row>
    <row r="67" spans="1:98" s="137" customFormat="1" ht="12.75" customHeight="1" x14ac:dyDescent="0.2">
      <c r="A67" s="1421">
        <v>63</v>
      </c>
      <c r="B67" s="649" t="s">
        <v>2308</v>
      </c>
      <c r="C67" s="1607" t="s">
        <v>2333</v>
      </c>
      <c r="D67" s="1605">
        <v>466187</v>
      </c>
      <c r="E67" s="1405">
        <v>285476674</v>
      </c>
      <c r="F67" s="1405">
        <v>12676</v>
      </c>
      <c r="G67" s="158">
        <v>-13327764</v>
      </c>
      <c r="H67" s="158">
        <v>-8181311</v>
      </c>
      <c r="I67" s="158">
        <v>-230225</v>
      </c>
      <c r="J67" s="158">
        <v>-130746</v>
      </c>
      <c r="K67" s="158">
        <v>-38216</v>
      </c>
      <c r="L67" s="158">
        <v>0</v>
      </c>
      <c r="M67" s="158">
        <v>-2072454</v>
      </c>
      <c r="N67" s="158">
        <v>-183323</v>
      </c>
      <c r="O67" s="158">
        <v>-141918</v>
      </c>
      <c r="P67" s="158">
        <v>-21489</v>
      </c>
      <c r="Q67" s="158">
        <v>0</v>
      </c>
      <c r="R67" s="158">
        <v>-170974</v>
      </c>
      <c r="S67" s="158">
        <v>-170974</v>
      </c>
      <c r="T67" s="158">
        <v>0</v>
      </c>
      <c r="U67" s="158">
        <v>-10495538</v>
      </c>
      <c r="V67" s="158">
        <v>114075810</v>
      </c>
      <c r="W67" s="158">
        <v>-2371958</v>
      </c>
      <c r="X67" s="158">
        <v>182549150</v>
      </c>
      <c r="Y67" s="158">
        <v>285613417</v>
      </c>
      <c r="Z67" s="158">
        <v>54889862</v>
      </c>
      <c r="AA67" s="158">
        <v>53959620</v>
      </c>
      <c r="AB67" s="158">
        <v>0</v>
      </c>
      <c r="AC67" s="158">
        <v>1101217</v>
      </c>
      <c r="AD67" s="158">
        <v>470427</v>
      </c>
      <c r="AE67" s="158">
        <v>483904</v>
      </c>
      <c r="AF67" s="158">
        <v>1420082</v>
      </c>
      <c r="AG67" s="158">
        <v>0</v>
      </c>
      <c r="AH67" s="158">
        <v>170974</v>
      </c>
      <c r="AI67" s="158">
        <v>0</v>
      </c>
      <c r="AJ67" s="158">
        <v>0</v>
      </c>
      <c r="AK67" s="158">
        <v>-5420049</v>
      </c>
      <c r="AL67" s="158">
        <v>736</v>
      </c>
      <c r="AM67" s="158">
        <v>35</v>
      </c>
      <c r="AN67" s="158">
        <v>60</v>
      </c>
      <c r="AO67" s="158">
        <v>29</v>
      </c>
      <c r="AP67" s="158">
        <v>0</v>
      </c>
      <c r="AQ67" s="158">
        <v>657</v>
      </c>
      <c r="AR67" s="158">
        <v>214</v>
      </c>
      <c r="AS67" s="158">
        <v>22</v>
      </c>
      <c r="AT67" s="158">
        <v>7</v>
      </c>
      <c r="AU67" s="158">
        <v>0</v>
      </c>
      <c r="AV67" s="158">
        <v>0</v>
      </c>
      <c r="AW67" s="158">
        <v>10</v>
      </c>
      <c r="AX67" s="158">
        <v>0</v>
      </c>
      <c r="AY67" s="158">
        <v>1483</v>
      </c>
      <c r="AZ67" s="158">
        <v>2653</v>
      </c>
      <c r="BA67" s="158">
        <v>5829</v>
      </c>
      <c r="BB67" s="158">
        <v>5638</v>
      </c>
      <c r="BC67" s="158">
        <v>191</v>
      </c>
      <c r="BD67" s="158">
        <v>4343</v>
      </c>
      <c r="BE67" s="158">
        <v>-97858</v>
      </c>
      <c r="BF67" s="158">
        <v>-1030346</v>
      </c>
      <c r="BG67" s="158">
        <v>0</v>
      </c>
      <c r="BH67" s="158">
        <v>-14072</v>
      </c>
      <c r="BI67" s="158">
        <v>-930178</v>
      </c>
      <c r="BJ67" s="158">
        <v>0</v>
      </c>
      <c r="BK67" s="158">
        <v>-7553637</v>
      </c>
      <c r="BL67" s="1438">
        <v>36982950</v>
      </c>
      <c r="BM67" s="1439">
        <v>377750</v>
      </c>
      <c r="BN67" s="784" t="s">
        <v>509</v>
      </c>
      <c r="BO67" s="784" t="s">
        <v>2376</v>
      </c>
      <c r="BP67" s="1400" t="s">
        <v>2653</v>
      </c>
      <c r="BQ67" s="509"/>
      <c r="BR67" s="509"/>
      <c r="BS67" s="509"/>
      <c r="BT67" s="509"/>
      <c r="BU67" s="509"/>
      <c r="BV67" s="509"/>
      <c r="BW67" s="509"/>
      <c r="BX67" s="509"/>
      <c r="BY67" s="509"/>
      <c r="BZ67" s="509"/>
      <c r="CA67" s="509"/>
      <c r="CB67" s="509"/>
      <c r="CC67" s="509"/>
      <c r="CD67" s="509"/>
      <c r="CE67" s="509"/>
      <c r="CF67" s="509"/>
      <c r="CG67" s="509"/>
      <c r="CH67" s="509"/>
      <c r="CI67" s="509"/>
      <c r="CJ67" s="509"/>
      <c r="CK67" s="509"/>
      <c r="CL67" s="509"/>
      <c r="CM67" s="509"/>
      <c r="CN67" s="509"/>
      <c r="CO67" s="509"/>
      <c r="CP67" s="509"/>
      <c r="CQ67" s="509"/>
      <c r="CR67" s="509"/>
      <c r="CS67" s="509"/>
    </row>
    <row r="68" spans="1:98" s="137" customFormat="1" ht="12.75" customHeight="1" x14ac:dyDescent="0.2">
      <c r="A68" s="1421">
        <v>64</v>
      </c>
      <c r="B68" s="649" t="s">
        <v>13</v>
      </c>
      <c r="C68" s="1607" t="s">
        <v>14</v>
      </c>
      <c r="D68" s="1605">
        <v>204142</v>
      </c>
      <c r="E68" s="1405">
        <v>199272591</v>
      </c>
      <c r="F68" s="1405">
        <v>4383</v>
      </c>
      <c r="G68" s="158">
        <v>-3231103</v>
      </c>
      <c r="H68" s="158">
        <v>-5399812</v>
      </c>
      <c r="I68" s="158">
        <v>-92616</v>
      </c>
      <c r="J68" s="158">
        <v>0</v>
      </c>
      <c r="K68" s="158">
        <v>-5065</v>
      </c>
      <c r="L68" s="158">
        <v>-68901</v>
      </c>
      <c r="M68" s="158">
        <v>-665057</v>
      </c>
      <c r="N68" s="158">
        <v>-231403</v>
      </c>
      <c r="O68" s="158">
        <v>0</v>
      </c>
      <c r="P68" s="158">
        <v>0</v>
      </c>
      <c r="Q68" s="158">
        <v>0</v>
      </c>
      <c r="R68" s="158">
        <v>0</v>
      </c>
      <c r="S68" s="158">
        <v>0</v>
      </c>
      <c r="T68" s="158">
        <v>0</v>
      </c>
      <c r="U68" s="158">
        <v>-6972394</v>
      </c>
      <c r="V68" s="158">
        <v>80504320</v>
      </c>
      <c r="W68" s="158">
        <v>-2400000</v>
      </c>
      <c r="X68" s="158">
        <v>148863675</v>
      </c>
      <c r="Y68" s="158">
        <v>198854237</v>
      </c>
      <c r="Z68" s="158">
        <v>39142644</v>
      </c>
      <c r="AA68" s="158">
        <v>31314115</v>
      </c>
      <c r="AB68" s="158">
        <v>7828529</v>
      </c>
      <c r="AC68" s="158">
        <v>0</v>
      </c>
      <c r="AD68" s="158">
        <v>205104</v>
      </c>
      <c r="AE68" s="158">
        <v>2494470</v>
      </c>
      <c r="AF68" s="158">
        <v>58565</v>
      </c>
      <c r="AG68" s="158">
        <v>0</v>
      </c>
      <c r="AH68" s="158">
        <v>0</v>
      </c>
      <c r="AI68" s="158">
        <v>0</v>
      </c>
      <c r="AJ68" s="158">
        <v>0</v>
      </c>
      <c r="AK68" s="158">
        <v>-3541971</v>
      </c>
      <c r="AL68" s="158">
        <v>223</v>
      </c>
      <c r="AM68" s="158">
        <v>20</v>
      </c>
      <c r="AN68" s="158">
        <v>0</v>
      </c>
      <c r="AO68" s="158">
        <v>4</v>
      </c>
      <c r="AP68" s="158">
        <v>0</v>
      </c>
      <c r="AQ68" s="158">
        <v>346</v>
      </c>
      <c r="AR68" s="158">
        <v>88</v>
      </c>
      <c r="AS68" s="158">
        <v>0</v>
      </c>
      <c r="AT68" s="158">
        <v>0</v>
      </c>
      <c r="AU68" s="158">
        <v>0</v>
      </c>
      <c r="AV68" s="158">
        <v>0</v>
      </c>
      <c r="AW68" s="158">
        <v>0</v>
      </c>
      <c r="AX68" s="158">
        <v>0</v>
      </c>
      <c r="AY68" s="158">
        <v>685</v>
      </c>
      <c r="AZ68" s="158">
        <v>696</v>
      </c>
      <c r="BA68" s="158">
        <v>1172</v>
      </c>
      <c r="BB68" s="158">
        <v>975</v>
      </c>
      <c r="BC68" s="158">
        <v>197</v>
      </c>
      <c r="BD68" s="158">
        <v>2558</v>
      </c>
      <c r="BE68" s="158">
        <v>-18962</v>
      </c>
      <c r="BF68" s="158">
        <v>-314655</v>
      </c>
      <c r="BG68" s="158">
        <v>0</v>
      </c>
      <c r="BH68" s="158">
        <v>0</v>
      </c>
      <c r="BI68" s="158">
        <v>0</v>
      </c>
      <c r="BJ68" s="158">
        <v>-331440</v>
      </c>
      <c r="BK68" s="158">
        <v>-6943756</v>
      </c>
      <c r="BL68" s="1438">
        <v>22892850</v>
      </c>
      <c r="BM68" s="1439">
        <v>0</v>
      </c>
      <c r="BN68" s="784" t="s">
        <v>2349</v>
      </c>
      <c r="BO68" s="784" t="s">
        <v>2357</v>
      </c>
      <c r="BP68" s="1400" t="s">
        <v>2423</v>
      </c>
      <c r="BQ68" s="509"/>
      <c r="BR68" s="509"/>
      <c r="BS68" s="509"/>
      <c r="BT68" s="509"/>
      <c r="BU68" s="509"/>
      <c r="BV68" s="509"/>
      <c r="BW68" s="509"/>
      <c r="BX68" s="509"/>
      <c r="BY68" s="509"/>
      <c r="BZ68" s="509"/>
      <c r="CA68" s="509"/>
      <c r="CB68" s="509"/>
      <c r="CC68" s="509"/>
      <c r="CD68" s="509"/>
      <c r="CE68" s="509"/>
      <c r="CF68" s="509"/>
      <c r="CG68" s="509"/>
      <c r="CH68" s="509"/>
      <c r="CI68" s="509"/>
      <c r="CJ68" s="509"/>
      <c r="CK68" s="509"/>
      <c r="CL68" s="509"/>
      <c r="CM68" s="509"/>
      <c r="CN68" s="509"/>
      <c r="CO68" s="509"/>
      <c r="CP68" s="509"/>
      <c r="CQ68" s="509"/>
      <c r="CR68" s="509"/>
      <c r="CS68" s="509"/>
    </row>
    <row r="69" spans="1:98" s="137" customFormat="1" ht="12.75" customHeight="1" x14ac:dyDescent="0.2">
      <c r="A69" s="1421">
        <v>65</v>
      </c>
      <c r="B69" s="649" t="s">
        <v>563</v>
      </c>
      <c r="C69" s="1607" t="s">
        <v>16</v>
      </c>
      <c r="D69" s="1605">
        <v>146531</v>
      </c>
      <c r="E69" s="1405">
        <v>90881946</v>
      </c>
      <c r="F69" s="1405">
        <v>3974</v>
      </c>
      <c r="G69" s="158">
        <v>-5037238</v>
      </c>
      <c r="H69" s="158">
        <v>-3123982</v>
      </c>
      <c r="I69" s="158">
        <v>-60209</v>
      </c>
      <c r="J69" s="158">
        <v>0</v>
      </c>
      <c r="K69" s="158">
        <v>0</v>
      </c>
      <c r="L69" s="158">
        <v>0</v>
      </c>
      <c r="M69" s="158">
        <v>-831562</v>
      </c>
      <c r="N69" s="158">
        <v>0</v>
      </c>
      <c r="O69" s="158">
        <v>0</v>
      </c>
      <c r="P69" s="158">
        <v>0</v>
      </c>
      <c r="Q69" s="158">
        <v>0</v>
      </c>
      <c r="R69" s="158">
        <v>-10205</v>
      </c>
      <c r="S69" s="158">
        <v>-10205</v>
      </c>
      <c r="T69" s="158">
        <v>0</v>
      </c>
      <c r="U69" s="158">
        <v>-3927962</v>
      </c>
      <c r="V69" s="158">
        <v>34475089</v>
      </c>
      <c r="W69" s="158">
        <v>-1100000</v>
      </c>
      <c r="X69" s="158">
        <v>56937500</v>
      </c>
      <c r="Y69" s="158">
        <v>90565506</v>
      </c>
      <c r="Z69" s="158">
        <v>16612460</v>
      </c>
      <c r="AA69" s="158">
        <v>16290212</v>
      </c>
      <c r="AB69" s="158">
        <v>0</v>
      </c>
      <c r="AC69" s="158">
        <v>332453</v>
      </c>
      <c r="AD69" s="158">
        <v>146650</v>
      </c>
      <c r="AE69" s="158">
        <v>385112</v>
      </c>
      <c r="AF69" s="158">
        <v>0</v>
      </c>
      <c r="AG69" s="158">
        <v>0</v>
      </c>
      <c r="AH69" s="158">
        <v>10205</v>
      </c>
      <c r="AI69" s="158">
        <v>0</v>
      </c>
      <c r="AJ69" s="158">
        <v>0</v>
      </c>
      <c r="AK69" s="158">
        <v>-1009202</v>
      </c>
      <c r="AL69" s="158">
        <v>149</v>
      </c>
      <c r="AM69" s="158">
        <v>7</v>
      </c>
      <c r="AN69" s="158">
        <v>0</v>
      </c>
      <c r="AO69" s="158">
        <v>0</v>
      </c>
      <c r="AP69" s="158">
        <v>0</v>
      </c>
      <c r="AQ69" s="158">
        <v>508</v>
      </c>
      <c r="AR69" s="158">
        <v>0</v>
      </c>
      <c r="AS69" s="158">
        <v>0</v>
      </c>
      <c r="AT69" s="158">
        <v>0</v>
      </c>
      <c r="AU69" s="158">
        <v>0</v>
      </c>
      <c r="AV69" s="158">
        <v>0</v>
      </c>
      <c r="AW69" s="158">
        <v>4</v>
      </c>
      <c r="AX69" s="158">
        <v>0</v>
      </c>
      <c r="AY69" s="158">
        <v>441</v>
      </c>
      <c r="AZ69" s="158">
        <v>926</v>
      </c>
      <c r="BA69" s="158">
        <v>1871</v>
      </c>
      <c r="BB69" s="158">
        <v>1766</v>
      </c>
      <c r="BC69" s="158">
        <v>105</v>
      </c>
      <c r="BD69" s="158">
        <v>1190</v>
      </c>
      <c r="BE69" s="158">
        <v>-3484</v>
      </c>
      <c r="BF69" s="158">
        <v>-219902</v>
      </c>
      <c r="BG69" s="158">
        <v>0</v>
      </c>
      <c r="BH69" s="158">
        <v>-99313</v>
      </c>
      <c r="BI69" s="158">
        <v>-508863</v>
      </c>
      <c r="BJ69" s="158">
        <v>0</v>
      </c>
      <c r="BK69" s="158">
        <v>-2809236</v>
      </c>
      <c r="BL69" s="1438">
        <v>10514000</v>
      </c>
      <c r="BM69" s="1439">
        <v>25000</v>
      </c>
      <c r="BN69" s="784" t="s">
        <v>509</v>
      </c>
      <c r="BO69" s="784" t="s">
        <v>855</v>
      </c>
      <c r="BP69" s="1400" t="s">
        <v>2424</v>
      </c>
      <c r="BQ69" s="509"/>
      <c r="BR69" s="509"/>
      <c r="BS69" s="509"/>
      <c r="BT69" s="509"/>
      <c r="BU69" s="509"/>
      <c r="BV69" s="509"/>
      <c r="BW69" s="509"/>
      <c r="BX69" s="509"/>
      <c r="BY69" s="509"/>
      <c r="BZ69" s="509"/>
      <c r="CA69" s="509"/>
      <c r="CB69" s="509"/>
      <c r="CC69" s="509"/>
      <c r="CD69" s="509"/>
      <c r="CE69" s="509"/>
      <c r="CF69" s="509"/>
      <c r="CG69" s="509"/>
      <c r="CH69" s="509"/>
      <c r="CI69" s="509"/>
      <c r="CJ69" s="509"/>
      <c r="CK69" s="509"/>
      <c r="CL69" s="509"/>
      <c r="CM69" s="509"/>
      <c r="CN69" s="509"/>
      <c r="CO69" s="509"/>
      <c r="CP69" s="509"/>
      <c r="CQ69" s="509"/>
      <c r="CR69" s="509"/>
      <c r="CS69" s="509"/>
    </row>
    <row r="70" spans="1:98" s="137" customFormat="1" ht="12.75" customHeight="1" x14ac:dyDescent="0.2">
      <c r="A70" s="1421">
        <v>66</v>
      </c>
      <c r="B70" s="649" t="s">
        <v>17</v>
      </c>
      <c r="C70" s="1607" t="s">
        <v>18</v>
      </c>
      <c r="D70" s="1605">
        <v>172612</v>
      </c>
      <c r="E70" s="1405">
        <v>212886346</v>
      </c>
      <c r="F70" s="1405">
        <v>3406</v>
      </c>
      <c r="G70" s="158">
        <v>-2348718</v>
      </c>
      <c r="H70" s="158">
        <v>-4743956</v>
      </c>
      <c r="I70" s="158">
        <v>-100451</v>
      </c>
      <c r="J70" s="158">
        <v>0</v>
      </c>
      <c r="K70" s="158">
        <v>0</v>
      </c>
      <c r="L70" s="158">
        <v>0</v>
      </c>
      <c r="M70" s="158">
        <v>-3456709</v>
      </c>
      <c r="N70" s="158">
        <v>-28261</v>
      </c>
      <c r="O70" s="158">
        <v>-6812</v>
      </c>
      <c r="P70" s="158">
        <v>-11939</v>
      </c>
      <c r="Q70" s="158">
        <v>-5334</v>
      </c>
      <c r="R70" s="158">
        <v>0</v>
      </c>
      <c r="S70" s="158">
        <v>0</v>
      </c>
      <c r="T70" s="158">
        <v>0</v>
      </c>
      <c r="U70" s="158">
        <v>-3868353</v>
      </c>
      <c r="V70" s="158">
        <v>98699280</v>
      </c>
      <c r="W70" s="158">
        <v>-4168444</v>
      </c>
      <c r="X70" s="158">
        <v>182367750</v>
      </c>
      <c r="Y70" s="158">
        <v>214194741</v>
      </c>
      <c r="Z70" s="158">
        <v>47719560</v>
      </c>
      <c r="AA70" s="158">
        <v>38175648</v>
      </c>
      <c r="AB70" s="158">
        <v>8589521</v>
      </c>
      <c r="AC70" s="158">
        <v>954391</v>
      </c>
      <c r="AD70" s="158">
        <v>169850</v>
      </c>
      <c r="AE70" s="158">
        <v>0</v>
      </c>
      <c r="AF70" s="158">
        <v>0</v>
      </c>
      <c r="AG70" s="158">
        <v>0</v>
      </c>
      <c r="AH70" s="158">
        <v>0</v>
      </c>
      <c r="AI70" s="158">
        <v>0</v>
      </c>
      <c r="AJ70" s="158">
        <v>0</v>
      </c>
      <c r="AK70" s="158">
        <v>15673054</v>
      </c>
      <c r="AL70" s="158">
        <v>137</v>
      </c>
      <c r="AM70" s="158">
        <v>10</v>
      </c>
      <c r="AN70" s="158">
        <v>0</v>
      </c>
      <c r="AO70" s="158">
        <v>0</v>
      </c>
      <c r="AP70" s="158">
        <v>0</v>
      </c>
      <c r="AQ70" s="158">
        <v>361</v>
      </c>
      <c r="AR70" s="158">
        <v>51</v>
      </c>
      <c r="AS70" s="158">
        <v>2</v>
      </c>
      <c r="AT70" s="158">
        <v>2</v>
      </c>
      <c r="AU70" s="158">
        <v>1</v>
      </c>
      <c r="AV70" s="158">
        <v>0</v>
      </c>
      <c r="AW70" s="158">
        <v>0</v>
      </c>
      <c r="AX70" s="158">
        <v>0</v>
      </c>
      <c r="AY70" s="158">
        <v>253</v>
      </c>
      <c r="AZ70" s="158">
        <v>1122</v>
      </c>
      <c r="BA70" s="158">
        <v>764</v>
      </c>
      <c r="BB70" s="158">
        <v>666</v>
      </c>
      <c r="BC70" s="158">
        <v>98</v>
      </c>
      <c r="BD70" s="158">
        <v>1453</v>
      </c>
      <c r="BE70" s="158">
        <v>-1079348</v>
      </c>
      <c r="BF70" s="158">
        <v>-60828</v>
      </c>
      <c r="BG70" s="158">
        <v>0</v>
      </c>
      <c r="BH70" s="158">
        <v>-5738</v>
      </c>
      <c r="BI70" s="158">
        <v>-1089146</v>
      </c>
      <c r="BJ70" s="158">
        <v>-1221649</v>
      </c>
      <c r="BK70" s="158">
        <v>17372214</v>
      </c>
      <c r="BL70" s="1438">
        <v>13556500</v>
      </c>
      <c r="BM70" s="1439">
        <v>0</v>
      </c>
      <c r="BN70" s="784" t="s">
        <v>2349</v>
      </c>
      <c r="BO70" s="784" t="s">
        <v>2350</v>
      </c>
      <c r="BP70" s="1400" t="s">
        <v>2425</v>
      </c>
      <c r="BQ70" s="509"/>
      <c r="BR70" s="509"/>
      <c r="BS70" s="509"/>
      <c r="BT70" s="509"/>
      <c r="BU70" s="509"/>
      <c r="BV70" s="509"/>
      <c r="BW70" s="509"/>
      <c r="BX70" s="509"/>
      <c r="BY70" s="509"/>
      <c r="BZ70" s="509"/>
      <c r="CA70" s="509"/>
      <c r="CB70" s="509"/>
      <c r="CC70" s="509"/>
      <c r="CD70" s="509"/>
      <c r="CE70" s="509"/>
      <c r="CF70" s="509"/>
      <c r="CG70" s="509"/>
      <c r="CH70" s="509"/>
      <c r="CI70" s="509"/>
      <c r="CJ70" s="509"/>
      <c r="CK70" s="509"/>
      <c r="CL70" s="509"/>
      <c r="CM70" s="509"/>
      <c r="CN70" s="509"/>
      <c r="CO70" s="509"/>
      <c r="CP70" s="509"/>
      <c r="CQ70" s="509"/>
      <c r="CR70" s="509"/>
      <c r="CS70" s="509"/>
    </row>
    <row r="71" spans="1:98" s="137" customFormat="1" ht="12.75" customHeight="1" x14ac:dyDescent="0.2">
      <c r="A71" s="1421">
        <v>67</v>
      </c>
      <c r="B71" s="649" t="s">
        <v>547</v>
      </c>
      <c r="C71" s="1607" t="s">
        <v>20</v>
      </c>
      <c r="D71" s="1605">
        <v>330879</v>
      </c>
      <c r="E71" s="1405">
        <v>242942077</v>
      </c>
      <c r="F71" s="1405">
        <v>8636</v>
      </c>
      <c r="G71" s="158">
        <v>-7933847</v>
      </c>
      <c r="H71" s="158">
        <v>-9462736</v>
      </c>
      <c r="I71" s="158">
        <v>-7645</v>
      </c>
      <c r="J71" s="158">
        <v>0</v>
      </c>
      <c r="K71" s="158">
        <v>-3705</v>
      </c>
      <c r="L71" s="158">
        <v>0</v>
      </c>
      <c r="M71" s="158">
        <v>-1458386</v>
      </c>
      <c r="N71" s="158">
        <v>-153682</v>
      </c>
      <c r="O71" s="158">
        <v>-131462</v>
      </c>
      <c r="P71" s="158">
        <v>-1427</v>
      </c>
      <c r="Q71" s="158">
        <v>0</v>
      </c>
      <c r="R71" s="158">
        <v>0</v>
      </c>
      <c r="S71" s="158">
        <v>0</v>
      </c>
      <c r="T71" s="158">
        <v>0</v>
      </c>
      <c r="U71" s="158">
        <v>-6642353</v>
      </c>
      <c r="V71" s="158">
        <v>94479171</v>
      </c>
      <c r="W71" s="158">
        <v>-1323439</v>
      </c>
      <c r="X71" s="158">
        <v>153571250</v>
      </c>
      <c r="Y71" s="158">
        <v>232036557</v>
      </c>
      <c r="Z71" s="158">
        <v>44229773</v>
      </c>
      <c r="AA71" s="158">
        <v>43345177</v>
      </c>
      <c r="AB71" s="158">
        <v>0</v>
      </c>
      <c r="AC71" s="158">
        <v>884595</v>
      </c>
      <c r="AD71" s="158">
        <v>327802</v>
      </c>
      <c r="AE71" s="158">
        <v>46539</v>
      </c>
      <c r="AF71" s="158">
        <v>772471</v>
      </c>
      <c r="AG71" s="158">
        <v>0</v>
      </c>
      <c r="AH71" s="158">
        <v>0</v>
      </c>
      <c r="AI71" s="158">
        <v>0</v>
      </c>
      <c r="AJ71" s="158">
        <v>0</v>
      </c>
      <c r="AK71" s="158">
        <v>3947103</v>
      </c>
      <c r="AL71" s="158">
        <v>404</v>
      </c>
      <c r="AM71" s="158">
        <v>3</v>
      </c>
      <c r="AN71" s="158">
        <v>0</v>
      </c>
      <c r="AO71" s="158">
        <v>4</v>
      </c>
      <c r="AP71" s="158">
        <v>0</v>
      </c>
      <c r="AQ71" s="158">
        <v>677</v>
      </c>
      <c r="AR71" s="158">
        <v>71</v>
      </c>
      <c r="AS71" s="158">
        <v>17</v>
      </c>
      <c r="AT71" s="158">
        <v>2</v>
      </c>
      <c r="AU71" s="158">
        <v>0</v>
      </c>
      <c r="AV71" s="158">
        <v>0</v>
      </c>
      <c r="AW71" s="158">
        <v>0</v>
      </c>
      <c r="AX71" s="158">
        <v>0</v>
      </c>
      <c r="AY71" s="158">
        <v>730</v>
      </c>
      <c r="AZ71" s="158">
        <v>756</v>
      </c>
      <c r="BA71" s="158">
        <v>3069</v>
      </c>
      <c r="BB71" s="158">
        <v>2802</v>
      </c>
      <c r="BC71" s="158">
        <v>267</v>
      </c>
      <c r="BD71" s="158">
        <v>4767</v>
      </c>
      <c r="BE71" s="158">
        <v>-7610</v>
      </c>
      <c r="BF71" s="158">
        <v>-836647</v>
      </c>
      <c r="BG71" s="158">
        <v>0</v>
      </c>
      <c r="BH71" s="158">
        <v>0</v>
      </c>
      <c r="BI71" s="158">
        <v>-584314</v>
      </c>
      <c r="BJ71" s="158">
        <v>-29815</v>
      </c>
      <c r="BK71" s="158">
        <v>8646887</v>
      </c>
      <c r="BL71" s="1438">
        <v>32674250</v>
      </c>
      <c r="BM71" s="1439">
        <v>21000</v>
      </c>
      <c r="BN71" s="784" t="s">
        <v>509</v>
      </c>
      <c r="BO71" s="784" t="s">
        <v>2352</v>
      </c>
      <c r="BP71" s="1400" t="s">
        <v>2426</v>
      </c>
      <c r="BQ71" s="509"/>
      <c r="BR71" s="509"/>
      <c r="BS71" s="509"/>
      <c r="BT71" s="509"/>
      <c r="BU71" s="509"/>
      <c r="BV71" s="509"/>
      <c r="BW71" s="509"/>
      <c r="BX71" s="509"/>
      <c r="BY71" s="509"/>
      <c r="BZ71" s="509"/>
      <c r="CA71" s="509"/>
      <c r="CB71" s="509"/>
      <c r="CC71" s="509"/>
      <c r="CD71" s="509"/>
      <c r="CE71" s="509"/>
      <c r="CF71" s="509"/>
      <c r="CG71" s="509"/>
      <c r="CH71" s="509"/>
      <c r="CI71" s="509"/>
      <c r="CJ71" s="509"/>
      <c r="CK71" s="509"/>
      <c r="CL71" s="509"/>
      <c r="CM71" s="509"/>
      <c r="CN71" s="509"/>
      <c r="CO71" s="509"/>
      <c r="CP71" s="509"/>
      <c r="CQ71" s="509"/>
      <c r="CR71" s="509"/>
      <c r="CS71" s="509"/>
    </row>
    <row r="72" spans="1:98" s="137" customFormat="1" ht="12.75" customHeight="1" x14ac:dyDescent="0.2">
      <c r="A72" s="1421">
        <v>68</v>
      </c>
      <c r="B72" s="649" t="s">
        <v>21</v>
      </c>
      <c r="C72" s="1607" t="s">
        <v>22</v>
      </c>
      <c r="D72" s="1605">
        <v>158914</v>
      </c>
      <c r="E72" s="1405">
        <v>60550273</v>
      </c>
      <c r="F72" s="1405">
        <v>4650</v>
      </c>
      <c r="G72" s="158">
        <v>-5834871</v>
      </c>
      <c r="H72" s="158">
        <v>-1904595</v>
      </c>
      <c r="I72" s="158">
        <v>-17774</v>
      </c>
      <c r="J72" s="158">
        <v>-77246</v>
      </c>
      <c r="K72" s="158">
        <v>-25511</v>
      </c>
      <c r="L72" s="158">
        <v>0</v>
      </c>
      <c r="M72" s="158">
        <v>-563116</v>
      </c>
      <c r="N72" s="158">
        <v>-106911</v>
      </c>
      <c r="O72" s="158">
        <v>-76308</v>
      </c>
      <c r="P72" s="158">
        <v>-3096</v>
      </c>
      <c r="Q72" s="158">
        <v>-4774</v>
      </c>
      <c r="R72" s="158">
        <v>-10604</v>
      </c>
      <c r="S72" s="158">
        <v>0</v>
      </c>
      <c r="T72" s="158">
        <v>0</v>
      </c>
      <c r="U72" s="158">
        <v>-4105928</v>
      </c>
      <c r="V72" s="158">
        <v>18120723</v>
      </c>
      <c r="W72" s="158">
        <v>-261703</v>
      </c>
      <c r="X72" s="158">
        <v>25586950</v>
      </c>
      <c r="Y72" s="158">
        <v>60545764</v>
      </c>
      <c r="Z72" s="158">
        <v>8864957</v>
      </c>
      <c r="AA72" s="158">
        <v>7091966</v>
      </c>
      <c r="AB72" s="158">
        <v>1595692</v>
      </c>
      <c r="AC72" s="158">
        <v>177299</v>
      </c>
      <c r="AD72" s="158">
        <v>160718</v>
      </c>
      <c r="AE72" s="158">
        <v>0</v>
      </c>
      <c r="AF72" s="158">
        <v>311151</v>
      </c>
      <c r="AG72" s="158">
        <v>0</v>
      </c>
      <c r="AH72" s="158">
        <v>0</v>
      </c>
      <c r="AI72" s="158">
        <v>0</v>
      </c>
      <c r="AJ72" s="158">
        <v>0</v>
      </c>
      <c r="AK72" s="158">
        <v>710373</v>
      </c>
      <c r="AL72" s="158">
        <v>208</v>
      </c>
      <c r="AM72" s="158">
        <v>4</v>
      </c>
      <c r="AN72" s="158">
        <v>36</v>
      </c>
      <c r="AO72" s="158">
        <v>16</v>
      </c>
      <c r="AP72" s="158">
        <v>0</v>
      </c>
      <c r="AQ72" s="158">
        <v>221</v>
      </c>
      <c r="AR72" s="158">
        <v>137</v>
      </c>
      <c r="AS72" s="158">
        <v>14</v>
      </c>
      <c r="AT72" s="158">
        <v>3</v>
      </c>
      <c r="AU72" s="158">
        <v>0</v>
      </c>
      <c r="AV72" s="158">
        <v>3</v>
      </c>
      <c r="AW72" s="158">
        <v>0</v>
      </c>
      <c r="AX72" s="158">
        <v>1</v>
      </c>
      <c r="AY72" s="158">
        <v>698</v>
      </c>
      <c r="AZ72" s="158">
        <v>729</v>
      </c>
      <c r="BA72" s="158">
        <v>2599</v>
      </c>
      <c r="BB72" s="158">
        <v>2503</v>
      </c>
      <c r="BC72" s="158">
        <v>96</v>
      </c>
      <c r="BD72" s="158">
        <v>1376</v>
      </c>
      <c r="BE72" s="158">
        <v>-3046</v>
      </c>
      <c r="BF72" s="158">
        <v>-366939</v>
      </c>
      <c r="BG72" s="158">
        <v>0</v>
      </c>
      <c r="BH72" s="158">
        <v>0</v>
      </c>
      <c r="BI72" s="158">
        <v>-153386</v>
      </c>
      <c r="BJ72" s="158">
        <v>-39745</v>
      </c>
      <c r="BK72" s="158">
        <v>622662</v>
      </c>
      <c r="BL72" s="1438">
        <v>11254000</v>
      </c>
      <c r="BM72" s="1439">
        <v>0</v>
      </c>
      <c r="BN72" s="784" t="s">
        <v>2349</v>
      </c>
      <c r="BO72" s="784" t="s">
        <v>2352</v>
      </c>
      <c r="BP72" s="1400" t="s">
        <v>2427</v>
      </c>
      <c r="BQ72" s="509"/>
      <c r="BR72" s="509"/>
      <c r="BS72" s="509"/>
      <c r="BT72" s="509"/>
      <c r="BU72" s="509"/>
      <c r="BV72" s="509"/>
      <c r="BW72" s="509"/>
      <c r="BX72" s="509"/>
      <c r="BY72" s="509"/>
      <c r="BZ72" s="509"/>
      <c r="CA72" s="509"/>
      <c r="CB72" s="509"/>
      <c r="CC72" s="509"/>
      <c r="CD72" s="509"/>
      <c r="CE72" s="509"/>
      <c r="CF72" s="509"/>
      <c r="CG72" s="509"/>
      <c r="CH72" s="509"/>
      <c r="CI72" s="509"/>
      <c r="CJ72" s="509"/>
      <c r="CK72" s="509"/>
      <c r="CL72" s="509"/>
      <c r="CM72" s="509"/>
      <c r="CN72" s="509"/>
      <c r="CO72" s="509"/>
      <c r="CP72" s="509"/>
      <c r="CQ72" s="509"/>
      <c r="CR72" s="509"/>
      <c r="CS72" s="509"/>
    </row>
    <row r="73" spans="1:98" s="137" customFormat="1" ht="12.75" customHeight="1" x14ac:dyDescent="0.2">
      <c r="A73" s="1421">
        <v>69</v>
      </c>
      <c r="B73" s="649" t="s">
        <v>23</v>
      </c>
      <c r="C73" s="1607" t="s">
        <v>24</v>
      </c>
      <c r="D73" s="1605">
        <v>379799</v>
      </c>
      <c r="E73" s="1405">
        <v>288673471</v>
      </c>
      <c r="F73" s="1405">
        <v>9825</v>
      </c>
      <c r="G73" s="158">
        <v>-11409330</v>
      </c>
      <c r="H73" s="158">
        <v>-8234557</v>
      </c>
      <c r="I73" s="158">
        <v>-64511</v>
      </c>
      <c r="J73" s="158">
        <v>-7847</v>
      </c>
      <c r="K73" s="158">
        <v>-5440</v>
      </c>
      <c r="L73" s="158">
        <v>-100000</v>
      </c>
      <c r="M73" s="158">
        <v>-4199906</v>
      </c>
      <c r="N73" s="158">
        <v>-322724</v>
      </c>
      <c r="O73" s="158">
        <v>-196781</v>
      </c>
      <c r="P73" s="158">
        <v>0</v>
      </c>
      <c r="Q73" s="158">
        <v>0</v>
      </c>
      <c r="R73" s="158">
        <v>0</v>
      </c>
      <c r="S73" s="158">
        <v>0</v>
      </c>
      <c r="T73" s="158">
        <v>0</v>
      </c>
      <c r="U73" s="158">
        <v>-8002098</v>
      </c>
      <c r="V73" s="158">
        <v>119537023</v>
      </c>
      <c r="W73" s="158">
        <v>-6216871</v>
      </c>
      <c r="X73" s="158">
        <v>201570900</v>
      </c>
      <c r="Y73" s="158">
        <v>286394918</v>
      </c>
      <c r="Z73" s="158">
        <v>56554832</v>
      </c>
      <c r="AA73" s="158">
        <v>55423736</v>
      </c>
      <c r="AB73" s="158">
        <v>0</v>
      </c>
      <c r="AC73" s="158">
        <v>1131097</v>
      </c>
      <c r="AD73" s="158">
        <v>379814</v>
      </c>
      <c r="AE73" s="158">
        <v>0</v>
      </c>
      <c r="AF73" s="158">
        <v>665985</v>
      </c>
      <c r="AG73" s="158">
        <v>0</v>
      </c>
      <c r="AH73" s="158">
        <v>0</v>
      </c>
      <c r="AI73" s="158">
        <v>0</v>
      </c>
      <c r="AJ73" s="158">
        <v>0</v>
      </c>
      <c r="AK73" s="158">
        <v>-5199696</v>
      </c>
      <c r="AL73" s="158">
        <v>428</v>
      </c>
      <c r="AM73" s="158">
        <v>9</v>
      </c>
      <c r="AN73" s="158">
        <v>5</v>
      </c>
      <c r="AO73" s="158">
        <v>8</v>
      </c>
      <c r="AP73" s="158">
        <v>0</v>
      </c>
      <c r="AQ73" s="158">
        <v>1097</v>
      </c>
      <c r="AR73" s="158">
        <v>103</v>
      </c>
      <c r="AS73" s="158">
        <v>24</v>
      </c>
      <c r="AT73" s="158">
        <v>0</v>
      </c>
      <c r="AU73" s="158">
        <v>0</v>
      </c>
      <c r="AV73" s="158">
        <v>0</v>
      </c>
      <c r="AW73" s="158">
        <v>0</v>
      </c>
      <c r="AX73" s="158">
        <v>0</v>
      </c>
      <c r="AY73" s="158">
        <v>1057</v>
      </c>
      <c r="AZ73" s="158">
        <v>2712</v>
      </c>
      <c r="BA73" s="158">
        <v>4694</v>
      </c>
      <c r="BB73" s="158">
        <v>4432</v>
      </c>
      <c r="BC73" s="158">
        <v>262</v>
      </c>
      <c r="BD73" s="158">
        <v>2468</v>
      </c>
      <c r="BE73" s="158">
        <v>-1500000</v>
      </c>
      <c r="BF73" s="158">
        <v>-810628</v>
      </c>
      <c r="BG73" s="158">
        <v>0</v>
      </c>
      <c r="BH73" s="158">
        <v>-121374</v>
      </c>
      <c r="BI73" s="158">
        <v>-867904</v>
      </c>
      <c r="BJ73" s="158">
        <v>-900000</v>
      </c>
      <c r="BK73" s="158">
        <v>-3340193</v>
      </c>
      <c r="BL73" s="1438">
        <v>30466850</v>
      </c>
      <c r="BM73" s="1439">
        <v>0</v>
      </c>
      <c r="BN73" s="784" t="s">
        <v>2363</v>
      </c>
      <c r="BO73" s="784" t="s">
        <v>2364</v>
      </c>
      <c r="BP73" s="1400" t="s">
        <v>2428</v>
      </c>
      <c r="BQ73" s="509"/>
      <c r="BR73" s="509"/>
      <c r="BS73" s="509"/>
      <c r="BT73" s="509"/>
      <c r="BU73" s="509"/>
      <c r="BV73" s="509"/>
      <c r="BW73" s="509"/>
      <c r="BX73" s="509"/>
      <c r="BY73" s="509"/>
      <c r="BZ73" s="509"/>
      <c r="CA73" s="509"/>
      <c r="CB73" s="509"/>
      <c r="CC73" s="509"/>
      <c r="CD73" s="509"/>
      <c r="CE73" s="509"/>
      <c r="CF73" s="509"/>
      <c r="CG73" s="509"/>
      <c r="CH73" s="509"/>
      <c r="CI73" s="509"/>
      <c r="CJ73" s="509"/>
      <c r="CK73" s="509"/>
      <c r="CL73" s="509"/>
      <c r="CM73" s="509"/>
      <c r="CN73" s="509"/>
      <c r="CO73" s="509"/>
      <c r="CP73" s="509"/>
      <c r="CQ73" s="509"/>
      <c r="CR73" s="509"/>
      <c r="CS73" s="509"/>
    </row>
    <row r="74" spans="1:98" s="137" customFormat="1" ht="12.75" customHeight="1" x14ac:dyDescent="0.2">
      <c r="A74" s="1421">
        <v>70</v>
      </c>
      <c r="B74" s="655" t="s">
        <v>1179</v>
      </c>
      <c r="C74" s="1607" t="s">
        <v>1180</v>
      </c>
      <c r="D74" s="1605">
        <v>643282</v>
      </c>
      <c r="E74" s="1405">
        <v>322341482</v>
      </c>
      <c r="F74" s="1405">
        <v>18132</v>
      </c>
      <c r="G74" s="158">
        <v>-21105387</v>
      </c>
      <c r="H74" s="158">
        <v>-12727350</v>
      </c>
      <c r="I74" s="158">
        <v>-266312</v>
      </c>
      <c r="J74" s="158">
        <v>-142876</v>
      </c>
      <c r="K74" s="158">
        <v>-104345</v>
      </c>
      <c r="L74" s="158">
        <v>-100000</v>
      </c>
      <c r="M74" s="158">
        <v>-2441873</v>
      </c>
      <c r="N74" s="158">
        <v>-410258</v>
      </c>
      <c r="O74" s="158">
        <v>-94078</v>
      </c>
      <c r="P74" s="158">
        <v>-8358</v>
      </c>
      <c r="Q74" s="158">
        <v>0</v>
      </c>
      <c r="R74" s="158">
        <v>-121824</v>
      </c>
      <c r="S74" s="158">
        <v>-121824</v>
      </c>
      <c r="T74" s="158">
        <v>0</v>
      </c>
      <c r="U74" s="158">
        <v>-20084961</v>
      </c>
      <c r="V74" s="158">
        <v>104468721</v>
      </c>
      <c r="W74" s="158">
        <v>-4045496</v>
      </c>
      <c r="X74" s="158">
        <v>167215650</v>
      </c>
      <c r="Y74" s="158">
        <v>321678469</v>
      </c>
      <c r="Z74" s="158">
        <v>50105275</v>
      </c>
      <c r="AA74" s="158">
        <v>49222558</v>
      </c>
      <c r="AB74" s="158">
        <v>0</v>
      </c>
      <c r="AC74" s="158">
        <v>1004542</v>
      </c>
      <c r="AD74" s="158">
        <v>643071</v>
      </c>
      <c r="AE74" s="158">
        <v>271744</v>
      </c>
      <c r="AF74" s="158">
        <v>1052384</v>
      </c>
      <c r="AG74" s="158">
        <v>0</v>
      </c>
      <c r="AH74" s="158">
        <v>121824</v>
      </c>
      <c r="AI74" s="158">
        <v>0</v>
      </c>
      <c r="AJ74" s="158">
        <v>0</v>
      </c>
      <c r="AK74" s="158">
        <v>4861160</v>
      </c>
      <c r="AL74" s="158">
        <v>1049</v>
      </c>
      <c r="AM74" s="158">
        <v>61</v>
      </c>
      <c r="AN74" s="158">
        <v>59</v>
      </c>
      <c r="AO74" s="158">
        <v>60</v>
      </c>
      <c r="AP74" s="158">
        <v>1</v>
      </c>
      <c r="AQ74" s="158">
        <v>1112</v>
      </c>
      <c r="AR74" s="158">
        <v>387</v>
      </c>
      <c r="AS74" s="158">
        <v>12</v>
      </c>
      <c r="AT74" s="158">
        <v>7</v>
      </c>
      <c r="AU74" s="158">
        <v>0</v>
      </c>
      <c r="AV74" s="158">
        <v>0</v>
      </c>
      <c r="AW74" s="158">
        <v>1</v>
      </c>
      <c r="AX74" s="158">
        <v>0</v>
      </c>
      <c r="AY74" s="158">
        <v>2852</v>
      </c>
      <c r="AZ74" s="158">
        <v>3311</v>
      </c>
      <c r="BA74" s="158">
        <v>8853</v>
      </c>
      <c r="BB74" s="158">
        <v>6197</v>
      </c>
      <c r="BC74" s="158">
        <v>2656</v>
      </c>
      <c r="BD74" s="158">
        <v>6002</v>
      </c>
      <c r="BE74" s="158">
        <v>-255356</v>
      </c>
      <c r="BF74" s="158">
        <v>-1410550</v>
      </c>
      <c r="BG74" s="158">
        <v>0</v>
      </c>
      <c r="BH74" s="158">
        <v>-64223</v>
      </c>
      <c r="BI74" s="158">
        <v>-711744</v>
      </c>
      <c r="BJ74" s="158">
        <v>0</v>
      </c>
      <c r="BK74" s="158">
        <v>10982070</v>
      </c>
      <c r="BL74" s="1438">
        <v>53611331</v>
      </c>
      <c r="BM74" s="1439">
        <v>0</v>
      </c>
      <c r="BN74" s="784" t="s">
        <v>509</v>
      </c>
      <c r="BO74" s="784" t="s">
        <v>2369</v>
      </c>
      <c r="BP74" s="1400" t="s">
        <v>2429</v>
      </c>
      <c r="BQ74" s="509"/>
      <c r="BR74" s="509"/>
      <c r="BS74" s="509"/>
      <c r="BT74" s="509"/>
      <c r="BU74" s="509"/>
      <c r="BV74" s="509"/>
      <c r="BW74" s="509"/>
      <c r="BX74" s="509"/>
      <c r="BY74" s="509"/>
      <c r="BZ74" s="509"/>
      <c r="CA74" s="509"/>
      <c r="CB74" s="509"/>
      <c r="CC74" s="509"/>
      <c r="CD74" s="509"/>
      <c r="CE74" s="509"/>
      <c r="CF74" s="509"/>
      <c r="CG74" s="509"/>
      <c r="CH74" s="509"/>
      <c r="CI74" s="509"/>
      <c r="CJ74" s="509"/>
      <c r="CK74" s="509"/>
      <c r="CL74" s="509"/>
      <c r="CM74" s="509"/>
      <c r="CN74" s="509"/>
      <c r="CO74" s="509"/>
      <c r="CP74" s="509"/>
      <c r="CQ74" s="509"/>
      <c r="CR74" s="509"/>
      <c r="CS74" s="509"/>
      <c r="CT74" s="509"/>
    </row>
    <row r="75" spans="1:98" s="137" customFormat="1" ht="12.75" customHeight="1" x14ac:dyDescent="0.2">
      <c r="A75" s="1421">
        <v>71</v>
      </c>
      <c r="B75" s="649" t="s">
        <v>32</v>
      </c>
      <c r="C75" s="1607" t="s">
        <v>33</v>
      </c>
      <c r="D75" s="1605">
        <v>164832</v>
      </c>
      <c r="E75" s="1405">
        <v>129379518</v>
      </c>
      <c r="F75" s="1405">
        <v>4191</v>
      </c>
      <c r="G75" s="158">
        <v>-4529673</v>
      </c>
      <c r="H75" s="158">
        <v>-3537128</v>
      </c>
      <c r="I75" s="158">
        <v>-38842</v>
      </c>
      <c r="J75" s="158">
        <v>-10964</v>
      </c>
      <c r="K75" s="158">
        <v>-28265</v>
      </c>
      <c r="L75" s="158">
        <v>0</v>
      </c>
      <c r="M75" s="158">
        <v>-933729</v>
      </c>
      <c r="N75" s="158">
        <v>-222635</v>
      </c>
      <c r="O75" s="158">
        <v>-89141</v>
      </c>
      <c r="P75" s="158">
        <v>0</v>
      </c>
      <c r="Q75" s="158">
        <v>-16403</v>
      </c>
      <c r="R75" s="158">
        <v>0</v>
      </c>
      <c r="S75" s="158">
        <v>0</v>
      </c>
      <c r="T75" s="158">
        <v>0</v>
      </c>
      <c r="U75" s="158">
        <v>-3493000</v>
      </c>
      <c r="V75" s="158">
        <v>54927290</v>
      </c>
      <c r="W75" s="158">
        <v>-1500000</v>
      </c>
      <c r="X75" s="158">
        <v>94837000</v>
      </c>
      <c r="Y75" s="158">
        <v>129536111</v>
      </c>
      <c r="Z75" s="158">
        <v>26567329</v>
      </c>
      <c r="AA75" s="158">
        <v>21253863</v>
      </c>
      <c r="AB75" s="158">
        <v>4782119</v>
      </c>
      <c r="AC75" s="158">
        <v>531347</v>
      </c>
      <c r="AD75" s="158">
        <v>164836</v>
      </c>
      <c r="AE75" s="158">
        <v>0</v>
      </c>
      <c r="AF75" s="158">
        <v>623471</v>
      </c>
      <c r="AG75" s="158">
        <v>0</v>
      </c>
      <c r="AH75" s="158">
        <v>0</v>
      </c>
      <c r="AI75" s="158">
        <v>0</v>
      </c>
      <c r="AJ75" s="158">
        <v>0</v>
      </c>
      <c r="AK75" s="158">
        <v>2785599</v>
      </c>
      <c r="AL75" s="158">
        <v>233</v>
      </c>
      <c r="AM75" s="158">
        <v>8</v>
      </c>
      <c r="AN75" s="158">
        <v>7</v>
      </c>
      <c r="AO75" s="158">
        <v>15</v>
      </c>
      <c r="AP75" s="158">
        <v>0</v>
      </c>
      <c r="AQ75" s="158">
        <v>288</v>
      </c>
      <c r="AR75" s="158">
        <v>103</v>
      </c>
      <c r="AS75" s="158">
        <v>0</v>
      </c>
      <c r="AT75" s="158">
        <v>0</v>
      </c>
      <c r="AU75" s="158">
        <v>7</v>
      </c>
      <c r="AV75" s="158">
        <v>1</v>
      </c>
      <c r="AW75" s="158">
        <v>0</v>
      </c>
      <c r="AX75" s="158">
        <v>0</v>
      </c>
      <c r="AY75" s="158">
        <v>469</v>
      </c>
      <c r="AZ75" s="158">
        <v>307</v>
      </c>
      <c r="BA75" s="158">
        <v>1820</v>
      </c>
      <c r="BB75" s="158">
        <v>1745</v>
      </c>
      <c r="BC75" s="158">
        <v>75</v>
      </c>
      <c r="BD75" s="158">
        <v>2076</v>
      </c>
      <c r="BE75" s="158">
        <v>-43831</v>
      </c>
      <c r="BF75" s="158">
        <v>-266599</v>
      </c>
      <c r="BG75" s="158">
        <v>0</v>
      </c>
      <c r="BH75" s="158">
        <v>0</v>
      </c>
      <c r="BI75" s="158">
        <v>-579411</v>
      </c>
      <c r="BJ75" s="158">
        <v>-43888</v>
      </c>
      <c r="BK75" s="158">
        <v>1729300</v>
      </c>
      <c r="BL75" s="1438">
        <v>11626050</v>
      </c>
      <c r="BM75" s="1439">
        <v>49500</v>
      </c>
      <c r="BN75" s="784" t="s">
        <v>2349</v>
      </c>
      <c r="BO75" s="784" t="s">
        <v>2350</v>
      </c>
      <c r="BP75" s="1400" t="s">
        <v>2430</v>
      </c>
      <c r="BQ75" s="509"/>
      <c r="BR75" s="509"/>
      <c r="BS75" s="509"/>
      <c r="BT75" s="509"/>
      <c r="BU75" s="509"/>
      <c r="BV75" s="509"/>
      <c r="BW75" s="509"/>
      <c r="BX75" s="509"/>
      <c r="BY75" s="509"/>
      <c r="BZ75" s="509"/>
      <c r="CA75" s="509"/>
      <c r="CB75" s="509"/>
      <c r="CC75" s="509"/>
      <c r="CD75" s="509"/>
      <c r="CE75" s="509"/>
      <c r="CF75" s="509"/>
      <c r="CG75" s="509"/>
      <c r="CH75" s="509"/>
      <c r="CI75" s="509"/>
      <c r="CJ75" s="509"/>
      <c r="CK75" s="509"/>
      <c r="CL75" s="509"/>
      <c r="CM75" s="509"/>
      <c r="CN75" s="509"/>
      <c r="CO75" s="509"/>
      <c r="CP75" s="509"/>
      <c r="CQ75" s="509"/>
      <c r="CR75" s="509"/>
      <c r="CS75" s="509"/>
    </row>
    <row r="76" spans="1:98" s="137" customFormat="1" ht="12.75" customHeight="1" x14ac:dyDescent="0.2">
      <c r="A76" s="1421">
        <v>72</v>
      </c>
      <c r="B76" s="649" t="s">
        <v>34</v>
      </c>
      <c r="C76" s="1607" t="s">
        <v>35</v>
      </c>
      <c r="D76" s="1605">
        <v>389820</v>
      </c>
      <c r="E76" s="1405">
        <v>237495841</v>
      </c>
      <c r="F76" s="1405">
        <v>10442</v>
      </c>
      <c r="G76" s="158">
        <v>-12289318</v>
      </c>
      <c r="H76" s="158">
        <v>-7156674</v>
      </c>
      <c r="I76" s="158">
        <v>-33570</v>
      </c>
      <c r="J76" s="158">
        <v>0</v>
      </c>
      <c r="K76" s="158">
        <v>-7086</v>
      </c>
      <c r="L76" s="158">
        <v>0</v>
      </c>
      <c r="M76" s="158">
        <v>-3805406</v>
      </c>
      <c r="N76" s="158">
        <v>-591073</v>
      </c>
      <c r="O76" s="158">
        <v>-38726</v>
      </c>
      <c r="P76" s="158">
        <v>-8392</v>
      </c>
      <c r="Q76" s="158">
        <v>0</v>
      </c>
      <c r="R76" s="158">
        <v>-511422</v>
      </c>
      <c r="S76" s="158">
        <v>-308603</v>
      </c>
      <c r="T76" s="158">
        <v>-202819</v>
      </c>
      <c r="U76" s="158">
        <v>-7105695</v>
      </c>
      <c r="V76" s="158">
        <v>90213009</v>
      </c>
      <c r="W76" s="158">
        <v>-1600000</v>
      </c>
      <c r="X76" s="158">
        <v>140123000</v>
      </c>
      <c r="Y76" s="158">
        <v>237445754</v>
      </c>
      <c r="Z76" s="158">
        <v>0</v>
      </c>
      <c r="AA76" s="158">
        <v>87746423</v>
      </c>
      <c r="AB76" s="158">
        <v>0</v>
      </c>
      <c r="AC76" s="158">
        <v>886328</v>
      </c>
      <c r="AD76" s="158">
        <v>391959</v>
      </c>
      <c r="AE76" s="158">
        <v>664338</v>
      </c>
      <c r="AF76" s="158">
        <v>0</v>
      </c>
      <c r="AG76" s="158">
        <v>0</v>
      </c>
      <c r="AH76" s="158">
        <v>0</v>
      </c>
      <c r="AI76" s="158">
        <v>0</v>
      </c>
      <c r="AJ76" s="158">
        <v>0</v>
      </c>
      <c r="AK76" s="158">
        <v>-6729320</v>
      </c>
      <c r="AL76" s="158">
        <v>374</v>
      </c>
      <c r="AM76" s="158">
        <v>10</v>
      </c>
      <c r="AN76" s="158">
        <v>0</v>
      </c>
      <c r="AO76" s="158">
        <v>3</v>
      </c>
      <c r="AP76" s="158">
        <v>0</v>
      </c>
      <c r="AQ76" s="158">
        <v>1546</v>
      </c>
      <c r="AR76" s="158">
        <v>285</v>
      </c>
      <c r="AS76" s="158">
        <v>7</v>
      </c>
      <c r="AT76" s="158">
        <v>10</v>
      </c>
      <c r="AU76" s="158">
        <v>0</v>
      </c>
      <c r="AV76" s="158">
        <v>0</v>
      </c>
      <c r="AW76" s="158">
        <v>18</v>
      </c>
      <c r="AX76" s="158">
        <v>0</v>
      </c>
      <c r="AY76" s="158">
        <v>854</v>
      </c>
      <c r="AZ76" s="158">
        <v>2532</v>
      </c>
      <c r="BA76" s="158">
        <v>4440</v>
      </c>
      <c r="BB76" s="158">
        <v>4147</v>
      </c>
      <c r="BC76" s="158">
        <v>293</v>
      </c>
      <c r="BD76" s="158">
        <v>3563</v>
      </c>
      <c r="BE76" s="158">
        <v>-1013024</v>
      </c>
      <c r="BF76" s="158">
        <v>-191319</v>
      </c>
      <c r="BG76" s="158">
        <v>0</v>
      </c>
      <c r="BH76" s="158">
        <v>0</v>
      </c>
      <c r="BI76" s="158">
        <v>-1741129</v>
      </c>
      <c r="BJ76" s="158">
        <v>-859934</v>
      </c>
      <c r="BK76" s="158">
        <v>-5880153</v>
      </c>
      <c r="BL76" s="1438">
        <v>34458125</v>
      </c>
      <c r="BM76" s="1439">
        <v>52750</v>
      </c>
      <c r="BN76" s="784" t="s">
        <v>2363</v>
      </c>
      <c r="BO76" s="784" t="s">
        <v>2373</v>
      </c>
      <c r="BP76" s="1400" t="s">
        <v>2431</v>
      </c>
      <c r="BQ76" s="509"/>
      <c r="BR76" s="509"/>
      <c r="BS76" s="509"/>
      <c r="BT76" s="509"/>
      <c r="BU76" s="509"/>
      <c r="BV76" s="509"/>
      <c r="BW76" s="509"/>
      <c r="BX76" s="509"/>
      <c r="BY76" s="509"/>
      <c r="BZ76" s="509"/>
      <c r="CA76" s="509"/>
      <c r="CB76" s="509"/>
      <c r="CC76" s="509"/>
      <c r="CD76" s="509"/>
      <c r="CE76" s="509"/>
      <c r="CF76" s="509"/>
      <c r="CG76" s="509"/>
      <c r="CH76" s="509"/>
      <c r="CI76" s="509"/>
      <c r="CJ76" s="509"/>
      <c r="CK76" s="509"/>
      <c r="CL76" s="509"/>
      <c r="CM76" s="509"/>
      <c r="CN76" s="509"/>
      <c r="CO76" s="509"/>
      <c r="CP76" s="509"/>
      <c r="CQ76" s="509"/>
      <c r="CR76" s="509"/>
      <c r="CS76" s="509"/>
    </row>
    <row r="77" spans="1:98" s="137" customFormat="1" ht="12.75" customHeight="1" x14ac:dyDescent="0.2">
      <c r="A77" s="1421">
        <v>73</v>
      </c>
      <c r="B77" s="649" t="s">
        <v>36</v>
      </c>
      <c r="C77" s="1607" t="s">
        <v>37</v>
      </c>
      <c r="D77" s="1605">
        <v>584631</v>
      </c>
      <c r="E77" s="1405">
        <v>340195338</v>
      </c>
      <c r="F77" s="1405">
        <v>16056</v>
      </c>
      <c r="G77" s="158">
        <v>-18113203</v>
      </c>
      <c r="H77" s="158">
        <v>-14723240</v>
      </c>
      <c r="I77" s="158">
        <v>-310539</v>
      </c>
      <c r="J77" s="158">
        <v>-138166</v>
      </c>
      <c r="K77" s="158">
        <v>-26155</v>
      </c>
      <c r="L77" s="158">
        <v>-100000</v>
      </c>
      <c r="M77" s="158">
        <v>-2752150</v>
      </c>
      <c r="N77" s="158">
        <v>-771618</v>
      </c>
      <c r="O77" s="158">
        <v>-415810</v>
      </c>
      <c r="P77" s="158">
        <v>0</v>
      </c>
      <c r="Q77" s="158">
        <v>0</v>
      </c>
      <c r="R77" s="158">
        <v>-243231</v>
      </c>
      <c r="S77" s="158">
        <v>-243231</v>
      </c>
      <c r="T77" s="158">
        <v>0</v>
      </c>
      <c r="U77" s="158">
        <v>-8929382</v>
      </c>
      <c r="V77" s="158">
        <v>124690650</v>
      </c>
      <c r="W77" s="158">
        <v>-3700000</v>
      </c>
      <c r="X77" s="158">
        <v>210992725</v>
      </c>
      <c r="Y77" s="158">
        <v>340677930</v>
      </c>
      <c r="Z77" s="158">
        <v>60592300</v>
      </c>
      <c r="AA77" s="158">
        <v>59618820</v>
      </c>
      <c r="AB77" s="158">
        <v>0</v>
      </c>
      <c r="AC77" s="158">
        <v>1216711</v>
      </c>
      <c r="AD77" s="158">
        <v>587100</v>
      </c>
      <c r="AE77" s="158">
        <v>0</v>
      </c>
      <c r="AF77" s="158">
        <v>309774</v>
      </c>
      <c r="AG77" s="158">
        <v>0</v>
      </c>
      <c r="AH77" s="158">
        <v>243231</v>
      </c>
      <c r="AI77" s="158">
        <v>0</v>
      </c>
      <c r="AJ77" s="158">
        <v>0</v>
      </c>
      <c r="AK77" s="158">
        <v>5848389</v>
      </c>
      <c r="AL77" s="158">
        <v>822</v>
      </c>
      <c r="AM77" s="158">
        <v>53</v>
      </c>
      <c r="AN77" s="158">
        <v>62</v>
      </c>
      <c r="AO77" s="158">
        <v>25</v>
      </c>
      <c r="AP77" s="158">
        <v>1</v>
      </c>
      <c r="AQ77" s="158">
        <v>937</v>
      </c>
      <c r="AR77" s="158">
        <v>478</v>
      </c>
      <c r="AS77" s="158">
        <v>68</v>
      </c>
      <c r="AT77" s="158">
        <v>0</v>
      </c>
      <c r="AU77" s="158">
        <v>0</v>
      </c>
      <c r="AV77" s="158">
        <v>0</v>
      </c>
      <c r="AW77" s="158">
        <v>6</v>
      </c>
      <c r="AX77" s="158">
        <v>0</v>
      </c>
      <c r="AY77" s="158">
        <v>1488</v>
      </c>
      <c r="AZ77" s="158">
        <v>3358</v>
      </c>
      <c r="BA77" s="158">
        <v>7806</v>
      </c>
      <c r="BB77" s="158">
        <v>7463</v>
      </c>
      <c r="BC77" s="158">
        <v>343</v>
      </c>
      <c r="BD77" s="158">
        <v>5183</v>
      </c>
      <c r="BE77" s="158">
        <v>-681757</v>
      </c>
      <c r="BF77" s="158">
        <v>-392612</v>
      </c>
      <c r="BG77" s="158">
        <v>0</v>
      </c>
      <c r="BH77" s="158">
        <v>-44985</v>
      </c>
      <c r="BI77" s="158">
        <v>-1372934</v>
      </c>
      <c r="BJ77" s="158">
        <v>-259862</v>
      </c>
      <c r="BK77" s="158">
        <v>5774804</v>
      </c>
      <c r="BL77" s="1438">
        <v>45836350</v>
      </c>
      <c r="BM77" s="1439">
        <v>346250</v>
      </c>
      <c r="BN77" s="784" t="s">
        <v>509</v>
      </c>
      <c r="BO77" s="784" t="s">
        <v>855</v>
      </c>
      <c r="BP77" s="1400" t="s">
        <v>2432</v>
      </c>
      <c r="BQ77" s="509"/>
      <c r="BR77" s="509"/>
      <c r="BS77" s="509"/>
      <c r="BT77" s="509"/>
      <c r="BU77" s="509"/>
      <c r="BV77" s="509"/>
      <c r="BW77" s="509"/>
      <c r="BX77" s="509"/>
      <c r="BY77" s="509"/>
      <c r="BZ77" s="509"/>
      <c r="CA77" s="509"/>
      <c r="CB77" s="509"/>
      <c r="CC77" s="509"/>
      <c r="CD77" s="509"/>
      <c r="CE77" s="509"/>
      <c r="CF77" s="509"/>
      <c r="CG77" s="509"/>
      <c r="CH77" s="509"/>
      <c r="CI77" s="509"/>
      <c r="CJ77" s="509"/>
      <c r="CK77" s="509"/>
      <c r="CL77" s="509"/>
      <c r="CM77" s="509"/>
      <c r="CN77" s="509"/>
      <c r="CO77" s="509"/>
      <c r="CP77" s="509"/>
      <c r="CQ77" s="509"/>
      <c r="CR77" s="509"/>
      <c r="CS77" s="509"/>
    </row>
    <row r="78" spans="1:98" s="137" customFormat="1" ht="12.75" customHeight="1" x14ac:dyDescent="0.2">
      <c r="A78" s="1421">
        <v>74</v>
      </c>
      <c r="B78" s="649" t="s">
        <v>38</v>
      </c>
      <c r="C78" s="1607" t="s">
        <v>39</v>
      </c>
      <c r="D78" s="1605">
        <v>502933</v>
      </c>
      <c r="E78" s="1405">
        <v>440447426</v>
      </c>
      <c r="F78" s="1405">
        <v>10844</v>
      </c>
      <c r="G78" s="158">
        <v>-10358988</v>
      </c>
      <c r="H78" s="158">
        <v>-12188378</v>
      </c>
      <c r="I78" s="158">
        <v>-36540</v>
      </c>
      <c r="J78" s="158">
        <v>0</v>
      </c>
      <c r="K78" s="158">
        <v>-877</v>
      </c>
      <c r="L78" s="158">
        <v>-145000</v>
      </c>
      <c r="M78" s="158">
        <v>-6450183</v>
      </c>
      <c r="N78" s="158">
        <v>-94696</v>
      </c>
      <c r="O78" s="158">
        <v>-19359</v>
      </c>
      <c r="P78" s="158">
        <v>0</v>
      </c>
      <c r="Q78" s="158">
        <v>0</v>
      </c>
      <c r="R78" s="158">
        <v>-36036</v>
      </c>
      <c r="S78" s="158">
        <v>0</v>
      </c>
      <c r="T78" s="158">
        <v>0</v>
      </c>
      <c r="U78" s="158">
        <v>-24058524</v>
      </c>
      <c r="V78" s="158">
        <v>174375773</v>
      </c>
      <c r="W78" s="158">
        <v>-5580025</v>
      </c>
      <c r="X78" s="158">
        <v>313241700</v>
      </c>
      <c r="Y78" s="158">
        <v>440227593</v>
      </c>
      <c r="Z78" s="158">
        <v>56041655</v>
      </c>
      <c r="AA78" s="158">
        <v>50946959</v>
      </c>
      <c r="AB78" s="158">
        <v>62834583</v>
      </c>
      <c r="AC78" s="158">
        <v>0</v>
      </c>
      <c r="AD78" s="158">
        <v>521644</v>
      </c>
      <c r="AE78" s="158">
        <v>0</v>
      </c>
      <c r="AF78" s="158">
        <v>0</v>
      </c>
      <c r="AG78" s="158">
        <v>0</v>
      </c>
      <c r="AH78" s="158">
        <v>0</v>
      </c>
      <c r="AI78" s="158">
        <v>0</v>
      </c>
      <c r="AJ78" s="158">
        <v>0</v>
      </c>
      <c r="AK78" s="158">
        <v>6200605</v>
      </c>
      <c r="AL78" s="158">
        <v>364</v>
      </c>
      <c r="AM78" s="158">
        <v>7</v>
      </c>
      <c r="AN78" s="158">
        <v>0</v>
      </c>
      <c r="AO78" s="158">
        <v>1</v>
      </c>
      <c r="AP78" s="158">
        <v>1</v>
      </c>
      <c r="AQ78" s="158">
        <v>413</v>
      </c>
      <c r="AR78" s="158">
        <v>69</v>
      </c>
      <c r="AS78" s="158">
        <v>4</v>
      </c>
      <c r="AT78" s="158">
        <v>0</v>
      </c>
      <c r="AU78" s="158">
        <v>0</v>
      </c>
      <c r="AV78" s="158">
        <v>0</v>
      </c>
      <c r="AW78" s="158">
        <v>0</v>
      </c>
      <c r="AX78" s="158">
        <v>0</v>
      </c>
      <c r="AY78" s="158">
        <v>2300</v>
      </c>
      <c r="AZ78" s="158">
        <v>1608</v>
      </c>
      <c r="BA78" s="158">
        <v>3304</v>
      </c>
      <c r="BB78" s="158">
        <v>2795</v>
      </c>
      <c r="BC78" s="158">
        <v>509</v>
      </c>
      <c r="BD78" s="158">
        <v>5905</v>
      </c>
      <c r="BE78" s="158">
        <v>-677073</v>
      </c>
      <c r="BF78" s="158">
        <v>-2002906</v>
      </c>
      <c r="BG78" s="158">
        <v>0</v>
      </c>
      <c r="BH78" s="158">
        <v>-73122</v>
      </c>
      <c r="BI78" s="158">
        <v>-3684258</v>
      </c>
      <c r="BJ78" s="158">
        <v>-12824</v>
      </c>
      <c r="BK78" s="158">
        <v>6300935</v>
      </c>
      <c r="BL78" s="1438">
        <v>32640500</v>
      </c>
      <c r="BM78" s="1439">
        <v>0</v>
      </c>
      <c r="BN78" s="784" t="s">
        <v>2359</v>
      </c>
      <c r="BO78" s="784" t="s">
        <v>2360</v>
      </c>
      <c r="BP78" s="1400" t="s">
        <v>2433</v>
      </c>
      <c r="BQ78" s="509"/>
      <c r="BR78" s="509"/>
      <c r="BS78" s="509"/>
      <c r="BT78" s="509"/>
      <c r="BU78" s="509"/>
      <c r="BV78" s="509"/>
      <c r="BW78" s="509"/>
      <c r="BX78" s="509"/>
      <c r="BY78" s="509"/>
      <c r="BZ78" s="509"/>
      <c r="CA78" s="509"/>
      <c r="CB78" s="509"/>
      <c r="CC78" s="509"/>
      <c r="CD78" s="509"/>
      <c r="CE78" s="509"/>
      <c r="CF78" s="509"/>
      <c r="CG78" s="509"/>
      <c r="CH78" s="509"/>
      <c r="CI78" s="509"/>
      <c r="CJ78" s="509"/>
      <c r="CK78" s="509"/>
      <c r="CL78" s="509"/>
      <c r="CM78" s="509"/>
      <c r="CN78" s="509"/>
      <c r="CO78" s="509"/>
      <c r="CP78" s="509"/>
      <c r="CQ78" s="509"/>
      <c r="CR78" s="509"/>
      <c r="CS78" s="509"/>
    </row>
    <row r="79" spans="1:98" s="657" customFormat="1" ht="12.75" customHeight="1" x14ac:dyDescent="0.2">
      <c r="A79" s="1421">
        <v>75</v>
      </c>
      <c r="B79" s="649" t="s">
        <v>40</v>
      </c>
      <c r="C79" s="1607" t="s">
        <v>41</v>
      </c>
      <c r="D79" s="1605">
        <v>102690</v>
      </c>
      <c r="E79" s="1405">
        <v>70843487</v>
      </c>
      <c r="F79" s="1405">
        <v>2611</v>
      </c>
      <c r="G79" s="158">
        <v>-2672098</v>
      </c>
      <c r="H79" s="158">
        <v>-2818004</v>
      </c>
      <c r="I79" s="158">
        <v>-28688</v>
      </c>
      <c r="J79" s="158">
        <v>-25152</v>
      </c>
      <c r="K79" s="158">
        <v>-19399</v>
      </c>
      <c r="L79" s="158">
        <v>0</v>
      </c>
      <c r="M79" s="158">
        <v>-604374</v>
      </c>
      <c r="N79" s="158">
        <v>-28887</v>
      </c>
      <c r="O79" s="158">
        <v>-2648</v>
      </c>
      <c r="P79" s="158">
        <v>-4764</v>
      </c>
      <c r="Q79" s="158">
        <v>0</v>
      </c>
      <c r="R79" s="158">
        <v>-110985</v>
      </c>
      <c r="S79" s="158">
        <v>-110000</v>
      </c>
      <c r="T79" s="158">
        <v>0</v>
      </c>
      <c r="U79" s="158">
        <v>-2529016</v>
      </c>
      <c r="V79" s="158">
        <v>26987139</v>
      </c>
      <c r="W79" s="158">
        <v>-1718317</v>
      </c>
      <c r="X79" s="158">
        <v>42474788</v>
      </c>
      <c r="Y79" s="158">
        <v>70504134</v>
      </c>
      <c r="Z79" s="158">
        <v>12077573</v>
      </c>
      <c r="AA79" s="158">
        <v>9750058</v>
      </c>
      <c r="AB79" s="158">
        <v>2193763</v>
      </c>
      <c r="AC79" s="158">
        <v>243751</v>
      </c>
      <c r="AD79" s="158">
        <v>101396</v>
      </c>
      <c r="AE79" s="158">
        <v>487217</v>
      </c>
      <c r="AF79" s="158">
        <v>1110021</v>
      </c>
      <c r="AG79" s="158">
        <v>0</v>
      </c>
      <c r="AH79" s="158">
        <v>110000</v>
      </c>
      <c r="AI79" s="158">
        <v>0</v>
      </c>
      <c r="AJ79" s="158">
        <v>0</v>
      </c>
      <c r="AK79" s="158">
        <v>2397635</v>
      </c>
      <c r="AL79" s="158">
        <v>141</v>
      </c>
      <c r="AM79" s="158">
        <v>10</v>
      </c>
      <c r="AN79" s="158">
        <v>10</v>
      </c>
      <c r="AO79" s="158">
        <v>10</v>
      </c>
      <c r="AP79" s="158">
        <v>0</v>
      </c>
      <c r="AQ79" s="158">
        <v>87</v>
      </c>
      <c r="AR79" s="158">
        <v>42</v>
      </c>
      <c r="AS79" s="158">
        <v>2</v>
      </c>
      <c r="AT79" s="158">
        <v>8</v>
      </c>
      <c r="AU79" s="158">
        <v>0</v>
      </c>
      <c r="AV79" s="158">
        <v>0</v>
      </c>
      <c r="AW79" s="158">
        <v>2</v>
      </c>
      <c r="AX79" s="158">
        <v>0</v>
      </c>
      <c r="AY79" s="158">
        <v>318</v>
      </c>
      <c r="AZ79" s="158">
        <v>232</v>
      </c>
      <c r="BA79" s="158">
        <v>957</v>
      </c>
      <c r="BB79" s="158">
        <v>875</v>
      </c>
      <c r="BC79" s="158">
        <v>82</v>
      </c>
      <c r="BD79" s="158">
        <v>1395</v>
      </c>
      <c r="BE79" s="158">
        <v>-65448</v>
      </c>
      <c r="BF79" s="158">
        <v>-223378</v>
      </c>
      <c r="BG79" s="158">
        <v>0</v>
      </c>
      <c r="BH79" s="158">
        <v>-5344</v>
      </c>
      <c r="BI79" s="158">
        <v>-310204</v>
      </c>
      <c r="BJ79" s="158">
        <v>0</v>
      </c>
      <c r="BK79" s="158">
        <v>2877441</v>
      </c>
      <c r="BL79" s="1438">
        <v>11792350</v>
      </c>
      <c r="BM79" s="1439">
        <v>0</v>
      </c>
      <c r="BN79" s="784" t="s">
        <v>2349</v>
      </c>
      <c r="BO79" s="784" t="s">
        <v>2357</v>
      </c>
      <c r="BP79" s="1400" t="s">
        <v>2434</v>
      </c>
      <c r="BQ79" s="509"/>
      <c r="BR79" s="509"/>
      <c r="BS79" s="509"/>
      <c r="BT79" s="509"/>
      <c r="BU79" s="509"/>
      <c r="BV79" s="509"/>
      <c r="BW79" s="509"/>
      <c r="BX79" s="509"/>
      <c r="BY79" s="509"/>
      <c r="BZ79" s="509"/>
      <c r="CA79" s="509"/>
      <c r="CB79" s="509"/>
      <c r="CC79" s="509"/>
      <c r="CD79" s="509"/>
      <c r="CE79" s="509"/>
      <c r="CF79" s="509"/>
      <c r="CG79" s="509"/>
      <c r="CH79" s="509"/>
      <c r="CI79" s="509"/>
      <c r="CJ79" s="509"/>
      <c r="CK79" s="509"/>
      <c r="CL79" s="509"/>
      <c r="CM79" s="509"/>
      <c r="CN79" s="509"/>
      <c r="CO79" s="509"/>
      <c r="CP79" s="509"/>
      <c r="CQ79" s="509"/>
      <c r="CR79" s="509"/>
      <c r="CS79" s="509"/>
      <c r="CT79" s="137"/>
    </row>
    <row r="80" spans="1:98" s="137" customFormat="1" ht="12.75" customHeight="1" x14ac:dyDescent="0.2">
      <c r="A80" s="1421">
        <v>76</v>
      </c>
      <c r="B80" s="649" t="s">
        <v>42</v>
      </c>
      <c r="C80" s="1607" t="s">
        <v>43</v>
      </c>
      <c r="D80" s="1605">
        <v>263851</v>
      </c>
      <c r="E80" s="1405">
        <v>120377899</v>
      </c>
      <c r="F80" s="1405">
        <v>7543</v>
      </c>
      <c r="G80" s="158">
        <v>-8633473</v>
      </c>
      <c r="H80" s="158">
        <v>-4198035</v>
      </c>
      <c r="I80" s="158">
        <v>-606067</v>
      </c>
      <c r="J80" s="158">
        <v>-90043</v>
      </c>
      <c r="K80" s="158">
        <v>-42839</v>
      </c>
      <c r="L80" s="158">
        <v>0</v>
      </c>
      <c r="M80" s="158">
        <v>-690840</v>
      </c>
      <c r="N80" s="158">
        <v>-148840</v>
      </c>
      <c r="O80" s="158">
        <v>-490</v>
      </c>
      <c r="P80" s="158">
        <v>-113421</v>
      </c>
      <c r="Q80" s="158">
        <v>0</v>
      </c>
      <c r="R80" s="158">
        <v>0</v>
      </c>
      <c r="S80" s="158">
        <v>0</v>
      </c>
      <c r="T80" s="158">
        <v>0</v>
      </c>
      <c r="U80" s="158">
        <v>-6969790</v>
      </c>
      <c r="V80" s="158">
        <v>39461192</v>
      </c>
      <c r="W80" s="158">
        <v>-1175839</v>
      </c>
      <c r="X80" s="158">
        <v>60826900</v>
      </c>
      <c r="Y80" s="158">
        <v>120884863</v>
      </c>
      <c r="Z80" s="158">
        <v>18308757</v>
      </c>
      <c r="AA80" s="158">
        <v>14647005</v>
      </c>
      <c r="AB80" s="158">
        <v>3295576</v>
      </c>
      <c r="AC80" s="158">
        <v>366175</v>
      </c>
      <c r="AD80" s="158">
        <v>266348</v>
      </c>
      <c r="AE80" s="158">
        <v>2155390</v>
      </c>
      <c r="AF80" s="158">
        <v>711384</v>
      </c>
      <c r="AG80" s="158">
        <v>0</v>
      </c>
      <c r="AH80" s="158">
        <v>0</v>
      </c>
      <c r="AI80" s="158">
        <v>0</v>
      </c>
      <c r="AJ80" s="158">
        <v>0</v>
      </c>
      <c r="AK80" s="158">
        <v>-1619514</v>
      </c>
      <c r="AL80" s="158">
        <v>444</v>
      </c>
      <c r="AM80" s="158">
        <v>72</v>
      </c>
      <c r="AN80" s="158">
        <v>37</v>
      </c>
      <c r="AO80" s="158">
        <v>20</v>
      </c>
      <c r="AP80" s="158">
        <v>0</v>
      </c>
      <c r="AQ80" s="158">
        <v>499</v>
      </c>
      <c r="AR80" s="158">
        <v>253</v>
      </c>
      <c r="AS80" s="158">
        <v>1</v>
      </c>
      <c r="AT80" s="158">
        <v>67</v>
      </c>
      <c r="AU80" s="158">
        <v>5</v>
      </c>
      <c r="AV80" s="158">
        <v>0</v>
      </c>
      <c r="AW80" s="158">
        <v>0</v>
      </c>
      <c r="AX80" s="158">
        <v>0</v>
      </c>
      <c r="AY80" s="158">
        <v>1014</v>
      </c>
      <c r="AZ80" s="158">
        <v>1345</v>
      </c>
      <c r="BA80" s="158">
        <v>3888</v>
      </c>
      <c r="BB80" s="158">
        <v>3728</v>
      </c>
      <c r="BC80" s="158">
        <v>160</v>
      </c>
      <c r="BD80" s="158">
        <v>2474</v>
      </c>
      <c r="BE80" s="158">
        <v>-4899</v>
      </c>
      <c r="BF80" s="158">
        <v>-372873</v>
      </c>
      <c r="BG80" s="158">
        <v>0</v>
      </c>
      <c r="BH80" s="158">
        <v>0</v>
      </c>
      <c r="BI80" s="158">
        <v>-313068</v>
      </c>
      <c r="BJ80" s="158">
        <v>0</v>
      </c>
      <c r="BK80" s="158">
        <v>-3455333</v>
      </c>
      <c r="BL80" s="1438">
        <v>17568625</v>
      </c>
      <c r="BM80" s="1439">
        <v>154750</v>
      </c>
      <c r="BN80" s="784" t="s">
        <v>2349</v>
      </c>
      <c r="BO80" s="784" t="s">
        <v>2369</v>
      </c>
      <c r="BP80" s="1400" t="s">
        <v>2435</v>
      </c>
      <c r="BQ80" s="509"/>
      <c r="BR80" s="509"/>
      <c r="BS80" s="509"/>
      <c r="BT80" s="509"/>
      <c r="BU80" s="509"/>
      <c r="BV80" s="509"/>
      <c r="BW80" s="509"/>
      <c r="BX80" s="509"/>
      <c r="BY80" s="509"/>
      <c r="BZ80" s="509"/>
      <c r="CA80" s="509"/>
      <c r="CB80" s="509"/>
      <c r="CC80" s="509"/>
      <c r="CD80" s="509"/>
      <c r="CE80" s="509"/>
      <c r="CF80" s="509"/>
      <c r="CG80" s="509"/>
      <c r="CH80" s="509"/>
      <c r="CI80" s="509"/>
      <c r="CJ80" s="509"/>
      <c r="CK80" s="509"/>
      <c r="CL80" s="509"/>
      <c r="CM80" s="509"/>
      <c r="CN80" s="509"/>
      <c r="CO80" s="509"/>
      <c r="CP80" s="509"/>
      <c r="CQ80" s="509"/>
      <c r="CR80" s="509"/>
      <c r="CS80" s="509"/>
    </row>
    <row r="81" spans="1:98" s="137" customFormat="1" ht="12.75" customHeight="1" x14ac:dyDescent="0.2">
      <c r="A81" s="1421">
        <v>77</v>
      </c>
      <c r="B81" s="649" t="s">
        <v>44</v>
      </c>
      <c r="C81" s="1607" t="s">
        <v>45</v>
      </c>
      <c r="D81" s="1605">
        <v>159080</v>
      </c>
      <c r="E81" s="1405">
        <v>96959087</v>
      </c>
      <c r="F81" s="1405">
        <v>4149</v>
      </c>
      <c r="G81" s="158">
        <v>-4323210</v>
      </c>
      <c r="H81" s="158">
        <v>-3900687</v>
      </c>
      <c r="I81" s="158">
        <v>-38439</v>
      </c>
      <c r="J81" s="158">
        <v>-17228</v>
      </c>
      <c r="K81" s="158">
        <v>-10447</v>
      </c>
      <c r="L81" s="158">
        <v>-50000</v>
      </c>
      <c r="M81" s="158">
        <v>-1440684</v>
      </c>
      <c r="N81" s="158">
        <v>-229004</v>
      </c>
      <c r="O81" s="158">
        <v>-651</v>
      </c>
      <c r="P81" s="158">
        <v>-4805</v>
      </c>
      <c r="Q81" s="158">
        <v>0</v>
      </c>
      <c r="R81" s="158">
        <v>-6599</v>
      </c>
      <c r="S81" s="158">
        <v>-6599</v>
      </c>
      <c r="T81" s="158">
        <v>0</v>
      </c>
      <c r="U81" s="158">
        <v>-5295139</v>
      </c>
      <c r="V81" s="158">
        <v>34140600</v>
      </c>
      <c r="W81" s="158">
        <v>-1057234</v>
      </c>
      <c r="X81" s="158">
        <v>53049250</v>
      </c>
      <c r="Y81" s="158">
        <v>97866926</v>
      </c>
      <c r="Z81" s="158">
        <v>16990882</v>
      </c>
      <c r="AA81" s="158">
        <v>13597984</v>
      </c>
      <c r="AB81" s="158">
        <v>3059546</v>
      </c>
      <c r="AC81" s="158">
        <v>339950</v>
      </c>
      <c r="AD81" s="158">
        <v>159045</v>
      </c>
      <c r="AE81" s="158">
        <v>0</v>
      </c>
      <c r="AF81" s="158">
        <v>73703</v>
      </c>
      <c r="AG81" s="158">
        <v>0</v>
      </c>
      <c r="AH81" s="158">
        <v>6599</v>
      </c>
      <c r="AI81" s="158">
        <v>0</v>
      </c>
      <c r="AJ81" s="158">
        <v>0</v>
      </c>
      <c r="AK81" s="158">
        <v>1823733</v>
      </c>
      <c r="AL81" s="158">
        <v>263</v>
      </c>
      <c r="AM81" s="158">
        <v>12</v>
      </c>
      <c r="AN81" s="158">
        <v>7</v>
      </c>
      <c r="AO81" s="158">
        <v>8</v>
      </c>
      <c r="AP81" s="158">
        <v>1</v>
      </c>
      <c r="AQ81" s="158">
        <v>292</v>
      </c>
      <c r="AR81" s="158">
        <v>105</v>
      </c>
      <c r="AS81" s="158">
        <v>1</v>
      </c>
      <c r="AT81" s="158">
        <v>13</v>
      </c>
      <c r="AU81" s="158">
        <v>0</v>
      </c>
      <c r="AV81" s="158">
        <v>0</v>
      </c>
      <c r="AW81" s="158">
        <v>4</v>
      </c>
      <c r="AX81" s="158">
        <v>0</v>
      </c>
      <c r="AY81" s="158">
        <v>734</v>
      </c>
      <c r="AZ81" s="158">
        <v>1005</v>
      </c>
      <c r="BA81" s="158">
        <v>1519</v>
      </c>
      <c r="BB81" s="158">
        <v>1353</v>
      </c>
      <c r="BC81" s="158">
        <v>166</v>
      </c>
      <c r="BD81" s="158">
        <v>1622</v>
      </c>
      <c r="BE81" s="158">
        <v>-369852</v>
      </c>
      <c r="BF81" s="158">
        <v>-363471</v>
      </c>
      <c r="BG81" s="158">
        <v>0</v>
      </c>
      <c r="BH81" s="158">
        <v>0</v>
      </c>
      <c r="BI81" s="158">
        <v>-684240</v>
      </c>
      <c r="BJ81" s="158">
        <v>-23121</v>
      </c>
      <c r="BK81" s="158">
        <v>1286773</v>
      </c>
      <c r="BL81" s="1438">
        <v>19604058</v>
      </c>
      <c r="BM81" s="1439">
        <v>0</v>
      </c>
      <c r="BN81" s="784" t="s">
        <v>2349</v>
      </c>
      <c r="BO81" s="784" t="s">
        <v>2350</v>
      </c>
      <c r="BP81" s="1400" t="s">
        <v>2436</v>
      </c>
      <c r="BQ81" s="509"/>
      <c r="BR81" s="509"/>
      <c r="BS81" s="509"/>
      <c r="BT81" s="509"/>
      <c r="BU81" s="509"/>
      <c r="BV81" s="509"/>
      <c r="BW81" s="509"/>
      <c r="BX81" s="509"/>
      <c r="BY81" s="509"/>
      <c r="BZ81" s="509"/>
      <c r="CA81" s="509"/>
      <c r="CB81" s="509"/>
      <c r="CC81" s="509"/>
      <c r="CD81" s="509"/>
      <c r="CE81" s="509"/>
      <c r="CF81" s="509"/>
      <c r="CG81" s="509"/>
      <c r="CH81" s="509"/>
      <c r="CI81" s="509"/>
      <c r="CJ81" s="509"/>
      <c r="CK81" s="509"/>
      <c r="CL81" s="509"/>
      <c r="CM81" s="509"/>
      <c r="CN81" s="509"/>
      <c r="CO81" s="509"/>
      <c r="CP81" s="509"/>
      <c r="CQ81" s="509"/>
      <c r="CR81" s="509"/>
      <c r="CS81" s="509"/>
    </row>
    <row r="82" spans="1:98" s="137" customFormat="1" ht="12.75" customHeight="1" x14ac:dyDescent="0.2">
      <c r="A82" s="1421">
        <v>78</v>
      </c>
      <c r="B82" s="649" t="s">
        <v>46</v>
      </c>
      <c r="C82" s="1607" t="s">
        <v>47</v>
      </c>
      <c r="D82" s="1605">
        <v>204579</v>
      </c>
      <c r="E82" s="1405">
        <v>139963147</v>
      </c>
      <c r="F82" s="1405">
        <v>4927</v>
      </c>
      <c r="G82" s="158">
        <v>-5482790</v>
      </c>
      <c r="H82" s="158">
        <v>-5854409</v>
      </c>
      <c r="I82" s="158">
        <v>-80402</v>
      </c>
      <c r="J82" s="158">
        <v>-61856</v>
      </c>
      <c r="K82" s="158">
        <v>-11132</v>
      </c>
      <c r="L82" s="158">
        <v>0</v>
      </c>
      <c r="M82" s="158">
        <v>-1589713</v>
      </c>
      <c r="N82" s="158">
        <v>-236014</v>
      </c>
      <c r="O82" s="158">
        <v>-42094</v>
      </c>
      <c r="P82" s="158">
        <v>0</v>
      </c>
      <c r="Q82" s="158">
        <v>0</v>
      </c>
      <c r="R82" s="158">
        <v>0</v>
      </c>
      <c r="S82" s="158">
        <v>0</v>
      </c>
      <c r="T82" s="158">
        <v>0</v>
      </c>
      <c r="U82" s="158">
        <v>-5585471</v>
      </c>
      <c r="V82" s="158">
        <v>50132609</v>
      </c>
      <c r="W82" s="158">
        <v>-2000000</v>
      </c>
      <c r="X82" s="158">
        <v>83359400</v>
      </c>
      <c r="Y82" s="158">
        <v>139190997</v>
      </c>
      <c r="Z82" s="158">
        <v>25276646</v>
      </c>
      <c r="AA82" s="158">
        <v>20221317</v>
      </c>
      <c r="AB82" s="158">
        <v>5055329</v>
      </c>
      <c r="AC82" s="158">
        <v>0</v>
      </c>
      <c r="AD82" s="158">
        <v>202531</v>
      </c>
      <c r="AE82" s="158">
        <v>0</v>
      </c>
      <c r="AF82" s="158">
        <v>91391</v>
      </c>
      <c r="AG82" s="158">
        <v>0</v>
      </c>
      <c r="AH82" s="158">
        <v>0</v>
      </c>
      <c r="AI82" s="158">
        <v>0</v>
      </c>
      <c r="AJ82" s="158">
        <v>0</v>
      </c>
      <c r="AK82" s="158">
        <v>642808</v>
      </c>
      <c r="AL82" s="158">
        <v>272</v>
      </c>
      <c r="AM82" s="158">
        <v>17</v>
      </c>
      <c r="AN82" s="158">
        <v>24</v>
      </c>
      <c r="AO82" s="158">
        <v>5</v>
      </c>
      <c r="AP82" s="158">
        <v>0</v>
      </c>
      <c r="AQ82" s="158">
        <v>294</v>
      </c>
      <c r="AR82" s="158">
        <v>128</v>
      </c>
      <c r="AS82" s="158">
        <v>0</v>
      </c>
      <c r="AT82" s="158">
        <v>5</v>
      </c>
      <c r="AU82" s="158">
        <v>0</v>
      </c>
      <c r="AV82" s="158">
        <v>0</v>
      </c>
      <c r="AW82" s="158">
        <v>0</v>
      </c>
      <c r="AX82" s="158">
        <v>0</v>
      </c>
      <c r="AY82" s="158">
        <v>551</v>
      </c>
      <c r="AZ82" s="158">
        <v>1191</v>
      </c>
      <c r="BA82" s="158">
        <v>1889</v>
      </c>
      <c r="BB82" s="158">
        <v>1653</v>
      </c>
      <c r="BC82" s="158">
        <v>236</v>
      </c>
      <c r="BD82" s="158">
        <v>1888</v>
      </c>
      <c r="BE82" s="158">
        <v>-308651</v>
      </c>
      <c r="BF82" s="158">
        <v>-690221</v>
      </c>
      <c r="BG82" s="158">
        <v>0</v>
      </c>
      <c r="BH82" s="158">
        <v>-13473</v>
      </c>
      <c r="BI82" s="158">
        <v>-385554</v>
      </c>
      <c r="BJ82" s="158">
        <v>-191814</v>
      </c>
      <c r="BK82" s="158">
        <v>303639</v>
      </c>
      <c r="BL82" s="1438">
        <v>23529775</v>
      </c>
      <c r="BM82" s="1439">
        <v>0</v>
      </c>
      <c r="BN82" s="784" t="s">
        <v>2349</v>
      </c>
      <c r="BO82" s="784" t="s">
        <v>2357</v>
      </c>
      <c r="BP82" s="1400" t="s">
        <v>2437</v>
      </c>
      <c r="BQ82" s="509"/>
      <c r="BR82" s="509"/>
      <c r="BS82" s="509"/>
      <c r="BT82" s="509"/>
      <c r="BU82" s="509"/>
      <c r="BV82" s="509"/>
      <c r="BW82" s="509"/>
      <c r="BX82" s="509"/>
      <c r="BY82" s="509"/>
      <c r="BZ82" s="509"/>
      <c r="CA82" s="509"/>
      <c r="CB82" s="509"/>
      <c r="CC82" s="509"/>
      <c r="CD82" s="509"/>
      <c r="CE82" s="509"/>
      <c r="CF82" s="509"/>
      <c r="CG82" s="509"/>
      <c r="CH82" s="509"/>
      <c r="CI82" s="509"/>
      <c r="CJ82" s="509"/>
      <c r="CK82" s="509"/>
      <c r="CL82" s="509"/>
      <c r="CM82" s="509"/>
      <c r="CN82" s="509"/>
      <c r="CO82" s="509"/>
      <c r="CP82" s="509"/>
      <c r="CQ82" s="509"/>
      <c r="CR82" s="509"/>
      <c r="CS82" s="509"/>
    </row>
    <row r="83" spans="1:98" s="137" customFormat="1" ht="12.75" customHeight="1" x14ac:dyDescent="0.2">
      <c r="A83" s="1421">
        <v>79</v>
      </c>
      <c r="B83" s="649" t="s">
        <v>48</v>
      </c>
      <c r="C83" s="1607" t="s">
        <v>49</v>
      </c>
      <c r="D83" s="1605">
        <v>256441</v>
      </c>
      <c r="E83" s="1405">
        <v>122044900</v>
      </c>
      <c r="F83" s="1405">
        <v>7286</v>
      </c>
      <c r="G83" s="158">
        <v>-7618769</v>
      </c>
      <c r="H83" s="158">
        <v>-3518235</v>
      </c>
      <c r="I83" s="158">
        <v>-56736</v>
      </c>
      <c r="J83" s="158">
        <v>-124227</v>
      </c>
      <c r="K83" s="158">
        <v>-39845</v>
      </c>
      <c r="L83" s="158">
        <v>0</v>
      </c>
      <c r="M83" s="158">
        <v>-621072</v>
      </c>
      <c r="N83" s="158">
        <v>-67311</v>
      </c>
      <c r="O83" s="158">
        <v>0</v>
      </c>
      <c r="P83" s="158">
        <v>-808</v>
      </c>
      <c r="Q83" s="158">
        <v>0</v>
      </c>
      <c r="R83" s="158">
        <v>0</v>
      </c>
      <c r="S83" s="158">
        <v>0</v>
      </c>
      <c r="T83" s="158">
        <v>0</v>
      </c>
      <c r="U83" s="158">
        <v>-8205409</v>
      </c>
      <c r="V83" s="158">
        <v>42282708</v>
      </c>
      <c r="W83" s="158">
        <v>-317120</v>
      </c>
      <c r="X83" s="158">
        <v>62336275</v>
      </c>
      <c r="Y83" s="158">
        <v>116837157</v>
      </c>
      <c r="Z83" s="158">
        <v>18593337</v>
      </c>
      <c r="AA83" s="158">
        <v>14874670</v>
      </c>
      <c r="AB83" s="158">
        <v>3718668</v>
      </c>
      <c r="AC83" s="158">
        <v>0</v>
      </c>
      <c r="AD83" s="158">
        <v>259139</v>
      </c>
      <c r="AE83" s="158">
        <v>0</v>
      </c>
      <c r="AF83" s="158">
        <v>5189645</v>
      </c>
      <c r="AG83" s="158">
        <v>0</v>
      </c>
      <c r="AH83" s="158">
        <v>0</v>
      </c>
      <c r="AI83" s="158">
        <v>0</v>
      </c>
      <c r="AJ83" s="158">
        <v>0</v>
      </c>
      <c r="AK83" s="158">
        <v>388006</v>
      </c>
      <c r="AL83" s="158">
        <v>371</v>
      </c>
      <c r="AM83" s="158">
        <v>17</v>
      </c>
      <c r="AN83" s="158">
        <v>54</v>
      </c>
      <c r="AO83" s="158">
        <v>20</v>
      </c>
      <c r="AP83" s="158">
        <v>0</v>
      </c>
      <c r="AQ83" s="158">
        <v>284</v>
      </c>
      <c r="AR83" s="158">
        <v>105</v>
      </c>
      <c r="AS83" s="158">
        <v>0</v>
      </c>
      <c r="AT83" s="158">
        <v>1</v>
      </c>
      <c r="AU83" s="158">
        <v>0</v>
      </c>
      <c r="AV83" s="158">
        <v>0</v>
      </c>
      <c r="AW83" s="158">
        <v>0</v>
      </c>
      <c r="AX83" s="158">
        <v>0</v>
      </c>
      <c r="AY83" s="158">
        <v>1146</v>
      </c>
      <c r="AZ83" s="158">
        <v>352</v>
      </c>
      <c r="BA83" s="158">
        <v>3774</v>
      </c>
      <c r="BB83" s="158">
        <v>3633</v>
      </c>
      <c r="BC83" s="158">
        <v>141</v>
      </c>
      <c r="BD83" s="158">
        <v>3234</v>
      </c>
      <c r="BE83" s="158">
        <v>-25698</v>
      </c>
      <c r="BF83" s="158">
        <v>-341383</v>
      </c>
      <c r="BG83" s="158">
        <v>0</v>
      </c>
      <c r="BH83" s="158">
        <v>-9266</v>
      </c>
      <c r="BI83" s="158">
        <v>-244725</v>
      </c>
      <c r="BJ83" s="158">
        <v>0</v>
      </c>
      <c r="BK83" s="158">
        <v>294247</v>
      </c>
      <c r="BL83" s="1438">
        <v>19641325</v>
      </c>
      <c r="BM83" s="1439">
        <v>0</v>
      </c>
      <c r="BN83" s="784" t="s">
        <v>2349</v>
      </c>
      <c r="BO83" s="784" t="s">
        <v>2352</v>
      </c>
      <c r="BP83" s="1400" t="s">
        <v>2438</v>
      </c>
      <c r="BQ83" s="509"/>
      <c r="BR83" s="509"/>
      <c r="BS83" s="509"/>
      <c r="BT83" s="509"/>
      <c r="BU83" s="509"/>
      <c r="BV83" s="509"/>
      <c r="BW83" s="509"/>
      <c r="BX83" s="509"/>
      <c r="BY83" s="509"/>
      <c r="BZ83" s="509"/>
      <c r="CA83" s="509"/>
      <c r="CB83" s="509"/>
      <c r="CC83" s="509"/>
      <c r="CD83" s="509"/>
      <c r="CE83" s="509"/>
      <c r="CF83" s="509"/>
      <c r="CG83" s="509"/>
      <c r="CH83" s="509"/>
      <c r="CI83" s="509"/>
      <c r="CJ83" s="509"/>
      <c r="CK83" s="509"/>
      <c r="CL83" s="509"/>
      <c r="CM83" s="509"/>
      <c r="CN83" s="509"/>
      <c r="CO83" s="509"/>
      <c r="CP83" s="509"/>
      <c r="CQ83" s="509"/>
      <c r="CR83" s="509"/>
      <c r="CS83" s="509"/>
    </row>
    <row r="84" spans="1:98" s="137" customFormat="1" ht="12.75" customHeight="1" x14ac:dyDescent="0.2">
      <c r="A84" s="1421">
        <v>80</v>
      </c>
      <c r="B84" s="649" t="s">
        <v>592</v>
      </c>
      <c r="C84" s="1607" t="s">
        <v>51</v>
      </c>
      <c r="D84" s="1605">
        <v>456347</v>
      </c>
      <c r="E84" s="1405">
        <v>295704375</v>
      </c>
      <c r="F84" s="1405">
        <v>12263</v>
      </c>
      <c r="G84" s="158">
        <v>-14590413</v>
      </c>
      <c r="H84" s="158">
        <v>-5373365</v>
      </c>
      <c r="I84" s="158">
        <v>-119859</v>
      </c>
      <c r="J84" s="158">
        <v>-94320</v>
      </c>
      <c r="K84" s="158">
        <v>-76023</v>
      </c>
      <c r="L84" s="158">
        <v>0</v>
      </c>
      <c r="M84" s="158">
        <v>-1957170</v>
      </c>
      <c r="N84" s="158">
        <v>-127735</v>
      </c>
      <c r="O84" s="158">
        <v>-433837</v>
      </c>
      <c r="P84" s="158">
        <v>-25250</v>
      </c>
      <c r="Q84" s="158">
        <v>-32524</v>
      </c>
      <c r="R84" s="158">
        <v>0</v>
      </c>
      <c r="S84" s="158">
        <v>0</v>
      </c>
      <c r="T84" s="158">
        <v>0</v>
      </c>
      <c r="U84" s="158">
        <v>-11308168</v>
      </c>
      <c r="V84" s="158">
        <v>117379920</v>
      </c>
      <c r="W84" s="158">
        <v>-4894680</v>
      </c>
      <c r="X84" s="158">
        <v>190641200</v>
      </c>
      <c r="Y84" s="158">
        <v>290827840</v>
      </c>
      <c r="Z84" s="158">
        <v>51078757</v>
      </c>
      <c r="AA84" s="158">
        <v>50057182</v>
      </c>
      <c r="AB84" s="158">
        <v>0</v>
      </c>
      <c r="AC84" s="158">
        <v>1021575</v>
      </c>
      <c r="AD84" s="158">
        <v>459981</v>
      </c>
      <c r="AE84" s="158">
        <v>1586041</v>
      </c>
      <c r="AF84" s="158">
        <v>7967689</v>
      </c>
      <c r="AG84" s="158">
        <v>0</v>
      </c>
      <c r="AH84" s="158">
        <v>0</v>
      </c>
      <c r="AI84" s="158">
        <v>0</v>
      </c>
      <c r="AJ84" s="158">
        <v>0</v>
      </c>
      <c r="AK84" s="158">
        <v>5854804</v>
      </c>
      <c r="AL84" s="158">
        <v>485</v>
      </c>
      <c r="AM84" s="158">
        <v>8</v>
      </c>
      <c r="AN84" s="158">
        <v>49</v>
      </c>
      <c r="AO84" s="158">
        <v>34</v>
      </c>
      <c r="AP84" s="158">
        <v>0</v>
      </c>
      <c r="AQ84" s="158">
        <v>980</v>
      </c>
      <c r="AR84" s="158">
        <v>210</v>
      </c>
      <c r="AS84" s="158">
        <v>65</v>
      </c>
      <c r="AT84" s="158">
        <v>7</v>
      </c>
      <c r="AU84" s="158">
        <v>0</v>
      </c>
      <c r="AV84" s="158">
        <v>11</v>
      </c>
      <c r="AW84" s="158">
        <v>0</v>
      </c>
      <c r="AX84" s="158">
        <v>0</v>
      </c>
      <c r="AY84" s="158">
        <v>1847</v>
      </c>
      <c r="AZ84" s="158">
        <v>875</v>
      </c>
      <c r="BA84" s="158">
        <v>6211</v>
      </c>
      <c r="BB84" s="158">
        <v>5931</v>
      </c>
      <c r="BC84" s="158">
        <v>280</v>
      </c>
      <c r="BD84" s="158">
        <v>5331</v>
      </c>
      <c r="BE84" s="158">
        <v>-57482</v>
      </c>
      <c r="BF84" s="158">
        <v>-284506</v>
      </c>
      <c r="BG84" s="158">
        <v>0</v>
      </c>
      <c r="BH84" s="158">
        <v>-364</v>
      </c>
      <c r="BI84" s="158">
        <v>-1269082</v>
      </c>
      <c r="BJ84" s="158">
        <v>-345736</v>
      </c>
      <c r="BK84" s="158">
        <v>9816405</v>
      </c>
      <c r="BL84" s="1438">
        <v>37641325</v>
      </c>
      <c r="BM84" s="1439">
        <v>0</v>
      </c>
      <c r="BN84" s="784" t="s">
        <v>509</v>
      </c>
      <c r="BO84" s="784" t="s">
        <v>2364</v>
      </c>
      <c r="BP84" s="1400" t="s">
        <v>2439</v>
      </c>
      <c r="BQ84" s="509"/>
      <c r="BR84" s="509"/>
      <c r="BS84" s="509"/>
      <c r="BT84" s="509"/>
      <c r="BU84" s="509"/>
      <c r="BV84" s="509"/>
      <c r="BW84" s="509"/>
      <c r="BX84" s="509"/>
      <c r="BY84" s="509"/>
      <c r="BZ84" s="509"/>
      <c r="CA84" s="509"/>
      <c r="CB84" s="509"/>
      <c r="CC84" s="509"/>
      <c r="CD84" s="509"/>
      <c r="CE84" s="509"/>
      <c r="CF84" s="509"/>
      <c r="CG84" s="509"/>
      <c r="CH84" s="509"/>
      <c r="CI84" s="509"/>
      <c r="CJ84" s="509"/>
      <c r="CK84" s="509"/>
      <c r="CL84" s="509"/>
      <c r="CM84" s="509"/>
      <c r="CN84" s="509"/>
      <c r="CO84" s="509"/>
      <c r="CP84" s="509"/>
      <c r="CQ84" s="509"/>
      <c r="CR84" s="509"/>
      <c r="CS84" s="509"/>
    </row>
    <row r="85" spans="1:98" s="137" customFormat="1" ht="12.75" customHeight="1" x14ac:dyDescent="0.2">
      <c r="A85" s="1421">
        <v>81</v>
      </c>
      <c r="B85" s="649" t="s">
        <v>54</v>
      </c>
      <c r="C85" s="1607" t="s">
        <v>55</v>
      </c>
      <c r="D85" s="1605">
        <v>171028</v>
      </c>
      <c r="E85" s="1405">
        <v>155839274</v>
      </c>
      <c r="F85" s="1405">
        <v>4193</v>
      </c>
      <c r="G85" s="158">
        <v>-4966363</v>
      </c>
      <c r="H85" s="158">
        <v>-3617532</v>
      </c>
      <c r="I85" s="158">
        <v>-49106</v>
      </c>
      <c r="J85" s="158">
        <v>0</v>
      </c>
      <c r="K85" s="158">
        <v>0</v>
      </c>
      <c r="L85" s="158">
        <v>0</v>
      </c>
      <c r="M85" s="158">
        <v>-1759716</v>
      </c>
      <c r="N85" s="158">
        <v>-6636</v>
      </c>
      <c r="O85" s="158">
        <v>0</v>
      </c>
      <c r="P85" s="158">
        <v>0</v>
      </c>
      <c r="Q85" s="158">
        <v>0</v>
      </c>
      <c r="R85" s="158">
        <v>0</v>
      </c>
      <c r="S85" s="158">
        <v>0</v>
      </c>
      <c r="T85" s="158">
        <v>0</v>
      </c>
      <c r="U85" s="158">
        <v>-3551615</v>
      </c>
      <c r="V85" s="158">
        <v>67061728</v>
      </c>
      <c r="W85" s="158">
        <v>-2695913</v>
      </c>
      <c r="X85" s="158">
        <v>112715750</v>
      </c>
      <c r="Y85" s="158">
        <v>155520594</v>
      </c>
      <c r="Z85" s="158">
        <v>32104920</v>
      </c>
      <c r="AA85" s="158">
        <v>25683936</v>
      </c>
      <c r="AB85" s="158">
        <v>5778886</v>
      </c>
      <c r="AC85" s="158">
        <v>642098</v>
      </c>
      <c r="AD85" s="158">
        <v>170060</v>
      </c>
      <c r="AE85" s="158">
        <v>0</v>
      </c>
      <c r="AF85" s="158">
        <v>0</v>
      </c>
      <c r="AG85" s="158">
        <v>0</v>
      </c>
      <c r="AH85" s="158">
        <v>0</v>
      </c>
      <c r="AI85" s="158">
        <v>0</v>
      </c>
      <c r="AJ85" s="158">
        <v>0</v>
      </c>
      <c r="AK85" s="158">
        <v>2736700</v>
      </c>
      <c r="AL85" s="158">
        <v>154</v>
      </c>
      <c r="AM85" s="158">
        <v>7</v>
      </c>
      <c r="AN85" s="158">
        <v>0</v>
      </c>
      <c r="AO85" s="158">
        <v>9</v>
      </c>
      <c r="AP85" s="158">
        <v>0</v>
      </c>
      <c r="AQ85" s="158">
        <v>261</v>
      </c>
      <c r="AR85" s="158">
        <v>3</v>
      </c>
      <c r="AS85" s="158">
        <v>0</v>
      </c>
      <c r="AT85" s="158">
        <v>0</v>
      </c>
      <c r="AU85" s="158">
        <v>0</v>
      </c>
      <c r="AV85" s="158">
        <v>0</v>
      </c>
      <c r="AW85" s="158">
        <v>0</v>
      </c>
      <c r="AX85" s="158">
        <v>0</v>
      </c>
      <c r="AY85" s="158">
        <v>404</v>
      </c>
      <c r="AZ85" s="158">
        <v>0</v>
      </c>
      <c r="BA85" s="158">
        <v>1763</v>
      </c>
      <c r="BB85" s="158">
        <v>1613</v>
      </c>
      <c r="BC85" s="158">
        <v>150</v>
      </c>
      <c r="BD85" s="158">
        <v>1976</v>
      </c>
      <c r="BE85" s="158">
        <v>-43221</v>
      </c>
      <c r="BF85" s="158">
        <v>-1211058</v>
      </c>
      <c r="BG85" s="158">
        <v>0</v>
      </c>
      <c r="BH85" s="158">
        <v>0</v>
      </c>
      <c r="BI85" s="158">
        <v>-281549</v>
      </c>
      <c r="BJ85" s="158">
        <v>-223888</v>
      </c>
      <c r="BK85" s="158">
        <v>2572981</v>
      </c>
      <c r="BL85" s="1438">
        <v>16901425</v>
      </c>
      <c r="BM85" s="1439">
        <v>0</v>
      </c>
      <c r="BN85" s="784" t="s">
        <v>2349</v>
      </c>
      <c r="BO85" s="784" t="s">
        <v>2373</v>
      </c>
      <c r="BP85" s="1400" t="s">
        <v>2440</v>
      </c>
      <c r="BQ85" s="509"/>
      <c r="BR85" s="509"/>
      <c r="BS85" s="509"/>
      <c r="BT85" s="509"/>
      <c r="BU85" s="509"/>
      <c r="BV85" s="509"/>
      <c r="BW85" s="509"/>
      <c r="BX85" s="509"/>
      <c r="BY85" s="509"/>
      <c r="BZ85" s="509"/>
      <c r="CA85" s="509"/>
      <c r="CB85" s="509"/>
      <c r="CC85" s="509"/>
      <c r="CD85" s="509"/>
      <c r="CE85" s="509"/>
      <c r="CF85" s="509"/>
      <c r="CG85" s="509"/>
      <c r="CH85" s="509"/>
      <c r="CI85" s="509"/>
      <c r="CJ85" s="509"/>
      <c r="CK85" s="509"/>
      <c r="CL85" s="509"/>
      <c r="CM85" s="509"/>
      <c r="CN85" s="509"/>
      <c r="CO85" s="509"/>
      <c r="CP85" s="509"/>
      <c r="CQ85" s="509"/>
      <c r="CR85" s="509"/>
      <c r="CS85" s="509"/>
    </row>
    <row r="86" spans="1:98" s="137" customFormat="1" ht="12.75" customHeight="1" x14ac:dyDescent="0.2">
      <c r="A86" s="1421">
        <v>82</v>
      </c>
      <c r="B86" s="655" t="s">
        <v>1181</v>
      </c>
      <c r="C86" s="1608" t="s">
        <v>1182</v>
      </c>
      <c r="D86" s="1605">
        <v>468783</v>
      </c>
      <c r="E86" s="1405">
        <v>258945270</v>
      </c>
      <c r="F86" s="1405">
        <v>12916</v>
      </c>
      <c r="G86" s="158">
        <v>-11104025</v>
      </c>
      <c r="H86" s="158">
        <v>-7344964</v>
      </c>
      <c r="I86" s="158">
        <v>-69502</v>
      </c>
      <c r="J86" s="158">
        <v>-91378</v>
      </c>
      <c r="K86" s="158">
        <v>-83992</v>
      </c>
      <c r="L86" s="158">
        <v>0</v>
      </c>
      <c r="M86" s="158">
        <v>-1922702</v>
      </c>
      <c r="N86" s="158">
        <v>-122637</v>
      </c>
      <c r="O86" s="158">
        <v>-423605</v>
      </c>
      <c r="P86" s="158">
        <v>-472</v>
      </c>
      <c r="Q86" s="158">
        <v>0</v>
      </c>
      <c r="R86" s="158">
        <v>-44385</v>
      </c>
      <c r="S86" s="158">
        <v>-12108</v>
      </c>
      <c r="T86" s="158">
        <v>0</v>
      </c>
      <c r="U86" s="158">
        <v>-8793548</v>
      </c>
      <c r="V86" s="158">
        <v>104029893</v>
      </c>
      <c r="W86" s="158">
        <v>-2886156</v>
      </c>
      <c r="X86" s="158">
        <v>177127703</v>
      </c>
      <c r="Y86" s="158">
        <v>258653465</v>
      </c>
      <c r="Z86" s="158">
        <v>49993619</v>
      </c>
      <c r="AA86" s="158">
        <v>40004582</v>
      </c>
      <c r="AB86" s="158">
        <v>10001145</v>
      </c>
      <c r="AC86" s="158">
        <v>0</v>
      </c>
      <c r="AD86" s="158">
        <v>473269</v>
      </c>
      <c r="AE86" s="158">
        <v>555832</v>
      </c>
      <c r="AF86" s="158">
        <v>1715307</v>
      </c>
      <c r="AG86" s="158">
        <v>0</v>
      </c>
      <c r="AH86" s="158">
        <v>12108</v>
      </c>
      <c r="AI86" s="158">
        <v>0</v>
      </c>
      <c r="AJ86" s="158">
        <v>0</v>
      </c>
      <c r="AK86" s="158">
        <v>2950673</v>
      </c>
      <c r="AL86" s="158">
        <v>654</v>
      </c>
      <c r="AM86" s="158">
        <v>32</v>
      </c>
      <c r="AN86" s="158">
        <v>34</v>
      </c>
      <c r="AO86" s="158">
        <v>57</v>
      </c>
      <c r="AP86" s="158">
        <v>0</v>
      </c>
      <c r="AQ86" s="158">
        <v>575</v>
      </c>
      <c r="AR86" s="158">
        <v>171</v>
      </c>
      <c r="AS86" s="158">
        <v>22</v>
      </c>
      <c r="AT86" s="158">
        <v>3</v>
      </c>
      <c r="AU86" s="158">
        <v>0</v>
      </c>
      <c r="AV86" s="158">
        <v>0</v>
      </c>
      <c r="AW86" s="158">
        <v>3</v>
      </c>
      <c r="AX86" s="158">
        <v>0</v>
      </c>
      <c r="AY86" s="158">
        <v>1447</v>
      </c>
      <c r="AZ86" s="158">
        <v>606</v>
      </c>
      <c r="BA86" s="158">
        <v>6528</v>
      </c>
      <c r="BB86" s="158">
        <v>6356</v>
      </c>
      <c r="BC86" s="158">
        <v>172</v>
      </c>
      <c r="BD86" s="158">
        <v>5823</v>
      </c>
      <c r="BE86" s="158">
        <v>-18652</v>
      </c>
      <c r="BF86" s="158">
        <v>-643320</v>
      </c>
      <c r="BG86" s="158">
        <v>0</v>
      </c>
      <c r="BH86" s="158">
        <v>-112282</v>
      </c>
      <c r="BI86" s="158">
        <v>-1148448</v>
      </c>
      <c r="BJ86" s="158">
        <v>0</v>
      </c>
      <c r="BK86" s="158">
        <v>2607756</v>
      </c>
      <c r="BL86" s="1438">
        <v>26056120</v>
      </c>
      <c r="BM86" s="1439">
        <v>108750</v>
      </c>
      <c r="BN86" s="784" t="s">
        <v>2349</v>
      </c>
      <c r="BO86" s="784" t="s">
        <v>2357</v>
      </c>
      <c r="BP86" s="1400" t="s">
        <v>2441</v>
      </c>
      <c r="BQ86" s="509"/>
      <c r="BR86" s="509"/>
      <c r="BS86" s="509"/>
      <c r="BT86" s="509"/>
      <c r="BU86" s="509"/>
      <c r="BV86" s="509"/>
      <c r="BW86" s="509"/>
      <c r="BX86" s="509"/>
      <c r="BY86" s="509"/>
      <c r="BZ86" s="509"/>
      <c r="CA86" s="509"/>
      <c r="CB86" s="509"/>
      <c r="CC86" s="509"/>
      <c r="CD86" s="509"/>
      <c r="CE86" s="509"/>
      <c r="CF86" s="509"/>
      <c r="CG86" s="509"/>
      <c r="CH86" s="509"/>
      <c r="CI86" s="509"/>
      <c r="CJ86" s="509"/>
      <c r="CK86" s="509"/>
      <c r="CL86" s="509"/>
      <c r="CM86" s="509"/>
      <c r="CN86" s="509"/>
      <c r="CO86" s="509"/>
      <c r="CP86" s="509"/>
      <c r="CQ86" s="509"/>
      <c r="CR86" s="509"/>
      <c r="CS86" s="509"/>
      <c r="CT86" s="509"/>
    </row>
    <row r="87" spans="1:98" s="137" customFormat="1" ht="12.75" customHeight="1" x14ac:dyDescent="0.2">
      <c r="A87" s="1421">
        <v>83</v>
      </c>
      <c r="B87" s="649" t="s">
        <v>56</v>
      </c>
      <c r="C87" s="1607" t="s">
        <v>57</v>
      </c>
      <c r="D87" s="1605">
        <v>120808</v>
      </c>
      <c r="E87" s="1405">
        <v>91260863</v>
      </c>
      <c r="F87" s="1405">
        <v>3095</v>
      </c>
      <c r="G87" s="158">
        <v>-3765336</v>
      </c>
      <c r="H87" s="158">
        <v>-4515851</v>
      </c>
      <c r="I87" s="158">
        <v>-156089</v>
      </c>
      <c r="J87" s="158">
        <v>0</v>
      </c>
      <c r="K87" s="158">
        <v>-5863</v>
      </c>
      <c r="L87" s="158">
        <v>0</v>
      </c>
      <c r="M87" s="158">
        <v>-443983</v>
      </c>
      <c r="N87" s="158">
        <v>-121299</v>
      </c>
      <c r="O87" s="158">
        <v>-79576</v>
      </c>
      <c r="P87" s="158">
        <v>0</v>
      </c>
      <c r="Q87" s="158">
        <v>0</v>
      </c>
      <c r="R87" s="158">
        <v>0</v>
      </c>
      <c r="S87" s="158">
        <v>0</v>
      </c>
      <c r="T87" s="158">
        <v>0</v>
      </c>
      <c r="U87" s="158">
        <v>-5105055</v>
      </c>
      <c r="V87" s="158">
        <v>32536311</v>
      </c>
      <c r="W87" s="158">
        <v>-521000</v>
      </c>
      <c r="X87" s="158">
        <v>59436550</v>
      </c>
      <c r="Y87" s="158">
        <v>90541898</v>
      </c>
      <c r="Z87" s="158">
        <v>16296370</v>
      </c>
      <c r="AA87" s="158">
        <v>13037096</v>
      </c>
      <c r="AB87" s="158">
        <v>2933347</v>
      </c>
      <c r="AC87" s="158">
        <v>325927</v>
      </c>
      <c r="AD87" s="158">
        <v>121023</v>
      </c>
      <c r="AE87" s="158">
        <v>0</v>
      </c>
      <c r="AF87" s="158">
        <v>0</v>
      </c>
      <c r="AG87" s="158">
        <v>0</v>
      </c>
      <c r="AH87" s="158">
        <v>0</v>
      </c>
      <c r="AI87" s="158">
        <v>0</v>
      </c>
      <c r="AJ87" s="158">
        <v>0</v>
      </c>
      <c r="AK87" s="158">
        <v>-2901022</v>
      </c>
      <c r="AL87" s="158">
        <v>171</v>
      </c>
      <c r="AM87" s="158">
        <v>12</v>
      </c>
      <c r="AN87" s="158">
        <v>0</v>
      </c>
      <c r="AO87" s="158">
        <v>4</v>
      </c>
      <c r="AP87" s="158">
        <v>0</v>
      </c>
      <c r="AQ87" s="158">
        <v>165</v>
      </c>
      <c r="AR87" s="158">
        <v>74</v>
      </c>
      <c r="AS87" s="158">
        <v>11</v>
      </c>
      <c r="AT87" s="158">
        <v>0</v>
      </c>
      <c r="AU87" s="158">
        <v>0</v>
      </c>
      <c r="AV87" s="158">
        <v>0</v>
      </c>
      <c r="AW87" s="158">
        <v>0</v>
      </c>
      <c r="AX87" s="158">
        <v>0</v>
      </c>
      <c r="AY87" s="158">
        <v>449</v>
      </c>
      <c r="AZ87" s="158">
        <v>0</v>
      </c>
      <c r="BA87" s="158">
        <v>1233</v>
      </c>
      <c r="BB87" s="158">
        <v>1140</v>
      </c>
      <c r="BC87" s="158">
        <v>93</v>
      </c>
      <c r="BD87" s="158">
        <v>1511</v>
      </c>
      <c r="BE87" s="158">
        <v>-11642</v>
      </c>
      <c r="BF87" s="158">
        <v>-27559</v>
      </c>
      <c r="BG87" s="158">
        <v>0</v>
      </c>
      <c r="BH87" s="158">
        <v>0</v>
      </c>
      <c r="BI87" s="158">
        <v>-404782</v>
      </c>
      <c r="BJ87" s="158">
        <v>0</v>
      </c>
      <c r="BK87" s="158">
        <v>-6593954</v>
      </c>
      <c r="BL87" s="1438">
        <v>13825625</v>
      </c>
      <c r="BM87" s="1439">
        <v>0</v>
      </c>
      <c r="BN87" s="784" t="s">
        <v>2349</v>
      </c>
      <c r="BO87" s="784" t="s">
        <v>2350</v>
      </c>
      <c r="BP87" s="1400" t="s">
        <v>2442</v>
      </c>
      <c r="BQ87" s="509"/>
      <c r="BR87" s="509"/>
      <c r="BS87" s="509"/>
      <c r="BT87" s="509"/>
      <c r="BU87" s="509"/>
      <c r="BV87" s="509"/>
      <c r="BW87" s="509"/>
      <c r="BX87" s="509"/>
      <c r="BY87" s="509"/>
      <c r="BZ87" s="509"/>
      <c r="CA87" s="509"/>
      <c r="CB87" s="509"/>
      <c r="CC87" s="509"/>
      <c r="CD87" s="509"/>
      <c r="CE87" s="509"/>
      <c r="CF87" s="509"/>
      <c r="CG87" s="509"/>
      <c r="CH87" s="509"/>
      <c r="CI87" s="509"/>
      <c r="CJ87" s="509"/>
      <c r="CK87" s="509"/>
      <c r="CL87" s="509"/>
      <c r="CM87" s="509"/>
      <c r="CN87" s="509"/>
      <c r="CO87" s="509"/>
      <c r="CP87" s="509"/>
      <c r="CQ87" s="509"/>
      <c r="CR87" s="509"/>
      <c r="CS87" s="509"/>
    </row>
    <row r="88" spans="1:98" s="137" customFormat="1" ht="12.75" customHeight="1" x14ac:dyDescent="0.2">
      <c r="A88" s="1421">
        <v>84</v>
      </c>
      <c r="B88" s="649" t="s">
        <v>58</v>
      </c>
      <c r="C88" s="1607" t="s">
        <v>59</v>
      </c>
      <c r="D88" s="1605">
        <v>141469</v>
      </c>
      <c r="E88" s="1405">
        <v>148316699</v>
      </c>
      <c r="F88" s="1405">
        <v>3134</v>
      </c>
      <c r="G88" s="158">
        <v>-2834958</v>
      </c>
      <c r="H88" s="158">
        <v>-2954589</v>
      </c>
      <c r="I88" s="158">
        <v>0</v>
      </c>
      <c r="J88" s="158">
        <v>0</v>
      </c>
      <c r="K88" s="158">
        <v>-4870</v>
      </c>
      <c r="L88" s="158">
        <v>0</v>
      </c>
      <c r="M88" s="158">
        <v>-1027578</v>
      </c>
      <c r="N88" s="158">
        <v>-98639</v>
      </c>
      <c r="O88" s="158">
        <v>-542791</v>
      </c>
      <c r="P88" s="158">
        <v>0</v>
      </c>
      <c r="Q88" s="158">
        <v>0</v>
      </c>
      <c r="R88" s="158">
        <v>0</v>
      </c>
      <c r="S88" s="158">
        <v>0</v>
      </c>
      <c r="T88" s="158">
        <v>0</v>
      </c>
      <c r="U88" s="158">
        <v>-2659794</v>
      </c>
      <c r="V88" s="158">
        <v>66355296</v>
      </c>
      <c r="W88" s="158">
        <v>-1668227</v>
      </c>
      <c r="X88" s="158">
        <v>111932750</v>
      </c>
      <c r="Y88" s="158">
        <v>145084823</v>
      </c>
      <c r="Z88" s="158">
        <v>32696752</v>
      </c>
      <c r="AA88" s="158">
        <v>26157401</v>
      </c>
      <c r="AB88" s="158">
        <v>5885415</v>
      </c>
      <c r="AC88" s="158">
        <v>653935</v>
      </c>
      <c r="AD88" s="158">
        <v>141441</v>
      </c>
      <c r="AE88" s="158">
        <v>0</v>
      </c>
      <c r="AF88" s="158">
        <v>0</v>
      </c>
      <c r="AG88" s="158">
        <v>0</v>
      </c>
      <c r="AH88" s="158">
        <v>0</v>
      </c>
      <c r="AI88" s="158">
        <v>0</v>
      </c>
      <c r="AJ88" s="158">
        <v>0</v>
      </c>
      <c r="AK88" s="158">
        <v>1764995</v>
      </c>
      <c r="AL88" s="158">
        <v>148</v>
      </c>
      <c r="AM88" s="158">
        <v>0</v>
      </c>
      <c r="AN88" s="158">
        <v>0</v>
      </c>
      <c r="AO88" s="158">
        <v>4</v>
      </c>
      <c r="AP88" s="158">
        <v>0</v>
      </c>
      <c r="AQ88" s="158">
        <v>29</v>
      </c>
      <c r="AR88" s="158">
        <v>65</v>
      </c>
      <c r="AS88" s="158">
        <v>2</v>
      </c>
      <c r="AT88" s="158">
        <v>0</v>
      </c>
      <c r="AU88" s="158">
        <v>0</v>
      </c>
      <c r="AV88" s="158">
        <v>0</v>
      </c>
      <c r="AW88" s="158">
        <v>0</v>
      </c>
      <c r="AX88" s="158">
        <v>0</v>
      </c>
      <c r="AY88" s="158">
        <v>649</v>
      </c>
      <c r="AZ88" s="158">
        <v>903</v>
      </c>
      <c r="BA88" s="158">
        <v>977</v>
      </c>
      <c r="BB88" s="158">
        <v>894</v>
      </c>
      <c r="BC88" s="158">
        <v>83</v>
      </c>
      <c r="BD88" s="158">
        <v>1411</v>
      </c>
      <c r="BE88" s="158">
        <v>-271734</v>
      </c>
      <c r="BF88" s="158">
        <v>-125433</v>
      </c>
      <c r="BG88" s="158">
        <v>0</v>
      </c>
      <c r="BH88" s="158">
        <v>-86301</v>
      </c>
      <c r="BI88" s="158">
        <v>-489773</v>
      </c>
      <c r="BJ88" s="158">
        <v>-54337</v>
      </c>
      <c r="BK88" s="158">
        <v>-4122182</v>
      </c>
      <c r="BL88" s="1438">
        <v>19328700</v>
      </c>
      <c r="BM88" s="1439">
        <v>0</v>
      </c>
      <c r="BN88" s="784" t="s">
        <v>2349</v>
      </c>
      <c r="BO88" s="784" t="s">
        <v>2350</v>
      </c>
      <c r="BP88" s="1400" t="s">
        <v>2443</v>
      </c>
      <c r="BQ88" s="509"/>
      <c r="BR88" s="509"/>
      <c r="BS88" s="509"/>
      <c r="BT88" s="509"/>
      <c r="BU88" s="509"/>
      <c r="BV88" s="509"/>
      <c r="BW88" s="509"/>
      <c r="BX88" s="509"/>
      <c r="BY88" s="509"/>
      <c r="BZ88" s="509"/>
      <c r="CA88" s="509"/>
      <c r="CB88" s="509"/>
      <c r="CC88" s="509"/>
      <c r="CD88" s="509"/>
      <c r="CE88" s="509"/>
      <c r="CF88" s="509"/>
      <c r="CG88" s="509"/>
      <c r="CH88" s="509"/>
      <c r="CI88" s="509"/>
      <c r="CJ88" s="509"/>
      <c r="CK88" s="509"/>
      <c r="CL88" s="509"/>
      <c r="CM88" s="509"/>
      <c r="CN88" s="509"/>
      <c r="CO88" s="509"/>
      <c r="CP88" s="509"/>
      <c r="CQ88" s="509"/>
      <c r="CR88" s="509"/>
      <c r="CS88" s="509"/>
    </row>
    <row r="89" spans="1:98" s="137" customFormat="1" ht="12.75" customHeight="1" x14ac:dyDescent="0.2">
      <c r="A89" s="1421">
        <v>85</v>
      </c>
      <c r="B89" s="649" t="s">
        <v>60</v>
      </c>
      <c r="C89" s="1607" t="s">
        <v>61</v>
      </c>
      <c r="D89" s="1605">
        <v>179636</v>
      </c>
      <c r="E89" s="1405">
        <v>160517604</v>
      </c>
      <c r="F89" s="1405">
        <v>3880</v>
      </c>
      <c r="G89" s="158">
        <v>-3872622</v>
      </c>
      <c r="H89" s="158">
        <v>-6482954</v>
      </c>
      <c r="I89" s="158">
        <v>-61081</v>
      </c>
      <c r="J89" s="158">
        <v>0</v>
      </c>
      <c r="K89" s="158">
        <v>-1821</v>
      </c>
      <c r="L89" s="158">
        <v>0</v>
      </c>
      <c r="M89" s="158">
        <v>-2224269</v>
      </c>
      <c r="N89" s="158">
        <v>-145457</v>
      </c>
      <c r="O89" s="158">
        <v>-547922</v>
      </c>
      <c r="P89" s="158">
        <v>0</v>
      </c>
      <c r="Q89" s="158">
        <v>0</v>
      </c>
      <c r="R89" s="158">
        <v>0</v>
      </c>
      <c r="S89" s="158">
        <v>0</v>
      </c>
      <c r="T89" s="158">
        <v>0</v>
      </c>
      <c r="U89" s="158">
        <v>-7172644</v>
      </c>
      <c r="V89" s="158">
        <v>62467691</v>
      </c>
      <c r="W89" s="158">
        <v>-2186369</v>
      </c>
      <c r="X89" s="158">
        <v>112555200</v>
      </c>
      <c r="Y89" s="158">
        <v>158108273</v>
      </c>
      <c r="Z89" s="158">
        <v>30356717</v>
      </c>
      <c r="AA89" s="158">
        <v>24285374</v>
      </c>
      <c r="AB89" s="158">
        <v>6071343</v>
      </c>
      <c r="AC89" s="158">
        <v>0</v>
      </c>
      <c r="AD89" s="158">
        <v>177356</v>
      </c>
      <c r="AE89" s="158">
        <v>0</v>
      </c>
      <c r="AF89" s="158">
        <v>21340</v>
      </c>
      <c r="AG89" s="158">
        <v>0</v>
      </c>
      <c r="AH89" s="158">
        <v>0</v>
      </c>
      <c r="AI89" s="158">
        <v>0</v>
      </c>
      <c r="AJ89" s="158">
        <v>0</v>
      </c>
      <c r="AK89" s="158">
        <v>1534733</v>
      </c>
      <c r="AL89" s="158">
        <v>215</v>
      </c>
      <c r="AM89" s="158">
        <v>16</v>
      </c>
      <c r="AN89" s="158">
        <v>0</v>
      </c>
      <c r="AO89" s="158">
        <v>2</v>
      </c>
      <c r="AP89" s="158">
        <v>0</v>
      </c>
      <c r="AQ89" s="158">
        <v>298</v>
      </c>
      <c r="AR89" s="158">
        <v>97</v>
      </c>
      <c r="AS89" s="158">
        <v>7</v>
      </c>
      <c r="AT89" s="158">
        <v>0</v>
      </c>
      <c r="AU89" s="158">
        <v>0</v>
      </c>
      <c r="AV89" s="158">
        <v>0</v>
      </c>
      <c r="AW89" s="158">
        <v>0</v>
      </c>
      <c r="AX89" s="158">
        <v>0</v>
      </c>
      <c r="AY89" s="158">
        <v>668</v>
      </c>
      <c r="AZ89" s="158">
        <v>553</v>
      </c>
      <c r="BA89" s="158">
        <v>1188</v>
      </c>
      <c r="BB89" s="158">
        <v>1032</v>
      </c>
      <c r="BC89" s="158">
        <v>156</v>
      </c>
      <c r="BD89" s="158">
        <v>2107</v>
      </c>
      <c r="BE89" s="158">
        <v>-285898</v>
      </c>
      <c r="BF89" s="158">
        <v>-270213</v>
      </c>
      <c r="BG89" s="158">
        <v>0</v>
      </c>
      <c r="BH89" s="158">
        <v>-16238</v>
      </c>
      <c r="BI89" s="158">
        <v>-596904</v>
      </c>
      <c r="BJ89" s="158">
        <v>-1055016</v>
      </c>
      <c r="BK89" s="158">
        <v>1529300</v>
      </c>
      <c r="BL89" s="1438">
        <v>23124650</v>
      </c>
      <c r="BM89" s="1439">
        <v>0</v>
      </c>
      <c r="BN89" s="784" t="s">
        <v>2349</v>
      </c>
      <c r="BO89" s="784" t="s">
        <v>2350</v>
      </c>
      <c r="BP89" s="1400" t="s">
        <v>2444</v>
      </c>
      <c r="BQ89" s="509"/>
      <c r="BR89" s="509"/>
      <c r="BS89" s="509"/>
      <c r="BT89" s="509"/>
      <c r="BU89" s="509"/>
      <c r="BV89" s="509"/>
      <c r="BW89" s="509"/>
      <c r="BX89" s="509"/>
      <c r="BY89" s="509"/>
      <c r="BZ89" s="509"/>
      <c r="CA89" s="509"/>
      <c r="CB89" s="509"/>
      <c r="CC89" s="509"/>
      <c r="CD89" s="509"/>
      <c r="CE89" s="509"/>
      <c r="CF89" s="509"/>
      <c r="CG89" s="509"/>
      <c r="CH89" s="509"/>
      <c r="CI89" s="509"/>
      <c r="CJ89" s="509"/>
      <c r="CK89" s="509"/>
      <c r="CL89" s="509"/>
      <c r="CM89" s="509"/>
      <c r="CN89" s="509"/>
      <c r="CO89" s="509"/>
      <c r="CP89" s="509"/>
      <c r="CQ89" s="509"/>
      <c r="CR89" s="509"/>
      <c r="CS89" s="509"/>
    </row>
    <row r="90" spans="1:98" s="137" customFormat="1" ht="12.75" customHeight="1" x14ac:dyDescent="0.2">
      <c r="A90" s="1421">
        <v>86</v>
      </c>
      <c r="B90" s="649" t="s">
        <v>62</v>
      </c>
      <c r="C90" s="1607" t="s">
        <v>63</v>
      </c>
      <c r="D90" s="1605">
        <v>328158</v>
      </c>
      <c r="E90" s="1405">
        <v>322369949</v>
      </c>
      <c r="F90" s="1405">
        <v>7079</v>
      </c>
      <c r="G90" s="158">
        <v>-7284159</v>
      </c>
      <c r="H90" s="158">
        <v>-8726932</v>
      </c>
      <c r="I90" s="158">
        <v>-116475</v>
      </c>
      <c r="J90" s="158">
        <v>0</v>
      </c>
      <c r="K90" s="158">
        <v>-13926</v>
      </c>
      <c r="L90" s="158">
        <v>0</v>
      </c>
      <c r="M90" s="158">
        <v>-2158821</v>
      </c>
      <c r="N90" s="158">
        <v>-228016</v>
      </c>
      <c r="O90" s="158">
        <v>-206918</v>
      </c>
      <c r="P90" s="158">
        <v>0</v>
      </c>
      <c r="Q90" s="158">
        <v>0</v>
      </c>
      <c r="R90" s="158">
        <v>0</v>
      </c>
      <c r="S90" s="158">
        <v>0</v>
      </c>
      <c r="T90" s="158">
        <v>0</v>
      </c>
      <c r="U90" s="158">
        <v>-14711509</v>
      </c>
      <c r="V90" s="158">
        <v>135944481</v>
      </c>
      <c r="W90" s="158">
        <v>-4898539</v>
      </c>
      <c r="X90" s="158">
        <v>244911900</v>
      </c>
      <c r="Y90" s="158">
        <v>328933199</v>
      </c>
      <c r="Z90" s="158">
        <v>42162163</v>
      </c>
      <c r="AA90" s="158">
        <v>38329239</v>
      </c>
      <c r="AB90" s="158">
        <v>47272728</v>
      </c>
      <c r="AC90" s="158">
        <v>0</v>
      </c>
      <c r="AD90" s="158">
        <v>328209</v>
      </c>
      <c r="AE90" s="158">
        <v>0</v>
      </c>
      <c r="AF90" s="158">
        <v>0</v>
      </c>
      <c r="AG90" s="158">
        <v>0</v>
      </c>
      <c r="AH90" s="158">
        <v>0</v>
      </c>
      <c r="AI90" s="158">
        <v>0</v>
      </c>
      <c r="AJ90" s="158">
        <v>0</v>
      </c>
      <c r="AK90" s="158">
        <v>6143923</v>
      </c>
      <c r="AL90" s="158">
        <v>311</v>
      </c>
      <c r="AM90" s="158">
        <v>19</v>
      </c>
      <c r="AN90" s="158">
        <v>0</v>
      </c>
      <c r="AO90" s="158">
        <v>2</v>
      </c>
      <c r="AP90" s="158">
        <v>0</v>
      </c>
      <c r="AQ90" s="158">
        <v>231</v>
      </c>
      <c r="AR90" s="158">
        <v>32</v>
      </c>
      <c r="AS90" s="158">
        <v>81</v>
      </c>
      <c r="AT90" s="158">
        <v>0</v>
      </c>
      <c r="AU90" s="158">
        <v>0</v>
      </c>
      <c r="AV90" s="158">
        <v>0</v>
      </c>
      <c r="AW90" s="158">
        <v>0</v>
      </c>
      <c r="AX90" s="158">
        <v>0</v>
      </c>
      <c r="AY90" s="158">
        <v>1603</v>
      </c>
      <c r="AZ90" s="158">
        <v>1713</v>
      </c>
      <c r="BA90" s="158">
        <v>2152</v>
      </c>
      <c r="BB90" s="158">
        <v>1800</v>
      </c>
      <c r="BC90" s="158">
        <v>352</v>
      </c>
      <c r="BD90" s="158">
        <v>3274</v>
      </c>
      <c r="BE90" s="158">
        <v>-343006</v>
      </c>
      <c r="BF90" s="158">
        <v>-106877</v>
      </c>
      <c r="BG90" s="158">
        <v>0</v>
      </c>
      <c r="BH90" s="158">
        <v>-23578</v>
      </c>
      <c r="BI90" s="158">
        <v>-1386057</v>
      </c>
      <c r="BJ90" s="158">
        <v>-299303</v>
      </c>
      <c r="BK90" s="158">
        <v>7310999</v>
      </c>
      <c r="BL90" s="1438">
        <v>26477150</v>
      </c>
      <c r="BM90" s="1439">
        <v>0</v>
      </c>
      <c r="BN90" s="784" t="s">
        <v>2359</v>
      </c>
      <c r="BO90" s="784" t="s">
        <v>2360</v>
      </c>
      <c r="BP90" s="1400" t="s">
        <v>2445</v>
      </c>
      <c r="BQ90" s="509"/>
      <c r="BR90" s="509"/>
      <c r="BS90" s="509"/>
      <c r="BT90" s="509"/>
      <c r="BU90" s="509"/>
      <c r="BV90" s="509"/>
      <c r="BW90" s="509"/>
      <c r="BX90" s="509"/>
      <c r="BY90" s="509"/>
      <c r="BZ90" s="509"/>
      <c r="CA90" s="509"/>
      <c r="CB90" s="509"/>
      <c r="CC90" s="509"/>
      <c r="CD90" s="509"/>
      <c r="CE90" s="509"/>
      <c r="CF90" s="509"/>
      <c r="CG90" s="509"/>
      <c r="CH90" s="509"/>
      <c r="CI90" s="509"/>
      <c r="CJ90" s="509"/>
      <c r="CK90" s="509"/>
      <c r="CL90" s="509"/>
      <c r="CM90" s="509"/>
      <c r="CN90" s="509"/>
      <c r="CO90" s="509"/>
      <c r="CP90" s="509"/>
      <c r="CQ90" s="509"/>
      <c r="CR90" s="509"/>
      <c r="CS90" s="509"/>
    </row>
    <row r="91" spans="1:98" s="137" customFormat="1" ht="12.75" customHeight="1" x14ac:dyDescent="0.2">
      <c r="A91" s="1421">
        <v>87</v>
      </c>
      <c r="B91" s="649" t="s">
        <v>64</v>
      </c>
      <c r="C91" s="1607" t="s">
        <v>65</v>
      </c>
      <c r="D91" s="1605">
        <v>181289</v>
      </c>
      <c r="E91" s="1405">
        <v>109412498</v>
      </c>
      <c r="F91" s="1405">
        <v>4599</v>
      </c>
      <c r="G91" s="158">
        <v>-5751531</v>
      </c>
      <c r="H91" s="158">
        <v>-4167869</v>
      </c>
      <c r="I91" s="158">
        <v>-43650</v>
      </c>
      <c r="J91" s="158">
        <v>-7211</v>
      </c>
      <c r="K91" s="158">
        <v>-10911</v>
      </c>
      <c r="L91" s="158">
        <v>0</v>
      </c>
      <c r="M91" s="158">
        <v>-783582</v>
      </c>
      <c r="N91" s="158">
        <v>-23103</v>
      </c>
      <c r="O91" s="158">
        <v>-48608</v>
      </c>
      <c r="P91" s="158">
        <v>0</v>
      </c>
      <c r="Q91" s="158">
        <v>-3233</v>
      </c>
      <c r="R91" s="158">
        <v>0</v>
      </c>
      <c r="S91" s="158">
        <v>0</v>
      </c>
      <c r="T91" s="158">
        <v>0</v>
      </c>
      <c r="U91" s="158">
        <v>-5488338</v>
      </c>
      <c r="V91" s="158">
        <v>38868938</v>
      </c>
      <c r="W91" s="158">
        <v>-1555000</v>
      </c>
      <c r="X91" s="158">
        <v>56228750</v>
      </c>
      <c r="Y91" s="158">
        <v>109708364</v>
      </c>
      <c r="Z91" s="158">
        <v>18949264</v>
      </c>
      <c r="AA91" s="158">
        <v>15159410</v>
      </c>
      <c r="AB91" s="158">
        <v>3410867</v>
      </c>
      <c r="AC91" s="158">
        <v>378985</v>
      </c>
      <c r="AD91" s="158">
        <v>179546</v>
      </c>
      <c r="AE91" s="158">
        <v>0</v>
      </c>
      <c r="AF91" s="158">
        <v>0</v>
      </c>
      <c r="AG91" s="158">
        <v>0</v>
      </c>
      <c r="AH91" s="158">
        <v>0</v>
      </c>
      <c r="AI91" s="158">
        <v>0</v>
      </c>
      <c r="AJ91" s="158">
        <v>0</v>
      </c>
      <c r="AK91" s="158">
        <v>762156</v>
      </c>
      <c r="AL91" s="158">
        <v>141</v>
      </c>
      <c r="AM91" s="158">
        <v>5</v>
      </c>
      <c r="AN91" s="158">
        <v>2</v>
      </c>
      <c r="AO91" s="158">
        <v>10</v>
      </c>
      <c r="AP91" s="158">
        <v>0</v>
      </c>
      <c r="AQ91" s="158">
        <v>181</v>
      </c>
      <c r="AR91" s="158">
        <v>23</v>
      </c>
      <c r="AS91" s="158">
        <v>13</v>
      </c>
      <c r="AT91" s="158">
        <v>0</v>
      </c>
      <c r="AU91" s="158">
        <v>0</v>
      </c>
      <c r="AV91" s="158">
        <v>1</v>
      </c>
      <c r="AW91" s="158">
        <v>0</v>
      </c>
      <c r="AX91" s="158">
        <v>0</v>
      </c>
      <c r="AY91" s="158">
        <v>625</v>
      </c>
      <c r="AZ91" s="158">
        <v>323</v>
      </c>
      <c r="BA91" s="158">
        <v>1839</v>
      </c>
      <c r="BB91" s="158">
        <v>1583</v>
      </c>
      <c r="BC91" s="158">
        <v>256</v>
      </c>
      <c r="BD91" s="158">
        <v>2371</v>
      </c>
      <c r="BE91" s="158">
        <v>-44450</v>
      </c>
      <c r="BF91" s="158">
        <v>-299580</v>
      </c>
      <c r="BG91" s="158">
        <v>0</v>
      </c>
      <c r="BH91" s="158">
        <v>-3942</v>
      </c>
      <c r="BI91" s="158">
        <v>-435610</v>
      </c>
      <c r="BJ91" s="158">
        <v>0</v>
      </c>
      <c r="BK91" s="158">
        <v>3319818</v>
      </c>
      <c r="BL91" s="1438">
        <v>21313450</v>
      </c>
      <c r="BM91" s="1439">
        <v>0</v>
      </c>
      <c r="BN91" s="784" t="s">
        <v>2349</v>
      </c>
      <c r="BO91" s="784" t="s">
        <v>2357</v>
      </c>
      <c r="BP91" s="1400" t="s">
        <v>2446</v>
      </c>
      <c r="BQ91" s="509"/>
      <c r="BR91" s="509"/>
      <c r="BS91" s="509"/>
      <c r="BT91" s="509"/>
      <c r="BU91" s="509"/>
      <c r="BV91" s="509"/>
      <c r="BW91" s="509"/>
      <c r="BX91" s="509"/>
      <c r="BY91" s="509"/>
      <c r="BZ91" s="509"/>
      <c r="CA91" s="509"/>
      <c r="CB91" s="509"/>
      <c r="CC91" s="509"/>
      <c r="CD91" s="509"/>
      <c r="CE91" s="509"/>
      <c r="CF91" s="509"/>
      <c r="CG91" s="509"/>
      <c r="CH91" s="509"/>
      <c r="CI91" s="509"/>
      <c r="CJ91" s="509"/>
      <c r="CK91" s="509"/>
      <c r="CL91" s="509"/>
      <c r="CM91" s="509"/>
      <c r="CN91" s="509"/>
      <c r="CO91" s="509"/>
      <c r="CP91" s="509"/>
      <c r="CQ91" s="509"/>
      <c r="CR91" s="509"/>
      <c r="CS91" s="509"/>
    </row>
    <row r="92" spans="1:98" s="137" customFormat="1" ht="12.75" customHeight="1" x14ac:dyDescent="0.2">
      <c r="A92" s="1421">
        <v>88</v>
      </c>
      <c r="B92" s="649" t="s">
        <v>966</v>
      </c>
      <c r="C92" s="1607" t="s">
        <v>67</v>
      </c>
      <c r="D92" s="1605">
        <v>79089</v>
      </c>
      <c r="E92" s="1405">
        <v>63994572</v>
      </c>
      <c r="F92" s="1405">
        <v>1768</v>
      </c>
      <c r="G92" s="158">
        <v>-1757387</v>
      </c>
      <c r="H92" s="158">
        <v>-4390169</v>
      </c>
      <c r="I92" s="158">
        <v>-40205</v>
      </c>
      <c r="J92" s="158">
        <v>0</v>
      </c>
      <c r="K92" s="158">
        <v>-4442</v>
      </c>
      <c r="L92" s="158">
        <v>0</v>
      </c>
      <c r="M92" s="158">
        <v>-469052</v>
      </c>
      <c r="N92" s="158">
        <v>-92897</v>
      </c>
      <c r="O92" s="158">
        <v>-702</v>
      </c>
      <c r="P92" s="158">
        <v>-7186</v>
      </c>
      <c r="Q92" s="158">
        <v>0</v>
      </c>
      <c r="R92" s="158">
        <v>0</v>
      </c>
      <c r="S92" s="158">
        <v>0</v>
      </c>
      <c r="T92" s="158">
        <v>0</v>
      </c>
      <c r="U92" s="158">
        <v>-2545081</v>
      </c>
      <c r="V92" s="158">
        <v>24647852</v>
      </c>
      <c r="W92" s="158">
        <v>-184859</v>
      </c>
      <c r="X92" s="158">
        <v>45147200</v>
      </c>
      <c r="Y92" s="158">
        <v>64570146</v>
      </c>
      <c r="Z92" s="158">
        <v>12058374</v>
      </c>
      <c r="AA92" s="158">
        <v>9646699</v>
      </c>
      <c r="AB92" s="158">
        <v>2411675</v>
      </c>
      <c r="AC92" s="158">
        <v>0</v>
      </c>
      <c r="AD92" s="158">
        <v>78578</v>
      </c>
      <c r="AE92" s="158">
        <v>0</v>
      </c>
      <c r="AF92" s="158">
        <v>0</v>
      </c>
      <c r="AG92" s="158">
        <v>0</v>
      </c>
      <c r="AH92" s="158">
        <v>0</v>
      </c>
      <c r="AI92" s="158">
        <v>0</v>
      </c>
      <c r="AJ92" s="158">
        <v>0</v>
      </c>
      <c r="AK92" s="158">
        <v>-2591524</v>
      </c>
      <c r="AL92" s="158">
        <v>109</v>
      </c>
      <c r="AM92" s="158">
        <v>4</v>
      </c>
      <c r="AN92" s="158">
        <v>0</v>
      </c>
      <c r="AO92" s="158">
        <v>3</v>
      </c>
      <c r="AP92" s="158">
        <v>0</v>
      </c>
      <c r="AQ92" s="158">
        <v>95</v>
      </c>
      <c r="AR92" s="158">
        <v>36</v>
      </c>
      <c r="AS92" s="158">
        <v>1</v>
      </c>
      <c r="AT92" s="158">
        <v>4</v>
      </c>
      <c r="AU92" s="158">
        <v>0</v>
      </c>
      <c r="AV92" s="158">
        <v>0</v>
      </c>
      <c r="AW92" s="158">
        <v>0</v>
      </c>
      <c r="AX92" s="158">
        <v>0</v>
      </c>
      <c r="AY92" s="158">
        <v>249</v>
      </c>
      <c r="AZ92" s="158">
        <v>264</v>
      </c>
      <c r="BA92" s="158">
        <v>495</v>
      </c>
      <c r="BB92" s="158">
        <v>440</v>
      </c>
      <c r="BC92" s="158">
        <v>55</v>
      </c>
      <c r="BD92" s="158">
        <v>1002</v>
      </c>
      <c r="BE92" s="158">
        <v>-100823</v>
      </c>
      <c r="BF92" s="158">
        <v>-287208</v>
      </c>
      <c r="BG92" s="158">
        <v>0</v>
      </c>
      <c r="BH92" s="158">
        <v>-8857</v>
      </c>
      <c r="BI92" s="158">
        <v>-69519</v>
      </c>
      <c r="BJ92" s="158">
        <v>-2645</v>
      </c>
      <c r="BK92" s="158">
        <v>-2260146</v>
      </c>
      <c r="BL92" s="1438">
        <v>8607050</v>
      </c>
      <c r="BM92" s="1439">
        <v>0</v>
      </c>
      <c r="BN92" s="784" t="s">
        <v>2349</v>
      </c>
      <c r="BO92" s="784" t="s">
        <v>2350</v>
      </c>
      <c r="BP92" s="1400" t="s">
        <v>2447</v>
      </c>
      <c r="BQ92" s="509"/>
      <c r="BR92" s="509"/>
      <c r="BS92" s="509"/>
      <c r="BT92" s="509"/>
      <c r="BU92" s="509"/>
      <c r="BV92" s="509"/>
      <c r="BW92" s="509"/>
      <c r="BX92" s="509"/>
      <c r="BY92" s="509"/>
      <c r="BZ92" s="509"/>
      <c r="CA92" s="509"/>
      <c r="CB92" s="509"/>
      <c r="CC92" s="509"/>
      <c r="CD92" s="509"/>
      <c r="CE92" s="509"/>
      <c r="CF92" s="509"/>
      <c r="CG92" s="509"/>
      <c r="CH92" s="509"/>
      <c r="CI92" s="509"/>
      <c r="CJ92" s="509"/>
      <c r="CK92" s="509"/>
      <c r="CL92" s="509"/>
      <c r="CM92" s="509"/>
      <c r="CN92" s="509"/>
      <c r="CO92" s="509"/>
      <c r="CP92" s="509"/>
      <c r="CQ92" s="509"/>
      <c r="CR92" s="509"/>
      <c r="CS92" s="509"/>
    </row>
    <row r="93" spans="1:98" s="137" customFormat="1" ht="12.75" customHeight="1" x14ac:dyDescent="0.2">
      <c r="A93" s="1421">
        <v>89</v>
      </c>
      <c r="B93" s="649" t="s">
        <v>68</v>
      </c>
      <c r="C93" s="1607" t="s">
        <v>69</v>
      </c>
      <c r="D93" s="1605">
        <v>132147</v>
      </c>
      <c r="E93" s="1405">
        <v>69769466</v>
      </c>
      <c r="F93" s="1405">
        <v>3693</v>
      </c>
      <c r="G93" s="158">
        <v>-4663411</v>
      </c>
      <c r="H93" s="158">
        <v>-2837722</v>
      </c>
      <c r="I93" s="158">
        <v>-48483</v>
      </c>
      <c r="J93" s="158">
        <v>-6537</v>
      </c>
      <c r="K93" s="158">
        <v>-16692</v>
      </c>
      <c r="L93" s="158">
        <v>0</v>
      </c>
      <c r="M93" s="158">
        <v>-485298</v>
      </c>
      <c r="N93" s="158">
        <v>-31498</v>
      </c>
      <c r="O93" s="158">
        <v>-11084</v>
      </c>
      <c r="P93" s="158">
        <v>0</v>
      </c>
      <c r="Q93" s="158">
        <v>0</v>
      </c>
      <c r="R93" s="158">
        <v>0</v>
      </c>
      <c r="S93" s="158">
        <v>0</v>
      </c>
      <c r="T93" s="158">
        <v>0</v>
      </c>
      <c r="U93" s="158">
        <v>-2975478</v>
      </c>
      <c r="V93" s="158">
        <v>23201303</v>
      </c>
      <c r="W93" s="158">
        <v>-1225183</v>
      </c>
      <c r="X93" s="158">
        <v>35639000</v>
      </c>
      <c r="Y93" s="158">
        <v>68964323</v>
      </c>
      <c r="Z93" s="158">
        <v>10800291</v>
      </c>
      <c r="AA93" s="158">
        <v>8640232</v>
      </c>
      <c r="AB93" s="158">
        <v>1944052</v>
      </c>
      <c r="AC93" s="158">
        <v>216006</v>
      </c>
      <c r="AD93" s="158">
        <v>132132</v>
      </c>
      <c r="AE93" s="158">
        <v>0</v>
      </c>
      <c r="AF93" s="158">
        <v>0</v>
      </c>
      <c r="AG93" s="158">
        <v>0</v>
      </c>
      <c r="AH93" s="158">
        <v>0</v>
      </c>
      <c r="AI93" s="158">
        <v>0</v>
      </c>
      <c r="AJ93" s="158">
        <v>0</v>
      </c>
      <c r="AK93" s="158">
        <v>1956205</v>
      </c>
      <c r="AL93" s="158">
        <v>142</v>
      </c>
      <c r="AM93" s="158">
        <v>13</v>
      </c>
      <c r="AN93" s="158">
        <v>0</v>
      </c>
      <c r="AO93" s="158">
        <v>11</v>
      </c>
      <c r="AP93" s="158">
        <v>0</v>
      </c>
      <c r="AQ93" s="158">
        <v>237</v>
      </c>
      <c r="AR93" s="158">
        <v>19</v>
      </c>
      <c r="AS93" s="158">
        <v>17</v>
      </c>
      <c r="AT93" s="158">
        <v>0</v>
      </c>
      <c r="AU93" s="158">
        <v>2</v>
      </c>
      <c r="AV93" s="158">
        <v>0</v>
      </c>
      <c r="AW93" s="158">
        <v>0</v>
      </c>
      <c r="AX93" s="158">
        <v>0</v>
      </c>
      <c r="AY93" s="158">
        <v>399</v>
      </c>
      <c r="AZ93" s="158">
        <v>712</v>
      </c>
      <c r="BA93" s="158">
        <v>1792</v>
      </c>
      <c r="BB93" s="158">
        <v>1674</v>
      </c>
      <c r="BC93" s="158">
        <v>118</v>
      </c>
      <c r="BD93" s="158">
        <v>1194</v>
      </c>
      <c r="BE93" s="158">
        <v>-115063</v>
      </c>
      <c r="BF93" s="158">
        <v>0</v>
      </c>
      <c r="BG93" s="158">
        <v>0</v>
      </c>
      <c r="BH93" s="158">
        <v>0</v>
      </c>
      <c r="BI93" s="158">
        <v>-364216</v>
      </c>
      <c r="BJ93" s="158">
        <v>-6019</v>
      </c>
      <c r="BK93" s="158">
        <v>1941647</v>
      </c>
      <c r="BL93" s="1438">
        <v>12999667</v>
      </c>
      <c r="BM93" s="1439">
        <v>0</v>
      </c>
      <c r="BN93" s="784" t="s">
        <v>2349</v>
      </c>
      <c r="BO93" s="784" t="s">
        <v>2352</v>
      </c>
      <c r="BP93" s="1400" t="s">
        <v>2448</v>
      </c>
      <c r="BQ93" s="509"/>
      <c r="BR93" s="509"/>
      <c r="BS93" s="509"/>
      <c r="BT93" s="509"/>
      <c r="BU93" s="509"/>
      <c r="BV93" s="509"/>
      <c r="BW93" s="509"/>
      <c r="BX93" s="509"/>
      <c r="BY93" s="509"/>
      <c r="BZ93" s="509"/>
      <c r="CA93" s="509"/>
      <c r="CB93" s="509"/>
      <c r="CC93" s="509"/>
      <c r="CD93" s="509"/>
      <c r="CE93" s="509"/>
      <c r="CF93" s="509"/>
      <c r="CG93" s="509"/>
      <c r="CH93" s="509"/>
      <c r="CI93" s="509"/>
      <c r="CJ93" s="509"/>
      <c r="CK93" s="509"/>
      <c r="CL93" s="509"/>
      <c r="CM93" s="509"/>
      <c r="CN93" s="509"/>
      <c r="CO93" s="509"/>
      <c r="CP93" s="509"/>
      <c r="CQ93" s="509"/>
      <c r="CR93" s="509"/>
      <c r="CS93" s="509"/>
    </row>
    <row r="94" spans="1:98" s="657" customFormat="1" ht="12.75" customHeight="1" x14ac:dyDescent="0.2">
      <c r="A94" s="1421">
        <v>90</v>
      </c>
      <c r="B94" s="649" t="s">
        <v>70</v>
      </c>
      <c r="C94" s="1607" t="s">
        <v>71</v>
      </c>
      <c r="D94" s="1605">
        <v>208552</v>
      </c>
      <c r="E94" s="1405">
        <v>195280534</v>
      </c>
      <c r="F94" s="1405">
        <v>5066</v>
      </c>
      <c r="G94" s="158">
        <v>-4142490</v>
      </c>
      <c r="H94" s="158">
        <v>-8347444</v>
      </c>
      <c r="I94" s="158">
        <v>-40732</v>
      </c>
      <c r="J94" s="158">
        <v>0</v>
      </c>
      <c r="K94" s="158">
        <v>-14734</v>
      </c>
      <c r="L94" s="158">
        <v>0</v>
      </c>
      <c r="M94" s="158">
        <v>-1478293</v>
      </c>
      <c r="N94" s="158">
        <v>-173307</v>
      </c>
      <c r="O94" s="158">
        <v>-28428</v>
      </c>
      <c r="P94" s="158">
        <v>-5206</v>
      </c>
      <c r="Q94" s="158">
        <v>0</v>
      </c>
      <c r="R94" s="158">
        <v>0</v>
      </c>
      <c r="S94" s="158">
        <v>0</v>
      </c>
      <c r="T94" s="158">
        <v>0</v>
      </c>
      <c r="U94" s="158">
        <v>-7734927</v>
      </c>
      <c r="V94" s="158">
        <v>80037315</v>
      </c>
      <c r="W94" s="158">
        <v>-3000000</v>
      </c>
      <c r="X94" s="158">
        <v>141593800</v>
      </c>
      <c r="Y94" s="158">
        <v>194339905</v>
      </c>
      <c r="Z94" s="158">
        <v>38862408</v>
      </c>
      <c r="AA94" s="158">
        <v>31089926</v>
      </c>
      <c r="AB94" s="158">
        <v>6995233</v>
      </c>
      <c r="AC94" s="158">
        <v>777248</v>
      </c>
      <c r="AD94" s="158">
        <v>210749</v>
      </c>
      <c r="AE94" s="158">
        <v>0</v>
      </c>
      <c r="AF94" s="158">
        <v>0</v>
      </c>
      <c r="AG94" s="158">
        <v>0</v>
      </c>
      <c r="AH94" s="158">
        <v>0</v>
      </c>
      <c r="AI94" s="158">
        <v>0</v>
      </c>
      <c r="AJ94" s="158">
        <v>0</v>
      </c>
      <c r="AK94" s="158">
        <v>-5176321</v>
      </c>
      <c r="AL94" s="158">
        <v>303</v>
      </c>
      <c r="AM94" s="158">
        <v>15</v>
      </c>
      <c r="AN94" s="158">
        <v>0</v>
      </c>
      <c r="AO94" s="158">
        <v>5</v>
      </c>
      <c r="AP94" s="158">
        <v>0</v>
      </c>
      <c r="AQ94" s="158">
        <v>311</v>
      </c>
      <c r="AR94" s="158">
        <v>97</v>
      </c>
      <c r="AS94" s="158">
        <v>4</v>
      </c>
      <c r="AT94" s="158">
        <v>7</v>
      </c>
      <c r="AU94" s="158">
        <v>0</v>
      </c>
      <c r="AV94" s="158">
        <v>0</v>
      </c>
      <c r="AW94" s="158">
        <v>0</v>
      </c>
      <c r="AX94" s="158">
        <v>0</v>
      </c>
      <c r="AY94" s="158">
        <v>712</v>
      </c>
      <c r="AZ94" s="158">
        <v>787</v>
      </c>
      <c r="BA94" s="158">
        <v>1365</v>
      </c>
      <c r="BB94" s="158">
        <v>1234</v>
      </c>
      <c r="BC94" s="158">
        <v>131</v>
      </c>
      <c r="BD94" s="158">
        <v>3003</v>
      </c>
      <c r="BE94" s="158">
        <v>-89705</v>
      </c>
      <c r="BF94" s="158">
        <v>-829883</v>
      </c>
      <c r="BG94" s="158">
        <v>0</v>
      </c>
      <c r="BH94" s="158">
        <v>0</v>
      </c>
      <c r="BI94" s="158">
        <v>-558705</v>
      </c>
      <c r="BJ94" s="158">
        <v>0</v>
      </c>
      <c r="BK94" s="158">
        <v>-4150530</v>
      </c>
      <c r="BL94" s="1438">
        <v>24144200</v>
      </c>
      <c r="BM94" s="1439">
        <v>0</v>
      </c>
      <c r="BN94" s="784" t="s">
        <v>2349</v>
      </c>
      <c r="BO94" s="784" t="s">
        <v>2369</v>
      </c>
      <c r="BP94" s="1400" t="s">
        <v>2449</v>
      </c>
      <c r="BQ94" s="509"/>
      <c r="BR94" s="509"/>
      <c r="BS94" s="509"/>
      <c r="BT94" s="509"/>
      <c r="BU94" s="509"/>
      <c r="BV94" s="509"/>
      <c r="BW94" s="509"/>
      <c r="BX94" s="509"/>
      <c r="BY94" s="509"/>
      <c r="BZ94" s="509"/>
      <c r="CA94" s="509"/>
      <c r="CB94" s="509"/>
      <c r="CC94" s="509"/>
      <c r="CD94" s="509"/>
      <c r="CE94" s="509"/>
      <c r="CF94" s="509"/>
      <c r="CG94" s="509"/>
      <c r="CH94" s="509"/>
      <c r="CI94" s="509"/>
      <c r="CJ94" s="509"/>
      <c r="CK94" s="509"/>
      <c r="CL94" s="509"/>
      <c r="CM94" s="509"/>
      <c r="CN94" s="509"/>
      <c r="CO94" s="509"/>
      <c r="CP94" s="509"/>
      <c r="CQ94" s="509"/>
      <c r="CR94" s="509"/>
      <c r="CS94" s="509"/>
      <c r="CT94" s="137"/>
    </row>
    <row r="95" spans="1:98" s="137" customFormat="1" ht="12.75" customHeight="1" x14ac:dyDescent="0.2">
      <c r="A95" s="1421">
        <v>91</v>
      </c>
      <c r="B95" s="649" t="s">
        <v>72</v>
      </c>
      <c r="C95" s="1607" t="s">
        <v>73</v>
      </c>
      <c r="D95" s="1605">
        <v>136549</v>
      </c>
      <c r="E95" s="1405">
        <v>112764501</v>
      </c>
      <c r="F95" s="1405">
        <v>3297</v>
      </c>
      <c r="G95" s="158">
        <v>-3451865</v>
      </c>
      <c r="H95" s="158">
        <v>-3124847</v>
      </c>
      <c r="I95" s="158">
        <v>0</v>
      </c>
      <c r="J95" s="158">
        <v>0</v>
      </c>
      <c r="K95" s="158">
        <v>-7098</v>
      </c>
      <c r="L95" s="158">
        <v>-10000</v>
      </c>
      <c r="M95" s="158">
        <v>-1394204</v>
      </c>
      <c r="N95" s="158">
        <v>-127023</v>
      </c>
      <c r="O95" s="158">
        <v>-692515</v>
      </c>
      <c r="P95" s="158">
        <v>0</v>
      </c>
      <c r="Q95" s="158">
        <v>0</v>
      </c>
      <c r="R95" s="158">
        <v>0</v>
      </c>
      <c r="S95" s="158">
        <v>0</v>
      </c>
      <c r="T95" s="158">
        <v>0</v>
      </c>
      <c r="U95" s="158">
        <v>-3144177</v>
      </c>
      <c r="V95" s="158">
        <v>46897678</v>
      </c>
      <c r="W95" s="158">
        <v>-1500725</v>
      </c>
      <c r="X95" s="158">
        <v>75554000</v>
      </c>
      <c r="Y95" s="158">
        <v>113872266</v>
      </c>
      <c r="Z95" s="158">
        <v>22468736</v>
      </c>
      <c r="AA95" s="158">
        <v>17974990</v>
      </c>
      <c r="AB95" s="158">
        <v>4044373</v>
      </c>
      <c r="AC95" s="158">
        <v>449375</v>
      </c>
      <c r="AD95" s="158">
        <v>138717</v>
      </c>
      <c r="AE95" s="158">
        <v>700734</v>
      </c>
      <c r="AF95" s="158">
        <v>112268</v>
      </c>
      <c r="AG95" s="158">
        <v>0</v>
      </c>
      <c r="AH95" s="158">
        <v>0</v>
      </c>
      <c r="AI95" s="158">
        <v>0</v>
      </c>
      <c r="AJ95" s="158">
        <v>0</v>
      </c>
      <c r="AK95" s="158">
        <v>95419</v>
      </c>
      <c r="AL95" s="158">
        <v>120</v>
      </c>
      <c r="AM95" s="158">
        <v>0</v>
      </c>
      <c r="AN95" s="158">
        <v>0</v>
      </c>
      <c r="AO95" s="158">
        <v>6</v>
      </c>
      <c r="AP95" s="158">
        <v>2</v>
      </c>
      <c r="AQ95" s="158">
        <v>383</v>
      </c>
      <c r="AR95" s="158">
        <v>103</v>
      </c>
      <c r="AS95" s="158">
        <v>41</v>
      </c>
      <c r="AT95" s="158">
        <v>0</v>
      </c>
      <c r="AU95" s="158">
        <v>0</v>
      </c>
      <c r="AV95" s="158">
        <v>0</v>
      </c>
      <c r="AW95" s="158">
        <v>0</v>
      </c>
      <c r="AX95" s="158">
        <v>0</v>
      </c>
      <c r="AY95" s="158">
        <v>591</v>
      </c>
      <c r="AZ95" s="158">
        <v>788</v>
      </c>
      <c r="BA95" s="158">
        <v>1233</v>
      </c>
      <c r="BB95" s="158">
        <v>1125</v>
      </c>
      <c r="BC95" s="158">
        <v>108</v>
      </c>
      <c r="BD95" s="158">
        <v>1332</v>
      </c>
      <c r="BE95" s="158">
        <v>-478990</v>
      </c>
      <c r="BF95" s="158">
        <v>-219848</v>
      </c>
      <c r="BG95" s="158">
        <v>0</v>
      </c>
      <c r="BH95" s="158">
        <v>0</v>
      </c>
      <c r="BI95" s="158">
        <v>-135761</v>
      </c>
      <c r="BJ95" s="158">
        <v>-559605</v>
      </c>
      <c r="BK95" s="158">
        <v>-559794</v>
      </c>
      <c r="BL95" s="1438">
        <v>15487700</v>
      </c>
      <c r="BM95" s="1439">
        <v>29000</v>
      </c>
      <c r="BN95" s="784" t="s">
        <v>2349</v>
      </c>
      <c r="BO95" s="784" t="s">
        <v>2350</v>
      </c>
      <c r="BP95" s="1400" t="s">
        <v>2450</v>
      </c>
      <c r="BQ95" s="509"/>
      <c r="BR95" s="509"/>
      <c r="BS95" s="509"/>
      <c r="BT95" s="509"/>
      <c r="BU95" s="509"/>
      <c r="BV95" s="509"/>
      <c r="BW95" s="509"/>
      <c r="BX95" s="509"/>
      <c r="BY95" s="509"/>
      <c r="BZ95" s="509"/>
      <c r="CA95" s="509"/>
      <c r="CB95" s="509"/>
      <c r="CC95" s="509"/>
      <c r="CD95" s="509"/>
      <c r="CE95" s="509"/>
      <c r="CF95" s="509"/>
      <c r="CG95" s="509"/>
      <c r="CH95" s="509"/>
      <c r="CI95" s="509"/>
      <c r="CJ95" s="509"/>
      <c r="CK95" s="509"/>
      <c r="CL95" s="509"/>
      <c r="CM95" s="509"/>
      <c r="CN95" s="509"/>
      <c r="CO95" s="509"/>
      <c r="CP95" s="509"/>
      <c r="CQ95" s="509"/>
      <c r="CR95" s="509"/>
      <c r="CS95" s="509"/>
    </row>
    <row r="96" spans="1:98" s="137" customFormat="1" ht="12.75" customHeight="1" x14ac:dyDescent="0.2">
      <c r="A96" s="1421">
        <v>92</v>
      </c>
      <c r="B96" s="649" t="s">
        <v>74</v>
      </c>
      <c r="C96" s="1607" t="s">
        <v>75</v>
      </c>
      <c r="D96" s="1605">
        <v>120569</v>
      </c>
      <c r="E96" s="1405">
        <v>76314906</v>
      </c>
      <c r="F96" s="1405">
        <v>3127</v>
      </c>
      <c r="G96" s="158">
        <v>-3759343</v>
      </c>
      <c r="H96" s="158">
        <v>-2980535</v>
      </c>
      <c r="I96" s="158">
        <v>-31631</v>
      </c>
      <c r="J96" s="158">
        <v>-34647</v>
      </c>
      <c r="K96" s="158">
        <v>-9681</v>
      </c>
      <c r="L96" s="158">
        <v>0</v>
      </c>
      <c r="M96" s="158">
        <v>-605216</v>
      </c>
      <c r="N96" s="158">
        <v>-12285</v>
      </c>
      <c r="O96" s="158">
        <v>-28991</v>
      </c>
      <c r="P96" s="158">
        <v>0</v>
      </c>
      <c r="Q96" s="158">
        <v>-2795</v>
      </c>
      <c r="R96" s="158">
        <v>0</v>
      </c>
      <c r="S96" s="158">
        <v>0</v>
      </c>
      <c r="T96" s="158">
        <v>0</v>
      </c>
      <c r="U96" s="158">
        <v>-1636604</v>
      </c>
      <c r="V96" s="158">
        <v>30209368</v>
      </c>
      <c r="W96" s="158">
        <v>-1450050</v>
      </c>
      <c r="X96" s="158">
        <v>50856759</v>
      </c>
      <c r="Y96" s="158">
        <v>76904513</v>
      </c>
      <c r="Z96" s="158">
        <v>13971952</v>
      </c>
      <c r="AA96" s="158">
        <v>11177561</v>
      </c>
      <c r="AB96" s="158">
        <v>2514951</v>
      </c>
      <c r="AC96" s="158">
        <v>279439</v>
      </c>
      <c r="AD96" s="158">
        <v>120847</v>
      </c>
      <c r="AE96" s="158">
        <v>0</v>
      </c>
      <c r="AF96" s="158">
        <v>1402074</v>
      </c>
      <c r="AG96" s="158">
        <v>0</v>
      </c>
      <c r="AH96" s="158">
        <v>0</v>
      </c>
      <c r="AI96" s="158">
        <v>0</v>
      </c>
      <c r="AJ96" s="158">
        <v>0</v>
      </c>
      <c r="AK96" s="158">
        <v>3229461</v>
      </c>
      <c r="AL96" s="158">
        <v>177</v>
      </c>
      <c r="AM96" s="158">
        <v>12</v>
      </c>
      <c r="AN96" s="158">
        <v>13</v>
      </c>
      <c r="AO96" s="158">
        <v>6</v>
      </c>
      <c r="AP96" s="158">
        <v>0</v>
      </c>
      <c r="AQ96" s="158">
        <v>148</v>
      </c>
      <c r="AR96" s="158">
        <v>22</v>
      </c>
      <c r="AS96" s="158">
        <v>12</v>
      </c>
      <c r="AT96" s="158">
        <v>0</v>
      </c>
      <c r="AU96" s="158">
        <v>0</v>
      </c>
      <c r="AV96" s="158">
        <v>1</v>
      </c>
      <c r="AW96" s="158">
        <v>0</v>
      </c>
      <c r="AX96" s="158">
        <v>0</v>
      </c>
      <c r="AY96" s="158">
        <v>275</v>
      </c>
      <c r="AZ96" s="158">
        <v>254</v>
      </c>
      <c r="BA96" s="158">
        <v>1416</v>
      </c>
      <c r="BB96" s="158">
        <v>1339</v>
      </c>
      <c r="BC96" s="158">
        <v>77</v>
      </c>
      <c r="BD96" s="158">
        <v>1449</v>
      </c>
      <c r="BE96" s="158">
        <v>0</v>
      </c>
      <c r="BF96" s="158">
        <v>-331818</v>
      </c>
      <c r="BG96" s="158">
        <v>0</v>
      </c>
      <c r="BH96" s="158">
        <v>-11043</v>
      </c>
      <c r="BI96" s="158">
        <v>-262355</v>
      </c>
      <c r="BJ96" s="158">
        <v>0</v>
      </c>
      <c r="BK96" s="158">
        <v>4029493</v>
      </c>
      <c r="BL96" s="1438">
        <v>9628850</v>
      </c>
      <c r="BM96" s="1439">
        <v>0</v>
      </c>
      <c r="BN96" s="784" t="s">
        <v>2349</v>
      </c>
      <c r="BO96" s="784" t="s">
        <v>2357</v>
      </c>
      <c r="BP96" s="1400" t="s">
        <v>2451</v>
      </c>
      <c r="BQ96" s="509"/>
      <c r="BR96" s="509"/>
      <c r="BS96" s="509"/>
      <c r="BT96" s="509"/>
      <c r="BU96" s="509"/>
      <c r="BV96" s="509"/>
      <c r="BW96" s="509"/>
      <c r="BX96" s="509"/>
      <c r="BY96" s="509"/>
      <c r="BZ96" s="509"/>
      <c r="CA96" s="509"/>
      <c r="CB96" s="509"/>
      <c r="CC96" s="509"/>
      <c r="CD96" s="509"/>
      <c r="CE96" s="509"/>
      <c r="CF96" s="509"/>
      <c r="CG96" s="509"/>
      <c r="CH96" s="509"/>
      <c r="CI96" s="509"/>
      <c r="CJ96" s="509"/>
      <c r="CK96" s="509"/>
      <c r="CL96" s="509"/>
      <c r="CM96" s="509"/>
      <c r="CN96" s="509"/>
      <c r="CO96" s="509"/>
      <c r="CP96" s="509"/>
      <c r="CQ96" s="509"/>
      <c r="CR96" s="509"/>
      <c r="CS96" s="509"/>
    </row>
    <row r="97" spans="1:98" s="137" customFormat="1" ht="12" customHeight="1" x14ac:dyDescent="0.2">
      <c r="A97" s="1421">
        <v>93</v>
      </c>
      <c r="B97" s="649" t="s">
        <v>1170</v>
      </c>
      <c r="C97" s="1607" t="s">
        <v>318</v>
      </c>
      <c r="D97" s="1605">
        <v>152037</v>
      </c>
      <c r="E97" s="1405">
        <v>83768216</v>
      </c>
      <c r="F97" s="1405">
        <v>4184</v>
      </c>
      <c r="G97" s="158">
        <v>-4736032</v>
      </c>
      <c r="H97" s="158">
        <v>-3330429</v>
      </c>
      <c r="I97" s="158">
        <v>-100865</v>
      </c>
      <c r="J97" s="158">
        <v>-25682</v>
      </c>
      <c r="K97" s="158">
        <v>-37824</v>
      </c>
      <c r="L97" s="158">
        <v>0</v>
      </c>
      <c r="M97" s="158">
        <v>-688610</v>
      </c>
      <c r="N97" s="158">
        <v>-159217</v>
      </c>
      <c r="O97" s="158">
        <v>-9349</v>
      </c>
      <c r="P97" s="158">
        <v>-2947</v>
      </c>
      <c r="Q97" s="158">
        <v>0</v>
      </c>
      <c r="R97" s="158">
        <v>0</v>
      </c>
      <c r="S97" s="158">
        <v>0</v>
      </c>
      <c r="T97" s="158">
        <v>0</v>
      </c>
      <c r="U97" s="158">
        <v>-3122617</v>
      </c>
      <c r="V97" s="158">
        <v>29100105</v>
      </c>
      <c r="W97" s="158">
        <v>-765397</v>
      </c>
      <c r="X97" s="158">
        <v>50253750</v>
      </c>
      <c r="Y97" s="158">
        <v>83359912</v>
      </c>
      <c r="Z97" s="158">
        <v>15142584</v>
      </c>
      <c r="AA97" s="158">
        <v>12114067</v>
      </c>
      <c r="AB97" s="158">
        <v>2725665</v>
      </c>
      <c r="AC97" s="158">
        <v>302852</v>
      </c>
      <c r="AD97" s="158">
        <v>148717</v>
      </c>
      <c r="AE97" s="158">
        <v>0</v>
      </c>
      <c r="AF97" s="158">
        <v>0</v>
      </c>
      <c r="AG97" s="158">
        <v>0</v>
      </c>
      <c r="AH97" s="158">
        <v>0</v>
      </c>
      <c r="AI97" s="158">
        <v>0</v>
      </c>
      <c r="AJ97" s="158">
        <v>0</v>
      </c>
      <c r="AK97" s="158">
        <v>5824277</v>
      </c>
      <c r="AL97" s="158">
        <v>215</v>
      </c>
      <c r="AM97" s="158">
        <v>22</v>
      </c>
      <c r="AN97" s="158">
        <v>11</v>
      </c>
      <c r="AO97" s="158">
        <v>22</v>
      </c>
      <c r="AP97" s="158">
        <v>0</v>
      </c>
      <c r="AQ97" s="158">
        <v>284</v>
      </c>
      <c r="AR97" s="158">
        <v>63</v>
      </c>
      <c r="AS97" s="158">
        <v>2</v>
      </c>
      <c r="AT97" s="158">
        <v>4</v>
      </c>
      <c r="AU97" s="158">
        <v>0</v>
      </c>
      <c r="AV97" s="158">
        <v>0</v>
      </c>
      <c r="AW97" s="158">
        <v>0</v>
      </c>
      <c r="AX97" s="158">
        <v>0</v>
      </c>
      <c r="AY97" s="158">
        <v>450</v>
      </c>
      <c r="AZ97" s="158">
        <v>766</v>
      </c>
      <c r="BA97" s="158">
        <v>2049</v>
      </c>
      <c r="BB97" s="158">
        <v>1961</v>
      </c>
      <c r="BC97" s="158">
        <v>88</v>
      </c>
      <c r="BD97" s="158">
        <v>1356</v>
      </c>
      <c r="BE97" s="158">
        <v>-47928</v>
      </c>
      <c r="BF97" s="158">
        <v>-131704</v>
      </c>
      <c r="BG97" s="158">
        <v>0</v>
      </c>
      <c r="BH97" s="158">
        <v>0</v>
      </c>
      <c r="BI97" s="158">
        <v>-109207</v>
      </c>
      <c r="BJ97" s="158">
        <v>-399771</v>
      </c>
      <c r="BK97" s="158">
        <v>5107404</v>
      </c>
      <c r="BL97" s="1438">
        <v>9445050</v>
      </c>
      <c r="BM97" s="1439">
        <v>0</v>
      </c>
      <c r="BN97" s="784" t="s">
        <v>2349</v>
      </c>
      <c r="BO97" s="784" t="s">
        <v>2350</v>
      </c>
      <c r="BP97" s="1400" t="s">
        <v>2452</v>
      </c>
      <c r="BQ97" s="509"/>
      <c r="BR97" s="509"/>
      <c r="BS97" s="509"/>
      <c r="BT97" s="509"/>
      <c r="BU97" s="509"/>
      <c r="BV97" s="509"/>
      <c r="BW97" s="509"/>
      <c r="BX97" s="509"/>
      <c r="BY97" s="509"/>
      <c r="BZ97" s="657"/>
      <c r="CA97" s="657"/>
      <c r="CB97" s="657"/>
      <c r="CC97" s="657"/>
      <c r="CD97" s="657"/>
      <c r="CE97" s="657"/>
      <c r="CF97" s="657"/>
      <c r="CG97" s="657"/>
      <c r="CH97" s="657"/>
      <c r="CI97" s="657"/>
      <c r="CJ97" s="657"/>
      <c r="CK97" s="657"/>
      <c r="CL97" s="657"/>
      <c r="CM97" s="657"/>
      <c r="CN97" s="657"/>
      <c r="CO97" s="657"/>
      <c r="CP97" s="657"/>
      <c r="CQ97" s="657"/>
      <c r="CR97" s="657"/>
      <c r="CS97" s="657"/>
      <c r="CT97" s="657"/>
    </row>
    <row r="98" spans="1:98" s="137" customFormat="1" ht="12.75" customHeight="1" x14ac:dyDescent="0.2">
      <c r="A98" s="1421">
        <v>94</v>
      </c>
      <c r="B98" s="649" t="s">
        <v>76</v>
      </c>
      <c r="C98" s="1607" t="s">
        <v>77</v>
      </c>
      <c r="D98" s="1605">
        <v>120899</v>
      </c>
      <c r="E98" s="1405">
        <v>51356403</v>
      </c>
      <c r="F98" s="1405">
        <v>3414</v>
      </c>
      <c r="G98" s="158">
        <v>-3999905</v>
      </c>
      <c r="H98" s="158">
        <v>-2550606</v>
      </c>
      <c r="I98" s="158">
        <v>-7708</v>
      </c>
      <c r="J98" s="158">
        <v>-16406</v>
      </c>
      <c r="K98" s="158">
        <v>-13461</v>
      </c>
      <c r="L98" s="158">
        <v>0</v>
      </c>
      <c r="M98" s="158">
        <v>-466060</v>
      </c>
      <c r="N98" s="158">
        <v>-34889</v>
      </c>
      <c r="O98" s="158">
        <v>-1785</v>
      </c>
      <c r="P98" s="158">
        <v>0</v>
      </c>
      <c r="Q98" s="158">
        <v>0</v>
      </c>
      <c r="R98" s="158">
        <v>0</v>
      </c>
      <c r="S98" s="158">
        <v>0</v>
      </c>
      <c r="T98" s="158">
        <v>0</v>
      </c>
      <c r="U98" s="158">
        <v>-2125433</v>
      </c>
      <c r="V98" s="158">
        <v>15688292</v>
      </c>
      <c r="W98" s="158">
        <v>-290000</v>
      </c>
      <c r="X98" s="158">
        <v>25342750</v>
      </c>
      <c r="Y98" s="158">
        <v>51503775</v>
      </c>
      <c r="Z98" s="158">
        <v>8247979</v>
      </c>
      <c r="AA98" s="158">
        <v>6598383</v>
      </c>
      <c r="AB98" s="158">
        <v>1649596</v>
      </c>
      <c r="AC98" s="158">
        <v>0</v>
      </c>
      <c r="AD98" s="158">
        <v>121342</v>
      </c>
      <c r="AE98" s="158">
        <v>0</v>
      </c>
      <c r="AF98" s="158">
        <v>301000</v>
      </c>
      <c r="AG98" s="158">
        <v>0</v>
      </c>
      <c r="AH98" s="158">
        <v>0</v>
      </c>
      <c r="AI98" s="158">
        <v>0</v>
      </c>
      <c r="AJ98" s="158">
        <v>0</v>
      </c>
      <c r="AK98" s="158">
        <v>-1862690</v>
      </c>
      <c r="AL98" s="158">
        <v>226</v>
      </c>
      <c r="AM98" s="158">
        <v>6</v>
      </c>
      <c r="AN98" s="158">
        <v>9</v>
      </c>
      <c r="AO98" s="158">
        <v>11</v>
      </c>
      <c r="AP98" s="158">
        <v>0</v>
      </c>
      <c r="AQ98" s="158">
        <v>233</v>
      </c>
      <c r="AR98" s="158">
        <v>18</v>
      </c>
      <c r="AS98" s="158">
        <v>3</v>
      </c>
      <c r="AT98" s="158">
        <v>0</v>
      </c>
      <c r="AU98" s="158">
        <v>0</v>
      </c>
      <c r="AV98" s="158">
        <v>0</v>
      </c>
      <c r="AW98" s="158">
        <v>0</v>
      </c>
      <c r="AX98" s="158">
        <v>0</v>
      </c>
      <c r="AY98" s="158">
        <v>377</v>
      </c>
      <c r="AZ98" s="158">
        <v>670</v>
      </c>
      <c r="BA98" s="158">
        <v>1891</v>
      </c>
      <c r="BB98" s="158">
        <v>1805</v>
      </c>
      <c r="BC98" s="158">
        <v>86</v>
      </c>
      <c r="BD98" s="158">
        <v>891</v>
      </c>
      <c r="BE98" s="158">
        <v>-97773</v>
      </c>
      <c r="BF98" s="158">
        <v>-91457</v>
      </c>
      <c r="BG98" s="158">
        <v>0</v>
      </c>
      <c r="BH98" s="158">
        <v>0</v>
      </c>
      <c r="BI98" s="158">
        <v>-272497</v>
      </c>
      <c r="BJ98" s="158">
        <v>-4333</v>
      </c>
      <c r="BK98" s="158">
        <v>-2044181</v>
      </c>
      <c r="BL98" s="1438">
        <v>6500526</v>
      </c>
      <c r="BM98" s="1439">
        <v>0</v>
      </c>
      <c r="BN98" s="784" t="s">
        <v>2349</v>
      </c>
      <c r="BO98" s="784" t="s">
        <v>2369</v>
      </c>
      <c r="BP98" s="1400" t="s">
        <v>2453</v>
      </c>
      <c r="BQ98" s="509"/>
      <c r="BR98" s="509"/>
      <c r="BS98" s="509"/>
      <c r="BT98" s="509"/>
      <c r="BU98" s="509"/>
      <c r="BV98" s="509"/>
      <c r="BW98" s="509"/>
      <c r="BX98" s="509"/>
      <c r="BY98" s="509"/>
      <c r="BZ98" s="509"/>
      <c r="CA98" s="509"/>
      <c r="CB98" s="509"/>
      <c r="CC98" s="509"/>
      <c r="CD98" s="509"/>
      <c r="CE98" s="509"/>
      <c r="CF98" s="509"/>
      <c r="CG98" s="509"/>
      <c r="CH98" s="509"/>
      <c r="CI98" s="509"/>
      <c r="CJ98" s="509"/>
      <c r="CK98" s="509"/>
      <c r="CL98" s="509"/>
      <c r="CM98" s="509"/>
      <c r="CN98" s="509"/>
      <c r="CO98" s="509"/>
      <c r="CP98" s="509"/>
      <c r="CQ98" s="509"/>
      <c r="CR98" s="509"/>
      <c r="CS98" s="509"/>
    </row>
    <row r="99" spans="1:98" s="137" customFormat="1" ht="12.75" customHeight="1" x14ac:dyDescent="0.2">
      <c r="A99" s="1421">
        <v>95</v>
      </c>
      <c r="B99" s="649" t="s">
        <v>78</v>
      </c>
      <c r="C99" s="1607" t="s">
        <v>79</v>
      </c>
      <c r="D99" s="1605">
        <v>113756</v>
      </c>
      <c r="E99" s="1405">
        <v>68555696</v>
      </c>
      <c r="F99" s="1405">
        <v>3103</v>
      </c>
      <c r="G99" s="158">
        <v>-3967398</v>
      </c>
      <c r="H99" s="158">
        <v>-1540543</v>
      </c>
      <c r="I99" s="158">
        <v>-8607</v>
      </c>
      <c r="J99" s="158">
        <v>-1527</v>
      </c>
      <c r="K99" s="158">
        <v>-5847</v>
      </c>
      <c r="L99" s="158">
        <v>-5000</v>
      </c>
      <c r="M99" s="158">
        <v>-294387</v>
      </c>
      <c r="N99" s="158">
        <v>-62804</v>
      </c>
      <c r="O99" s="158">
        <v>-17234</v>
      </c>
      <c r="P99" s="158">
        <v>-1188</v>
      </c>
      <c r="Q99" s="158">
        <v>0</v>
      </c>
      <c r="R99" s="158">
        <v>-146293</v>
      </c>
      <c r="S99" s="158">
        <v>-146293</v>
      </c>
      <c r="T99" s="158">
        <v>0</v>
      </c>
      <c r="U99" s="158">
        <v>-3968054</v>
      </c>
      <c r="V99" s="158">
        <v>25330514</v>
      </c>
      <c r="W99" s="158">
        <v>-943653</v>
      </c>
      <c r="X99" s="158">
        <v>40991200</v>
      </c>
      <c r="Y99" s="158">
        <v>68509776</v>
      </c>
      <c r="Z99" s="158">
        <v>11842032</v>
      </c>
      <c r="AA99" s="158">
        <v>9590660</v>
      </c>
      <c r="AB99" s="158">
        <v>2157899</v>
      </c>
      <c r="AC99" s="158">
        <v>239767</v>
      </c>
      <c r="AD99" s="158">
        <v>113549</v>
      </c>
      <c r="AE99" s="158">
        <v>186491</v>
      </c>
      <c r="AF99" s="158">
        <v>181604</v>
      </c>
      <c r="AG99" s="158">
        <v>0</v>
      </c>
      <c r="AH99" s="158">
        <v>146293</v>
      </c>
      <c r="AI99" s="158">
        <v>0</v>
      </c>
      <c r="AJ99" s="158">
        <v>0</v>
      </c>
      <c r="AK99" s="158">
        <v>-528634</v>
      </c>
      <c r="AL99" s="158">
        <v>104</v>
      </c>
      <c r="AM99" s="158">
        <v>4</v>
      </c>
      <c r="AN99" s="158">
        <v>2</v>
      </c>
      <c r="AO99" s="158">
        <v>2</v>
      </c>
      <c r="AP99" s="158">
        <v>0</v>
      </c>
      <c r="AQ99" s="158">
        <v>224</v>
      </c>
      <c r="AR99" s="158">
        <v>35</v>
      </c>
      <c r="AS99" s="158">
        <v>6</v>
      </c>
      <c r="AT99" s="158">
        <v>4</v>
      </c>
      <c r="AU99" s="158">
        <v>0</v>
      </c>
      <c r="AV99" s="158">
        <v>0</v>
      </c>
      <c r="AW99" s="158">
        <v>15</v>
      </c>
      <c r="AX99" s="158">
        <v>0</v>
      </c>
      <c r="AY99" s="158">
        <v>421</v>
      </c>
      <c r="AZ99" s="158">
        <v>548</v>
      </c>
      <c r="BA99" s="158">
        <v>1450</v>
      </c>
      <c r="BB99" s="158">
        <v>1371</v>
      </c>
      <c r="BC99" s="158">
        <v>79</v>
      </c>
      <c r="BD99" s="158">
        <v>1120</v>
      </c>
      <c r="BE99" s="158">
        <v>-5448</v>
      </c>
      <c r="BF99" s="158">
        <v>-141518</v>
      </c>
      <c r="BG99" s="158">
        <v>0</v>
      </c>
      <c r="BH99" s="158">
        <v>0</v>
      </c>
      <c r="BI99" s="158">
        <v>-147421</v>
      </c>
      <c r="BJ99" s="158">
        <v>0</v>
      </c>
      <c r="BK99" s="158">
        <v>22788</v>
      </c>
      <c r="BL99" s="1438">
        <v>8393900</v>
      </c>
      <c r="BM99" s="1439">
        <v>629250</v>
      </c>
      <c r="BN99" s="784" t="s">
        <v>2349</v>
      </c>
      <c r="BO99" s="784" t="s">
        <v>2376</v>
      </c>
      <c r="BP99" s="1400" t="s">
        <v>2454</v>
      </c>
      <c r="BQ99" s="509"/>
      <c r="BR99" s="509"/>
      <c r="BS99" s="509"/>
      <c r="BT99" s="509"/>
      <c r="BU99" s="509"/>
      <c r="BV99" s="509"/>
      <c r="BW99" s="509"/>
      <c r="BX99" s="509"/>
      <c r="BY99" s="509"/>
      <c r="BZ99" s="509"/>
      <c r="CA99" s="509"/>
      <c r="CB99" s="509"/>
      <c r="CC99" s="509"/>
      <c r="CD99" s="509"/>
      <c r="CE99" s="509"/>
      <c r="CF99" s="509"/>
      <c r="CG99" s="509"/>
      <c r="CH99" s="509"/>
      <c r="CI99" s="509"/>
      <c r="CJ99" s="509"/>
      <c r="CK99" s="509"/>
      <c r="CL99" s="509"/>
      <c r="CM99" s="509"/>
      <c r="CN99" s="509"/>
      <c r="CO99" s="509"/>
      <c r="CP99" s="509"/>
      <c r="CQ99" s="509"/>
      <c r="CR99" s="509"/>
      <c r="CS99" s="509"/>
    </row>
    <row r="100" spans="1:98" s="137" customFormat="1" ht="12.75" customHeight="1" x14ac:dyDescent="0.2">
      <c r="A100" s="1421">
        <v>96</v>
      </c>
      <c r="B100" s="649" t="s">
        <v>80</v>
      </c>
      <c r="C100" s="1607" t="s">
        <v>81</v>
      </c>
      <c r="D100" s="1605">
        <v>269732</v>
      </c>
      <c r="E100" s="1405">
        <v>204644201</v>
      </c>
      <c r="F100" s="1405">
        <v>6981</v>
      </c>
      <c r="G100" s="158">
        <v>-7320856</v>
      </c>
      <c r="H100" s="158">
        <v>-4915876</v>
      </c>
      <c r="I100" s="158">
        <v>-92268</v>
      </c>
      <c r="J100" s="158">
        <v>-9263</v>
      </c>
      <c r="K100" s="158">
        <v>0</v>
      </c>
      <c r="L100" s="158">
        <v>-21000</v>
      </c>
      <c r="M100" s="158">
        <v>-3113352</v>
      </c>
      <c r="N100" s="158">
        <v>-91481</v>
      </c>
      <c r="O100" s="158">
        <v>-8897</v>
      </c>
      <c r="P100" s="158">
        <v>-736</v>
      </c>
      <c r="Q100" s="158">
        <v>0</v>
      </c>
      <c r="R100" s="158">
        <v>-100000</v>
      </c>
      <c r="S100" s="158">
        <v>0</v>
      </c>
      <c r="T100" s="158">
        <v>0</v>
      </c>
      <c r="U100" s="158">
        <v>-6384409</v>
      </c>
      <c r="V100" s="158">
        <v>84615803</v>
      </c>
      <c r="W100" s="158">
        <v>-1938886</v>
      </c>
      <c r="X100" s="158">
        <v>141858250</v>
      </c>
      <c r="Y100" s="158">
        <v>204603182</v>
      </c>
      <c r="Z100" s="158">
        <v>37774409</v>
      </c>
      <c r="AA100" s="158">
        <v>37018921</v>
      </c>
      <c r="AB100" s="158">
        <v>0</v>
      </c>
      <c r="AC100" s="158">
        <v>755488</v>
      </c>
      <c r="AD100" s="158">
        <v>267580</v>
      </c>
      <c r="AE100" s="158">
        <v>4388473</v>
      </c>
      <c r="AF100" s="158">
        <v>2018</v>
      </c>
      <c r="AG100" s="158">
        <v>0</v>
      </c>
      <c r="AH100" s="158">
        <v>0</v>
      </c>
      <c r="AI100" s="158">
        <v>0</v>
      </c>
      <c r="AJ100" s="158">
        <v>0</v>
      </c>
      <c r="AK100" s="158">
        <v>16575559</v>
      </c>
      <c r="AL100" s="158">
        <v>266</v>
      </c>
      <c r="AM100" s="158">
        <v>15</v>
      </c>
      <c r="AN100" s="158">
        <v>4</v>
      </c>
      <c r="AO100" s="158">
        <v>0</v>
      </c>
      <c r="AP100" s="158">
        <v>0</v>
      </c>
      <c r="AQ100" s="158">
        <v>424</v>
      </c>
      <c r="AR100" s="158">
        <v>65</v>
      </c>
      <c r="AS100" s="158">
        <v>2</v>
      </c>
      <c r="AT100" s="158">
        <v>2</v>
      </c>
      <c r="AU100" s="158">
        <v>0</v>
      </c>
      <c r="AV100" s="158">
        <v>0</v>
      </c>
      <c r="AW100" s="158">
        <v>0</v>
      </c>
      <c r="AX100" s="158">
        <v>0</v>
      </c>
      <c r="AY100" s="158">
        <v>648</v>
      </c>
      <c r="AZ100" s="158">
        <v>800</v>
      </c>
      <c r="BA100" s="158">
        <v>2640</v>
      </c>
      <c r="BB100" s="158">
        <v>2471</v>
      </c>
      <c r="BC100" s="158">
        <v>169</v>
      </c>
      <c r="BD100" s="158">
        <v>3454</v>
      </c>
      <c r="BE100" s="158">
        <v>-354891</v>
      </c>
      <c r="BF100" s="158">
        <v>-234653</v>
      </c>
      <c r="BG100" s="158">
        <v>0</v>
      </c>
      <c r="BH100" s="158">
        <v>-33749</v>
      </c>
      <c r="BI100" s="158">
        <v>-2490059</v>
      </c>
      <c r="BJ100" s="158">
        <v>0</v>
      </c>
      <c r="BK100" s="158">
        <v>12440740</v>
      </c>
      <c r="BL100" s="1438">
        <v>26027300</v>
      </c>
      <c r="BM100" s="1439">
        <v>520000</v>
      </c>
      <c r="BN100" s="784" t="s">
        <v>2363</v>
      </c>
      <c r="BO100" s="784" t="s">
        <v>855</v>
      </c>
      <c r="BP100" s="1400" t="s">
        <v>2455</v>
      </c>
      <c r="BQ100" s="509"/>
      <c r="BR100" s="509"/>
      <c r="BS100" s="509"/>
      <c r="BT100" s="509"/>
      <c r="BU100" s="509"/>
      <c r="BV100" s="509"/>
      <c r="BW100" s="509"/>
      <c r="BX100" s="509"/>
      <c r="BY100" s="509"/>
      <c r="BZ100" s="509"/>
      <c r="CA100" s="509"/>
      <c r="CB100" s="509"/>
      <c r="CC100" s="509"/>
      <c r="CD100" s="509"/>
      <c r="CE100" s="509"/>
      <c r="CF100" s="509"/>
      <c r="CG100" s="509"/>
      <c r="CH100" s="509"/>
      <c r="CI100" s="509"/>
      <c r="CJ100" s="509"/>
      <c r="CK100" s="509"/>
      <c r="CL100" s="509"/>
      <c r="CM100" s="509"/>
      <c r="CN100" s="509"/>
      <c r="CO100" s="509"/>
      <c r="CP100" s="509"/>
      <c r="CQ100" s="509"/>
      <c r="CR100" s="509"/>
      <c r="CS100" s="509"/>
    </row>
    <row r="101" spans="1:98" s="137" customFormat="1" ht="12.75" customHeight="1" x14ac:dyDescent="0.2">
      <c r="A101" s="1421">
        <v>97</v>
      </c>
      <c r="B101" s="649" t="s">
        <v>82</v>
      </c>
      <c r="C101" s="1607" t="s">
        <v>83</v>
      </c>
      <c r="D101" s="1605">
        <v>100859</v>
      </c>
      <c r="E101" s="1405">
        <v>66795653</v>
      </c>
      <c r="F101" s="1405">
        <v>2658</v>
      </c>
      <c r="G101" s="158">
        <v>-3178935</v>
      </c>
      <c r="H101" s="158">
        <v>-2295930</v>
      </c>
      <c r="I101" s="158">
        <v>-43213</v>
      </c>
      <c r="J101" s="158">
        <v>0</v>
      </c>
      <c r="K101" s="158">
        <v>-4890</v>
      </c>
      <c r="L101" s="158">
        <v>0</v>
      </c>
      <c r="M101" s="158">
        <v>-240721</v>
      </c>
      <c r="N101" s="158">
        <v>-77278</v>
      </c>
      <c r="O101" s="158">
        <v>-42766</v>
      </c>
      <c r="P101" s="158">
        <v>-5739</v>
      </c>
      <c r="Q101" s="158">
        <v>0</v>
      </c>
      <c r="R101" s="158">
        <v>-13000</v>
      </c>
      <c r="S101" s="158">
        <v>0</v>
      </c>
      <c r="T101" s="158">
        <v>0</v>
      </c>
      <c r="U101" s="158">
        <v>-1454223</v>
      </c>
      <c r="V101" s="158">
        <v>26593945</v>
      </c>
      <c r="W101" s="158">
        <v>-256197</v>
      </c>
      <c r="X101" s="158">
        <v>40069000</v>
      </c>
      <c r="Y101" s="158">
        <v>66015503</v>
      </c>
      <c r="Z101" s="158">
        <v>13163891</v>
      </c>
      <c r="AA101" s="158">
        <v>10531112</v>
      </c>
      <c r="AB101" s="158">
        <v>2369500</v>
      </c>
      <c r="AC101" s="158">
        <v>263278</v>
      </c>
      <c r="AD101" s="158">
        <v>99760</v>
      </c>
      <c r="AE101" s="158">
        <v>0</v>
      </c>
      <c r="AF101" s="158">
        <v>378426</v>
      </c>
      <c r="AG101" s="158">
        <v>0</v>
      </c>
      <c r="AH101" s="158">
        <v>0</v>
      </c>
      <c r="AI101" s="158">
        <v>0</v>
      </c>
      <c r="AJ101" s="158">
        <v>0</v>
      </c>
      <c r="AK101" s="158">
        <v>1754545</v>
      </c>
      <c r="AL101" s="158">
        <v>127</v>
      </c>
      <c r="AM101" s="158">
        <v>4</v>
      </c>
      <c r="AN101" s="158">
        <v>0</v>
      </c>
      <c r="AO101" s="158">
        <v>4</v>
      </c>
      <c r="AP101" s="158">
        <v>0</v>
      </c>
      <c r="AQ101" s="158">
        <v>113</v>
      </c>
      <c r="AR101" s="158">
        <v>59</v>
      </c>
      <c r="AS101" s="158">
        <v>11</v>
      </c>
      <c r="AT101" s="158">
        <v>2</v>
      </c>
      <c r="AU101" s="158">
        <v>0</v>
      </c>
      <c r="AV101" s="158">
        <v>0</v>
      </c>
      <c r="AW101" s="158">
        <v>0</v>
      </c>
      <c r="AX101" s="158">
        <v>1</v>
      </c>
      <c r="AY101" s="158">
        <v>168</v>
      </c>
      <c r="AZ101" s="158">
        <v>506</v>
      </c>
      <c r="BA101" s="158">
        <v>1169</v>
      </c>
      <c r="BB101" s="158">
        <v>1087</v>
      </c>
      <c r="BC101" s="158">
        <v>82</v>
      </c>
      <c r="BD101" s="158">
        <v>1086</v>
      </c>
      <c r="BE101" s="158">
        <v>-32239</v>
      </c>
      <c r="BF101" s="158">
        <v>-102102</v>
      </c>
      <c r="BG101" s="158">
        <v>0</v>
      </c>
      <c r="BH101" s="158">
        <v>0</v>
      </c>
      <c r="BI101" s="158">
        <v>-72136</v>
      </c>
      <c r="BJ101" s="158">
        <v>-34244</v>
      </c>
      <c r="BK101" s="158">
        <v>1388157</v>
      </c>
      <c r="BL101" s="1438">
        <v>9607750</v>
      </c>
      <c r="BM101" s="1439">
        <v>63500</v>
      </c>
      <c r="BN101" s="784" t="s">
        <v>2349</v>
      </c>
      <c r="BO101" s="784" t="s">
        <v>2352</v>
      </c>
      <c r="BP101" s="1400" t="s">
        <v>2456</v>
      </c>
      <c r="BQ101" s="509"/>
      <c r="BR101" s="509"/>
      <c r="BS101" s="509"/>
      <c r="BT101" s="509"/>
      <c r="BU101" s="509"/>
      <c r="BV101" s="509"/>
      <c r="BW101" s="509"/>
      <c r="BX101" s="509"/>
      <c r="BY101" s="509"/>
      <c r="BZ101" s="509"/>
      <c r="CA101" s="509"/>
      <c r="CB101" s="509"/>
      <c r="CC101" s="509"/>
      <c r="CD101" s="509"/>
      <c r="CE101" s="509"/>
      <c r="CF101" s="509"/>
      <c r="CG101" s="509"/>
      <c r="CH101" s="509"/>
      <c r="CI101" s="509"/>
      <c r="CJ101" s="509"/>
      <c r="CK101" s="509"/>
      <c r="CL101" s="509"/>
      <c r="CM101" s="509"/>
      <c r="CN101" s="509"/>
      <c r="CO101" s="509"/>
      <c r="CP101" s="509"/>
      <c r="CQ101" s="509"/>
      <c r="CR101" s="509"/>
      <c r="CS101" s="509"/>
    </row>
    <row r="102" spans="1:98" s="137" customFormat="1" ht="12.75" customHeight="1" x14ac:dyDescent="0.2">
      <c r="A102" s="1421">
        <v>98</v>
      </c>
      <c r="B102" s="649" t="s">
        <v>84</v>
      </c>
      <c r="C102" s="1607" t="s">
        <v>85</v>
      </c>
      <c r="D102" s="1605">
        <v>169539</v>
      </c>
      <c r="E102" s="1405">
        <v>141909849</v>
      </c>
      <c r="F102" s="1405">
        <v>4162</v>
      </c>
      <c r="G102" s="158">
        <v>-3045832</v>
      </c>
      <c r="H102" s="158">
        <v>-4209784</v>
      </c>
      <c r="I102" s="158">
        <v>-54319</v>
      </c>
      <c r="J102" s="158">
        <v>0</v>
      </c>
      <c r="K102" s="158">
        <v>-10329</v>
      </c>
      <c r="L102" s="158">
        <v>-20000</v>
      </c>
      <c r="M102" s="158">
        <v>-1597794</v>
      </c>
      <c r="N102" s="158">
        <v>0</v>
      </c>
      <c r="O102" s="158">
        <v>-107135</v>
      </c>
      <c r="P102" s="158">
        <v>0</v>
      </c>
      <c r="Q102" s="158">
        <v>0</v>
      </c>
      <c r="R102" s="158">
        <v>0</v>
      </c>
      <c r="S102" s="158">
        <v>0</v>
      </c>
      <c r="T102" s="158">
        <v>0</v>
      </c>
      <c r="U102" s="158">
        <v>-4414229</v>
      </c>
      <c r="V102" s="158">
        <v>59019629</v>
      </c>
      <c r="W102" s="158">
        <v>-1180792</v>
      </c>
      <c r="X102" s="158">
        <v>99088500</v>
      </c>
      <c r="Y102" s="158">
        <v>141295224</v>
      </c>
      <c r="Z102" s="158">
        <v>29580643</v>
      </c>
      <c r="AA102" s="158">
        <v>23664515</v>
      </c>
      <c r="AB102" s="158">
        <v>5916129</v>
      </c>
      <c r="AC102" s="158">
        <v>0</v>
      </c>
      <c r="AD102" s="158">
        <v>169296</v>
      </c>
      <c r="AE102" s="158">
        <v>0</v>
      </c>
      <c r="AF102" s="158">
        <v>0</v>
      </c>
      <c r="AG102" s="158">
        <v>0</v>
      </c>
      <c r="AH102" s="158">
        <v>0</v>
      </c>
      <c r="AI102" s="158">
        <v>0</v>
      </c>
      <c r="AJ102" s="158">
        <v>0</v>
      </c>
      <c r="AK102" s="158">
        <v>-2092409</v>
      </c>
      <c r="AL102" s="158">
        <v>238</v>
      </c>
      <c r="AM102" s="158">
        <v>15</v>
      </c>
      <c r="AN102" s="158">
        <v>0</v>
      </c>
      <c r="AO102" s="158">
        <v>3</v>
      </c>
      <c r="AP102" s="158">
        <v>0</v>
      </c>
      <c r="AQ102" s="158">
        <v>410</v>
      </c>
      <c r="AR102" s="158">
        <v>0</v>
      </c>
      <c r="AS102" s="158">
        <v>22</v>
      </c>
      <c r="AT102" s="158">
        <v>0</v>
      </c>
      <c r="AU102" s="158">
        <v>0</v>
      </c>
      <c r="AV102" s="158">
        <v>0</v>
      </c>
      <c r="AW102" s="158">
        <v>0</v>
      </c>
      <c r="AX102" s="158">
        <v>0</v>
      </c>
      <c r="AY102" s="158">
        <v>476</v>
      </c>
      <c r="AZ102" s="158">
        <v>1284</v>
      </c>
      <c r="BA102" s="158">
        <v>1238</v>
      </c>
      <c r="BB102" s="158">
        <v>1092</v>
      </c>
      <c r="BC102" s="158">
        <v>146</v>
      </c>
      <c r="BD102" s="158">
        <v>1636</v>
      </c>
      <c r="BE102" s="158">
        <v>-236855</v>
      </c>
      <c r="BF102" s="158">
        <v>-638258</v>
      </c>
      <c r="BG102" s="158">
        <v>0</v>
      </c>
      <c r="BH102" s="158">
        <v>0</v>
      </c>
      <c r="BI102" s="158">
        <v>-621618</v>
      </c>
      <c r="BJ102" s="158">
        <v>-101063</v>
      </c>
      <c r="BK102" s="158">
        <v>-1995670</v>
      </c>
      <c r="BL102" s="1438">
        <v>17311050</v>
      </c>
      <c r="BM102" s="1439">
        <v>0</v>
      </c>
      <c r="BN102" s="784" t="s">
        <v>2349</v>
      </c>
      <c r="BO102" s="784" t="s">
        <v>2369</v>
      </c>
      <c r="BP102" s="1400" t="s">
        <v>2457</v>
      </c>
      <c r="BQ102" s="509"/>
      <c r="BR102" s="509"/>
      <c r="BS102" s="509"/>
      <c r="BT102" s="509"/>
      <c r="BU102" s="509"/>
      <c r="BV102" s="509"/>
      <c r="BW102" s="509"/>
      <c r="BX102" s="509"/>
      <c r="BY102" s="509"/>
      <c r="BZ102" s="509"/>
      <c r="CA102" s="509"/>
      <c r="CB102" s="509"/>
      <c r="CC102" s="509"/>
      <c r="CD102" s="509"/>
      <c r="CE102" s="509"/>
      <c r="CF102" s="509"/>
      <c r="CG102" s="509"/>
      <c r="CH102" s="509"/>
      <c r="CI102" s="509"/>
      <c r="CJ102" s="509"/>
      <c r="CK102" s="509"/>
      <c r="CL102" s="509"/>
      <c r="CM102" s="509"/>
      <c r="CN102" s="509"/>
      <c r="CO102" s="509"/>
      <c r="CP102" s="509"/>
      <c r="CQ102" s="509"/>
      <c r="CR102" s="509"/>
      <c r="CS102" s="509"/>
    </row>
    <row r="103" spans="1:98" s="137" customFormat="1" ht="12.75" customHeight="1" x14ac:dyDescent="0.2">
      <c r="A103" s="1421">
        <v>99</v>
      </c>
      <c r="B103" s="649" t="s">
        <v>86</v>
      </c>
      <c r="C103" s="1607" t="s">
        <v>87</v>
      </c>
      <c r="D103" s="1605">
        <v>78104</v>
      </c>
      <c r="E103" s="1405">
        <v>49061566</v>
      </c>
      <c r="F103" s="1405">
        <v>2024</v>
      </c>
      <c r="G103" s="158">
        <v>-2351698</v>
      </c>
      <c r="H103" s="158">
        <v>-1586407</v>
      </c>
      <c r="I103" s="158">
        <v>-31718</v>
      </c>
      <c r="J103" s="158">
        <v>0</v>
      </c>
      <c r="K103" s="158">
        <v>-6462</v>
      </c>
      <c r="L103" s="158">
        <v>0</v>
      </c>
      <c r="M103" s="158">
        <v>-271950</v>
      </c>
      <c r="N103" s="158">
        <v>-156731</v>
      </c>
      <c r="O103" s="158">
        <v>-93121</v>
      </c>
      <c r="P103" s="158">
        <v>-1272</v>
      </c>
      <c r="Q103" s="158">
        <v>0</v>
      </c>
      <c r="R103" s="158">
        <v>0</v>
      </c>
      <c r="S103" s="158">
        <v>0</v>
      </c>
      <c r="T103" s="158">
        <v>0</v>
      </c>
      <c r="U103" s="158">
        <v>-907010</v>
      </c>
      <c r="V103" s="158">
        <v>20100551</v>
      </c>
      <c r="W103" s="158">
        <v>-959900</v>
      </c>
      <c r="X103" s="158">
        <v>30615050</v>
      </c>
      <c r="Y103" s="158">
        <v>49557302</v>
      </c>
      <c r="Z103" s="158">
        <v>9289412</v>
      </c>
      <c r="AA103" s="158">
        <v>7431529</v>
      </c>
      <c r="AB103" s="158">
        <v>1672094</v>
      </c>
      <c r="AC103" s="158">
        <v>185788</v>
      </c>
      <c r="AD103" s="158">
        <v>78412</v>
      </c>
      <c r="AE103" s="158">
        <v>496955</v>
      </c>
      <c r="AF103" s="158">
        <v>0</v>
      </c>
      <c r="AG103" s="158">
        <v>0</v>
      </c>
      <c r="AH103" s="158">
        <v>0</v>
      </c>
      <c r="AI103" s="158">
        <v>0</v>
      </c>
      <c r="AJ103" s="158">
        <v>0</v>
      </c>
      <c r="AK103" s="158">
        <v>763587</v>
      </c>
      <c r="AL103" s="158">
        <v>102</v>
      </c>
      <c r="AM103" s="158">
        <v>7</v>
      </c>
      <c r="AN103" s="158">
        <v>0</v>
      </c>
      <c r="AO103" s="158">
        <v>3</v>
      </c>
      <c r="AP103" s="158">
        <v>0</v>
      </c>
      <c r="AQ103" s="158">
        <v>217</v>
      </c>
      <c r="AR103" s="158">
        <v>57</v>
      </c>
      <c r="AS103" s="158">
        <v>14</v>
      </c>
      <c r="AT103" s="158">
        <v>2</v>
      </c>
      <c r="AU103" s="158">
        <v>0</v>
      </c>
      <c r="AV103" s="158">
        <v>0</v>
      </c>
      <c r="AW103" s="158">
        <v>0</v>
      </c>
      <c r="AX103" s="158">
        <v>0</v>
      </c>
      <c r="AY103" s="158">
        <v>107</v>
      </c>
      <c r="AZ103" s="158">
        <v>348</v>
      </c>
      <c r="BA103" s="158">
        <v>871</v>
      </c>
      <c r="BB103" s="158">
        <v>795</v>
      </c>
      <c r="BC103" s="158">
        <v>76</v>
      </c>
      <c r="BD103" s="158">
        <v>838</v>
      </c>
      <c r="BE103" s="158">
        <v>0</v>
      </c>
      <c r="BF103" s="158">
        <v>-133445</v>
      </c>
      <c r="BG103" s="158">
        <v>0</v>
      </c>
      <c r="BH103" s="158">
        <v>0</v>
      </c>
      <c r="BI103" s="158">
        <v>-137705</v>
      </c>
      <c r="BJ103" s="158">
        <v>-800</v>
      </c>
      <c r="BK103" s="158">
        <v>1863715</v>
      </c>
      <c r="BL103" s="1438">
        <v>5873800</v>
      </c>
      <c r="BM103" s="1439">
        <v>500750</v>
      </c>
      <c r="BN103" s="784" t="s">
        <v>2349</v>
      </c>
      <c r="BO103" s="784" t="s">
        <v>2350</v>
      </c>
      <c r="BP103" s="1400" t="s">
        <v>2458</v>
      </c>
      <c r="BQ103" s="509"/>
      <c r="BR103" s="509"/>
      <c r="BS103" s="509"/>
      <c r="BT103" s="509"/>
      <c r="BU103" s="509"/>
      <c r="BV103" s="509"/>
      <c r="BW103" s="509"/>
      <c r="BX103" s="509"/>
      <c r="BY103" s="509"/>
      <c r="BZ103" s="509"/>
      <c r="CA103" s="509"/>
      <c r="CB103" s="509"/>
      <c r="CC103" s="509"/>
      <c r="CD103" s="509"/>
      <c r="CE103" s="509"/>
      <c r="CF103" s="509"/>
      <c r="CG103" s="509"/>
      <c r="CH103" s="509"/>
      <c r="CI103" s="509"/>
      <c r="CJ103" s="509"/>
      <c r="CK103" s="509"/>
      <c r="CL103" s="509"/>
      <c r="CM103" s="509"/>
      <c r="CN103" s="509"/>
      <c r="CO103" s="509"/>
      <c r="CP103" s="509"/>
      <c r="CQ103" s="509"/>
      <c r="CR103" s="509"/>
      <c r="CS103" s="509"/>
    </row>
    <row r="104" spans="1:98" s="137" customFormat="1" ht="12.75" customHeight="1" x14ac:dyDescent="0.2">
      <c r="A104" s="1421">
        <v>100</v>
      </c>
      <c r="B104" s="649" t="s">
        <v>88</v>
      </c>
      <c r="C104" s="1607" t="s">
        <v>89</v>
      </c>
      <c r="D104" s="1605">
        <v>92203</v>
      </c>
      <c r="E104" s="1405">
        <v>75986289</v>
      </c>
      <c r="F104" s="1405">
        <v>2312</v>
      </c>
      <c r="G104" s="158">
        <v>-2705630</v>
      </c>
      <c r="H104" s="158">
        <v>-3771910</v>
      </c>
      <c r="I104" s="158">
        <v>-51830</v>
      </c>
      <c r="J104" s="158">
        <v>-2660</v>
      </c>
      <c r="K104" s="158">
        <v>-11230</v>
      </c>
      <c r="L104" s="158">
        <v>0</v>
      </c>
      <c r="M104" s="158">
        <v>-1306700</v>
      </c>
      <c r="N104" s="158">
        <v>-144270</v>
      </c>
      <c r="O104" s="158">
        <v>-3880</v>
      </c>
      <c r="P104" s="158">
        <v>0</v>
      </c>
      <c r="Q104" s="158">
        <v>-860</v>
      </c>
      <c r="R104" s="158">
        <v>0</v>
      </c>
      <c r="S104" s="158">
        <v>0</v>
      </c>
      <c r="T104" s="158">
        <v>0</v>
      </c>
      <c r="U104" s="158">
        <v>-986900</v>
      </c>
      <c r="V104" s="158">
        <v>29489480</v>
      </c>
      <c r="W104" s="158">
        <v>-600000</v>
      </c>
      <c r="X104" s="158">
        <v>50657509</v>
      </c>
      <c r="Y104" s="158">
        <v>76074564</v>
      </c>
      <c r="Z104" s="158">
        <v>14581595</v>
      </c>
      <c r="AA104" s="158">
        <v>11665276</v>
      </c>
      <c r="AB104" s="158">
        <v>2624687</v>
      </c>
      <c r="AC104" s="158">
        <v>291632</v>
      </c>
      <c r="AD104" s="158">
        <v>91560</v>
      </c>
      <c r="AE104" s="158">
        <v>330330</v>
      </c>
      <c r="AF104" s="158">
        <v>2220</v>
      </c>
      <c r="AG104" s="158">
        <v>0</v>
      </c>
      <c r="AH104" s="158">
        <v>0</v>
      </c>
      <c r="AI104" s="158">
        <v>0</v>
      </c>
      <c r="AJ104" s="158">
        <v>0</v>
      </c>
      <c r="AK104" s="158">
        <v>-4700000</v>
      </c>
      <c r="AL104" s="158">
        <v>116</v>
      </c>
      <c r="AM104" s="158">
        <v>15</v>
      </c>
      <c r="AN104" s="158">
        <v>2</v>
      </c>
      <c r="AO104" s="158">
        <v>6</v>
      </c>
      <c r="AP104" s="158">
        <v>0</v>
      </c>
      <c r="AQ104" s="158">
        <v>178</v>
      </c>
      <c r="AR104" s="158">
        <v>25</v>
      </c>
      <c r="AS104" s="158">
        <v>3</v>
      </c>
      <c r="AT104" s="158">
        <v>0</v>
      </c>
      <c r="AU104" s="158">
        <v>0</v>
      </c>
      <c r="AV104" s="158">
        <v>0</v>
      </c>
      <c r="AW104" s="158">
        <v>1</v>
      </c>
      <c r="AX104" s="158">
        <v>0</v>
      </c>
      <c r="AY104" s="158">
        <v>118</v>
      </c>
      <c r="AZ104" s="158">
        <v>231</v>
      </c>
      <c r="BA104" s="158">
        <v>897</v>
      </c>
      <c r="BB104" s="158">
        <v>786</v>
      </c>
      <c r="BC104" s="158">
        <v>111</v>
      </c>
      <c r="BD104" s="158">
        <v>1178</v>
      </c>
      <c r="BE104" s="158">
        <v>-350303</v>
      </c>
      <c r="BF104" s="158">
        <v>-222692</v>
      </c>
      <c r="BG104" s="158">
        <v>0</v>
      </c>
      <c r="BH104" s="158">
        <v>-23480</v>
      </c>
      <c r="BI104" s="158">
        <v>-710225</v>
      </c>
      <c r="BJ104" s="158">
        <v>0</v>
      </c>
      <c r="BK104" s="158">
        <v>-4576570</v>
      </c>
      <c r="BL104" s="1438">
        <v>6602095</v>
      </c>
      <c r="BM104" s="1439">
        <v>0</v>
      </c>
      <c r="BN104" s="784" t="s">
        <v>2349</v>
      </c>
      <c r="BO104" s="784" t="s">
        <v>2350</v>
      </c>
      <c r="BP104" s="1400" t="s">
        <v>2459</v>
      </c>
      <c r="BQ104" s="509"/>
      <c r="BR104" s="509"/>
      <c r="BS104" s="509"/>
      <c r="BT104" s="509"/>
      <c r="BU104" s="509"/>
      <c r="BV104" s="509"/>
      <c r="BW104" s="509"/>
      <c r="BX104" s="509"/>
      <c r="BY104" s="509"/>
      <c r="BZ104" s="509"/>
      <c r="CA104" s="509"/>
      <c r="CB104" s="509"/>
      <c r="CC104" s="509"/>
      <c r="CD104" s="509"/>
      <c r="CE104" s="509"/>
      <c r="CF104" s="509"/>
      <c r="CG104" s="509"/>
      <c r="CH104" s="509"/>
      <c r="CI104" s="509"/>
      <c r="CJ104" s="509"/>
      <c r="CK104" s="509"/>
      <c r="CL104" s="509"/>
      <c r="CM104" s="509"/>
      <c r="CN104" s="509"/>
      <c r="CO104" s="509"/>
      <c r="CP104" s="509"/>
      <c r="CQ104" s="509"/>
      <c r="CR104" s="509"/>
      <c r="CS104" s="509"/>
    </row>
    <row r="105" spans="1:98" s="137" customFormat="1" ht="12.75" customHeight="1" x14ac:dyDescent="0.2">
      <c r="A105" s="1421">
        <v>101</v>
      </c>
      <c r="B105" s="649" t="s">
        <v>90</v>
      </c>
      <c r="C105" s="1607" t="s">
        <v>91</v>
      </c>
      <c r="D105" s="1605">
        <v>175132</v>
      </c>
      <c r="E105" s="1405">
        <v>80985655</v>
      </c>
      <c r="F105" s="1405">
        <v>4997</v>
      </c>
      <c r="G105" s="158">
        <v>-4389196</v>
      </c>
      <c r="H105" s="158">
        <v>-2830043</v>
      </c>
      <c r="I105" s="158">
        <v>0</v>
      </c>
      <c r="J105" s="158">
        <v>-414</v>
      </c>
      <c r="K105" s="158">
        <v>-27155</v>
      </c>
      <c r="L105" s="158">
        <v>0</v>
      </c>
      <c r="M105" s="158">
        <v>-1152005</v>
      </c>
      <c r="N105" s="158">
        <v>-138727</v>
      </c>
      <c r="O105" s="158">
        <v>-45147</v>
      </c>
      <c r="P105" s="158">
        <v>0</v>
      </c>
      <c r="Q105" s="158">
        <v>0</v>
      </c>
      <c r="R105" s="158">
        <v>0</v>
      </c>
      <c r="S105" s="158">
        <v>0</v>
      </c>
      <c r="T105" s="158">
        <v>0</v>
      </c>
      <c r="U105" s="158">
        <v>-4284304</v>
      </c>
      <c r="V105" s="158">
        <v>28635070</v>
      </c>
      <c r="W105" s="158">
        <v>-1005000</v>
      </c>
      <c r="X105" s="158">
        <v>46733000</v>
      </c>
      <c r="Y105" s="158">
        <v>81662545</v>
      </c>
      <c r="Z105" s="158">
        <v>13497133</v>
      </c>
      <c r="AA105" s="158">
        <v>10797706</v>
      </c>
      <c r="AB105" s="158">
        <v>2699427</v>
      </c>
      <c r="AC105" s="158">
        <v>0</v>
      </c>
      <c r="AD105" s="158">
        <v>183960</v>
      </c>
      <c r="AE105" s="158">
        <v>1643407</v>
      </c>
      <c r="AF105" s="158">
        <v>73897</v>
      </c>
      <c r="AG105" s="158">
        <v>0</v>
      </c>
      <c r="AH105" s="158">
        <v>0</v>
      </c>
      <c r="AI105" s="158">
        <v>0</v>
      </c>
      <c r="AJ105" s="158">
        <v>0</v>
      </c>
      <c r="AK105" s="158">
        <v>-4015439</v>
      </c>
      <c r="AL105" s="158">
        <v>184</v>
      </c>
      <c r="AM105" s="158">
        <v>0</v>
      </c>
      <c r="AN105" s="158">
        <v>1</v>
      </c>
      <c r="AO105" s="158">
        <v>13</v>
      </c>
      <c r="AP105" s="158">
        <v>0</v>
      </c>
      <c r="AQ105" s="158">
        <v>439</v>
      </c>
      <c r="AR105" s="158">
        <v>93</v>
      </c>
      <c r="AS105" s="158">
        <v>9</v>
      </c>
      <c r="AT105" s="158">
        <v>0</v>
      </c>
      <c r="AU105" s="158">
        <v>0</v>
      </c>
      <c r="AV105" s="158">
        <v>0</v>
      </c>
      <c r="AW105" s="158">
        <v>0</v>
      </c>
      <c r="AX105" s="158">
        <v>0</v>
      </c>
      <c r="AY105" s="158">
        <v>922</v>
      </c>
      <c r="AZ105" s="158">
        <v>1005</v>
      </c>
      <c r="BA105" s="158">
        <v>2285</v>
      </c>
      <c r="BB105" s="158">
        <v>2224</v>
      </c>
      <c r="BC105" s="158">
        <v>61</v>
      </c>
      <c r="BD105" s="158">
        <v>1844</v>
      </c>
      <c r="BE105" s="158">
        <v>-63927</v>
      </c>
      <c r="BF105" s="158">
        <v>-145745</v>
      </c>
      <c r="BG105" s="158">
        <v>0</v>
      </c>
      <c r="BH105" s="158">
        <v>0</v>
      </c>
      <c r="BI105" s="158">
        <v>-908277</v>
      </c>
      <c r="BJ105" s="158">
        <v>-34056</v>
      </c>
      <c r="BK105" s="158">
        <v>-2756667</v>
      </c>
      <c r="BL105" s="1438">
        <v>11637475</v>
      </c>
      <c r="BM105" s="1439">
        <v>348750</v>
      </c>
      <c r="BN105" s="784" t="s">
        <v>2349</v>
      </c>
      <c r="BO105" s="784" t="s">
        <v>2357</v>
      </c>
      <c r="BP105" s="1400" t="s">
        <v>2460</v>
      </c>
      <c r="BQ105" s="509"/>
      <c r="BR105" s="509"/>
      <c r="BS105" s="509"/>
      <c r="BT105" s="509"/>
      <c r="BU105" s="509"/>
      <c r="BV105" s="509"/>
      <c r="BW105" s="509"/>
      <c r="BX105" s="509"/>
      <c r="BY105" s="509"/>
      <c r="BZ105" s="509"/>
      <c r="CA105" s="509"/>
      <c r="CB105" s="509"/>
      <c r="CC105" s="509"/>
      <c r="CD105" s="509"/>
      <c r="CE105" s="509"/>
      <c r="CF105" s="509"/>
      <c r="CG105" s="509"/>
      <c r="CH105" s="509"/>
      <c r="CI105" s="509"/>
      <c r="CJ105" s="509"/>
      <c r="CK105" s="509"/>
      <c r="CL105" s="509"/>
      <c r="CM105" s="509"/>
      <c r="CN105" s="509"/>
      <c r="CO105" s="509"/>
      <c r="CP105" s="509"/>
      <c r="CQ105" s="509"/>
      <c r="CR105" s="509"/>
      <c r="CS105" s="509"/>
    </row>
    <row r="106" spans="1:98" s="137" customFormat="1" ht="12.75" customHeight="1" x14ac:dyDescent="0.2">
      <c r="A106" s="1421">
        <v>102</v>
      </c>
      <c r="B106" s="649" t="s">
        <v>92</v>
      </c>
      <c r="C106" s="1607" t="s">
        <v>93</v>
      </c>
      <c r="D106" s="1605">
        <v>320292</v>
      </c>
      <c r="E106" s="1405">
        <v>265344319</v>
      </c>
      <c r="F106" s="1405">
        <v>6197</v>
      </c>
      <c r="G106" s="158">
        <v>-6271035</v>
      </c>
      <c r="H106" s="158">
        <v>-15514499</v>
      </c>
      <c r="I106" s="158">
        <v>-124435</v>
      </c>
      <c r="J106" s="158">
        <v>0</v>
      </c>
      <c r="K106" s="158">
        <v>-31115</v>
      </c>
      <c r="L106" s="158">
        <v>0</v>
      </c>
      <c r="M106" s="158">
        <v>-3079350</v>
      </c>
      <c r="N106" s="158">
        <v>-911501</v>
      </c>
      <c r="O106" s="158">
        <v>-25660</v>
      </c>
      <c r="P106" s="158">
        <v>0</v>
      </c>
      <c r="Q106" s="158">
        <v>0</v>
      </c>
      <c r="R106" s="158">
        <v>0</v>
      </c>
      <c r="S106" s="158">
        <v>0</v>
      </c>
      <c r="T106" s="158">
        <v>0</v>
      </c>
      <c r="U106" s="158">
        <v>-8507089</v>
      </c>
      <c r="V106" s="158">
        <v>100925522</v>
      </c>
      <c r="W106" s="158">
        <v>-7500000</v>
      </c>
      <c r="X106" s="158">
        <v>202510850</v>
      </c>
      <c r="Y106" s="158">
        <v>266667288</v>
      </c>
      <c r="Z106" s="158">
        <v>31585491</v>
      </c>
      <c r="AA106" s="158">
        <v>28714083</v>
      </c>
      <c r="AB106" s="158">
        <v>35414036</v>
      </c>
      <c r="AC106" s="158">
        <v>0</v>
      </c>
      <c r="AD106" s="158">
        <v>319243</v>
      </c>
      <c r="AE106" s="158">
        <v>0</v>
      </c>
      <c r="AF106" s="158">
        <v>0</v>
      </c>
      <c r="AG106" s="158">
        <v>0</v>
      </c>
      <c r="AH106" s="158">
        <v>0</v>
      </c>
      <c r="AI106" s="158">
        <v>0</v>
      </c>
      <c r="AJ106" s="158">
        <v>0</v>
      </c>
      <c r="AK106" s="158">
        <v>-13767472</v>
      </c>
      <c r="AL106" s="158">
        <v>378</v>
      </c>
      <c r="AM106" s="158">
        <v>0</v>
      </c>
      <c r="AN106" s="158">
        <v>0</v>
      </c>
      <c r="AO106" s="158">
        <v>11</v>
      </c>
      <c r="AP106" s="158">
        <v>0</v>
      </c>
      <c r="AQ106" s="158">
        <v>461</v>
      </c>
      <c r="AR106" s="158">
        <v>141</v>
      </c>
      <c r="AS106" s="158">
        <v>6</v>
      </c>
      <c r="AT106" s="158">
        <v>0</v>
      </c>
      <c r="AU106" s="158">
        <v>0</v>
      </c>
      <c r="AV106" s="158">
        <v>0</v>
      </c>
      <c r="AW106" s="158">
        <v>0</v>
      </c>
      <c r="AX106" s="158">
        <v>0</v>
      </c>
      <c r="AY106" s="158">
        <v>732</v>
      </c>
      <c r="AZ106" s="158">
        <v>1659</v>
      </c>
      <c r="BA106" s="158">
        <v>2238</v>
      </c>
      <c r="BB106" s="158">
        <v>2010</v>
      </c>
      <c r="BC106" s="158">
        <v>228</v>
      </c>
      <c r="BD106" s="158">
        <v>2356</v>
      </c>
      <c r="BE106" s="158">
        <v>-496843</v>
      </c>
      <c r="BF106" s="158">
        <v>-1193350</v>
      </c>
      <c r="BG106" s="158">
        <v>0</v>
      </c>
      <c r="BH106" s="158">
        <v>-6358</v>
      </c>
      <c r="BI106" s="158">
        <v>-737035</v>
      </c>
      <c r="BJ106" s="158">
        <v>-645764</v>
      </c>
      <c r="BK106" s="158">
        <v>-10234918</v>
      </c>
      <c r="BL106" s="1438">
        <v>17908000</v>
      </c>
      <c r="BM106" s="1439">
        <v>0</v>
      </c>
      <c r="BN106" s="784" t="s">
        <v>2401</v>
      </c>
      <c r="BO106" s="784" t="s">
        <v>2360</v>
      </c>
      <c r="BP106" s="1400" t="s">
        <v>2461</v>
      </c>
      <c r="BQ106" s="509"/>
      <c r="BR106" s="509"/>
      <c r="BS106" s="509"/>
      <c r="BT106" s="509"/>
      <c r="BU106" s="509"/>
      <c r="BV106" s="509"/>
      <c r="BW106" s="509"/>
      <c r="BX106" s="509"/>
      <c r="BY106" s="509"/>
      <c r="BZ106" s="509"/>
      <c r="CA106" s="509"/>
      <c r="CB106" s="509"/>
      <c r="CC106" s="509"/>
      <c r="CD106" s="509"/>
      <c r="CE106" s="509"/>
      <c r="CF106" s="509"/>
      <c r="CG106" s="509"/>
      <c r="CH106" s="509"/>
      <c r="CI106" s="509"/>
      <c r="CJ106" s="509"/>
      <c r="CK106" s="509"/>
      <c r="CL106" s="509"/>
      <c r="CM106" s="509"/>
      <c r="CN106" s="509"/>
      <c r="CO106" s="509"/>
      <c r="CP106" s="509"/>
      <c r="CQ106" s="509"/>
      <c r="CR106" s="509"/>
      <c r="CS106" s="509"/>
    </row>
    <row r="107" spans="1:98" s="137" customFormat="1" ht="12.75" customHeight="1" x14ac:dyDescent="0.2">
      <c r="A107" s="1421">
        <v>103</v>
      </c>
      <c r="B107" s="649" t="s">
        <v>94</v>
      </c>
      <c r="C107" s="1607" t="s">
        <v>95</v>
      </c>
      <c r="D107" s="1605">
        <v>217841</v>
      </c>
      <c r="E107" s="1405">
        <v>217918123</v>
      </c>
      <c r="F107" s="1405">
        <v>4497</v>
      </c>
      <c r="G107" s="158">
        <v>-3180890</v>
      </c>
      <c r="H107" s="158">
        <v>-13376468</v>
      </c>
      <c r="I107" s="158">
        <v>-35285</v>
      </c>
      <c r="J107" s="158">
        <v>-11988</v>
      </c>
      <c r="K107" s="158">
        <v>-6803</v>
      </c>
      <c r="L107" s="158">
        <v>0</v>
      </c>
      <c r="M107" s="158">
        <v>-3936958</v>
      </c>
      <c r="N107" s="158">
        <v>-152509</v>
      </c>
      <c r="O107" s="158">
        <v>-6861</v>
      </c>
      <c r="P107" s="158">
        <v>0</v>
      </c>
      <c r="Q107" s="158">
        <v>-17515</v>
      </c>
      <c r="R107" s="158">
        <v>0</v>
      </c>
      <c r="S107" s="158">
        <v>0</v>
      </c>
      <c r="T107" s="158">
        <v>0</v>
      </c>
      <c r="U107" s="158">
        <v>-7304177</v>
      </c>
      <c r="V107" s="158">
        <v>82838376</v>
      </c>
      <c r="W107" s="158">
        <v>-3868000</v>
      </c>
      <c r="X107" s="158">
        <v>172441800</v>
      </c>
      <c r="Y107" s="158">
        <v>220663818</v>
      </c>
      <c r="Z107" s="158">
        <v>39498259</v>
      </c>
      <c r="AA107" s="158">
        <v>31598608</v>
      </c>
      <c r="AB107" s="158">
        <v>7899652</v>
      </c>
      <c r="AC107" s="158">
        <v>0</v>
      </c>
      <c r="AD107" s="158">
        <v>216781</v>
      </c>
      <c r="AE107" s="158">
        <v>0</v>
      </c>
      <c r="AF107" s="158">
        <v>0</v>
      </c>
      <c r="AG107" s="158">
        <v>0</v>
      </c>
      <c r="AH107" s="158">
        <v>0</v>
      </c>
      <c r="AI107" s="158">
        <v>0</v>
      </c>
      <c r="AJ107" s="158">
        <v>0</v>
      </c>
      <c r="AK107" s="158">
        <v>-4453</v>
      </c>
      <c r="AL107" s="158">
        <v>290</v>
      </c>
      <c r="AM107" s="158">
        <v>16</v>
      </c>
      <c r="AN107" s="158">
        <v>5</v>
      </c>
      <c r="AO107" s="158">
        <v>4</v>
      </c>
      <c r="AP107" s="158">
        <v>0</v>
      </c>
      <c r="AQ107" s="158">
        <v>365</v>
      </c>
      <c r="AR107" s="158">
        <v>107</v>
      </c>
      <c r="AS107" s="158">
        <v>1</v>
      </c>
      <c r="AT107" s="158">
        <v>0</v>
      </c>
      <c r="AU107" s="158">
        <v>0</v>
      </c>
      <c r="AV107" s="158">
        <v>4</v>
      </c>
      <c r="AW107" s="158">
        <v>0</v>
      </c>
      <c r="AX107" s="158">
        <v>0</v>
      </c>
      <c r="AY107" s="158">
        <v>601</v>
      </c>
      <c r="AZ107" s="158">
        <v>1619</v>
      </c>
      <c r="BA107" s="158">
        <v>1047</v>
      </c>
      <c r="BB107" s="158">
        <v>900</v>
      </c>
      <c r="BC107" s="158">
        <v>147</v>
      </c>
      <c r="BD107" s="158">
        <v>2217</v>
      </c>
      <c r="BE107" s="158">
        <v>-517893</v>
      </c>
      <c r="BF107" s="158">
        <v>-1958328</v>
      </c>
      <c r="BG107" s="158">
        <v>0</v>
      </c>
      <c r="BH107" s="158">
        <v>-81082</v>
      </c>
      <c r="BI107" s="158">
        <v>-1136967</v>
      </c>
      <c r="BJ107" s="158">
        <v>-242688</v>
      </c>
      <c r="BK107" s="158">
        <v>-4474453</v>
      </c>
      <c r="BL107" s="1438">
        <v>22479750</v>
      </c>
      <c r="BM107" s="1439">
        <v>0</v>
      </c>
      <c r="BN107" s="784" t="s">
        <v>2349</v>
      </c>
      <c r="BO107" s="784" t="s">
        <v>2350</v>
      </c>
      <c r="BP107" s="1400" t="s">
        <v>2462</v>
      </c>
      <c r="BQ107" s="509"/>
      <c r="BR107" s="509"/>
      <c r="BS107" s="509"/>
      <c r="BT107" s="509"/>
      <c r="BU107" s="509"/>
      <c r="BV107" s="509"/>
      <c r="BW107" s="509"/>
      <c r="BX107" s="509"/>
      <c r="BY107" s="509"/>
      <c r="BZ107" s="509"/>
      <c r="CA107" s="509"/>
      <c r="CB107" s="509"/>
      <c r="CC107" s="509"/>
      <c r="CD107" s="509"/>
      <c r="CE107" s="509"/>
      <c r="CF107" s="509"/>
      <c r="CG107" s="509"/>
      <c r="CH107" s="509"/>
      <c r="CI107" s="509"/>
      <c r="CJ107" s="509"/>
      <c r="CK107" s="509"/>
      <c r="CL107" s="509"/>
      <c r="CM107" s="509"/>
      <c r="CN107" s="509"/>
      <c r="CO107" s="509"/>
      <c r="CP107" s="509"/>
      <c r="CQ107" s="509"/>
      <c r="CR107" s="509"/>
      <c r="CS107" s="509"/>
    </row>
    <row r="108" spans="1:98" s="137" customFormat="1" ht="12.75" customHeight="1" x14ac:dyDescent="0.2">
      <c r="A108" s="1421">
        <v>104</v>
      </c>
      <c r="B108" s="649" t="s">
        <v>96</v>
      </c>
      <c r="C108" s="1607" t="s">
        <v>97</v>
      </c>
      <c r="D108" s="1605">
        <v>617348</v>
      </c>
      <c r="E108" s="1405">
        <v>477072070</v>
      </c>
      <c r="F108" s="1405">
        <v>12252</v>
      </c>
      <c r="G108" s="158">
        <v>-10176736</v>
      </c>
      <c r="H108" s="158">
        <v>-19294211</v>
      </c>
      <c r="I108" s="158">
        <v>0</v>
      </c>
      <c r="J108" s="158">
        <v>0</v>
      </c>
      <c r="K108" s="158">
        <v>-12689</v>
      </c>
      <c r="L108" s="158">
        <v>0</v>
      </c>
      <c r="M108" s="158">
        <v>-4166078</v>
      </c>
      <c r="N108" s="158">
        <v>-559968</v>
      </c>
      <c r="O108" s="158">
        <v>-43491</v>
      </c>
      <c r="P108" s="158">
        <v>0</v>
      </c>
      <c r="Q108" s="158">
        <v>0</v>
      </c>
      <c r="R108" s="158">
        <v>0</v>
      </c>
      <c r="S108" s="158">
        <v>0</v>
      </c>
      <c r="T108" s="158">
        <v>0</v>
      </c>
      <c r="U108" s="158">
        <v>-24616126</v>
      </c>
      <c r="V108" s="158">
        <v>167237103</v>
      </c>
      <c r="W108" s="158">
        <v>-2011954</v>
      </c>
      <c r="X108" s="158">
        <v>313825550</v>
      </c>
      <c r="Y108" s="158">
        <v>471191880</v>
      </c>
      <c r="Z108" s="158">
        <v>56248345</v>
      </c>
      <c r="AA108" s="158">
        <v>51134859</v>
      </c>
      <c r="AB108" s="158">
        <v>63066326</v>
      </c>
      <c r="AC108" s="158">
        <v>0</v>
      </c>
      <c r="AD108" s="158">
        <v>615743</v>
      </c>
      <c r="AE108" s="158">
        <v>0</v>
      </c>
      <c r="AF108" s="158">
        <v>0</v>
      </c>
      <c r="AG108" s="158">
        <v>0</v>
      </c>
      <c r="AH108" s="158">
        <v>0</v>
      </c>
      <c r="AI108" s="158">
        <v>0</v>
      </c>
      <c r="AJ108" s="158">
        <v>0</v>
      </c>
      <c r="AK108" s="158">
        <v>8494000</v>
      </c>
      <c r="AL108" s="158">
        <v>592</v>
      </c>
      <c r="AM108" s="158">
        <v>0</v>
      </c>
      <c r="AN108" s="158">
        <v>0</v>
      </c>
      <c r="AO108" s="158">
        <v>5</v>
      </c>
      <c r="AP108" s="158">
        <v>0</v>
      </c>
      <c r="AQ108" s="158">
        <v>973</v>
      </c>
      <c r="AR108" s="158">
        <v>75</v>
      </c>
      <c r="AS108" s="158">
        <v>4</v>
      </c>
      <c r="AT108" s="158">
        <v>0</v>
      </c>
      <c r="AU108" s="158">
        <v>0</v>
      </c>
      <c r="AV108" s="158">
        <v>0</v>
      </c>
      <c r="AW108" s="158">
        <v>0</v>
      </c>
      <c r="AX108" s="158">
        <v>0</v>
      </c>
      <c r="AY108" s="158">
        <v>2368</v>
      </c>
      <c r="AZ108" s="158">
        <v>3298</v>
      </c>
      <c r="BA108" s="158">
        <v>2981</v>
      </c>
      <c r="BB108" s="158">
        <v>2472</v>
      </c>
      <c r="BC108" s="158">
        <v>509</v>
      </c>
      <c r="BD108" s="158">
        <v>6228</v>
      </c>
      <c r="BE108" s="158">
        <v>-571877</v>
      </c>
      <c r="BF108" s="158">
        <v>-997825</v>
      </c>
      <c r="BG108" s="158">
        <v>0</v>
      </c>
      <c r="BH108" s="158">
        <v>-111038</v>
      </c>
      <c r="BI108" s="158">
        <v>-799027</v>
      </c>
      <c r="BJ108" s="158">
        <v>-2721501</v>
      </c>
      <c r="BK108" s="158">
        <v>19766646</v>
      </c>
      <c r="BL108" s="1438">
        <v>46543350</v>
      </c>
      <c r="BM108" s="1439">
        <v>0</v>
      </c>
      <c r="BN108" s="784" t="s">
        <v>2401</v>
      </c>
      <c r="BO108" s="784" t="s">
        <v>2360</v>
      </c>
      <c r="BP108" s="1400" t="s">
        <v>2463</v>
      </c>
      <c r="BQ108" s="509"/>
      <c r="BR108" s="509"/>
      <c r="BS108" s="509"/>
      <c r="BT108" s="509"/>
      <c r="BU108" s="509"/>
      <c r="BV108" s="509"/>
      <c r="BW108" s="509"/>
      <c r="BX108" s="509"/>
      <c r="BY108" s="509"/>
      <c r="BZ108" s="509"/>
      <c r="CA108" s="509"/>
      <c r="CB108" s="509"/>
      <c r="CC108" s="509"/>
      <c r="CD108" s="509"/>
      <c r="CE108" s="509"/>
      <c r="CF108" s="509"/>
      <c r="CG108" s="509"/>
      <c r="CH108" s="509"/>
      <c r="CI108" s="509"/>
      <c r="CJ108" s="509"/>
      <c r="CK108" s="509"/>
      <c r="CL108" s="509"/>
      <c r="CM108" s="509"/>
      <c r="CN108" s="509"/>
      <c r="CO108" s="509"/>
      <c r="CP108" s="509"/>
      <c r="CQ108" s="509"/>
      <c r="CR108" s="509"/>
      <c r="CS108" s="509"/>
    </row>
    <row r="109" spans="1:98" s="137" customFormat="1" ht="12.75" customHeight="1" x14ac:dyDescent="0.2">
      <c r="A109" s="1421">
        <v>105</v>
      </c>
      <c r="B109" s="649" t="s">
        <v>535</v>
      </c>
      <c r="C109" s="1607" t="s">
        <v>99</v>
      </c>
      <c r="D109" s="1605">
        <v>159476</v>
      </c>
      <c r="E109" s="1405">
        <v>150110462</v>
      </c>
      <c r="F109" s="1405">
        <v>3800</v>
      </c>
      <c r="G109" s="158">
        <v>-3495460</v>
      </c>
      <c r="H109" s="158">
        <v>-2698349</v>
      </c>
      <c r="I109" s="158">
        <v>-91564</v>
      </c>
      <c r="J109" s="158">
        <v>0</v>
      </c>
      <c r="K109" s="158">
        <v>-5988</v>
      </c>
      <c r="L109" s="158">
        <v>0</v>
      </c>
      <c r="M109" s="158">
        <v>-1660242</v>
      </c>
      <c r="N109" s="158">
        <v>-51381</v>
      </c>
      <c r="O109" s="158">
        <v>-75834</v>
      </c>
      <c r="P109" s="158">
        <v>-12601</v>
      </c>
      <c r="Q109" s="158">
        <v>0</v>
      </c>
      <c r="R109" s="158">
        <v>0</v>
      </c>
      <c r="S109" s="158">
        <v>0</v>
      </c>
      <c r="T109" s="158">
        <v>0</v>
      </c>
      <c r="U109" s="158">
        <v>-2099358</v>
      </c>
      <c r="V109" s="158">
        <v>65821194</v>
      </c>
      <c r="W109" s="158">
        <v>-2096764</v>
      </c>
      <c r="X109" s="158">
        <v>106144350</v>
      </c>
      <c r="Y109" s="158">
        <v>145284698</v>
      </c>
      <c r="Z109" s="158">
        <v>0</v>
      </c>
      <c r="AA109" s="158">
        <v>63092717</v>
      </c>
      <c r="AB109" s="158">
        <v>0</v>
      </c>
      <c r="AC109" s="158">
        <v>637300</v>
      </c>
      <c r="AD109" s="158">
        <v>157306</v>
      </c>
      <c r="AE109" s="158">
        <v>890171</v>
      </c>
      <c r="AF109" s="158">
        <v>0</v>
      </c>
      <c r="AG109" s="158">
        <v>0</v>
      </c>
      <c r="AH109" s="158">
        <v>0</v>
      </c>
      <c r="AI109" s="158">
        <v>0</v>
      </c>
      <c r="AJ109" s="158">
        <v>0</v>
      </c>
      <c r="AK109" s="158">
        <v>2497017</v>
      </c>
      <c r="AL109" s="158">
        <v>130</v>
      </c>
      <c r="AM109" s="158">
        <v>5</v>
      </c>
      <c r="AN109" s="158">
        <v>0</v>
      </c>
      <c r="AO109" s="158">
        <v>2</v>
      </c>
      <c r="AP109" s="158">
        <v>0</v>
      </c>
      <c r="AQ109" s="158">
        <v>416</v>
      </c>
      <c r="AR109" s="158">
        <v>53</v>
      </c>
      <c r="AS109" s="158">
        <v>26</v>
      </c>
      <c r="AT109" s="158">
        <v>3</v>
      </c>
      <c r="AU109" s="158">
        <v>0</v>
      </c>
      <c r="AV109" s="158">
        <v>0</v>
      </c>
      <c r="AW109" s="158">
        <v>0</v>
      </c>
      <c r="AX109" s="158">
        <v>0</v>
      </c>
      <c r="AY109" s="158">
        <v>334</v>
      </c>
      <c r="AZ109" s="158">
        <v>1059</v>
      </c>
      <c r="BA109" s="158">
        <v>1389</v>
      </c>
      <c r="BB109" s="158">
        <v>1239</v>
      </c>
      <c r="BC109" s="158">
        <v>150</v>
      </c>
      <c r="BD109" s="158">
        <v>1894</v>
      </c>
      <c r="BE109" s="158">
        <v>-211659</v>
      </c>
      <c r="BF109" s="158">
        <v>-65928</v>
      </c>
      <c r="BG109" s="158">
        <v>0</v>
      </c>
      <c r="BH109" s="158">
        <v>0</v>
      </c>
      <c r="BI109" s="158">
        <v>-976474</v>
      </c>
      <c r="BJ109" s="158">
        <v>-406181</v>
      </c>
      <c r="BK109" s="158">
        <v>2739320</v>
      </c>
      <c r="BL109" s="1438">
        <v>16389250</v>
      </c>
      <c r="BM109" s="1439">
        <v>365250</v>
      </c>
      <c r="BN109" s="784" t="s">
        <v>509</v>
      </c>
      <c r="BO109" s="784" t="s">
        <v>2376</v>
      </c>
      <c r="BP109" s="1400" t="s">
        <v>2464</v>
      </c>
      <c r="BQ109" s="509"/>
      <c r="BR109" s="509"/>
      <c r="BS109" s="509"/>
      <c r="BT109" s="509"/>
      <c r="BU109" s="509"/>
      <c r="BV109" s="509"/>
      <c r="BW109" s="509"/>
      <c r="BX109" s="509"/>
      <c r="BY109" s="509"/>
      <c r="BZ109" s="509"/>
      <c r="CA109" s="509"/>
      <c r="CB109" s="509"/>
      <c r="CC109" s="509"/>
      <c r="CD109" s="509"/>
      <c r="CE109" s="509"/>
      <c r="CF109" s="509"/>
      <c r="CG109" s="509"/>
      <c r="CH109" s="509"/>
      <c r="CI109" s="509"/>
      <c r="CJ109" s="509"/>
      <c r="CK109" s="509"/>
      <c r="CL109" s="509"/>
      <c r="CM109" s="509"/>
      <c r="CN109" s="509"/>
      <c r="CO109" s="509"/>
      <c r="CP109" s="509"/>
      <c r="CQ109" s="509"/>
      <c r="CR109" s="509"/>
      <c r="CS109" s="509"/>
    </row>
    <row r="110" spans="1:98" s="137" customFormat="1" ht="12.75" customHeight="1" x14ac:dyDescent="0.2">
      <c r="A110" s="1421">
        <v>106</v>
      </c>
      <c r="B110" s="649" t="s">
        <v>100</v>
      </c>
      <c r="C110" s="1607" t="s">
        <v>101</v>
      </c>
      <c r="D110" s="1605">
        <v>563839</v>
      </c>
      <c r="E110" s="1405">
        <v>563445132</v>
      </c>
      <c r="F110" s="1405">
        <v>10047</v>
      </c>
      <c r="G110" s="158">
        <v>-5418912</v>
      </c>
      <c r="H110" s="158">
        <v>-13392725</v>
      </c>
      <c r="I110" s="158">
        <v>0</v>
      </c>
      <c r="J110" s="158">
        <v>0</v>
      </c>
      <c r="K110" s="158">
        <v>0</v>
      </c>
      <c r="L110" s="158">
        <v>0</v>
      </c>
      <c r="M110" s="158">
        <v>-13021108</v>
      </c>
      <c r="N110" s="158">
        <v>-112829</v>
      </c>
      <c r="O110" s="158">
        <v>-100058</v>
      </c>
      <c r="P110" s="158">
        <v>0</v>
      </c>
      <c r="Q110" s="158">
        <v>0</v>
      </c>
      <c r="R110" s="158">
        <v>0</v>
      </c>
      <c r="S110" s="158">
        <v>0</v>
      </c>
      <c r="T110" s="158">
        <v>0</v>
      </c>
      <c r="U110" s="158">
        <v>-25255937</v>
      </c>
      <c r="V110" s="158">
        <v>239877561</v>
      </c>
      <c r="W110" s="158">
        <v>-9300000</v>
      </c>
      <c r="X110" s="158">
        <v>447818150</v>
      </c>
      <c r="Y110" s="158">
        <v>562012782</v>
      </c>
      <c r="Z110" s="158">
        <v>73075458</v>
      </c>
      <c r="AA110" s="158">
        <v>66432235</v>
      </c>
      <c r="AB110" s="158">
        <v>81933090</v>
      </c>
      <c r="AC110" s="158">
        <v>0</v>
      </c>
      <c r="AD110" s="158">
        <v>568116</v>
      </c>
      <c r="AE110" s="158">
        <v>0</v>
      </c>
      <c r="AF110" s="158">
        <v>0</v>
      </c>
      <c r="AG110" s="158">
        <v>0</v>
      </c>
      <c r="AH110" s="158">
        <v>0</v>
      </c>
      <c r="AI110" s="158">
        <v>0</v>
      </c>
      <c r="AJ110" s="158">
        <v>0</v>
      </c>
      <c r="AK110" s="158">
        <v>29270742</v>
      </c>
      <c r="AL110" s="158">
        <v>314</v>
      </c>
      <c r="AM110" s="158">
        <v>0</v>
      </c>
      <c r="AN110" s="158">
        <v>0</v>
      </c>
      <c r="AO110" s="158">
        <v>0</v>
      </c>
      <c r="AP110" s="158">
        <v>0</v>
      </c>
      <c r="AQ110" s="158">
        <v>1745</v>
      </c>
      <c r="AR110" s="158">
        <v>18</v>
      </c>
      <c r="AS110" s="158">
        <v>21</v>
      </c>
      <c r="AT110" s="158">
        <v>0</v>
      </c>
      <c r="AU110" s="158">
        <v>0</v>
      </c>
      <c r="AV110" s="158">
        <v>0</v>
      </c>
      <c r="AW110" s="158">
        <v>0</v>
      </c>
      <c r="AX110" s="158">
        <v>0</v>
      </c>
      <c r="AY110" s="158">
        <v>1766</v>
      </c>
      <c r="AZ110" s="158">
        <v>3667</v>
      </c>
      <c r="BA110" s="158">
        <v>1574</v>
      </c>
      <c r="BB110" s="158">
        <v>1255</v>
      </c>
      <c r="BC110" s="158">
        <v>319</v>
      </c>
      <c r="BD110" s="158">
        <v>4656</v>
      </c>
      <c r="BE110" s="158">
        <v>-33159</v>
      </c>
      <c r="BF110" s="158">
        <v>-1892322</v>
      </c>
      <c r="BG110" s="158">
        <v>0</v>
      </c>
      <c r="BH110" s="158">
        <v>-14222</v>
      </c>
      <c r="BI110" s="158">
        <v>-534775</v>
      </c>
      <c r="BJ110" s="158">
        <v>-10546630</v>
      </c>
      <c r="BK110" s="158">
        <v>40365720</v>
      </c>
      <c r="BL110" s="1438">
        <v>38039650</v>
      </c>
      <c r="BM110" s="1439">
        <v>0</v>
      </c>
      <c r="BN110" s="784" t="s">
        <v>2401</v>
      </c>
      <c r="BO110" s="784" t="s">
        <v>2360</v>
      </c>
      <c r="BP110" s="1400" t="s">
        <v>2465</v>
      </c>
      <c r="BQ110" s="509"/>
      <c r="BR110" s="509"/>
      <c r="BS110" s="509"/>
      <c r="BT110" s="509"/>
      <c r="BU110" s="509"/>
      <c r="BV110" s="509"/>
      <c r="BW110" s="509"/>
      <c r="BX110" s="509"/>
      <c r="BY110" s="509"/>
      <c r="BZ110" s="509"/>
      <c r="CA110" s="509"/>
      <c r="CB110" s="509"/>
      <c r="CC110" s="509"/>
      <c r="CD110" s="509"/>
      <c r="CE110" s="509"/>
      <c r="CF110" s="509"/>
      <c r="CG110" s="509"/>
      <c r="CH110" s="509"/>
      <c r="CI110" s="509"/>
      <c r="CJ110" s="509"/>
      <c r="CK110" s="509"/>
      <c r="CL110" s="509"/>
      <c r="CM110" s="509"/>
      <c r="CN110" s="509"/>
      <c r="CO110" s="509"/>
      <c r="CP110" s="509"/>
      <c r="CQ110" s="509"/>
      <c r="CR110" s="509"/>
      <c r="CS110" s="509"/>
    </row>
    <row r="111" spans="1:98" s="137" customFormat="1" ht="12.75" customHeight="1" x14ac:dyDescent="0.2">
      <c r="A111" s="1421">
        <v>107</v>
      </c>
      <c r="B111" s="649" t="s">
        <v>102</v>
      </c>
      <c r="C111" s="1607" t="s">
        <v>103</v>
      </c>
      <c r="D111" s="1605">
        <v>142471</v>
      </c>
      <c r="E111" s="1405">
        <v>148466507</v>
      </c>
      <c r="F111" s="1405">
        <v>3326</v>
      </c>
      <c r="G111" s="158">
        <v>-4037968</v>
      </c>
      <c r="H111" s="158">
        <v>-2550629</v>
      </c>
      <c r="I111" s="158">
        <v>-36868</v>
      </c>
      <c r="J111" s="158">
        <v>-31294</v>
      </c>
      <c r="K111" s="158">
        <v>-3593</v>
      </c>
      <c r="L111" s="158">
        <v>0</v>
      </c>
      <c r="M111" s="158">
        <v>-301656</v>
      </c>
      <c r="N111" s="158">
        <v>-34767</v>
      </c>
      <c r="O111" s="158">
        <v>-33953</v>
      </c>
      <c r="P111" s="158">
        <v>-9217</v>
      </c>
      <c r="Q111" s="158">
        <v>0</v>
      </c>
      <c r="R111" s="158">
        <v>0</v>
      </c>
      <c r="S111" s="158">
        <v>0</v>
      </c>
      <c r="T111" s="158">
        <v>0</v>
      </c>
      <c r="U111" s="158">
        <v>-2835593</v>
      </c>
      <c r="V111" s="158">
        <v>72752218</v>
      </c>
      <c r="W111" s="158">
        <v>0</v>
      </c>
      <c r="X111" s="158">
        <v>111755250</v>
      </c>
      <c r="Y111" s="158">
        <v>146152478</v>
      </c>
      <c r="Z111" s="158">
        <v>36487571</v>
      </c>
      <c r="AA111" s="158">
        <v>29190057</v>
      </c>
      <c r="AB111" s="158">
        <v>6567763</v>
      </c>
      <c r="AC111" s="158">
        <v>729751</v>
      </c>
      <c r="AD111" s="158">
        <v>139806</v>
      </c>
      <c r="AE111" s="158">
        <v>0</v>
      </c>
      <c r="AF111" s="158">
        <v>120882</v>
      </c>
      <c r="AG111" s="158">
        <v>0</v>
      </c>
      <c r="AH111" s="158">
        <v>0</v>
      </c>
      <c r="AI111" s="158">
        <v>0</v>
      </c>
      <c r="AJ111" s="158">
        <v>0</v>
      </c>
      <c r="AK111" s="158">
        <v>3090372</v>
      </c>
      <c r="AL111" s="158">
        <v>184</v>
      </c>
      <c r="AM111" s="158">
        <v>12</v>
      </c>
      <c r="AN111" s="158">
        <v>13</v>
      </c>
      <c r="AO111" s="158">
        <v>2</v>
      </c>
      <c r="AP111" s="158">
        <v>0</v>
      </c>
      <c r="AQ111" s="158">
        <v>81</v>
      </c>
      <c r="AR111" s="158">
        <v>78</v>
      </c>
      <c r="AS111" s="158">
        <v>22</v>
      </c>
      <c r="AT111" s="158">
        <v>13</v>
      </c>
      <c r="AU111" s="158">
        <v>0</v>
      </c>
      <c r="AV111" s="158">
        <v>1</v>
      </c>
      <c r="AW111" s="158">
        <v>0</v>
      </c>
      <c r="AX111" s="158">
        <v>0</v>
      </c>
      <c r="AY111" s="158">
        <v>372</v>
      </c>
      <c r="AZ111" s="158">
        <v>272</v>
      </c>
      <c r="BA111" s="158">
        <v>1339</v>
      </c>
      <c r="BB111" s="158">
        <v>1218</v>
      </c>
      <c r="BC111" s="158">
        <v>121</v>
      </c>
      <c r="BD111" s="158">
        <v>1664</v>
      </c>
      <c r="BE111" s="158">
        <v>-40643</v>
      </c>
      <c r="BF111" s="158">
        <v>-129811</v>
      </c>
      <c r="BG111" s="158">
        <v>0</v>
      </c>
      <c r="BH111" s="158">
        <v>0</v>
      </c>
      <c r="BI111" s="158">
        <v>-131202</v>
      </c>
      <c r="BJ111" s="158">
        <v>0</v>
      </c>
      <c r="BK111" s="158">
        <v>3038390</v>
      </c>
      <c r="BL111" s="1438">
        <v>14185550</v>
      </c>
      <c r="BM111" s="1439">
        <v>0</v>
      </c>
      <c r="BN111" s="784" t="s">
        <v>2349</v>
      </c>
      <c r="BO111" s="784" t="s">
        <v>2352</v>
      </c>
      <c r="BP111" s="1400" t="s">
        <v>2466</v>
      </c>
      <c r="BQ111" s="509"/>
      <c r="BR111" s="509"/>
      <c r="BS111" s="509"/>
      <c r="BT111" s="509"/>
      <c r="BU111" s="509"/>
      <c r="BV111" s="509"/>
      <c r="BW111" s="509"/>
      <c r="BX111" s="509"/>
      <c r="BY111" s="509"/>
      <c r="BZ111" s="509"/>
      <c r="CA111" s="509"/>
      <c r="CB111" s="509"/>
      <c r="CC111" s="509"/>
      <c r="CD111" s="509"/>
      <c r="CE111" s="509"/>
      <c r="CF111" s="509"/>
      <c r="CG111" s="509"/>
      <c r="CH111" s="509"/>
      <c r="CI111" s="509"/>
      <c r="CJ111" s="509"/>
      <c r="CK111" s="509"/>
      <c r="CL111" s="509"/>
      <c r="CM111" s="509"/>
      <c r="CN111" s="509"/>
      <c r="CO111" s="509"/>
      <c r="CP111" s="509"/>
      <c r="CQ111" s="509"/>
      <c r="CR111" s="509"/>
      <c r="CS111" s="509"/>
    </row>
    <row r="112" spans="1:98" s="137" customFormat="1" ht="12.75" customHeight="1" x14ac:dyDescent="0.2">
      <c r="A112" s="1421">
        <v>108</v>
      </c>
      <c r="B112" s="649" t="s">
        <v>104</v>
      </c>
      <c r="C112" s="1607" t="s">
        <v>105</v>
      </c>
      <c r="D112" s="1605">
        <v>301259</v>
      </c>
      <c r="E112" s="1405">
        <v>213116589</v>
      </c>
      <c r="F112" s="1405">
        <v>7240</v>
      </c>
      <c r="G112" s="158">
        <v>-8350031</v>
      </c>
      <c r="H112" s="158">
        <v>-7646415</v>
      </c>
      <c r="I112" s="158">
        <v>-36028</v>
      </c>
      <c r="J112" s="158">
        <v>0</v>
      </c>
      <c r="K112" s="158">
        <v>0</v>
      </c>
      <c r="L112" s="158">
        <v>0</v>
      </c>
      <c r="M112" s="158">
        <v>-1356772</v>
      </c>
      <c r="N112" s="158">
        <v>-379575</v>
      </c>
      <c r="O112" s="158">
        <v>-334135</v>
      </c>
      <c r="P112" s="158">
        <v>0</v>
      </c>
      <c r="Q112" s="158">
        <v>0</v>
      </c>
      <c r="R112" s="158">
        <v>0</v>
      </c>
      <c r="S112" s="158">
        <v>0</v>
      </c>
      <c r="T112" s="158">
        <v>0</v>
      </c>
      <c r="U112" s="158">
        <v>-17064634</v>
      </c>
      <c r="V112" s="158">
        <v>69707914</v>
      </c>
      <c r="W112" s="158">
        <v>-2431966</v>
      </c>
      <c r="X112" s="158">
        <v>119688200</v>
      </c>
      <c r="Y112" s="158">
        <v>210808876</v>
      </c>
      <c r="Z112" s="158">
        <v>22791610</v>
      </c>
      <c r="AA112" s="158">
        <v>20719646</v>
      </c>
      <c r="AB112" s="158">
        <v>25554230</v>
      </c>
      <c r="AC112" s="158">
        <v>0</v>
      </c>
      <c r="AD112" s="158">
        <v>297955</v>
      </c>
      <c r="AE112" s="158">
        <v>0</v>
      </c>
      <c r="AF112" s="158">
        <v>0</v>
      </c>
      <c r="AG112" s="158">
        <v>0</v>
      </c>
      <c r="AH112" s="158">
        <v>0</v>
      </c>
      <c r="AI112" s="158">
        <v>0</v>
      </c>
      <c r="AJ112" s="158">
        <v>0</v>
      </c>
      <c r="AK112" s="158">
        <v>7076389</v>
      </c>
      <c r="AL112" s="158">
        <v>284</v>
      </c>
      <c r="AM112" s="158">
        <v>9</v>
      </c>
      <c r="AN112" s="158">
        <v>0</v>
      </c>
      <c r="AO112" s="158">
        <v>0</v>
      </c>
      <c r="AP112" s="158">
        <v>0</v>
      </c>
      <c r="AQ112" s="158">
        <v>485</v>
      </c>
      <c r="AR112" s="158">
        <v>63</v>
      </c>
      <c r="AS112" s="158">
        <v>25</v>
      </c>
      <c r="AT112" s="158">
        <v>0</v>
      </c>
      <c r="AU112" s="158">
        <v>0</v>
      </c>
      <c r="AV112" s="158">
        <v>0</v>
      </c>
      <c r="AW112" s="158">
        <v>0</v>
      </c>
      <c r="AX112" s="158">
        <v>0</v>
      </c>
      <c r="AY112" s="158">
        <v>1857</v>
      </c>
      <c r="AZ112" s="158">
        <v>779</v>
      </c>
      <c r="BA112" s="158">
        <v>2596</v>
      </c>
      <c r="BB112" s="158">
        <v>2152</v>
      </c>
      <c r="BC112" s="158">
        <v>444</v>
      </c>
      <c r="BD112" s="158">
        <v>2312</v>
      </c>
      <c r="BE112" s="158">
        <v>-180662</v>
      </c>
      <c r="BF112" s="158">
        <v>-440516</v>
      </c>
      <c r="BG112" s="158">
        <v>0</v>
      </c>
      <c r="BH112" s="158">
        <v>-55010</v>
      </c>
      <c r="BI112" s="158">
        <v>-680584</v>
      </c>
      <c r="BJ112" s="158">
        <v>0</v>
      </c>
      <c r="BK112" s="158">
        <v>9364031</v>
      </c>
      <c r="BL112" s="1438">
        <v>28886450</v>
      </c>
      <c r="BM112" s="1439">
        <v>0</v>
      </c>
      <c r="BN112" s="784" t="s">
        <v>2359</v>
      </c>
      <c r="BO112" s="784" t="s">
        <v>2360</v>
      </c>
      <c r="BP112" s="1400" t="s">
        <v>2467</v>
      </c>
      <c r="BQ112" s="509"/>
      <c r="BR112" s="509"/>
      <c r="BS112" s="509"/>
      <c r="BT112" s="509"/>
      <c r="BU112" s="509"/>
      <c r="BV112" s="509"/>
      <c r="BW112" s="509"/>
      <c r="BX112" s="509"/>
      <c r="BY112" s="509"/>
      <c r="BZ112" s="509"/>
      <c r="CA112" s="509"/>
      <c r="CB112" s="509"/>
      <c r="CC112" s="509"/>
      <c r="CD112" s="509"/>
      <c r="CE112" s="509"/>
      <c r="CF112" s="509"/>
      <c r="CG112" s="509"/>
      <c r="CH112" s="509"/>
      <c r="CI112" s="509"/>
      <c r="CJ112" s="509"/>
      <c r="CK112" s="509"/>
      <c r="CL112" s="509"/>
      <c r="CM112" s="509"/>
      <c r="CN112" s="509"/>
      <c r="CO112" s="509"/>
      <c r="CP112" s="509"/>
      <c r="CQ112" s="509"/>
      <c r="CR112" s="509"/>
      <c r="CS112" s="509"/>
    </row>
    <row r="113" spans="1:97" s="137" customFormat="1" ht="12.75" customHeight="1" x14ac:dyDescent="0.2">
      <c r="A113" s="1421">
        <v>109</v>
      </c>
      <c r="B113" s="649" t="s">
        <v>106</v>
      </c>
      <c r="C113" s="1607" t="s">
        <v>107</v>
      </c>
      <c r="D113" s="1605">
        <v>112405</v>
      </c>
      <c r="E113" s="1405">
        <v>117288682</v>
      </c>
      <c r="F113" s="1405">
        <v>2409</v>
      </c>
      <c r="G113" s="158">
        <v>-1730586</v>
      </c>
      <c r="H113" s="158">
        <v>-3525968</v>
      </c>
      <c r="I113" s="158">
        <v>-76208</v>
      </c>
      <c r="J113" s="158">
        <v>0</v>
      </c>
      <c r="K113" s="158">
        <v>-4034</v>
      </c>
      <c r="L113" s="158">
        <v>0</v>
      </c>
      <c r="M113" s="158">
        <v>-1229781</v>
      </c>
      <c r="N113" s="158">
        <v>-36232</v>
      </c>
      <c r="O113" s="158">
        <v>-12974</v>
      </c>
      <c r="P113" s="158">
        <v>0</v>
      </c>
      <c r="Q113" s="158">
        <v>0</v>
      </c>
      <c r="R113" s="158">
        <v>0</v>
      </c>
      <c r="S113" s="158">
        <v>0</v>
      </c>
      <c r="T113" s="158">
        <v>0</v>
      </c>
      <c r="U113" s="158">
        <v>-3241392</v>
      </c>
      <c r="V113" s="158">
        <v>52292377</v>
      </c>
      <c r="W113" s="158">
        <v>-1788416</v>
      </c>
      <c r="X113" s="158">
        <v>90270750</v>
      </c>
      <c r="Y113" s="158">
        <v>118098407</v>
      </c>
      <c r="Z113" s="158">
        <v>24233614</v>
      </c>
      <c r="AA113" s="158">
        <v>19386891</v>
      </c>
      <c r="AB113" s="158">
        <v>4362050</v>
      </c>
      <c r="AC113" s="158">
        <v>484672</v>
      </c>
      <c r="AD113" s="158">
        <v>112546</v>
      </c>
      <c r="AE113" s="158">
        <v>1706500</v>
      </c>
      <c r="AF113" s="158">
        <v>0</v>
      </c>
      <c r="AG113" s="158">
        <v>0</v>
      </c>
      <c r="AH113" s="158">
        <v>0</v>
      </c>
      <c r="AI113" s="158">
        <v>0</v>
      </c>
      <c r="AJ113" s="158">
        <v>0</v>
      </c>
      <c r="AK113" s="158">
        <v>3786972</v>
      </c>
      <c r="AL113" s="158">
        <v>129</v>
      </c>
      <c r="AM113" s="158">
        <v>9</v>
      </c>
      <c r="AN113" s="158">
        <v>0</v>
      </c>
      <c r="AO113" s="158">
        <v>1</v>
      </c>
      <c r="AP113" s="158">
        <v>0</v>
      </c>
      <c r="AQ113" s="158">
        <v>95</v>
      </c>
      <c r="AR113" s="158">
        <v>27</v>
      </c>
      <c r="AS113" s="158">
        <v>1</v>
      </c>
      <c r="AT113" s="158">
        <v>0</v>
      </c>
      <c r="AU113" s="158">
        <v>0</v>
      </c>
      <c r="AV113" s="158">
        <v>0</v>
      </c>
      <c r="AW113" s="158">
        <v>0</v>
      </c>
      <c r="AX113" s="158">
        <v>0</v>
      </c>
      <c r="AY113" s="158">
        <v>312</v>
      </c>
      <c r="AZ113" s="158">
        <v>757</v>
      </c>
      <c r="BA113" s="158">
        <v>589</v>
      </c>
      <c r="BB113" s="158">
        <v>520</v>
      </c>
      <c r="BC113" s="158">
        <v>69</v>
      </c>
      <c r="BD113" s="158">
        <v>1059</v>
      </c>
      <c r="BE113" s="158">
        <v>-726777</v>
      </c>
      <c r="BF113" s="158">
        <v>-52586</v>
      </c>
      <c r="BG113" s="158">
        <v>0</v>
      </c>
      <c r="BH113" s="158">
        <v>0</v>
      </c>
      <c r="BI113" s="158">
        <v>-443368</v>
      </c>
      <c r="BJ113" s="158">
        <v>-7050</v>
      </c>
      <c r="BK113" s="158">
        <v>3319384</v>
      </c>
      <c r="BL113" s="1438">
        <v>13451300</v>
      </c>
      <c r="BM113" s="1439">
        <v>1077750</v>
      </c>
      <c r="BN113" s="784" t="s">
        <v>2349</v>
      </c>
      <c r="BO113" s="784" t="s">
        <v>2357</v>
      </c>
      <c r="BP113" s="1400" t="s">
        <v>2468</v>
      </c>
      <c r="BQ113" s="509"/>
      <c r="BR113" s="509"/>
      <c r="BS113" s="509"/>
      <c r="BT113" s="509"/>
      <c r="BU113" s="509"/>
      <c r="BV113" s="509"/>
      <c r="BW113" s="509"/>
      <c r="BX113" s="509"/>
      <c r="BY113" s="509"/>
      <c r="BZ113" s="509"/>
      <c r="CA113" s="509"/>
      <c r="CB113" s="509"/>
      <c r="CC113" s="509"/>
      <c r="CD113" s="509"/>
      <c r="CE113" s="509"/>
      <c r="CF113" s="509"/>
      <c r="CG113" s="509"/>
      <c r="CH113" s="509"/>
      <c r="CI113" s="509"/>
      <c r="CJ113" s="509"/>
      <c r="CK113" s="509"/>
      <c r="CL113" s="509"/>
      <c r="CM113" s="509"/>
      <c r="CN113" s="509"/>
      <c r="CO113" s="509"/>
      <c r="CP113" s="509"/>
      <c r="CQ113" s="509"/>
      <c r="CR113" s="509"/>
      <c r="CS113" s="509"/>
    </row>
    <row r="114" spans="1:97" s="137" customFormat="1" ht="12.75" customHeight="1" x14ac:dyDescent="0.2">
      <c r="A114" s="1421">
        <v>110</v>
      </c>
      <c r="B114" s="649" t="s">
        <v>108</v>
      </c>
      <c r="C114" s="1607" t="s">
        <v>109</v>
      </c>
      <c r="D114" s="1605">
        <v>233480</v>
      </c>
      <c r="E114" s="1405">
        <v>145381759</v>
      </c>
      <c r="F114" s="1405">
        <v>5563</v>
      </c>
      <c r="G114" s="158">
        <v>-7033565</v>
      </c>
      <c r="H114" s="158">
        <v>-6735872</v>
      </c>
      <c r="I114" s="158">
        <v>-120000</v>
      </c>
      <c r="J114" s="158">
        <v>0</v>
      </c>
      <c r="K114" s="158">
        <v>0</v>
      </c>
      <c r="L114" s="158">
        <v>0</v>
      </c>
      <c r="M114" s="158">
        <v>-1358694</v>
      </c>
      <c r="N114" s="158">
        <v>-15000</v>
      </c>
      <c r="O114" s="158">
        <v>-32000</v>
      </c>
      <c r="P114" s="158">
        <v>0</v>
      </c>
      <c r="Q114" s="158">
        <v>0</v>
      </c>
      <c r="R114" s="158">
        <v>0</v>
      </c>
      <c r="S114" s="158">
        <v>0</v>
      </c>
      <c r="T114" s="158">
        <v>0</v>
      </c>
      <c r="U114" s="158">
        <v>-9046079</v>
      </c>
      <c r="V114" s="158">
        <v>49996787</v>
      </c>
      <c r="W114" s="158">
        <v>-5000000</v>
      </c>
      <c r="X114" s="158">
        <v>77680450</v>
      </c>
      <c r="Y114" s="158">
        <v>145075347</v>
      </c>
      <c r="Z114" s="158">
        <v>14543493</v>
      </c>
      <c r="AA114" s="158">
        <v>13221357</v>
      </c>
      <c r="AB114" s="158">
        <v>16306340</v>
      </c>
      <c r="AC114" s="158">
        <v>0</v>
      </c>
      <c r="AD114" s="158">
        <v>231180</v>
      </c>
      <c r="AE114" s="158">
        <v>0</v>
      </c>
      <c r="AF114" s="158">
        <v>0</v>
      </c>
      <c r="AG114" s="158">
        <v>0</v>
      </c>
      <c r="AH114" s="158">
        <v>0</v>
      </c>
      <c r="AI114" s="158">
        <v>0</v>
      </c>
      <c r="AJ114" s="158">
        <v>0</v>
      </c>
      <c r="AK114" s="158">
        <v>-3923065</v>
      </c>
      <c r="AL114" s="158">
        <v>211</v>
      </c>
      <c r="AM114" s="158">
        <v>11</v>
      </c>
      <c r="AN114" s="158">
        <v>0</v>
      </c>
      <c r="AO114" s="158">
        <v>0</v>
      </c>
      <c r="AP114" s="158">
        <v>0</v>
      </c>
      <c r="AQ114" s="158">
        <v>305</v>
      </c>
      <c r="AR114" s="158">
        <v>24</v>
      </c>
      <c r="AS114" s="158">
        <v>3</v>
      </c>
      <c r="AT114" s="158">
        <v>0</v>
      </c>
      <c r="AU114" s="158">
        <v>0</v>
      </c>
      <c r="AV114" s="158">
        <v>0</v>
      </c>
      <c r="AW114" s="158">
        <v>0</v>
      </c>
      <c r="AX114" s="158">
        <v>0</v>
      </c>
      <c r="AY114" s="158">
        <v>1197</v>
      </c>
      <c r="AZ114" s="158">
        <v>484</v>
      </c>
      <c r="BA114" s="158">
        <v>1897</v>
      </c>
      <c r="BB114" s="158">
        <v>1585</v>
      </c>
      <c r="BC114" s="158">
        <v>312</v>
      </c>
      <c r="BD114" s="158">
        <v>3145</v>
      </c>
      <c r="BE114" s="158">
        <v>-20362</v>
      </c>
      <c r="BF114" s="158">
        <v>-113500</v>
      </c>
      <c r="BG114" s="158">
        <v>0</v>
      </c>
      <c r="BH114" s="158">
        <v>0</v>
      </c>
      <c r="BI114" s="158">
        <v>-476581</v>
      </c>
      <c r="BJ114" s="158">
        <v>-948251</v>
      </c>
      <c r="BK114" s="158">
        <v>-3720539</v>
      </c>
      <c r="BL114" s="1438">
        <v>19811800</v>
      </c>
      <c r="BM114" s="1439">
        <v>0</v>
      </c>
      <c r="BN114" s="784" t="s">
        <v>2359</v>
      </c>
      <c r="BO114" s="784" t="s">
        <v>2360</v>
      </c>
      <c r="BP114" s="1400" t="s">
        <v>2469</v>
      </c>
      <c r="BQ114" s="509"/>
      <c r="BR114" s="509"/>
      <c r="BS114" s="509"/>
      <c r="BT114" s="509"/>
      <c r="BU114" s="509"/>
      <c r="BV114" s="509"/>
      <c r="BW114" s="509"/>
      <c r="BX114" s="509"/>
      <c r="BY114" s="509"/>
      <c r="BZ114" s="509"/>
      <c r="CA114" s="509"/>
      <c r="CB114" s="509"/>
      <c r="CC114" s="509"/>
      <c r="CD114" s="509"/>
      <c r="CE114" s="509"/>
      <c r="CF114" s="509"/>
      <c r="CG114" s="509"/>
      <c r="CH114" s="509"/>
      <c r="CI114" s="509"/>
      <c r="CJ114" s="509"/>
      <c r="CK114" s="509"/>
      <c r="CL114" s="509"/>
      <c r="CM114" s="509"/>
      <c r="CN114" s="509"/>
      <c r="CO114" s="509"/>
      <c r="CP114" s="509"/>
      <c r="CQ114" s="509"/>
      <c r="CR114" s="509"/>
      <c r="CS114" s="509"/>
    </row>
    <row r="115" spans="1:97" s="137" customFormat="1" ht="12.75" customHeight="1" x14ac:dyDescent="0.2">
      <c r="A115" s="1421">
        <v>111</v>
      </c>
      <c r="B115" s="649" t="s">
        <v>110</v>
      </c>
      <c r="C115" s="1607" t="s">
        <v>111</v>
      </c>
      <c r="D115" s="1605">
        <v>98618</v>
      </c>
      <c r="E115" s="1405">
        <v>82685652</v>
      </c>
      <c r="F115" s="1405">
        <v>2370</v>
      </c>
      <c r="G115" s="158">
        <v>-2509369</v>
      </c>
      <c r="H115" s="158">
        <v>-2049995</v>
      </c>
      <c r="I115" s="158">
        <v>-6467</v>
      </c>
      <c r="J115" s="158">
        <v>0</v>
      </c>
      <c r="K115" s="158">
        <v>-2769</v>
      </c>
      <c r="L115" s="158">
        <v>0</v>
      </c>
      <c r="M115" s="158">
        <v>-903766</v>
      </c>
      <c r="N115" s="158">
        <v>-186845</v>
      </c>
      <c r="O115" s="158">
        <v>-20629</v>
      </c>
      <c r="P115" s="158">
        <v>-1617</v>
      </c>
      <c r="Q115" s="158">
        <v>0</v>
      </c>
      <c r="R115" s="158">
        <v>0</v>
      </c>
      <c r="S115" s="158">
        <v>0</v>
      </c>
      <c r="T115" s="158">
        <v>0</v>
      </c>
      <c r="U115" s="158">
        <v>-2440514</v>
      </c>
      <c r="V115" s="158">
        <v>33934217</v>
      </c>
      <c r="W115" s="158">
        <v>-75000</v>
      </c>
      <c r="X115" s="158">
        <v>55484750</v>
      </c>
      <c r="Y115" s="158">
        <v>81336695</v>
      </c>
      <c r="Z115" s="158">
        <v>17105311</v>
      </c>
      <c r="AA115" s="158">
        <v>13684249</v>
      </c>
      <c r="AB115" s="158">
        <v>3078956</v>
      </c>
      <c r="AC115" s="158">
        <v>342106</v>
      </c>
      <c r="AD115" s="158">
        <v>96849</v>
      </c>
      <c r="AE115" s="158">
        <v>0</v>
      </c>
      <c r="AF115" s="158">
        <v>25823</v>
      </c>
      <c r="AG115" s="158">
        <v>0</v>
      </c>
      <c r="AH115" s="158">
        <v>0</v>
      </c>
      <c r="AI115" s="158">
        <v>0</v>
      </c>
      <c r="AJ115" s="158">
        <v>0</v>
      </c>
      <c r="AK115" s="158">
        <v>1855851</v>
      </c>
      <c r="AL115" s="158">
        <v>91</v>
      </c>
      <c r="AM115" s="158">
        <v>2</v>
      </c>
      <c r="AN115" s="158">
        <v>0</v>
      </c>
      <c r="AO115" s="158">
        <v>2</v>
      </c>
      <c r="AP115" s="158">
        <v>0</v>
      </c>
      <c r="AQ115" s="158">
        <v>216</v>
      </c>
      <c r="AR115" s="158">
        <v>67</v>
      </c>
      <c r="AS115" s="158">
        <v>8</v>
      </c>
      <c r="AT115" s="158">
        <v>2</v>
      </c>
      <c r="AU115" s="158">
        <v>0</v>
      </c>
      <c r="AV115" s="158">
        <v>0</v>
      </c>
      <c r="AW115" s="158">
        <v>0</v>
      </c>
      <c r="AX115" s="158">
        <v>0</v>
      </c>
      <c r="AY115" s="158">
        <v>233</v>
      </c>
      <c r="AZ115" s="158">
        <v>536</v>
      </c>
      <c r="BA115" s="158">
        <v>831</v>
      </c>
      <c r="BB115" s="158">
        <v>715</v>
      </c>
      <c r="BC115" s="158">
        <v>116</v>
      </c>
      <c r="BD115" s="158">
        <v>986</v>
      </c>
      <c r="BE115" s="158">
        <v>-17715</v>
      </c>
      <c r="BF115" s="158">
        <v>-450077</v>
      </c>
      <c r="BG115" s="158">
        <v>0</v>
      </c>
      <c r="BH115" s="158">
        <v>-31587</v>
      </c>
      <c r="BI115" s="158">
        <v>-31749</v>
      </c>
      <c r="BJ115" s="158">
        <v>-372638</v>
      </c>
      <c r="BK115" s="158">
        <v>2059992</v>
      </c>
      <c r="BL115" s="1438">
        <v>11082850</v>
      </c>
      <c r="BM115" s="1439">
        <v>0</v>
      </c>
      <c r="BN115" s="784" t="s">
        <v>2349</v>
      </c>
      <c r="BO115" s="784" t="s">
        <v>2350</v>
      </c>
      <c r="BP115" s="1400" t="s">
        <v>2470</v>
      </c>
      <c r="BQ115" s="509"/>
      <c r="BR115" s="509"/>
      <c r="BS115" s="509"/>
      <c r="BT115" s="509"/>
      <c r="BU115" s="509"/>
      <c r="BV115" s="509"/>
      <c r="BW115" s="509"/>
      <c r="BX115" s="509"/>
      <c r="BY115" s="509"/>
      <c r="BZ115" s="509"/>
      <c r="CA115" s="509"/>
      <c r="CB115" s="509"/>
      <c r="CC115" s="509"/>
      <c r="CD115" s="509"/>
      <c r="CE115" s="509"/>
      <c r="CF115" s="509"/>
      <c r="CG115" s="509"/>
      <c r="CH115" s="509"/>
      <c r="CI115" s="509"/>
      <c r="CJ115" s="509"/>
      <c r="CK115" s="509"/>
      <c r="CL115" s="509"/>
      <c r="CM115" s="509"/>
      <c r="CN115" s="509"/>
      <c r="CO115" s="509"/>
      <c r="CP115" s="509"/>
      <c r="CQ115" s="509"/>
      <c r="CR115" s="509"/>
      <c r="CS115" s="509"/>
    </row>
    <row r="116" spans="1:97" s="137" customFormat="1" ht="12.75" customHeight="1" x14ac:dyDescent="0.2">
      <c r="A116" s="1421">
        <v>112</v>
      </c>
      <c r="B116" s="649" t="s">
        <v>540</v>
      </c>
      <c r="C116" s="1607" t="s">
        <v>113</v>
      </c>
      <c r="D116" s="1605">
        <v>112945</v>
      </c>
      <c r="E116" s="1405">
        <v>80009467</v>
      </c>
      <c r="F116" s="1405">
        <v>2974</v>
      </c>
      <c r="G116" s="158">
        <v>-3511974</v>
      </c>
      <c r="H116" s="158">
        <v>-2532147</v>
      </c>
      <c r="I116" s="158">
        <v>-26478</v>
      </c>
      <c r="J116" s="158">
        <v>0</v>
      </c>
      <c r="K116" s="158">
        <v>0</v>
      </c>
      <c r="L116" s="158">
        <v>-16030</v>
      </c>
      <c r="M116" s="158">
        <v>-746916</v>
      </c>
      <c r="N116" s="158">
        <v>-34100</v>
      </c>
      <c r="O116" s="158">
        <v>-58583</v>
      </c>
      <c r="P116" s="158">
        <v>-1717</v>
      </c>
      <c r="Q116" s="158">
        <v>0</v>
      </c>
      <c r="R116" s="158">
        <v>0</v>
      </c>
      <c r="S116" s="158">
        <v>0</v>
      </c>
      <c r="T116" s="158">
        <v>0</v>
      </c>
      <c r="U116" s="158">
        <v>-1187445</v>
      </c>
      <c r="V116" s="158">
        <v>33581827</v>
      </c>
      <c r="W116" s="158">
        <v>-1600000</v>
      </c>
      <c r="X116" s="158">
        <v>56225500</v>
      </c>
      <c r="Y116" s="158">
        <v>79699567</v>
      </c>
      <c r="Z116" s="158">
        <v>15528445</v>
      </c>
      <c r="AA116" s="158">
        <v>15217876</v>
      </c>
      <c r="AB116" s="158">
        <v>0</v>
      </c>
      <c r="AC116" s="158">
        <v>310569</v>
      </c>
      <c r="AD116" s="158">
        <v>112130</v>
      </c>
      <c r="AE116" s="158">
        <v>182150</v>
      </c>
      <c r="AF116" s="158">
        <v>526178</v>
      </c>
      <c r="AG116" s="158">
        <v>0</v>
      </c>
      <c r="AH116" s="158">
        <v>0</v>
      </c>
      <c r="AI116" s="158">
        <v>0</v>
      </c>
      <c r="AJ116" s="158">
        <v>0</v>
      </c>
      <c r="AK116" s="158">
        <v>0</v>
      </c>
      <c r="AL116" s="158">
        <v>117</v>
      </c>
      <c r="AM116" s="158">
        <v>4</v>
      </c>
      <c r="AN116" s="158">
        <v>0</v>
      </c>
      <c r="AO116" s="158">
        <v>0</v>
      </c>
      <c r="AP116" s="158">
        <v>0</v>
      </c>
      <c r="AQ116" s="158">
        <v>399</v>
      </c>
      <c r="AR116" s="158">
        <v>39</v>
      </c>
      <c r="AS116" s="158">
        <v>14</v>
      </c>
      <c r="AT116" s="158">
        <v>2</v>
      </c>
      <c r="AU116" s="158">
        <v>0</v>
      </c>
      <c r="AV116" s="158">
        <v>0</v>
      </c>
      <c r="AW116" s="158">
        <v>0</v>
      </c>
      <c r="AX116" s="158">
        <v>0</v>
      </c>
      <c r="AY116" s="158">
        <v>191</v>
      </c>
      <c r="AZ116" s="158">
        <v>220</v>
      </c>
      <c r="BA116" s="158">
        <v>1476</v>
      </c>
      <c r="BB116" s="158">
        <v>1389</v>
      </c>
      <c r="BC116" s="158">
        <v>87</v>
      </c>
      <c r="BD116" s="158">
        <v>1241</v>
      </c>
      <c r="BE116" s="158">
        <v>-5348</v>
      </c>
      <c r="BF116" s="158">
        <v>-46051</v>
      </c>
      <c r="BG116" s="158">
        <v>0</v>
      </c>
      <c r="BH116" s="158">
        <v>-69051</v>
      </c>
      <c r="BI116" s="158">
        <v>-539040</v>
      </c>
      <c r="BJ116" s="158">
        <v>-87426</v>
      </c>
      <c r="BK116" s="158">
        <v>1741667</v>
      </c>
      <c r="BL116" s="1438">
        <v>7687750</v>
      </c>
      <c r="BM116" s="1439">
        <v>25250</v>
      </c>
      <c r="BN116" s="784" t="s">
        <v>509</v>
      </c>
      <c r="BO116" s="784" t="s">
        <v>855</v>
      </c>
      <c r="BP116" s="1400" t="s">
        <v>2471</v>
      </c>
      <c r="BQ116" s="509"/>
      <c r="BR116" s="509"/>
      <c r="BS116" s="509"/>
      <c r="BT116" s="509"/>
      <c r="BU116" s="509"/>
      <c r="BV116" s="509"/>
      <c r="BW116" s="509"/>
      <c r="BX116" s="509"/>
      <c r="BY116" s="509"/>
      <c r="BZ116" s="509"/>
      <c r="CA116" s="509"/>
      <c r="CB116" s="509"/>
      <c r="CC116" s="509"/>
      <c r="CD116" s="509"/>
      <c r="CE116" s="509"/>
      <c r="CF116" s="509"/>
      <c r="CG116" s="509"/>
      <c r="CH116" s="509"/>
      <c r="CI116" s="509"/>
      <c r="CJ116" s="509"/>
      <c r="CK116" s="509"/>
      <c r="CL116" s="509"/>
      <c r="CM116" s="509"/>
      <c r="CN116" s="509"/>
      <c r="CO116" s="509"/>
      <c r="CP116" s="509"/>
      <c r="CQ116" s="509"/>
      <c r="CR116" s="509"/>
      <c r="CS116" s="509"/>
    </row>
    <row r="117" spans="1:97" s="137" customFormat="1" ht="12.75" customHeight="1" x14ac:dyDescent="0.2">
      <c r="A117" s="1421">
        <v>113</v>
      </c>
      <c r="B117" s="649" t="s">
        <v>114</v>
      </c>
      <c r="C117" s="1607" t="s">
        <v>115</v>
      </c>
      <c r="D117" s="1605">
        <v>129220</v>
      </c>
      <c r="E117" s="1405">
        <v>65156800</v>
      </c>
      <c r="F117" s="1405">
        <v>3601</v>
      </c>
      <c r="G117" s="158">
        <v>-3430443</v>
      </c>
      <c r="H117" s="158">
        <v>-3652955</v>
      </c>
      <c r="I117" s="158">
        <v>-45684</v>
      </c>
      <c r="J117" s="158">
        <v>0</v>
      </c>
      <c r="K117" s="158">
        <v>-25046</v>
      </c>
      <c r="L117" s="158">
        <v>0</v>
      </c>
      <c r="M117" s="158">
        <v>-761286</v>
      </c>
      <c r="N117" s="158">
        <v>-144087</v>
      </c>
      <c r="O117" s="158">
        <v>-9900</v>
      </c>
      <c r="P117" s="158">
        <v>0</v>
      </c>
      <c r="Q117" s="158">
        <v>0</v>
      </c>
      <c r="R117" s="158">
        <v>0</v>
      </c>
      <c r="S117" s="158">
        <v>0</v>
      </c>
      <c r="T117" s="158">
        <v>0</v>
      </c>
      <c r="U117" s="158">
        <v>-1304264</v>
      </c>
      <c r="V117" s="158">
        <v>24583793</v>
      </c>
      <c r="W117" s="158">
        <v>-521588</v>
      </c>
      <c r="X117" s="158">
        <v>37051833</v>
      </c>
      <c r="Y117" s="158">
        <v>65220618</v>
      </c>
      <c r="Z117" s="158">
        <v>11799681</v>
      </c>
      <c r="AA117" s="158">
        <v>9439744</v>
      </c>
      <c r="AB117" s="158">
        <v>2123942</v>
      </c>
      <c r="AC117" s="158">
        <v>235994</v>
      </c>
      <c r="AD117" s="158">
        <v>128032</v>
      </c>
      <c r="AE117" s="158">
        <v>0</v>
      </c>
      <c r="AF117" s="158">
        <v>0</v>
      </c>
      <c r="AG117" s="158">
        <v>0</v>
      </c>
      <c r="AH117" s="158">
        <v>0</v>
      </c>
      <c r="AI117" s="158">
        <v>0</v>
      </c>
      <c r="AJ117" s="158">
        <v>0</v>
      </c>
      <c r="AK117" s="158">
        <v>-3019697</v>
      </c>
      <c r="AL117" s="158">
        <v>175</v>
      </c>
      <c r="AM117" s="158">
        <v>7</v>
      </c>
      <c r="AN117" s="158">
        <v>0</v>
      </c>
      <c r="AO117" s="158">
        <v>6</v>
      </c>
      <c r="AP117" s="158">
        <v>0</v>
      </c>
      <c r="AQ117" s="158">
        <v>417</v>
      </c>
      <c r="AR117" s="158">
        <v>29</v>
      </c>
      <c r="AS117" s="158">
        <v>5</v>
      </c>
      <c r="AT117" s="158">
        <v>0</v>
      </c>
      <c r="AU117" s="158">
        <v>0</v>
      </c>
      <c r="AV117" s="158">
        <v>0</v>
      </c>
      <c r="AW117" s="158">
        <v>0</v>
      </c>
      <c r="AX117" s="158">
        <v>0</v>
      </c>
      <c r="AY117" s="158">
        <v>499</v>
      </c>
      <c r="AZ117" s="158">
        <v>758</v>
      </c>
      <c r="BA117" s="158">
        <v>1838</v>
      </c>
      <c r="BB117" s="158">
        <v>1757</v>
      </c>
      <c r="BC117" s="158">
        <v>81</v>
      </c>
      <c r="BD117" s="158">
        <v>1026</v>
      </c>
      <c r="BE117" s="158">
        <v>0</v>
      </c>
      <c r="BF117" s="158">
        <v>0</v>
      </c>
      <c r="BG117" s="158">
        <v>0</v>
      </c>
      <c r="BH117" s="158">
        <v>0</v>
      </c>
      <c r="BI117" s="158">
        <v>0</v>
      </c>
      <c r="BJ117" s="158">
        <v>0</v>
      </c>
      <c r="BK117" s="158">
        <v>-2342085</v>
      </c>
      <c r="BL117" s="1438">
        <v>9605600</v>
      </c>
      <c r="BM117" s="1439">
        <v>0</v>
      </c>
      <c r="BN117" s="784" t="s">
        <v>2349</v>
      </c>
      <c r="BO117" s="784" t="s">
        <v>2350</v>
      </c>
      <c r="BP117" s="1400" t="s">
        <v>2472</v>
      </c>
      <c r="BQ117" s="509"/>
      <c r="BR117" s="509"/>
      <c r="BS117" s="509"/>
      <c r="BT117" s="509"/>
      <c r="BU117" s="509"/>
      <c r="BV117" s="509"/>
      <c r="BW117" s="509"/>
      <c r="BX117" s="509"/>
      <c r="BY117" s="509"/>
      <c r="BZ117" s="509"/>
      <c r="CA117" s="509"/>
      <c r="CB117" s="509"/>
      <c r="CC117" s="509"/>
      <c r="CD117" s="509"/>
      <c r="CE117" s="509"/>
      <c r="CF117" s="509"/>
      <c r="CG117" s="509"/>
      <c r="CH117" s="509"/>
      <c r="CI117" s="509"/>
      <c r="CJ117" s="509"/>
      <c r="CK117" s="509"/>
      <c r="CL117" s="509"/>
      <c r="CM117" s="509"/>
      <c r="CN117" s="509"/>
      <c r="CO117" s="509"/>
      <c r="CP117" s="509"/>
      <c r="CQ117" s="509"/>
      <c r="CR117" s="509"/>
      <c r="CS117" s="509"/>
    </row>
    <row r="118" spans="1:97" s="137" customFormat="1" ht="12.75" customHeight="1" x14ac:dyDescent="0.2">
      <c r="A118" s="1421">
        <v>114</v>
      </c>
      <c r="B118" s="649" t="s">
        <v>116</v>
      </c>
      <c r="C118" s="1607" t="s">
        <v>117</v>
      </c>
      <c r="D118" s="1605">
        <v>132547</v>
      </c>
      <c r="E118" s="1405">
        <v>90840909</v>
      </c>
      <c r="F118" s="1405">
        <v>3367</v>
      </c>
      <c r="G118" s="158">
        <v>-3505871</v>
      </c>
      <c r="H118" s="158">
        <v>-2379618</v>
      </c>
      <c r="I118" s="158">
        <v>-13231</v>
      </c>
      <c r="J118" s="158">
        <v>-3573</v>
      </c>
      <c r="K118" s="158">
        <v>-12650</v>
      </c>
      <c r="L118" s="158">
        <v>0</v>
      </c>
      <c r="M118" s="158">
        <v>-1391971</v>
      </c>
      <c r="N118" s="158">
        <v>-120812</v>
      </c>
      <c r="O118" s="158">
        <v>-82342</v>
      </c>
      <c r="P118" s="158">
        <v>-384</v>
      </c>
      <c r="Q118" s="158">
        <v>0</v>
      </c>
      <c r="R118" s="158">
        <v>0</v>
      </c>
      <c r="S118" s="158">
        <v>0</v>
      </c>
      <c r="T118" s="158">
        <v>0</v>
      </c>
      <c r="U118" s="158">
        <v>-2253443</v>
      </c>
      <c r="V118" s="158">
        <v>37472906</v>
      </c>
      <c r="W118" s="158">
        <v>-1883011</v>
      </c>
      <c r="X118" s="158">
        <v>58493700</v>
      </c>
      <c r="Y118" s="158">
        <v>89308517</v>
      </c>
      <c r="Z118" s="158">
        <v>17754198</v>
      </c>
      <c r="AA118" s="158">
        <v>14203359</v>
      </c>
      <c r="AB118" s="158">
        <v>3195756</v>
      </c>
      <c r="AC118" s="158">
        <v>355084</v>
      </c>
      <c r="AD118" s="158">
        <v>132958</v>
      </c>
      <c r="AE118" s="158">
        <v>0</v>
      </c>
      <c r="AF118" s="158">
        <v>343</v>
      </c>
      <c r="AG118" s="158">
        <v>0</v>
      </c>
      <c r="AH118" s="158">
        <v>0</v>
      </c>
      <c r="AI118" s="158">
        <v>0</v>
      </c>
      <c r="AJ118" s="158">
        <v>0</v>
      </c>
      <c r="AK118" s="158">
        <v>-1609862</v>
      </c>
      <c r="AL118" s="158">
        <v>148</v>
      </c>
      <c r="AM118" s="158">
        <v>5</v>
      </c>
      <c r="AN118" s="158">
        <v>1</v>
      </c>
      <c r="AO118" s="158">
        <v>7</v>
      </c>
      <c r="AP118" s="158">
        <v>0</v>
      </c>
      <c r="AQ118" s="158">
        <v>314</v>
      </c>
      <c r="AR118" s="158">
        <v>46</v>
      </c>
      <c r="AS118" s="158">
        <v>11</v>
      </c>
      <c r="AT118" s="158">
        <v>1</v>
      </c>
      <c r="AU118" s="158">
        <v>0</v>
      </c>
      <c r="AV118" s="158">
        <v>0</v>
      </c>
      <c r="AW118" s="158">
        <v>0</v>
      </c>
      <c r="AX118" s="158">
        <v>0</v>
      </c>
      <c r="AY118" s="158">
        <v>280</v>
      </c>
      <c r="AZ118" s="158">
        <v>755</v>
      </c>
      <c r="BA118" s="158">
        <v>1518</v>
      </c>
      <c r="BB118" s="158">
        <v>1447</v>
      </c>
      <c r="BC118" s="158">
        <v>71</v>
      </c>
      <c r="BD118" s="158">
        <v>1112</v>
      </c>
      <c r="BE118" s="158">
        <v>-7781</v>
      </c>
      <c r="BF118" s="158">
        <v>-193772</v>
      </c>
      <c r="BG118" s="158">
        <v>0</v>
      </c>
      <c r="BH118" s="158">
        <v>0</v>
      </c>
      <c r="BI118" s="158">
        <v>-65681</v>
      </c>
      <c r="BJ118" s="158">
        <v>-1124737</v>
      </c>
      <c r="BK118" s="158">
        <v>-963503</v>
      </c>
      <c r="BL118" s="1438">
        <v>13015500</v>
      </c>
      <c r="BM118" s="1439">
        <v>0</v>
      </c>
      <c r="BN118" s="784" t="s">
        <v>2349</v>
      </c>
      <c r="BO118" s="784" t="s">
        <v>2350</v>
      </c>
      <c r="BP118" s="1400" t="s">
        <v>2473</v>
      </c>
      <c r="BQ118" s="509"/>
      <c r="BR118" s="509"/>
      <c r="BS118" s="509"/>
      <c r="BT118" s="509"/>
      <c r="BU118" s="509"/>
      <c r="BV118" s="509"/>
      <c r="BW118" s="509"/>
      <c r="BX118" s="509"/>
      <c r="BY118" s="509"/>
      <c r="BZ118" s="509"/>
      <c r="CA118" s="509"/>
      <c r="CB118" s="509"/>
      <c r="CC118" s="509"/>
      <c r="CD118" s="509"/>
      <c r="CE118" s="509"/>
      <c r="CF118" s="509"/>
      <c r="CG118" s="509"/>
      <c r="CH118" s="509"/>
      <c r="CI118" s="509"/>
      <c r="CJ118" s="509"/>
      <c r="CK118" s="509"/>
      <c r="CL118" s="509"/>
      <c r="CM118" s="509"/>
      <c r="CN118" s="509"/>
      <c r="CO118" s="509"/>
      <c r="CP118" s="509"/>
      <c r="CQ118" s="509"/>
      <c r="CR118" s="509"/>
      <c r="CS118" s="509"/>
    </row>
    <row r="119" spans="1:97" s="137" customFormat="1" ht="12.75" customHeight="1" x14ac:dyDescent="0.2">
      <c r="A119" s="1421">
        <v>115</v>
      </c>
      <c r="B119" s="649" t="s">
        <v>118</v>
      </c>
      <c r="C119" s="1607" t="s">
        <v>119</v>
      </c>
      <c r="D119" s="1605">
        <v>263865</v>
      </c>
      <c r="E119" s="1405">
        <v>222904849</v>
      </c>
      <c r="F119" s="1405">
        <v>6017</v>
      </c>
      <c r="G119" s="158">
        <v>-6841610</v>
      </c>
      <c r="H119" s="158">
        <v>-6947000</v>
      </c>
      <c r="I119" s="158">
        <v>-540421</v>
      </c>
      <c r="J119" s="158">
        <v>0</v>
      </c>
      <c r="K119" s="158">
        <v>0</v>
      </c>
      <c r="L119" s="158">
        <v>0</v>
      </c>
      <c r="M119" s="158">
        <v>-3060846</v>
      </c>
      <c r="N119" s="158">
        <v>-244528</v>
      </c>
      <c r="O119" s="158">
        <v>-130505</v>
      </c>
      <c r="P119" s="158">
        <v>-377</v>
      </c>
      <c r="Q119" s="158">
        <v>0</v>
      </c>
      <c r="R119" s="158">
        <v>0</v>
      </c>
      <c r="S119" s="158">
        <v>0</v>
      </c>
      <c r="T119" s="158">
        <v>0</v>
      </c>
      <c r="U119" s="158">
        <v>-12887190</v>
      </c>
      <c r="V119" s="158">
        <v>83218119</v>
      </c>
      <c r="W119" s="158">
        <v>-1473745</v>
      </c>
      <c r="X119" s="158">
        <v>150661550</v>
      </c>
      <c r="Y119" s="158">
        <v>222887864</v>
      </c>
      <c r="Z119" s="158">
        <v>27636061</v>
      </c>
      <c r="AA119" s="158">
        <v>25123692</v>
      </c>
      <c r="AB119" s="158">
        <v>30985886</v>
      </c>
      <c r="AC119" s="158">
        <v>0</v>
      </c>
      <c r="AD119" s="158">
        <v>263536</v>
      </c>
      <c r="AE119" s="158">
        <v>0</v>
      </c>
      <c r="AF119" s="158">
        <v>0</v>
      </c>
      <c r="AG119" s="158">
        <v>0</v>
      </c>
      <c r="AH119" s="158">
        <v>0</v>
      </c>
      <c r="AI119" s="158">
        <v>0</v>
      </c>
      <c r="AJ119" s="158">
        <v>0</v>
      </c>
      <c r="AK119" s="158">
        <v>14454500</v>
      </c>
      <c r="AL119" s="158">
        <v>215</v>
      </c>
      <c r="AM119" s="158">
        <v>17</v>
      </c>
      <c r="AN119" s="158">
        <v>0</v>
      </c>
      <c r="AO119" s="158">
        <v>0</v>
      </c>
      <c r="AP119" s="158">
        <v>0</v>
      </c>
      <c r="AQ119" s="158">
        <v>215</v>
      </c>
      <c r="AR119" s="158">
        <v>61</v>
      </c>
      <c r="AS119" s="158">
        <v>1</v>
      </c>
      <c r="AT119" s="158">
        <v>5</v>
      </c>
      <c r="AU119" s="158">
        <v>0</v>
      </c>
      <c r="AV119" s="158">
        <v>0</v>
      </c>
      <c r="AW119" s="158">
        <v>0</v>
      </c>
      <c r="AX119" s="158">
        <v>0</v>
      </c>
      <c r="AY119" s="158">
        <v>1199</v>
      </c>
      <c r="AZ119" s="158">
        <v>829</v>
      </c>
      <c r="BA119" s="158">
        <v>2066</v>
      </c>
      <c r="BB119" s="158">
        <v>1741</v>
      </c>
      <c r="BC119" s="158">
        <v>325</v>
      </c>
      <c r="BD119" s="158">
        <v>3124</v>
      </c>
      <c r="BE119" s="158">
        <v>-287895</v>
      </c>
      <c r="BF119" s="158">
        <v>-14346</v>
      </c>
      <c r="BG119" s="158">
        <v>0</v>
      </c>
      <c r="BH119" s="158">
        <v>-32160</v>
      </c>
      <c r="BI119" s="158">
        <v>-2429487</v>
      </c>
      <c r="BJ119" s="158">
        <v>-296958</v>
      </c>
      <c r="BK119" s="158">
        <v>14062441</v>
      </c>
      <c r="BL119" s="1438">
        <v>21731300</v>
      </c>
      <c r="BM119" s="1439">
        <v>0</v>
      </c>
      <c r="BN119" s="784" t="s">
        <v>2359</v>
      </c>
      <c r="BO119" s="784" t="s">
        <v>2360</v>
      </c>
      <c r="BP119" s="1400" t="s">
        <v>2474</v>
      </c>
      <c r="BQ119" s="509"/>
      <c r="BR119" s="509"/>
      <c r="BS119" s="509"/>
      <c r="BT119" s="509"/>
      <c r="BU119" s="509"/>
      <c r="BV119" s="509"/>
      <c r="BW119" s="509"/>
      <c r="BX119" s="509"/>
      <c r="BY119" s="509"/>
      <c r="BZ119" s="509"/>
      <c r="CA119" s="509"/>
      <c r="CB119" s="509"/>
      <c r="CC119" s="509"/>
      <c r="CD119" s="509"/>
      <c r="CE119" s="509"/>
      <c r="CF119" s="509"/>
      <c r="CG119" s="509"/>
      <c r="CH119" s="509"/>
      <c r="CI119" s="509"/>
      <c r="CJ119" s="509"/>
      <c r="CK119" s="509"/>
      <c r="CL119" s="509"/>
      <c r="CM119" s="509"/>
      <c r="CN119" s="509"/>
      <c r="CO119" s="509"/>
      <c r="CP119" s="509"/>
      <c r="CQ119" s="509"/>
      <c r="CR119" s="509"/>
      <c r="CS119" s="509"/>
    </row>
    <row r="120" spans="1:97" s="137" customFormat="1" ht="12.75" customHeight="1" x14ac:dyDescent="0.2">
      <c r="A120" s="1421">
        <v>116</v>
      </c>
      <c r="B120" s="649" t="s">
        <v>585</v>
      </c>
      <c r="C120" s="1607" t="s">
        <v>121</v>
      </c>
      <c r="D120" s="1605">
        <v>298070</v>
      </c>
      <c r="E120" s="1405">
        <v>148309067</v>
      </c>
      <c r="F120" s="1405">
        <v>8411</v>
      </c>
      <c r="G120" s="158">
        <v>-9203527</v>
      </c>
      <c r="H120" s="158">
        <v>-5346217</v>
      </c>
      <c r="I120" s="158">
        <v>-90671</v>
      </c>
      <c r="J120" s="158">
        <v>-155152</v>
      </c>
      <c r="K120" s="158">
        <v>-28658</v>
      </c>
      <c r="L120" s="158">
        <v>0</v>
      </c>
      <c r="M120" s="158">
        <v>-1677552</v>
      </c>
      <c r="N120" s="158">
        <v>-477523</v>
      </c>
      <c r="O120" s="158">
        <v>-155588</v>
      </c>
      <c r="P120" s="158">
        <v>-13504</v>
      </c>
      <c r="Q120" s="158">
        <v>0</v>
      </c>
      <c r="R120" s="158">
        <v>-71617</v>
      </c>
      <c r="S120" s="158">
        <v>-71617</v>
      </c>
      <c r="T120" s="158">
        <v>0</v>
      </c>
      <c r="U120" s="158">
        <v>-8816149</v>
      </c>
      <c r="V120" s="158">
        <v>46009863</v>
      </c>
      <c r="W120" s="158">
        <v>-1500000</v>
      </c>
      <c r="X120" s="158">
        <v>75709550</v>
      </c>
      <c r="Y120" s="158">
        <v>148018730</v>
      </c>
      <c r="Z120" s="158">
        <v>21804672</v>
      </c>
      <c r="AA120" s="158">
        <v>21438764</v>
      </c>
      <c r="AB120" s="158">
        <v>0</v>
      </c>
      <c r="AC120" s="158">
        <v>437526</v>
      </c>
      <c r="AD120" s="158">
        <v>298203</v>
      </c>
      <c r="AE120" s="158">
        <v>1132466</v>
      </c>
      <c r="AF120" s="158">
        <v>730000</v>
      </c>
      <c r="AG120" s="158">
        <v>0</v>
      </c>
      <c r="AH120" s="158">
        <v>71617</v>
      </c>
      <c r="AI120" s="158">
        <v>0</v>
      </c>
      <c r="AJ120" s="158">
        <v>0</v>
      </c>
      <c r="AK120" s="158">
        <v>2762979</v>
      </c>
      <c r="AL120" s="158">
        <v>540</v>
      </c>
      <c r="AM120" s="158">
        <v>18</v>
      </c>
      <c r="AN120" s="158">
        <v>72</v>
      </c>
      <c r="AO120" s="158">
        <v>23</v>
      </c>
      <c r="AP120" s="158">
        <v>1</v>
      </c>
      <c r="AQ120" s="158">
        <v>749</v>
      </c>
      <c r="AR120" s="158">
        <v>349</v>
      </c>
      <c r="AS120" s="158">
        <v>26</v>
      </c>
      <c r="AT120" s="158">
        <v>14</v>
      </c>
      <c r="AU120" s="158">
        <v>0</v>
      </c>
      <c r="AV120" s="158">
        <v>0</v>
      </c>
      <c r="AW120" s="158">
        <v>9</v>
      </c>
      <c r="AX120" s="158">
        <v>0</v>
      </c>
      <c r="AY120" s="158">
        <v>1039</v>
      </c>
      <c r="AZ120" s="158">
        <v>1842</v>
      </c>
      <c r="BA120" s="158">
        <v>3998</v>
      </c>
      <c r="BB120" s="158">
        <v>3798</v>
      </c>
      <c r="BC120" s="158">
        <v>200</v>
      </c>
      <c r="BD120" s="158">
        <v>2622</v>
      </c>
      <c r="BE120" s="158">
        <v>-17550</v>
      </c>
      <c r="BF120" s="158">
        <v>-684066</v>
      </c>
      <c r="BG120" s="158">
        <v>0</v>
      </c>
      <c r="BH120" s="158">
        <v>-10346</v>
      </c>
      <c r="BI120" s="158">
        <v>-965590</v>
      </c>
      <c r="BJ120" s="158">
        <v>0</v>
      </c>
      <c r="BK120" s="158">
        <v>4266432</v>
      </c>
      <c r="BL120" s="1438">
        <v>23650875</v>
      </c>
      <c r="BM120" s="1439">
        <v>379500</v>
      </c>
      <c r="BN120" s="784" t="s">
        <v>509</v>
      </c>
      <c r="BO120" s="784" t="s">
        <v>2373</v>
      </c>
      <c r="BP120" s="1400" t="s">
        <v>2475</v>
      </c>
      <c r="BQ120" s="509"/>
      <c r="BR120" s="509"/>
      <c r="BS120" s="509"/>
      <c r="BT120" s="509"/>
      <c r="BU120" s="509"/>
      <c r="BV120" s="509"/>
      <c r="BW120" s="509"/>
      <c r="BX120" s="509"/>
      <c r="BY120" s="509"/>
      <c r="BZ120" s="509"/>
      <c r="CA120" s="509"/>
      <c r="CB120" s="509"/>
      <c r="CC120" s="509"/>
      <c r="CD120" s="509"/>
      <c r="CE120" s="509"/>
      <c r="CF120" s="509"/>
      <c r="CG120" s="509"/>
      <c r="CH120" s="509"/>
      <c r="CI120" s="509"/>
      <c r="CJ120" s="509"/>
      <c r="CK120" s="509"/>
      <c r="CL120" s="509"/>
      <c r="CM120" s="509"/>
      <c r="CN120" s="509"/>
      <c r="CO120" s="509"/>
      <c r="CP120" s="509"/>
      <c r="CQ120" s="509"/>
      <c r="CR120" s="509"/>
      <c r="CS120" s="509"/>
    </row>
    <row r="121" spans="1:97" s="137" customFormat="1" ht="12.75" customHeight="1" x14ac:dyDescent="0.2">
      <c r="A121" s="1421">
        <v>117</v>
      </c>
      <c r="B121" s="649" t="s">
        <v>122</v>
      </c>
      <c r="C121" s="1607" t="s">
        <v>123</v>
      </c>
      <c r="D121" s="1605">
        <v>158949</v>
      </c>
      <c r="E121" s="1405">
        <v>176690794</v>
      </c>
      <c r="F121" s="1405">
        <v>3220</v>
      </c>
      <c r="G121" s="158">
        <v>-2530937</v>
      </c>
      <c r="H121" s="158">
        <v>-6616265</v>
      </c>
      <c r="I121" s="158">
        <v>-29704</v>
      </c>
      <c r="J121" s="158">
        <v>0</v>
      </c>
      <c r="K121" s="158">
        <v>0</v>
      </c>
      <c r="L121" s="158">
        <v>0</v>
      </c>
      <c r="M121" s="158">
        <v>-1384679</v>
      </c>
      <c r="N121" s="158">
        <v>-87778</v>
      </c>
      <c r="O121" s="158">
        <v>-32092</v>
      </c>
      <c r="P121" s="158">
        <v>0</v>
      </c>
      <c r="Q121" s="158">
        <v>0</v>
      </c>
      <c r="R121" s="158">
        <v>0</v>
      </c>
      <c r="S121" s="158">
        <v>0</v>
      </c>
      <c r="T121" s="158">
        <v>0</v>
      </c>
      <c r="U121" s="158">
        <v>-5994692</v>
      </c>
      <c r="V121" s="158">
        <v>65772692</v>
      </c>
      <c r="W121" s="158">
        <v>-17054461</v>
      </c>
      <c r="X121" s="158">
        <v>148621300</v>
      </c>
      <c r="Y121" s="158">
        <v>187616316</v>
      </c>
      <c r="Z121" s="158">
        <v>32527732</v>
      </c>
      <c r="AA121" s="158">
        <v>26022186</v>
      </c>
      <c r="AB121" s="158">
        <v>6505546</v>
      </c>
      <c r="AC121" s="158">
        <v>0</v>
      </c>
      <c r="AD121" s="158">
        <v>161601</v>
      </c>
      <c r="AE121" s="158">
        <v>0</v>
      </c>
      <c r="AF121" s="158">
        <v>0</v>
      </c>
      <c r="AG121" s="158">
        <v>0</v>
      </c>
      <c r="AH121" s="158">
        <v>0</v>
      </c>
      <c r="AI121" s="158">
        <v>0</v>
      </c>
      <c r="AJ121" s="158">
        <v>0</v>
      </c>
      <c r="AK121" s="158">
        <v>17988490</v>
      </c>
      <c r="AL121" s="158">
        <v>145</v>
      </c>
      <c r="AM121" s="158">
        <v>7</v>
      </c>
      <c r="AN121" s="158">
        <v>0</v>
      </c>
      <c r="AO121" s="158">
        <v>0</v>
      </c>
      <c r="AP121" s="158">
        <v>0</v>
      </c>
      <c r="AQ121" s="158">
        <v>143</v>
      </c>
      <c r="AR121" s="158">
        <v>50</v>
      </c>
      <c r="AS121" s="158">
        <v>6</v>
      </c>
      <c r="AT121" s="158">
        <v>0</v>
      </c>
      <c r="AU121" s="158">
        <v>0</v>
      </c>
      <c r="AV121" s="158">
        <v>0</v>
      </c>
      <c r="AW121" s="158">
        <v>0</v>
      </c>
      <c r="AX121" s="158">
        <v>0</v>
      </c>
      <c r="AY121" s="158">
        <v>567</v>
      </c>
      <c r="AZ121" s="158">
        <v>845</v>
      </c>
      <c r="BA121" s="158">
        <v>874</v>
      </c>
      <c r="BB121" s="158">
        <v>714</v>
      </c>
      <c r="BC121" s="158">
        <v>160</v>
      </c>
      <c r="BD121" s="158">
        <v>1517</v>
      </c>
      <c r="BE121" s="158">
        <v>-786019</v>
      </c>
      <c r="BF121" s="158">
        <v>-80894</v>
      </c>
      <c r="BG121" s="158">
        <v>0</v>
      </c>
      <c r="BH121" s="158">
        <v>-9481</v>
      </c>
      <c r="BI121" s="158">
        <v>-366121</v>
      </c>
      <c r="BJ121" s="158">
        <v>-142163</v>
      </c>
      <c r="BK121" s="158">
        <v>11574352</v>
      </c>
      <c r="BL121" s="1438">
        <v>18749450</v>
      </c>
      <c r="BM121" s="1439">
        <v>0</v>
      </c>
      <c r="BN121" s="784" t="s">
        <v>2349</v>
      </c>
      <c r="BO121" s="784" t="s">
        <v>2357</v>
      </c>
      <c r="BP121" s="1400" t="s">
        <v>2476</v>
      </c>
      <c r="BQ121" s="509"/>
      <c r="BR121" s="509"/>
      <c r="BS121" s="509"/>
      <c r="BT121" s="509"/>
      <c r="BU121" s="509"/>
      <c r="BV121" s="509"/>
      <c r="BW121" s="509"/>
      <c r="BX121" s="509"/>
      <c r="BY121" s="509"/>
      <c r="BZ121" s="509"/>
      <c r="CA121" s="509"/>
      <c r="CB121" s="509"/>
      <c r="CC121" s="509"/>
      <c r="CD121" s="509"/>
      <c r="CE121" s="509"/>
      <c r="CF121" s="509"/>
      <c r="CG121" s="509"/>
      <c r="CH121" s="509"/>
      <c r="CI121" s="509"/>
      <c r="CJ121" s="509"/>
      <c r="CK121" s="509"/>
      <c r="CL121" s="509"/>
      <c r="CM121" s="509"/>
      <c r="CN121" s="509"/>
      <c r="CO121" s="509"/>
      <c r="CP121" s="509"/>
      <c r="CQ121" s="509"/>
      <c r="CR121" s="509"/>
      <c r="CS121" s="509"/>
    </row>
    <row r="122" spans="1:97" s="137" customFormat="1" ht="12.75" customHeight="1" x14ac:dyDescent="0.2">
      <c r="A122" s="1421">
        <v>118</v>
      </c>
      <c r="B122" s="649" t="s">
        <v>124</v>
      </c>
      <c r="C122" s="1607" t="s">
        <v>125</v>
      </c>
      <c r="D122" s="1605">
        <v>139515</v>
      </c>
      <c r="E122" s="1405">
        <v>78676201</v>
      </c>
      <c r="F122" s="1405">
        <v>3854</v>
      </c>
      <c r="G122" s="158">
        <v>-4944996</v>
      </c>
      <c r="H122" s="158">
        <v>-1565903</v>
      </c>
      <c r="I122" s="158">
        <v>-83689</v>
      </c>
      <c r="J122" s="158">
        <v>-19038</v>
      </c>
      <c r="K122" s="158">
        <v>-29682</v>
      </c>
      <c r="L122" s="158">
        <v>-20000</v>
      </c>
      <c r="M122" s="158">
        <v>-731331</v>
      </c>
      <c r="N122" s="158">
        <v>-50755</v>
      </c>
      <c r="O122" s="158">
        <v>-307575</v>
      </c>
      <c r="P122" s="158">
        <v>-459</v>
      </c>
      <c r="Q122" s="158">
        <v>-1307</v>
      </c>
      <c r="R122" s="158">
        <v>0</v>
      </c>
      <c r="S122" s="158">
        <v>0</v>
      </c>
      <c r="T122" s="158">
        <v>0</v>
      </c>
      <c r="U122" s="158">
        <v>-2462992</v>
      </c>
      <c r="V122" s="158">
        <v>30213679</v>
      </c>
      <c r="W122" s="158">
        <v>-139106</v>
      </c>
      <c r="X122" s="158">
        <v>46413352</v>
      </c>
      <c r="Y122" s="158">
        <v>78163796</v>
      </c>
      <c r="Z122" s="158">
        <v>15342377</v>
      </c>
      <c r="AA122" s="158">
        <v>12273902</v>
      </c>
      <c r="AB122" s="158">
        <v>2761628</v>
      </c>
      <c r="AC122" s="158">
        <v>306848</v>
      </c>
      <c r="AD122" s="158">
        <v>138750</v>
      </c>
      <c r="AE122" s="158">
        <v>0</v>
      </c>
      <c r="AF122" s="158">
        <v>0</v>
      </c>
      <c r="AG122" s="158">
        <v>0</v>
      </c>
      <c r="AH122" s="158">
        <v>0</v>
      </c>
      <c r="AI122" s="158">
        <v>0</v>
      </c>
      <c r="AJ122" s="158">
        <v>0</v>
      </c>
      <c r="AK122" s="158">
        <v>341419</v>
      </c>
      <c r="AL122" s="158">
        <v>174</v>
      </c>
      <c r="AM122" s="158">
        <v>19</v>
      </c>
      <c r="AN122" s="158">
        <v>7</v>
      </c>
      <c r="AO122" s="158">
        <v>20</v>
      </c>
      <c r="AP122" s="158">
        <v>0</v>
      </c>
      <c r="AQ122" s="158">
        <v>241</v>
      </c>
      <c r="AR122" s="158">
        <v>63</v>
      </c>
      <c r="AS122" s="158">
        <v>27</v>
      </c>
      <c r="AT122" s="158">
        <v>1</v>
      </c>
      <c r="AU122" s="158">
        <v>1</v>
      </c>
      <c r="AV122" s="158">
        <v>0</v>
      </c>
      <c r="AW122" s="158">
        <v>0</v>
      </c>
      <c r="AX122" s="158">
        <v>0</v>
      </c>
      <c r="AY122" s="158">
        <v>529</v>
      </c>
      <c r="AZ122" s="158">
        <v>764</v>
      </c>
      <c r="BA122" s="158">
        <v>1970</v>
      </c>
      <c r="BB122" s="158">
        <v>1861</v>
      </c>
      <c r="BC122" s="158">
        <v>109</v>
      </c>
      <c r="BD122" s="158">
        <v>1093</v>
      </c>
      <c r="BE122" s="158">
        <v>-28859</v>
      </c>
      <c r="BF122" s="158">
        <v>-198028</v>
      </c>
      <c r="BG122" s="158">
        <v>0</v>
      </c>
      <c r="BH122" s="158">
        <v>-6969</v>
      </c>
      <c r="BI122" s="158">
        <v>-427865</v>
      </c>
      <c r="BJ122" s="158">
        <v>-69610</v>
      </c>
      <c r="BK122" s="158">
        <v>743480</v>
      </c>
      <c r="BL122" s="1438">
        <v>11641900</v>
      </c>
      <c r="BM122" s="1439">
        <v>0</v>
      </c>
      <c r="BN122" s="784" t="s">
        <v>2349</v>
      </c>
      <c r="BO122" s="784" t="s">
        <v>2352</v>
      </c>
      <c r="BP122" s="1400" t="s">
        <v>2477</v>
      </c>
      <c r="BQ122" s="509"/>
      <c r="BR122" s="509"/>
      <c r="BS122" s="509"/>
      <c r="BT122" s="509"/>
      <c r="BU122" s="509"/>
      <c r="BV122" s="509"/>
      <c r="BW122" s="509"/>
      <c r="BX122" s="509"/>
      <c r="BY122" s="509"/>
      <c r="BZ122" s="509"/>
      <c r="CA122" s="509"/>
      <c r="CB122" s="509"/>
      <c r="CC122" s="509"/>
      <c r="CD122" s="509"/>
      <c r="CE122" s="509"/>
      <c r="CF122" s="509"/>
      <c r="CG122" s="509"/>
      <c r="CH122" s="509"/>
      <c r="CI122" s="509"/>
      <c r="CJ122" s="509"/>
      <c r="CK122" s="509"/>
      <c r="CL122" s="509"/>
      <c r="CM122" s="509"/>
      <c r="CN122" s="509"/>
      <c r="CO122" s="509"/>
      <c r="CP122" s="509"/>
      <c r="CQ122" s="509"/>
      <c r="CR122" s="509"/>
      <c r="CS122" s="509"/>
    </row>
    <row r="123" spans="1:97" s="137" customFormat="1" ht="12.75" customHeight="1" x14ac:dyDescent="0.2">
      <c r="A123" s="1421">
        <v>119</v>
      </c>
      <c r="B123" s="649" t="s">
        <v>126</v>
      </c>
      <c r="C123" s="1607" t="s">
        <v>127</v>
      </c>
      <c r="D123" s="1605">
        <v>562638</v>
      </c>
      <c r="E123" s="1405">
        <v>847434410</v>
      </c>
      <c r="F123" s="1405">
        <v>8957</v>
      </c>
      <c r="G123" s="158">
        <v>-8991000</v>
      </c>
      <c r="H123" s="158">
        <v>-11226000</v>
      </c>
      <c r="I123" s="158">
        <v>-107000</v>
      </c>
      <c r="J123" s="158">
        <v>0</v>
      </c>
      <c r="K123" s="158">
        <v>-21000</v>
      </c>
      <c r="L123" s="158">
        <v>-107000</v>
      </c>
      <c r="M123" s="158">
        <v>-18660000</v>
      </c>
      <c r="N123" s="158">
        <v>-267000</v>
      </c>
      <c r="O123" s="158">
        <v>0</v>
      </c>
      <c r="P123" s="158">
        <v>0</v>
      </c>
      <c r="Q123" s="158">
        <v>0</v>
      </c>
      <c r="R123" s="158">
        <v>0</v>
      </c>
      <c r="S123" s="158">
        <v>0</v>
      </c>
      <c r="T123" s="158">
        <v>0</v>
      </c>
      <c r="U123" s="158">
        <v>-17606000</v>
      </c>
      <c r="V123" s="158">
        <v>392753740</v>
      </c>
      <c r="W123" s="158">
        <v>-9740000</v>
      </c>
      <c r="X123" s="158">
        <v>755515674</v>
      </c>
      <c r="Y123" s="158">
        <v>849060982</v>
      </c>
      <c r="Z123" s="158">
        <v>127527510</v>
      </c>
      <c r="AA123" s="158">
        <v>115934100</v>
      </c>
      <c r="AB123" s="158">
        <v>142985390</v>
      </c>
      <c r="AC123" s="158">
        <v>0</v>
      </c>
      <c r="AD123" s="158">
        <v>560740</v>
      </c>
      <c r="AE123" s="158">
        <v>0</v>
      </c>
      <c r="AF123" s="158">
        <v>0</v>
      </c>
      <c r="AG123" s="158">
        <v>0</v>
      </c>
      <c r="AH123" s="158">
        <v>0</v>
      </c>
      <c r="AI123" s="158">
        <v>0</v>
      </c>
      <c r="AJ123" s="158">
        <v>0</v>
      </c>
      <c r="AK123" s="158">
        <v>19454546</v>
      </c>
      <c r="AL123" s="158">
        <v>292</v>
      </c>
      <c r="AM123" s="158">
        <v>12</v>
      </c>
      <c r="AN123" s="158">
        <v>0</v>
      </c>
      <c r="AO123" s="158">
        <v>7</v>
      </c>
      <c r="AP123" s="158">
        <v>0</v>
      </c>
      <c r="AQ123" s="158">
        <v>848</v>
      </c>
      <c r="AR123" s="158">
        <v>152</v>
      </c>
      <c r="AS123" s="158">
        <v>0</v>
      </c>
      <c r="AT123" s="158">
        <v>0</v>
      </c>
      <c r="AU123" s="158">
        <v>0</v>
      </c>
      <c r="AV123" s="158">
        <v>0</v>
      </c>
      <c r="AW123" s="158">
        <v>0</v>
      </c>
      <c r="AX123" s="158">
        <v>0</v>
      </c>
      <c r="AY123" s="158">
        <v>1324</v>
      </c>
      <c r="AZ123" s="158">
        <v>2965</v>
      </c>
      <c r="BA123" s="158">
        <v>2494</v>
      </c>
      <c r="BB123" s="158">
        <v>2144</v>
      </c>
      <c r="BC123" s="158">
        <v>350</v>
      </c>
      <c r="BD123" s="158">
        <v>3544</v>
      </c>
      <c r="BE123" s="158">
        <v>-2779547</v>
      </c>
      <c r="BF123" s="158">
        <v>-9475614</v>
      </c>
      <c r="BG123" s="158">
        <v>0</v>
      </c>
      <c r="BH123" s="158">
        <v>0</v>
      </c>
      <c r="BI123" s="158">
        <v>-2168118</v>
      </c>
      <c r="BJ123" s="158">
        <v>-3064721</v>
      </c>
      <c r="BK123" s="158">
        <v>23239324</v>
      </c>
      <c r="BL123" s="1438">
        <v>23676200</v>
      </c>
      <c r="BM123" s="1439">
        <v>0</v>
      </c>
      <c r="BN123" s="784" t="s">
        <v>2359</v>
      </c>
      <c r="BO123" s="784" t="s">
        <v>2360</v>
      </c>
      <c r="BP123" s="1400" t="s">
        <v>2478</v>
      </c>
      <c r="BQ123" s="509"/>
      <c r="BR123" s="509"/>
      <c r="BS123" s="509"/>
      <c r="BT123" s="509"/>
      <c r="BU123" s="509"/>
      <c r="BV123" s="509"/>
      <c r="BW123" s="509"/>
      <c r="BX123" s="509"/>
      <c r="BY123" s="509"/>
      <c r="BZ123" s="509"/>
      <c r="CA123" s="509"/>
      <c r="CB123" s="509"/>
      <c r="CC123" s="509"/>
      <c r="CD123" s="509"/>
      <c r="CE123" s="509"/>
      <c r="CF123" s="509"/>
      <c r="CG123" s="509"/>
      <c r="CH123" s="509"/>
      <c r="CI123" s="509"/>
      <c r="CJ123" s="509"/>
      <c r="CK123" s="509"/>
      <c r="CL123" s="509"/>
      <c r="CM123" s="509"/>
      <c r="CN123" s="509"/>
      <c r="CO123" s="509"/>
      <c r="CP123" s="509"/>
      <c r="CQ123" s="509"/>
      <c r="CR123" s="509"/>
      <c r="CS123" s="509"/>
    </row>
    <row r="124" spans="1:97" s="137" customFormat="1" ht="12.75" customHeight="1" x14ac:dyDescent="0.2">
      <c r="A124" s="1421">
        <v>120</v>
      </c>
      <c r="B124" s="649" t="s">
        <v>128</v>
      </c>
      <c r="C124" s="1607" t="s">
        <v>129</v>
      </c>
      <c r="D124" s="1605">
        <v>132805</v>
      </c>
      <c r="E124" s="1405">
        <v>109604301</v>
      </c>
      <c r="F124" s="1405">
        <v>3358</v>
      </c>
      <c r="G124" s="158">
        <v>-4408528</v>
      </c>
      <c r="H124" s="158">
        <v>-3102287</v>
      </c>
      <c r="I124" s="158">
        <v>-4631</v>
      </c>
      <c r="J124" s="158">
        <v>-12035</v>
      </c>
      <c r="K124" s="158">
        <v>-6786</v>
      </c>
      <c r="L124" s="158">
        <v>0</v>
      </c>
      <c r="M124" s="158">
        <v>-414430</v>
      </c>
      <c r="N124" s="158">
        <v>-70474</v>
      </c>
      <c r="O124" s="158">
        <v>-72044</v>
      </c>
      <c r="P124" s="158">
        <v>-1158</v>
      </c>
      <c r="Q124" s="158">
        <v>0</v>
      </c>
      <c r="R124" s="158">
        <v>-7859</v>
      </c>
      <c r="S124" s="158">
        <v>0</v>
      </c>
      <c r="T124" s="158">
        <v>0</v>
      </c>
      <c r="U124" s="158">
        <v>-2362591</v>
      </c>
      <c r="V124" s="158">
        <v>45323138</v>
      </c>
      <c r="W124" s="158">
        <v>-888132</v>
      </c>
      <c r="X124" s="158">
        <v>74150000</v>
      </c>
      <c r="Y124" s="158">
        <v>107298847</v>
      </c>
      <c r="Z124" s="158">
        <v>22123442</v>
      </c>
      <c r="AA124" s="158">
        <v>17698753</v>
      </c>
      <c r="AB124" s="158">
        <v>3982219</v>
      </c>
      <c r="AC124" s="158">
        <v>442469</v>
      </c>
      <c r="AD124" s="158">
        <v>130281</v>
      </c>
      <c r="AE124" s="158">
        <v>655659</v>
      </c>
      <c r="AF124" s="158">
        <v>153239</v>
      </c>
      <c r="AG124" s="158">
        <v>0</v>
      </c>
      <c r="AH124" s="158">
        <v>0</v>
      </c>
      <c r="AI124" s="158">
        <v>0</v>
      </c>
      <c r="AJ124" s="158">
        <v>0</v>
      </c>
      <c r="AK124" s="158">
        <v>200093</v>
      </c>
      <c r="AL124" s="158">
        <v>121</v>
      </c>
      <c r="AM124" s="158">
        <v>2</v>
      </c>
      <c r="AN124" s="158">
        <v>4</v>
      </c>
      <c r="AO124" s="158">
        <v>3</v>
      </c>
      <c r="AP124" s="158">
        <v>0</v>
      </c>
      <c r="AQ124" s="158">
        <v>95</v>
      </c>
      <c r="AR124" s="158">
        <v>66</v>
      </c>
      <c r="AS124" s="158">
        <v>17</v>
      </c>
      <c r="AT124" s="158">
        <v>2</v>
      </c>
      <c r="AU124" s="158">
        <v>0</v>
      </c>
      <c r="AV124" s="158">
        <v>5</v>
      </c>
      <c r="AW124" s="158">
        <v>0</v>
      </c>
      <c r="AX124" s="158">
        <v>2</v>
      </c>
      <c r="AY124" s="158">
        <v>301</v>
      </c>
      <c r="AZ124" s="158">
        <v>280</v>
      </c>
      <c r="BA124" s="158">
        <v>1561</v>
      </c>
      <c r="BB124" s="158">
        <v>1432</v>
      </c>
      <c r="BC124" s="158">
        <v>129</v>
      </c>
      <c r="BD124" s="158">
        <v>1482</v>
      </c>
      <c r="BE124" s="158">
        <v>-183705</v>
      </c>
      <c r="BF124" s="158">
        <v>-77980</v>
      </c>
      <c r="BG124" s="158">
        <v>0</v>
      </c>
      <c r="BH124" s="158">
        <v>0</v>
      </c>
      <c r="BI124" s="158">
        <v>-152745</v>
      </c>
      <c r="BJ124" s="158">
        <v>0</v>
      </c>
      <c r="BK124" s="158">
        <v>244160</v>
      </c>
      <c r="BL124" s="1438">
        <v>12012225</v>
      </c>
      <c r="BM124" s="1439">
        <v>129000</v>
      </c>
      <c r="BN124" s="784" t="s">
        <v>2349</v>
      </c>
      <c r="BO124" s="784" t="s">
        <v>2352</v>
      </c>
      <c r="BP124" s="1400" t="s">
        <v>2479</v>
      </c>
      <c r="BQ124" s="509"/>
      <c r="BR124" s="509"/>
      <c r="BS124" s="509"/>
      <c r="BT124" s="509"/>
      <c r="BU124" s="509"/>
      <c r="BV124" s="509"/>
      <c r="BW124" s="509"/>
      <c r="BX124" s="509"/>
      <c r="BY124" s="509"/>
      <c r="BZ124" s="509"/>
      <c r="CA124" s="509"/>
      <c r="CB124" s="509"/>
      <c r="CC124" s="509"/>
      <c r="CD124" s="509"/>
      <c r="CE124" s="509"/>
      <c r="CF124" s="509"/>
      <c r="CG124" s="509"/>
      <c r="CH124" s="509"/>
      <c r="CI124" s="509"/>
      <c r="CJ124" s="509"/>
      <c r="CK124" s="509"/>
      <c r="CL124" s="509"/>
      <c r="CM124" s="509"/>
      <c r="CN124" s="509"/>
      <c r="CO124" s="509"/>
      <c r="CP124" s="509"/>
      <c r="CQ124" s="509"/>
      <c r="CR124" s="509"/>
      <c r="CS124" s="509"/>
    </row>
    <row r="125" spans="1:97" s="137" customFormat="1" ht="12.75" customHeight="1" x14ac:dyDescent="0.2">
      <c r="A125" s="1421">
        <v>121</v>
      </c>
      <c r="B125" s="649" t="s">
        <v>130</v>
      </c>
      <c r="C125" s="1607" t="s">
        <v>131</v>
      </c>
      <c r="D125" s="1605">
        <v>187758</v>
      </c>
      <c r="E125" s="1405">
        <v>130093825</v>
      </c>
      <c r="F125" s="1405">
        <v>4970</v>
      </c>
      <c r="G125" s="158">
        <v>-5643046</v>
      </c>
      <c r="H125" s="158">
        <v>-3802609</v>
      </c>
      <c r="I125" s="158">
        <v>-64572</v>
      </c>
      <c r="J125" s="158">
        <v>-14621</v>
      </c>
      <c r="K125" s="158">
        <v>-7136</v>
      </c>
      <c r="L125" s="158">
        <v>-50000</v>
      </c>
      <c r="M125" s="158">
        <v>-425621</v>
      </c>
      <c r="N125" s="158">
        <v>-52369</v>
      </c>
      <c r="O125" s="158">
        <v>-593909</v>
      </c>
      <c r="P125" s="158">
        <v>-1859</v>
      </c>
      <c r="Q125" s="158">
        <v>0</v>
      </c>
      <c r="R125" s="158">
        <v>0</v>
      </c>
      <c r="S125" s="158">
        <v>0</v>
      </c>
      <c r="T125" s="158">
        <v>0</v>
      </c>
      <c r="U125" s="158">
        <v>-4632552</v>
      </c>
      <c r="V125" s="158">
        <v>50145134</v>
      </c>
      <c r="W125" s="158">
        <v>-1370000</v>
      </c>
      <c r="X125" s="158">
        <v>76896575</v>
      </c>
      <c r="Y125" s="158">
        <v>130291735</v>
      </c>
      <c r="Z125" s="158">
        <v>25240614</v>
      </c>
      <c r="AA125" s="158">
        <v>20192491</v>
      </c>
      <c r="AB125" s="158">
        <v>5048123</v>
      </c>
      <c r="AC125" s="158">
        <v>0</v>
      </c>
      <c r="AD125" s="158">
        <v>187583</v>
      </c>
      <c r="AE125" s="158">
        <v>0</v>
      </c>
      <c r="AF125" s="158">
        <v>291562</v>
      </c>
      <c r="AG125" s="158">
        <v>0</v>
      </c>
      <c r="AH125" s="158">
        <v>0</v>
      </c>
      <c r="AI125" s="158">
        <v>0</v>
      </c>
      <c r="AJ125" s="158">
        <v>0</v>
      </c>
      <c r="AK125" s="158">
        <v>-355148</v>
      </c>
      <c r="AL125" s="158">
        <v>193</v>
      </c>
      <c r="AM125" s="158">
        <v>11</v>
      </c>
      <c r="AN125" s="158">
        <v>5</v>
      </c>
      <c r="AO125" s="158">
        <v>4</v>
      </c>
      <c r="AP125" s="158">
        <v>0</v>
      </c>
      <c r="AQ125" s="158">
        <v>64</v>
      </c>
      <c r="AR125" s="158">
        <v>28</v>
      </c>
      <c r="AS125" s="158">
        <v>1</v>
      </c>
      <c r="AT125" s="158">
        <v>1</v>
      </c>
      <c r="AU125" s="158">
        <v>0</v>
      </c>
      <c r="AV125" s="158">
        <v>0</v>
      </c>
      <c r="AW125" s="158">
        <v>0</v>
      </c>
      <c r="AX125" s="158">
        <v>0</v>
      </c>
      <c r="AY125" s="158">
        <v>557</v>
      </c>
      <c r="AZ125" s="158">
        <v>511</v>
      </c>
      <c r="BA125" s="158">
        <v>1960</v>
      </c>
      <c r="BB125" s="158">
        <v>1750</v>
      </c>
      <c r="BC125" s="158">
        <v>210</v>
      </c>
      <c r="BD125" s="158">
        <v>2501</v>
      </c>
      <c r="BE125" s="158">
        <v>-158274</v>
      </c>
      <c r="BF125" s="158">
        <v>-54261</v>
      </c>
      <c r="BG125" s="158">
        <v>0</v>
      </c>
      <c r="BH125" s="158">
        <v>0</v>
      </c>
      <c r="BI125" s="158">
        <v>0</v>
      </c>
      <c r="BJ125" s="158">
        <v>-213086</v>
      </c>
      <c r="BK125" s="158">
        <v>-4628880</v>
      </c>
      <c r="BL125" s="1438">
        <v>22667625</v>
      </c>
      <c r="BM125" s="1439">
        <v>0</v>
      </c>
      <c r="BN125" s="784" t="s">
        <v>2349</v>
      </c>
      <c r="BO125" s="784" t="s">
        <v>2350</v>
      </c>
      <c r="BP125" s="1400" t="s">
        <v>2480</v>
      </c>
      <c r="BQ125" s="509"/>
      <c r="BR125" s="509"/>
      <c r="BS125" s="509"/>
      <c r="BT125" s="509"/>
      <c r="BU125" s="509"/>
      <c r="BV125" s="509"/>
      <c r="BW125" s="509"/>
      <c r="BX125" s="509"/>
      <c r="BY125" s="509"/>
      <c r="BZ125" s="509"/>
      <c r="CA125" s="509"/>
      <c r="CB125" s="509"/>
      <c r="CC125" s="509"/>
      <c r="CD125" s="509"/>
      <c r="CE125" s="509"/>
      <c r="CF125" s="509"/>
      <c r="CG125" s="509"/>
      <c r="CH125" s="509"/>
      <c r="CI125" s="509"/>
      <c r="CJ125" s="509"/>
      <c r="CK125" s="509"/>
      <c r="CL125" s="509"/>
      <c r="CM125" s="509"/>
      <c r="CN125" s="509"/>
      <c r="CO125" s="509"/>
      <c r="CP125" s="509"/>
      <c r="CQ125" s="509"/>
      <c r="CR125" s="509"/>
      <c r="CS125" s="509"/>
    </row>
    <row r="126" spans="1:97" s="137" customFormat="1" ht="12.75" customHeight="1" x14ac:dyDescent="0.2">
      <c r="A126" s="1421">
        <v>122</v>
      </c>
      <c r="B126" s="649" t="s">
        <v>132</v>
      </c>
      <c r="C126" s="1607" t="s">
        <v>133</v>
      </c>
      <c r="D126" s="1605">
        <v>414151</v>
      </c>
      <c r="E126" s="1405">
        <v>493067246</v>
      </c>
      <c r="F126" s="1405">
        <v>7763</v>
      </c>
      <c r="G126" s="158">
        <v>-5400294</v>
      </c>
      <c r="H126" s="158">
        <v>-7736171</v>
      </c>
      <c r="I126" s="158">
        <v>-84388</v>
      </c>
      <c r="J126" s="158">
        <v>0</v>
      </c>
      <c r="K126" s="158">
        <v>0</v>
      </c>
      <c r="L126" s="158">
        <v>0</v>
      </c>
      <c r="M126" s="158">
        <v>-4242075</v>
      </c>
      <c r="N126" s="158">
        <v>-301987</v>
      </c>
      <c r="O126" s="158">
        <v>-246277</v>
      </c>
      <c r="P126" s="158">
        <v>-2071</v>
      </c>
      <c r="Q126" s="158">
        <v>0</v>
      </c>
      <c r="R126" s="158">
        <v>0</v>
      </c>
      <c r="S126" s="158">
        <v>0</v>
      </c>
      <c r="T126" s="158">
        <v>0</v>
      </c>
      <c r="U126" s="158">
        <v>-16292393</v>
      </c>
      <c r="V126" s="158">
        <v>198420771</v>
      </c>
      <c r="W126" s="158">
        <v>-13400000</v>
      </c>
      <c r="X126" s="158">
        <v>404782300</v>
      </c>
      <c r="Y126" s="158">
        <v>488291756</v>
      </c>
      <c r="Z126" s="158">
        <v>60572790</v>
      </c>
      <c r="AA126" s="158">
        <v>55066173</v>
      </c>
      <c r="AB126" s="158">
        <v>67914947</v>
      </c>
      <c r="AC126" s="158">
        <v>0</v>
      </c>
      <c r="AD126" s="158">
        <v>409069</v>
      </c>
      <c r="AE126" s="158">
        <v>0</v>
      </c>
      <c r="AF126" s="158">
        <v>0</v>
      </c>
      <c r="AG126" s="158">
        <v>0</v>
      </c>
      <c r="AH126" s="158">
        <v>0</v>
      </c>
      <c r="AI126" s="158">
        <v>0</v>
      </c>
      <c r="AJ126" s="158">
        <v>0</v>
      </c>
      <c r="AK126" s="158">
        <v>-23282945</v>
      </c>
      <c r="AL126" s="158">
        <v>253</v>
      </c>
      <c r="AM126" s="158">
        <v>11</v>
      </c>
      <c r="AN126" s="158">
        <v>0</v>
      </c>
      <c r="AO126" s="158">
        <v>0</v>
      </c>
      <c r="AP126" s="158">
        <v>0</v>
      </c>
      <c r="AQ126" s="158">
        <v>487</v>
      </c>
      <c r="AR126" s="158">
        <v>58</v>
      </c>
      <c r="AS126" s="158">
        <v>10</v>
      </c>
      <c r="AT126" s="158">
        <v>1</v>
      </c>
      <c r="AU126" s="158">
        <v>0</v>
      </c>
      <c r="AV126" s="158">
        <v>0</v>
      </c>
      <c r="AW126" s="158">
        <v>0</v>
      </c>
      <c r="AX126" s="158">
        <v>0</v>
      </c>
      <c r="AY126" s="158">
        <v>1197</v>
      </c>
      <c r="AZ126" s="158">
        <v>2540</v>
      </c>
      <c r="BA126" s="158">
        <v>1580</v>
      </c>
      <c r="BB126" s="158">
        <v>1326</v>
      </c>
      <c r="BC126" s="158">
        <v>254</v>
      </c>
      <c r="BD126" s="158">
        <v>3579</v>
      </c>
      <c r="BE126" s="158">
        <v>-195380</v>
      </c>
      <c r="BF126" s="158">
        <v>-754906</v>
      </c>
      <c r="BG126" s="158">
        <v>0</v>
      </c>
      <c r="BH126" s="158">
        <v>-238875</v>
      </c>
      <c r="BI126" s="158">
        <v>-3052914</v>
      </c>
      <c r="BJ126" s="158">
        <v>0</v>
      </c>
      <c r="BK126" s="158">
        <v>-27450245</v>
      </c>
      <c r="BL126" s="1438">
        <v>32027300</v>
      </c>
      <c r="BM126" s="1439">
        <v>0</v>
      </c>
      <c r="BN126" s="784" t="s">
        <v>2359</v>
      </c>
      <c r="BO126" s="784" t="s">
        <v>2360</v>
      </c>
      <c r="BP126" s="1400" t="s">
        <v>2481</v>
      </c>
      <c r="BQ126" s="509"/>
      <c r="BR126" s="509"/>
      <c r="BS126" s="509"/>
      <c r="BT126" s="509"/>
      <c r="BU126" s="509"/>
      <c r="BV126" s="509"/>
      <c r="BW126" s="509"/>
      <c r="BX126" s="509"/>
      <c r="BY126" s="509"/>
      <c r="BZ126" s="509"/>
      <c r="CA126" s="509"/>
      <c r="CB126" s="509"/>
      <c r="CC126" s="509"/>
      <c r="CD126" s="509"/>
      <c r="CE126" s="509"/>
      <c r="CF126" s="509"/>
      <c r="CG126" s="509"/>
      <c r="CH126" s="509"/>
      <c r="CI126" s="509"/>
      <c r="CJ126" s="509"/>
      <c r="CK126" s="509"/>
      <c r="CL126" s="509"/>
      <c r="CM126" s="509"/>
      <c r="CN126" s="509"/>
      <c r="CO126" s="509"/>
      <c r="CP126" s="509"/>
      <c r="CQ126" s="509"/>
      <c r="CR126" s="509"/>
      <c r="CS126" s="509"/>
    </row>
    <row r="127" spans="1:97" s="137" customFormat="1" ht="12.75" customHeight="1" x14ac:dyDescent="0.2">
      <c r="A127" s="1421">
        <v>123</v>
      </c>
      <c r="B127" s="649" t="s">
        <v>134</v>
      </c>
      <c r="C127" s="1607" t="s">
        <v>135</v>
      </c>
      <c r="D127" s="1605">
        <v>232990</v>
      </c>
      <c r="E127" s="1405">
        <v>179170981</v>
      </c>
      <c r="F127" s="1405">
        <v>5759</v>
      </c>
      <c r="G127" s="158">
        <v>-6103140</v>
      </c>
      <c r="H127" s="158">
        <v>-3870678</v>
      </c>
      <c r="I127" s="158">
        <v>-202180</v>
      </c>
      <c r="J127" s="158">
        <v>-63415</v>
      </c>
      <c r="K127" s="158">
        <v>-8766</v>
      </c>
      <c r="L127" s="158">
        <v>0</v>
      </c>
      <c r="M127" s="158">
        <v>-2611581</v>
      </c>
      <c r="N127" s="158">
        <v>-2386</v>
      </c>
      <c r="O127" s="158">
        <v>-2370</v>
      </c>
      <c r="P127" s="158">
        <v>0</v>
      </c>
      <c r="Q127" s="158">
        <v>0</v>
      </c>
      <c r="R127" s="158">
        <v>0</v>
      </c>
      <c r="S127" s="158">
        <v>0</v>
      </c>
      <c r="T127" s="158">
        <v>0</v>
      </c>
      <c r="U127" s="158">
        <v>-4807598</v>
      </c>
      <c r="V127" s="158">
        <v>74428932</v>
      </c>
      <c r="W127" s="158">
        <v>-750000</v>
      </c>
      <c r="X127" s="158">
        <v>116710000</v>
      </c>
      <c r="Y127" s="158">
        <v>179795314</v>
      </c>
      <c r="Z127" s="158">
        <v>35964136</v>
      </c>
      <c r="AA127" s="158">
        <v>28771310</v>
      </c>
      <c r="AB127" s="158">
        <v>6473545</v>
      </c>
      <c r="AC127" s="158">
        <v>719283</v>
      </c>
      <c r="AD127" s="158">
        <v>230516</v>
      </c>
      <c r="AE127" s="158">
        <v>2349916</v>
      </c>
      <c r="AF127" s="158">
        <v>1155723</v>
      </c>
      <c r="AG127" s="158">
        <v>0</v>
      </c>
      <c r="AH127" s="158">
        <v>0</v>
      </c>
      <c r="AI127" s="158">
        <v>0</v>
      </c>
      <c r="AJ127" s="158">
        <v>0</v>
      </c>
      <c r="AK127" s="158">
        <v>-1844417</v>
      </c>
      <c r="AL127" s="158">
        <v>295</v>
      </c>
      <c r="AM127" s="158">
        <v>24</v>
      </c>
      <c r="AN127" s="158">
        <v>25</v>
      </c>
      <c r="AO127" s="158">
        <v>7</v>
      </c>
      <c r="AP127" s="158">
        <v>0</v>
      </c>
      <c r="AQ127" s="158">
        <v>281</v>
      </c>
      <c r="AR127" s="158">
        <v>3</v>
      </c>
      <c r="AS127" s="158">
        <v>1</v>
      </c>
      <c r="AT127" s="158">
        <v>0</v>
      </c>
      <c r="AU127" s="158">
        <v>0</v>
      </c>
      <c r="AV127" s="158">
        <v>0</v>
      </c>
      <c r="AW127" s="158">
        <v>0</v>
      </c>
      <c r="AX127" s="158">
        <v>0</v>
      </c>
      <c r="AY127" s="158">
        <v>670</v>
      </c>
      <c r="AZ127" s="158">
        <v>655</v>
      </c>
      <c r="BA127" s="158">
        <v>2149</v>
      </c>
      <c r="BB127" s="158">
        <v>1903</v>
      </c>
      <c r="BC127" s="158">
        <v>246</v>
      </c>
      <c r="BD127" s="158">
        <v>2921</v>
      </c>
      <c r="BE127" s="158">
        <v>-970106</v>
      </c>
      <c r="BF127" s="158">
        <v>-589248</v>
      </c>
      <c r="BG127" s="158">
        <v>0</v>
      </c>
      <c r="BH127" s="158">
        <v>-122049</v>
      </c>
      <c r="BI127" s="158">
        <v>-925338</v>
      </c>
      <c r="BJ127" s="158">
        <v>-4840</v>
      </c>
      <c r="BK127" s="158">
        <v>-6267437</v>
      </c>
      <c r="BL127" s="1438">
        <v>26052051</v>
      </c>
      <c r="BM127" s="1439">
        <v>188750</v>
      </c>
      <c r="BN127" s="784" t="s">
        <v>2349</v>
      </c>
      <c r="BO127" s="784" t="s">
        <v>2357</v>
      </c>
      <c r="BP127" s="1400" t="s">
        <v>2482</v>
      </c>
      <c r="BQ127" s="509"/>
      <c r="BR127" s="509"/>
      <c r="BS127" s="509"/>
      <c r="BT127" s="509"/>
      <c r="BU127" s="509"/>
      <c r="BV127" s="509"/>
      <c r="BW127" s="509"/>
      <c r="BX127" s="509"/>
      <c r="BY127" s="509"/>
      <c r="BZ127" s="509"/>
      <c r="CA127" s="509"/>
      <c r="CB127" s="509"/>
      <c r="CC127" s="509"/>
      <c r="CD127" s="509"/>
      <c r="CE127" s="509"/>
      <c r="CF127" s="509"/>
      <c r="CG127" s="509"/>
      <c r="CH127" s="509"/>
      <c r="CI127" s="509"/>
      <c r="CJ127" s="509"/>
      <c r="CK127" s="509"/>
      <c r="CL127" s="509"/>
      <c r="CM127" s="509"/>
      <c r="CN127" s="509"/>
      <c r="CO127" s="509"/>
      <c r="CP127" s="509"/>
      <c r="CQ127" s="509"/>
      <c r="CR127" s="509"/>
      <c r="CS127" s="509"/>
    </row>
    <row r="128" spans="1:97" s="137" customFormat="1" ht="12.75" customHeight="1" x14ac:dyDescent="0.2">
      <c r="A128" s="1421">
        <v>124</v>
      </c>
      <c r="B128" s="649" t="s">
        <v>136</v>
      </c>
      <c r="C128" s="1607" t="s">
        <v>137</v>
      </c>
      <c r="D128" s="1605">
        <v>123295</v>
      </c>
      <c r="E128" s="1405">
        <v>67733454</v>
      </c>
      <c r="F128" s="1405">
        <v>3422</v>
      </c>
      <c r="G128" s="158">
        <v>-4388279</v>
      </c>
      <c r="H128" s="158">
        <v>-2022068</v>
      </c>
      <c r="I128" s="158">
        <v>-49591</v>
      </c>
      <c r="J128" s="158">
        <v>0</v>
      </c>
      <c r="K128" s="158">
        <v>0</v>
      </c>
      <c r="L128" s="158">
        <v>0</v>
      </c>
      <c r="M128" s="158">
        <v>-706160</v>
      </c>
      <c r="N128" s="158">
        <v>-129296</v>
      </c>
      <c r="O128" s="158">
        <v>-50420</v>
      </c>
      <c r="P128" s="158">
        <v>0</v>
      </c>
      <c r="Q128" s="158">
        <v>0</v>
      </c>
      <c r="R128" s="158">
        <v>0</v>
      </c>
      <c r="S128" s="158">
        <v>0</v>
      </c>
      <c r="T128" s="158">
        <v>0</v>
      </c>
      <c r="U128" s="158">
        <v>-1313979</v>
      </c>
      <c r="V128" s="158">
        <v>24474568</v>
      </c>
      <c r="W128" s="158">
        <v>-1147857</v>
      </c>
      <c r="X128" s="158">
        <v>41876500</v>
      </c>
      <c r="Y128" s="158">
        <v>67153719</v>
      </c>
      <c r="Z128" s="158">
        <v>11732638</v>
      </c>
      <c r="AA128" s="158">
        <v>9386111</v>
      </c>
      <c r="AB128" s="158">
        <v>2111875</v>
      </c>
      <c r="AC128" s="158">
        <v>234653</v>
      </c>
      <c r="AD128" s="158">
        <v>123427</v>
      </c>
      <c r="AE128" s="158">
        <v>0</v>
      </c>
      <c r="AF128" s="158">
        <v>0</v>
      </c>
      <c r="AG128" s="158">
        <v>0</v>
      </c>
      <c r="AH128" s="158">
        <v>0</v>
      </c>
      <c r="AI128" s="158">
        <v>0</v>
      </c>
      <c r="AJ128" s="158">
        <v>0</v>
      </c>
      <c r="AK128" s="158">
        <v>1769179</v>
      </c>
      <c r="AL128" s="158">
        <v>128</v>
      </c>
      <c r="AM128" s="158">
        <v>6</v>
      </c>
      <c r="AN128" s="158">
        <v>0</v>
      </c>
      <c r="AO128" s="158">
        <v>0</v>
      </c>
      <c r="AP128" s="158">
        <v>0</v>
      </c>
      <c r="AQ128" s="158">
        <v>393</v>
      </c>
      <c r="AR128" s="158">
        <v>66</v>
      </c>
      <c r="AS128" s="158">
        <v>14</v>
      </c>
      <c r="AT128" s="158">
        <v>0</v>
      </c>
      <c r="AU128" s="158">
        <v>0</v>
      </c>
      <c r="AV128" s="158">
        <v>0</v>
      </c>
      <c r="AW128" s="158">
        <v>0</v>
      </c>
      <c r="AX128" s="158">
        <v>0</v>
      </c>
      <c r="AY128" s="158">
        <v>162</v>
      </c>
      <c r="AZ128" s="158">
        <v>215</v>
      </c>
      <c r="BA128" s="158">
        <v>1878</v>
      </c>
      <c r="BB128" s="158">
        <v>1790</v>
      </c>
      <c r="BC128" s="158">
        <v>88</v>
      </c>
      <c r="BD128" s="158">
        <v>1322</v>
      </c>
      <c r="BE128" s="158">
        <v>-36823</v>
      </c>
      <c r="BF128" s="158">
        <v>-194901</v>
      </c>
      <c r="BG128" s="158">
        <v>0</v>
      </c>
      <c r="BH128" s="158">
        <v>-41936</v>
      </c>
      <c r="BI128" s="158">
        <v>-432500</v>
      </c>
      <c r="BJ128" s="158">
        <v>0</v>
      </c>
      <c r="BK128" s="158">
        <v>1718762</v>
      </c>
      <c r="BL128" s="1438">
        <v>7387750</v>
      </c>
      <c r="BM128" s="1439">
        <v>0</v>
      </c>
      <c r="BN128" s="784" t="s">
        <v>2349</v>
      </c>
      <c r="BO128" s="784" t="s">
        <v>2376</v>
      </c>
      <c r="BP128" s="1400" t="s">
        <v>2483</v>
      </c>
      <c r="BQ128" s="509"/>
      <c r="BR128" s="509"/>
      <c r="BS128" s="509"/>
      <c r="BT128" s="509"/>
      <c r="BU128" s="509"/>
      <c r="BV128" s="509"/>
      <c r="BW128" s="509"/>
      <c r="BX128" s="509"/>
      <c r="BY128" s="509"/>
      <c r="BZ128" s="509"/>
      <c r="CA128" s="509"/>
      <c r="CB128" s="509"/>
      <c r="CC128" s="509"/>
      <c r="CD128" s="509"/>
      <c r="CE128" s="509"/>
      <c r="CF128" s="509"/>
      <c r="CG128" s="509"/>
      <c r="CH128" s="509"/>
      <c r="CI128" s="509"/>
      <c r="CJ128" s="509"/>
      <c r="CK128" s="509"/>
      <c r="CL128" s="509"/>
      <c r="CM128" s="509"/>
      <c r="CN128" s="509"/>
      <c r="CO128" s="509"/>
      <c r="CP128" s="509"/>
      <c r="CQ128" s="509"/>
      <c r="CR128" s="509"/>
      <c r="CS128" s="509"/>
    </row>
    <row r="129" spans="1:97" s="137" customFormat="1" ht="12.75" customHeight="1" x14ac:dyDescent="0.2">
      <c r="A129" s="1421">
        <v>125</v>
      </c>
      <c r="B129" s="649" t="s">
        <v>138</v>
      </c>
      <c r="C129" s="1607" t="s">
        <v>139</v>
      </c>
      <c r="D129" s="1605">
        <v>184125</v>
      </c>
      <c r="E129" s="1405">
        <v>145068306</v>
      </c>
      <c r="F129" s="1405">
        <v>4685</v>
      </c>
      <c r="G129" s="158">
        <v>-4617050</v>
      </c>
      <c r="H129" s="158">
        <v>-5599776</v>
      </c>
      <c r="I129" s="158">
        <v>-106500</v>
      </c>
      <c r="J129" s="158">
        <v>0</v>
      </c>
      <c r="K129" s="158">
        <v>-9331</v>
      </c>
      <c r="L129" s="158">
        <v>0</v>
      </c>
      <c r="M129" s="158">
        <v>-1270799</v>
      </c>
      <c r="N129" s="158">
        <v>-150822</v>
      </c>
      <c r="O129" s="158">
        <v>-63647</v>
      </c>
      <c r="P129" s="158">
        <v>0</v>
      </c>
      <c r="Q129" s="158">
        <v>0</v>
      </c>
      <c r="R129" s="158">
        <v>-37365</v>
      </c>
      <c r="S129" s="158">
        <v>-37365</v>
      </c>
      <c r="T129" s="158">
        <v>0</v>
      </c>
      <c r="U129" s="158">
        <v>-5511214</v>
      </c>
      <c r="V129" s="158">
        <v>57606600</v>
      </c>
      <c r="W129" s="158">
        <v>-2098005</v>
      </c>
      <c r="X129" s="158">
        <v>100438850</v>
      </c>
      <c r="Y129" s="158">
        <v>144969964</v>
      </c>
      <c r="Z129" s="158">
        <v>27323481</v>
      </c>
      <c r="AA129" s="158">
        <v>21888676</v>
      </c>
      <c r="AB129" s="158">
        <v>5472169</v>
      </c>
      <c r="AC129" s="158">
        <v>0</v>
      </c>
      <c r="AD129" s="158">
        <v>183360</v>
      </c>
      <c r="AE129" s="158">
        <v>1468009</v>
      </c>
      <c r="AF129" s="158">
        <v>13100</v>
      </c>
      <c r="AG129" s="158">
        <v>0</v>
      </c>
      <c r="AH129" s="158">
        <v>37365</v>
      </c>
      <c r="AI129" s="158">
        <v>0</v>
      </c>
      <c r="AJ129" s="158">
        <v>0</v>
      </c>
      <c r="AK129" s="158">
        <v>4446570</v>
      </c>
      <c r="AL129" s="158">
        <v>300</v>
      </c>
      <c r="AM129" s="158">
        <v>4</v>
      </c>
      <c r="AN129" s="158">
        <v>0</v>
      </c>
      <c r="AO129" s="158">
        <v>2</v>
      </c>
      <c r="AP129" s="158">
        <v>0</v>
      </c>
      <c r="AQ129" s="158">
        <v>527</v>
      </c>
      <c r="AR129" s="158">
        <v>64</v>
      </c>
      <c r="AS129" s="158">
        <v>20</v>
      </c>
      <c r="AT129" s="158">
        <v>0</v>
      </c>
      <c r="AU129" s="158">
        <v>0</v>
      </c>
      <c r="AV129" s="158">
        <v>0</v>
      </c>
      <c r="AW129" s="158">
        <v>4</v>
      </c>
      <c r="AX129" s="158">
        <v>0</v>
      </c>
      <c r="AY129" s="158">
        <v>557</v>
      </c>
      <c r="AZ129" s="158">
        <v>1608</v>
      </c>
      <c r="BA129" s="158">
        <v>1565</v>
      </c>
      <c r="BB129" s="158">
        <v>1441</v>
      </c>
      <c r="BC129" s="158">
        <v>124</v>
      </c>
      <c r="BD129" s="158">
        <v>1494</v>
      </c>
      <c r="BE129" s="158">
        <v>-34182</v>
      </c>
      <c r="BF129" s="158">
        <v>-720005</v>
      </c>
      <c r="BG129" s="158">
        <v>0</v>
      </c>
      <c r="BH129" s="158">
        <v>-19398</v>
      </c>
      <c r="BI129" s="158">
        <v>-497214</v>
      </c>
      <c r="BJ129" s="158">
        <v>0</v>
      </c>
      <c r="BK129" s="158">
        <v>4553673</v>
      </c>
      <c r="BL129" s="1438">
        <v>18010450</v>
      </c>
      <c r="BM129" s="1439">
        <v>147250</v>
      </c>
      <c r="BN129" s="784" t="s">
        <v>2349</v>
      </c>
      <c r="BO129" s="784" t="s">
        <v>2357</v>
      </c>
      <c r="BP129" s="1400" t="s">
        <v>2484</v>
      </c>
      <c r="BQ129" s="509"/>
      <c r="BR129" s="509"/>
      <c r="BS129" s="509"/>
      <c r="BT129" s="509"/>
      <c r="BU129" s="509"/>
      <c r="BV129" s="509"/>
      <c r="BW129" s="509"/>
      <c r="BX129" s="509"/>
      <c r="BY129" s="509"/>
      <c r="BZ129" s="509"/>
      <c r="CA129" s="509"/>
      <c r="CB129" s="509"/>
      <c r="CC129" s="509"/>
      <c r="CD129" s="509"/>
      <c r="CE129" s="509"/>
      <c r="CF129" s="509"/>
      <c r="CG129" s="509"/>
      <c r="CH129" s="509"/>
      <c r="CI129" s="509"/>
      <c r="CJ129" s="509"/>
      <c r="CK129" s="509"/>
      <c r="CL129" s="509"/>
      <c r="CM129" s="509"/>
      <c r="CN129" s="509"/>
      <c r="CO129" s="509"/>
      <c r="CP129" s="509"/>
      <c r="CQ129" s="509"/>
      <c r="CR129" s="509"/>
      <c r="CS129" s="509"/>
    </row>
    <row r="130" spans="1:97" s="137" customFormat="1" ht="12.75" customHeight="1" x14ac:dyDescent="0.2">
      <c r="A130" s="1421">
        <v>126</v>
      </c>
      <c r="B130" s="649" t="s">
        <v>964</v>
      </c>
      <c r="C130" s="1607" t="s">
        <v>141</v>
      </c>
      <c r="D130" s="1605">
        <v>271139</v>
      </c>
      <c r="E130" s="1405">
        <v>117280744</v>
      </c>
      <c r="F130" s="1405">
        <v>7501</v>
      </c>
      <c r="G130" s="158">
        <v>-8605955</v>
      </c>
      <c r="H130" s="158">
        <v>-3914424</v>
      </c>
      <c r="I130" s="158">
        <v>-109006</v>
      </c>
      <c r="J130" s="158">
        <v>-1398</v>
      </c>
      <c r="K130" s="158">
        <v>-51674</v>
      </c>
      <c r="L130" s="158">
        <v>-10000</v>
      </c>
      <c r="M130" s="158">
        <v>-1629194</v>
      </c>
      <c r="N130" s="158">
        <v>-92127</v>
      </c>
      <c r="O130" s="158">
        <v>-7069</v>
      </c>
      <c r="P130" s="158">
        <v>-1054</v>
      </c>
      <c r="Q130" s="158">
        <v>0</v>
      </c>
      <c r="R130" s="158">
        <v>0</v>
      </c>
      <c r="S130" s="158">
        <v>0</v>
      </c>
      <c r="T130" s="158">
        <v>0</v>
      </c>
      <c r="U130" s="158">
        <v>-6783155</v>
      </c>
      <c r="V130" s="158">
        <v>37379485</v>
      </c>
      <c r="W130" s="158">
        <v>-1943372</v>
      </c>
      <c r="X130" s="158">
        <v>60575500</v>
      </c>
      <c r="Y130" s="158">
        <v>116923451</v>
      </c>
      <c r="Z130" s="158">
        <v>17905008</v>
      </c>
      <c r="AA130" s="158">
        <v>17546907</v>
      </c>
      <c r="AB130" s="158">
        <v>0</v>
      </c>
      <c r="AC130" s="158">
        <v>358100</v>
      </c>
      <c r="AD130" s="158">
        <v>273556</v>
      </c>
      <c r="AE130" s="158">
        <v>0</v>
      </c>
      <c r="AF130" s="158">
        <v>638323</v>
      </c>
      <c r="AG130" s="158">
        <v>0</v>
      </c>
      <c r="AH130" s="158">
        <v>0</v>
      </c>
      <c r="AI130" s="158">
        <v>0</v>
      </c>
      <c r="AJ130" s="158">
        <v>0</v>
      </c>
      <c r="AK130" s="158">
        <v>-3354364</v>
      </c>
      <c r="AL130" s="158">
        <v>325</v>
      </c>
      <c r="AM130" s="158">
        <v>20</v>
      </c>
      <c r="AN130" s="158">
        <v>1</v>
      </c>
      <c r="AO130" s="158">
        <v>27</v>
      </c>
      <c r="AP130" s="158">
        <v>0</v>
      </c>
      <c r="AQ130" s="158">
        <v>465</v>
      </c>
      <c r="AR130" s="158">
        <v>111</v>
      </c>
      <c r="AS130" s="158">
        <v>6</v>
      </c>
      <c r="AT130" s="158">
        <v>1</v>
      </c>
      <c r="AU130" s="158">
        <v>0</v>
      </c>
      <c r="AV130" s="158">
        <v>0</v>
      </c>
      <c r="AW130" s="158">
        <v>0</v>
      </c>
      <c r="AX130" s="158">
        <v>0</v>
      </c>
      <c r="AY130" s="158">
        <v>1057</v>
      </c>
      <c r="AZ130" s="158">
        <v>1150</v>
      </c>
      <c r="BA130" s="158">
        <v>4174</v>
      </c>
      <c r="BB130" s="158">
        <v>4026</v>
      </c>
      <c r="BC130" s="158">
        <v>148</v>
      </c>
      <c r="BD130" s="158">
        <v>2224</v>
      </c>
      <c r="BE130" s="158">
        <v>-191111</v>
      </c>
      <c r="BF130" s="158">
        <v>-747337</v>
      </c>
      <c r="BG130" s="158">
        <v>0</v>
      </c>
      <c r="BH130" s="158">
        <v>-38634</v>
      </c>
      <c r="BI130" s="158">
        <v>-236911</v>
      </c>
      <c r="BJ130" s="158">
        <v>-415201</v>
      </c>
      <c r="BK130" s="158">
        <v>-307917</v>
      </c>
      <c r="BL130" s="1438">
        <v>16510700</v>
      </c>
      <c r="BM130" s="1439">
        <v>0</v>
      </c>
      <c r="BN130" s="784" t="s">
        <v>509</v>
      </c>
      <c r="BO130" s="784" t="s">
        <v>2350</v>
      </c>
      <c r="BP130" s="1400" t="s">
        <v>2485</v>
      </c>
      <c r="BQ130" s="509"/>
      <c r="BR130" s="509"/>
      <c r="BS130" s="509"/>
      <c r="BT130" s="509"/>
      <c r="BU130" s="509"/>
      <c r="BV130" s="509"/>
      <c r="BW130" s="509"/>
      <c r="BX130" s="509"/>
      <c r="BY130" s="509"/>
      <c r="BZ130" s="509"/>
      <c r="CA130" s="509"/>
      <c r="CB130" s="509"/>
      <c r="CC130" s="509"/>
      <c r="CD130" s="509"/>
      <c r="CE130" s="509"/>
      <c r="CF130" s="509"/>
      <c r="CG130" s="509"/>
      <c r="CH130" s="509"/>
      <c r="CI130" s="509"/>
      <c r="CJ130" s="509"/>
      <c r="CK130" s="509"/>
      <c r="CL130" s="509"/>
      <c r="CM130" s="509"/>
      <c r="CN130" s="509"/>
      <c r="CO130" s="509"/>
      <c r="CP130" s="509"/>
      <c r="CQ130" s="509"/>
      <c r="CR130" s="509"/>
      <c r="CS130" s="509"/>
    </row>
    <row r="131" spans="1:97" s="137" customFormat="1" ht="12.75" customHeight="1" x14ac:dyDescent="0.2">
      <c r="A131" s="1421">
        <v>127</v>
      </c>
      <c r="B131" s="649" t="s">
        <v>965</v>
      </c>
      <c r="C131" s="1607" t="s">
        <v>143</v>
      </c>
      <c r="D131" s="1605">
        <v>25886</v>
      </c>
      <c r="E131" s="1405">
        <v>4671710</v>
      </c>
      <c r="F131" s="1405">
        <v>522</v>
      </c>
      <c r="G131" s="158">
        <v>-612741</v>
      </c>
      <c r="H131" s="158">
        <v>-59254</v>
      </c>
      <c r="I131" s="158">
        <v>-6886</v>
      </c>
      <c r="J131" s="158">
        <v>-4885</v>
      </c>
      <c r="K131" s="158">
        <v>-4429</v>
      </c>
      <c r="L131" s="158">
        <v>0</v>
      </c>
      <c r="M131" s="158">
        <v>-17406</v>
      </c>
      <c r="N131" s="158">
        <v>-3275</v>
      </c>
      <c r="O131" s="158">
        <v>-4440</v>
      </c>
      <c r="P131" s="158">
        <v>-1422</v>
      </c>
      <c r="Q131" s="158">
        <v>0</v>
      </c>
      <c r="R131" s="158">
        <v>0</v>
      </c>
      <c r="S131" s="158">
        <v>0</v>
      </c>
      <c r="T131" s="158">
        <v>0</v>
      </c>
      <c r="U131" s="158">
        <v>-421565</v>
      </c>
      <c r="V131" s="158">
        <v>1161936</v>
      </c>
      <c r="W131" s="158">
        <v>0</v>
      </c>
      <c r="X131" s="158">
        <v>1325300</v>
      </c>
      <c r="Y131" s="158">
        <v>4719745</v>
      </c>
      <c r="Z131" s="158">
        <v>613140</v>
      </c>
      <c r="AA131" s="158">
        <v>613141</v>
      </c>
      <c r="AB131" s="158">
        <v>0</v>
      </c>
      <c r="AC131" s="158">
        <v>0</v>
      </c>
      <c r="AD131" s="158">
        <v>26449</v>
      </c>
      <c r="AE131" s="158">
        <v>0</v>
      </c>
      <c r="AF131" s="158">
        <v>0</v>
      </c>
      <c r="AG131" s="158">
        <v>0</v>
      </c>
      <c r="AH131" s="158">
        <v>0</v>
      </c>
      <c r="AI131" s="158">
        <v>0</v>
      </c>
      <c r="AJ131" s="158">
        <v>0</v>
      </c>
      <c r="AK131" s="158">
        <v>26286</v>
      </c>
      <c r="AL131" s="158">
        <v>12</v>
      </c>
      <c r="AM131" s="158">
        <v>2</v>
      </c>
      <c r="AN131" s="158">
        <v>2</v>
      </c>
      <c r="AO131" s="158">
        <v>4</v>
      </c>
      <c r="AP131" s="158">
        <v>0</v>
      </c>
      <c r="AQ131" s="158">
        <v>5</v>
      </c>
      <c r="AR131" s="158">
        <v>5</v>
      </c>
      <c r="AS131" s="158">
        <v>7</v>
      </c>
      <c r="AT131" s="158">
        <v>1</v>
      </c>
      <c r="AU131" s="158">
        <v>0</v>
      </c>
      <c r="AV131" s="158">
        <v>0</v>
      </c>
      <c r="AW131" s="158">
        <v>0</v>
      </c>
      <c r="AX131" s="158">
        <v>0</v>
      </c>
      <c r="AY131" s="158">
        <v>90</v>
      </c>
      <c r="AZ131" s="158">
        <v>13</v>
      </c>
      <c r="BA131" s="158">
        <v>290</v>
      </c>
      <c r="BB131" s="158">
        <v>283</v>
      </c>
      <c r="BC131" s="158">
        <v>7</v>
      </c>
      <c r="BD131" s="158">
        <v>234</v>
      </c>
      <c r="BE131" s="158">
        <v>0</v>
      </c>
      <c r="BF131" s="158">
        <v>-14339</v>
      </c>
      <c r="BG131" s="158">
        <v>0</v>
      </c>
      <c r="BH131" s="158">
        <v>0</v>
      </c>
      <c r="BI131" s="158">
        <v>0</v>
      </c>
      <c r="BJ131" s="158">
        <v>-3067</v>
      </c>
      <c r="BK131" s="158">
        <v>90742</v>
      </c>
      <c r="BL131" s="1438">
        <v>702750</v>
      </c>
      <c r="BM131" s="1439">
        <v>0</v>
      </c>
      <c r="BN131" s="784" t="s">
        <v>509</v>
      </c>
      <c r="BO131" s="784" t="s">
        <v>2369</v>
      </c>
      <c r="BP131" s="1400" t="s">
        <v>2486</v>
      </c>
      <c r="BQ131" s="509"/>
      <c r="BR131" s="509"/>
      <c r="BS131" s="509"/>
      <c r="BT131" s="509"/>
      <c r="BU131" s="509"/>
      <c r="BV131" s="509"/>
      <c r="BW131" s="509"/>
      <c r="BX131" s="509"/>
      <c r="BY131" s="509"/>
      <c r="BZ131" s="509"/>
      <c r="CA131" s="509"/>
      <c r="CB131" s="509"/>
      <c r="CC131" s="509"/>
      <c r="CD131" s="509"/>
      <c r="CE131" s="509"/>
      <c r="CF131" s="509"/>
      <c r="CG131" s="509"/>
      <c r="CH131" s="509"/>
      <c r="CI131" s="509"/>
      <c r="CJ131" s="509"/>
      <c r="CK131" s="509"/>
      <c r="CL131" s="509"/>
      <c r="CM131" s="509"/>
      <c r="CN131" s="509"/>
      <c r="CO131" s="509"/>
      <c r="CP131" s="509"/>
      <c r="CQ131" s="509"/>
      <c r="CR131" s="509"/>
      <c r="CS131" s="509"/>
    </row>
    <row r="132" spans="1:97" s="137" customFormat="1" ht="12.75" customHeight="1" x14ac:dyDescent="0.2">
      <c r="A132" s="1421">
        <v>128</v>
      </c>
      <c r="B132" s="649" t="s">
        <v>144</v>
      </c>
      <c r="C132" s="1607" t="s">
        <v>145</v>
      </c>
      <c r="D132" s="1605">
        <v>682789</v>
      </c>
      <c r="E132" s="1405">
        <v>696120623</v>
      </c>
      <c r="F132" s="1405">
        <v>12043</v>
      </c>
      <c r="G132" s="158">
        <v>-7711335</v>
      </c>
      <c r="H132" s="158">
        <v>-27761358</v>
      </c>
      <c r="I132" s="158">
        <v>-8608</v>
      </c>
      <c r="J132" s="158">
        <v>0</v>
      </c>
      <c r="K132" s="158">
        <v>0</v>
      </c>
      <c r="L132" s="158">
        <v>0</v>
      </c>
      <c r="M132" s="158">
        <v>-18251211</v>
      </c>
      <c r="N132" s="158">
        <v>-810118</v>
      </c>
      <c r="O132" s="158">
        <v>-425504</v>
      </c>
      <c r="P132" s="158">
        <v>0</v>
      </c>
      <c r="Q132" s="158">
        <v>0</v>
      </c>
      <c r="R132" s="158">
        <v>0</v>
      </c>
      <c r="S132" s="158">
        <v>0</v>
      </c>
      <c r="T132" s="158">
        <v>0</v>
      </c>
      <c r="U132" s="158">
        <v>-27441263</v>
      </c>
      <c r="V132" s="158">
        <v>291486424</v>
      </c>
      <c r="W132" s="158">
        <v>-11573029</v>
      </c>
      <c r="X132" s="158">
        <v>553904000</v>
      </c>
      <c r="Y132" s="158">
        <v>700619558</v>
      </c>
      <c r="Z132" s="158">
        <v>89597722</v>
      </c>
      <c r="AA132" s="158">
        <v>81452474</v>
      </c>
      <c r="AB132" s="158">
        <v>100458052</v>
      </c>
      <c r="AC132" s="158">
        <v>0</v>
      </c>
      <c r="AD132" s="158">
        <v>684130</v>
      </c>
      <c r="AE132" s="158">
        <v>0</v>
      </c>
      <c r="AF132" s="158">
        <v>0</v>
      </c>
      <c r="AG132" s="158">
        <v>0</v>
      </c>
      <c r="AH132" s="158">
        <v>0</v>
      </c>
      <c r="AI132" s="158">
        <v>0</v>
      </c>
      <c r="AJ132" s="158">
        <v>0</v>
      </c>
      <c r="AK132" s="158">
        <v>23955426</v>
      </c>
      <c r="AL132" s="158">
        <v>666</v>
      </c>
      <c r="AM132" s="158">
        <v>1</v>
      </c>
      <c r="AN132" s="158">
        <v>0</v>
      </c>
      <c r="AO132" s="158">
        <v>0</v>
      </c>
      <c r="AP132" s="158">
        <v>0</v>
      </c>
      <c r="AQ132" s="158">
        <v>1691</v>
      </c>
      <c r="AR132" s="158">
        <v>113</v>
      </c>
      <c r="AS132" s="158">
        <v>19</v>
      </c>
      <c r="AT132" s="158">
        <v>0</v>
      </c>
      <c r="AU132" s="158">
        <v>0</v>
      </c>
      <c r="AV132" s="158">
        <v>0</v>
      </c>
      <c r="AW132" s="158">
        <v>0</v>
      </c>
      <c r="AX132" s="158">
        <v>0</v>
      </c>
      <c r="AY132" s="158">
        <v>2611</v>
      </c>
      <c r="AZ132" s="158">
        <v>2524</v>
      </c>
      <c r="BA132" s="158">
        <v>2059</v>
      </c>
      <c r="BB132" s="158">
        <v>1682</v>
      </c>
      <c r="BC132" s="158">
        <v>377</v>
      </c>
      <c r="BD132" s="158">
        <v>7430</v>
      </c>
      <c r="BE132" s="158">
        <v>-1996732</v>
      </c>
      <c r="BF132" s="158">
        <v>-1252005</v>
      </c>
      <c r="BG132" s="158">
        <v>-10793</v>
      </c>
      <c r="BH132" s="158">
        <v>-97138</v>
      </c>
      <c r="BI132" s="158">
        <v>-431726</v>
      </c>
      <c r="BJ132" s="158">
        <v>-14462817</v>
      </c>
      <c r="BK132" s="158">
        <v>40740602</v>
      </c>
      <c r="BL132" s="1438">
        <v>37017750</v>
      </c>
      <c r="BM132" s="1439">
        <v>0</v>
      </c>
      <c r="BN132" s="784" t="s">
        <v>2401</v>
      </c>
      <c r="BO132" s="784" t="s">
        <v>2360</v>
      </c>
      <c r="BP132" s="1400" t="s">
        <v>2487</v>
      </c>
      <c r="BQ132" s="509"/>
      <c r="BR132" s="509"/>
      <c r="BS132" s="509"/>
      <c r="BT132" s="509"/>
      <c r="BU132" s="509"/>
      <c r="BV132" s="509"/>
      <c r="BW132" s="509"/>
      <c r="BX132" s="509"/>
      <c r="BY132" s="509"/>
      <c r="BZ132" s="509"/>
      <c r="CA132" s="509"/>
      <c r="CB132" s="509"/>
      <c r="CC132" s="509"/>
      <c r="CD132" s="509"/>
      <c r="CE132" s="509"/>
      <c r="CF132" s="509"/>
      <c r="CG132" s="509"/>
      <c r="CH132" s="509"/>
      <c r="CI132" s="509"/>
      <c r="CJ132" s="509"/>
      <c r="CK132" s="509"/>
      <c r="CL132" s="509"/>
      <c r="CM132" s="509"/>
      <c r="CN132" s="509"/>
      <c r="CO132" s="509"/>
      <c r="CP132" s="509"/>
      <c r="CQ132" s="509"/>
      <c r="CR132" s="509"/>
      <c r="CS132" s="509"/>
    </row>
    <row r="133" spans="1:97" s="137" customFormat="1" ht="12.75" customHeight="1" x14ac:dyDescent="0.2">
      <c r="A133" s="1421">
        <v>129</v>
      </c>
      <c r="B133" s="649" t="s">
        <v>146</v>
      </c>
      <c r="C133" s="1607" t="s">
        <v>147</v>
      </c>
      <c r="D133" s="1605">
        <v>552628</v>
      </c>
      <c r="E133" s="1405">
        <v>671831538</v>
      </c>
      <c r="F133" s="1405">
        <v>8777</v>
      </c>
      <c r="G133" s="158">
        <v>-4450320</v>
      </c>
      <c r="H133" s="158">
        <v>-28145539</v>
      </c>
      <c r="I133" s="158">
        <v>0</v>
      </c>
      <c r="J133" s="158">
        <v>0</v>
      </c>
      <c r="K133" s="158">
        <v>0</v>
      </c>
      <c r="L133" s="158">
        <v>0</v>
      </c>
      <c r="M133" s="158">
        <v>-12072427</v>
      </c>
      <c r="N133" s="158">
        <v>-135821</v>
      </c>
      <c r="O133" s="158">
        <v>-187561</v>
      </c>
      <c r="P133" s="158">
        <v>0</v>
      </c>
      <c r="Q133" s="158">
        <v>0</v>
      </c>
      <c r="R133" s="158">
        <v>0</v>
      </c>
      <c r="S133" s="158">
        <v>0</v>
      </c>
      <c r="T133" s="158">
        <v>0</v>
      </c>
      <c r="U133" s="158">
        <v>-49972182</v>
      </c>
      <c r="V133" s="158">
        <v>258114288</v>
      </c>
      <c r="W133" s="158">
        <v>-10563527</v>
      </c>
      <c r="X133" s="158">
        <v>549966442</v>
      </c>
      <c r="Y133" s="158">
        <v>663005535</v>
      </c>
      <c r="Z133" s="158">
        <v>81626585</v>
      </c>
      <c r="AA133" s="158">
        <v>74205986</v>
      </c>
      <c r="AB133" s="158">
        <v>91520716</v>
      </c>
      <c r="AC133" s="158">
        <v>0</v>
      </c>
      <c r="AD133" s="158">
        <v>552286</v>
      </c>
      <c r="AE133" s="158">
        <v>0</v>
      </c>
      <c r="AF133" s="158">
        <v>0</v>
      </c>
      <c r="AG133" s="158">
        <v>0</v>
      </c>
      <c r="AH133" s="158">
        <v>0</v>
      </c>
      <c r="AI133" s="158">
        <v>0</v>
      </c>
      <c r="AJ133" s="158">
        <v>0</v>
      </c>
      <c r="AK133" s="158">
        <v>-43361358</v>
      </c>
      <c r="AL133" s="158">
        <v>315</v>
      </c>
      <c r="AM133" s="158">
        <v>0</v>
      </c>
      <c r="AN133" s="158">
        <v>0</v>
      </c>
      <c r="AO133" s="158">
        <v>0</v>
      </c>
      <c r="AP133" s="158">
        <v>0</v>
      </c>
      <c r="AQ133" s="158">
        <v>548</v>
      </c>
      <c r="AR133" s="158">
        <v>54</v>
      </c>
      <c r="AS133" s="158">
        <v>16</v>
      </c>
      <c r="AT133" s="158">
        <v>0</v>
      </c>
      <c r="AU133" s="158">
        <v>0</v>
      </c>
      <c r="AV133" s="158">
        <v>0</v>
      </c>
      <c r="AW133" s="158">
        <v>0</v>
      </c>
      <c r="AX133" s="158">
        <v>0</v>
      </c>
      <c r="AY133" s="158">
        <v>2049</v>
      </c>
      <c r="AZ133" s="158">
        <v>3772</v>
      </c>
      <c r="BA133" s="158">
        <v>1267</v>
      </c>
      <c r="BB133" s="158">
        <v>1072</v>
      </c>
      <c r="BC133" s="158">
        <v>195</v>
      </c>
      <c r="BD133" s="158">
        <v>3787</v>
      </c>
      <c r="BE133" s="158">
        <v>-97631</v>
      </c>
      <c r="BF133" s="158">
        <v>-9437427</v>
      </c>
      <c r="BG133" s="158">
        <v>0</v>
      </c>
      <c r="BH133" s="158">
        <v>0</v>
      </c>
      <c r="BI133" s="158">
        <v>-665683</v>
      </c>
      <c r="BJ133" s="158">
        <v>-1871686</v>
      </c>
      <c r="BK133" s="158">
        <v>-19613600</v>
      </c>
      <c r="BL133" s="1438">
        <v>0</v>
      </c>
      <c r="BM133" s="1439">
        <v>0</v>
      </c>
      <c r="BN133" s="784" t="s">
        <v>2401</v>
      </c>
      <c r="BO133" s="784" t="s">
        <v>2360</v>
      </c>
      <c r="BP133" s="1400" t="s">
        <v>2488</v>
      </c>
      <c r="BQ133" s="509"/>
      <c r="BR133" s="509"/>
      <c r="BS133" s="509"/>
      <c r="BT133" s="509"/>
      <c r="BU133" s="509"/>
      <c r="BV133" s="509"/>
      <c r="BW133" s="509"/>
      <c r="BX133" s="509"/>
      <c r="BY133" s="509"/>
      <c r="BZ133" s="509"/>
      <c r="CA133" s="509"/>
      <c r="CB133" s="509"/>
      <c r="CC133" s="509"/>
      <c r="CD133" s="509"/>
      <c r="CE133" s="509"/>
      <c r="CF133" s="509"/>
      <c r="CG133" s="509"/>
      <c r="CH133" s="509"/>
      <c r="CI133" s="509"/>
      <c r="CJ133" s="509"/>
      <c r="CK133" s="509"/>
      <c r="CL133" s="509"/>
      <c r="CM133" s="509"/>
      <c r="CN133" s="509"/>
      <c r="CO133" s="509"/>
      <c r="CP133" s="509"/>
      <c r="CQ133" s="509"/>
      <c r="CR133" s="509"/>
      <c r="CS133" s="509"/>
    </row>
    <row r="134" spans="1:97" s="137" customFormat="1" ht="12.75" customHeight="1" x14ac:dyDescent="0.2">
      <c r="A134" s="1421">
        <v>130</v>
      </c>
      <c r="B134" s="649" t="s">
        <v>967</v>
      </c>
      <c r="C134" s="1607" t="s">
        <v>149</v>
      </c>
      <c r="D134" s="1605">
        <v>240187</v>
      </c>
      <c r="E134" s="1405">
        <v>132208268</v>
      </c>
      <c r="F134" s="1405">
        <v>6664</v>
      </c>
      <c r="G134" s="158">
        <v>-6521109</v>
      </c>
      <c r="H134" s="158">
        <v>-3560311</v>
      </c>
      <c r="I134" s="158">
        <v>-35927</v>
      </c>
      <c r="J134" s="158">
        <v>-93258</v>
      </c>
      <c r="K134" s="158">
        <v>-26916</v>
      </c>
      <c r="L134" s="158">
        <v>-5000</v>
      </c>
      <c r="M134" s="158">
        <v>-1158002</v>
      </c>
      <c r="N134" s="158">
        <v>-130788</v>
      </c>
      <c r="O134" s="158">
        <v>-740927</v>
      </c>
      <c r="P134" s="158">
        <v>-8982</v>
      </c>
      <c r="Q134" s="158">
        <v>-5946</v>
      </c>
      <c r="R134" s="158">
        <v>-24875</v>
      </c>
      <c r="S134" s="158">
        <v>-24875</v>
      </c>
      <c r="T134" s="158">
        <v>0</v>
      </c>
      <c r="U134" s="158">
        <v>-6293060</v>
      </c>
      <c r="V134" s="158">
        <v>48402967</v>
      </c>
      <c r="W134" s="158">
        <v>-1653923</v>
      </c>
      <c r="X134" s="158">
        <v>82950950</v>
      </c>
      <c r="Y134" s="158">
        <v>133286802</v>
      </c>
      <c r="Z134" s="158">
        <v>21900199</v>
      </c>
      <c r="AA134" s="158">
        <v>17540060</v>
      </c>
      <c r="AB134" s="158">
        <v>4385015</v>
      </c>
      <c r="AC134" s="158">
        <v>0</v>
      </c>
      <c r="AD134" s="158">
        <v>241294</v>
      </c>
      <c r="AE134" s="158">
        <v>102424</v>
      </c>
      <c r="AF134" s="158">
        <v>2850000</v>
      </c>
      <c r="AG134" s="158">
        <v>0</v>
      </c>
      <c r="AH134" s="158">
        <v>24875</v>
      </c>
      <c r="AI134" s="158">
        <v>0</v>
      </c>
      <c r="AJ134" s="158">
        <v>0</v>
      </c>
      <c r="AK134" s="158">
        <v>130061</v>
      </c>
      <c r="AL134" s="158">
        <v>330</v>
      </c>
      <c r="AM134" s="158">
        <v>10</v>
      </c>
      <c r="AN134" s="158">
        <v>43</v>
      </c>
      <c r="AO134" s="158">
        <v>13</v>
      </c>
      <c r="AP134" s="158">
        <v>0</v>
      </c>
      <c r="AQ134" s="158">
        <v>363</v>
      </c>
      <c r="AR134" s="158">
        <v>173</v>
      </c>
      <c r="AS134" s="158">
        <v>29</v>
      </c>
      <c r="AT134" s="158">
        <v>10</v>
      </c>
      <c r="AU134" s="158">
        <v>0</v>
      </c>
      <c r="AV134" s="158">
        <v>2</v>
      </c>
      <c r="AW134" s="158">
        <v>9</v>
      </c>
      <c r="AX134" s="158">
        <v>0</v>
      </c>
      <c r="AY134" s="158">
        <v>871</v>
      </c>
      <c r="AZ134" s="158">
        <v>1273</v>
      </c>
      <c r="BA134" s="158">
        <v>3285</v>
      </c>
      <c r="BB134" s="158">
        <v>3113</v>
      </c>
      <c r="BC134" s="158">
        <v>172</v>
      </c>
      <c r="BD134" s="158">
        <v>2243</v>
      </c>
      <c r="BE134" s="158">
        <v>-150349</v>
      </c>
      <c r="BF134" s="158">
        <v>-239816</v>
      </c>
      <c r="BG134" s="158">
        <v>0</v>
      </c>
      <c r="BH134" s="158">
        <v>0</v>
      </c>
      <c r="BI134" s="158">
        <v>-489208</v>
      </c>
      <c r="BJ134" s="158">
        <v>-278629</v>
      </c>
      <c r="BK134" s="158">
        <v>-220332</v>
      </c>
      <c r="BL134" s="1438">
        <v>18154625</v>
      </c>
      <c r="BM134" s="1439">
        <v>0</v>
      </c>
      <c r="BN134" s="784" t="s">
        <v>2349</v>
      </c>
      <c r="BO134" s="784" t="s">
        <v>2357</v>
      </c>
      <c r="BP134" s="1400" t="s">
        <v>2489</v>
      </c>
      <c r="BQ134" s="509"/>
      <c r="BR134" s="509"/>
      <c r="BS134" s="509"/>
      <c r="BT134" s="509"/>
      <c r="BU134" s="509"/>
      <c r="BV134" s="509"/>
      <c r="BW134" s="509"/>
      <c r="BX134" s="509"/>
      <c r="BY134" s="509"/>
      <c r="BZ134" s="509"/>
      <c r="CA134" s="509"/>
      <c r="CB134" s="509"/>
      <c r="CC134" s="509"/>
      <c r="CD134" s="509"/>
      <c r="CE134" s="509"/>
      <c r="CF134" s="509"/>
      <c r="CG134" s="509"/>
      <c r="CH134" s="509"/>
      <c r="CI134" s="509"/>
      <c r="CJ134" s="509"/>
      <c r="CK134" s="509"/>
      <c r="CL134" s="509"/>
      <c r="CM134" s="509"/>
      <c r="CN134" s="509"/>
      <c r="CO134" s="509"/>
      <c r="CP134" s="509"/>
      <c r="CQ134" s="509"/>
      <c r="CR134" s="509"/>
      <c r="CS134" s="509"/>
    </row>
    <row r="135" spans="1:97" s="137" customFormat="1" ht="12.75" customHeight="1" x14ac:dyDescent="0.2">
      <c r="A135" s="1421">
        <v>131</v>
      </c>
      <c r="B135" s="649" t="s">
        <v>963</v>
      </c>
      <c r="C135" s="1607" t="s">
        <v>151</v>
      </c>
      <c r="D135" s="1605">
        <v>348069</v>
      </c>
      <c r="E135" s="1405">
        <v>232619555</v>
      </c>
      <c r="F135" s="1405">
        <v>9290</v>
      </c>
      <c r="G135" s="158">
        <v>-9704466</v>
      </c>
      <c r="H135" s="158">
        <v>-10457000</v>
      </c>
      <c r="I135" s="158">
        <v>0</v>
      </c>
      <c r="J135" s="158">
        <v>0</v>
      </c>
      <c r="K135" s="158">
        <v>-9855</v>
      </c>
      <c r="L135" s="158">
        <v>0</v>
      </c>
      <c r="M135" s="158">
        <v>-2231448</v>
      </c>
      <c r="N135" s="158">
        <v>-3418</v>
      </c>
      <c r="O135" s="158">
        <v>-1066069</v>
      </c>
      <c r="P135" s="158">
        <v>0</v>
      </c>
      <c r="Q135" s="158">
        <v>0</v>
      </c>
      <c r="R135" s="158">
        <v>-248512</v>
      </c>
      <c r="S135" s="158">
        <v>-148512</v>
      </c>
      <c r="T135" s="158">
        <v>0</v>
      </c>
      <c r="U135" s="158">
        <v>-6928747</v>
      </c>
      <c r="V135" s="158">
        <v>93211285</v>
      </c>
      <c r="W135" s="158">
        <v>-300322</v>
      </c>
      <c r="X135" s="158">
        <v>147122500</v>
      </c>
      <c r="Y135" s="158">
        <v>229308385</v>
      </c>
      <c r="Z135" s="158">
        <v>42268738</v>
      </c>
      <c r="AA135" s="158">
        <v>41568905</v>
      </c>
      <c r="AB135" s="158">
        <v>0</v>
      </c>
      <c r="AC135" s="158">
        <v>848345</v>
      </c>
      <c r="AD135" s="158">
        <v>345922</v>
      </c>
      <c r="AE135" s="158">
        <v>5967360</v>
      </c>
      <c r="AF135" s="158">
        <v>19690</v>
      </c>
      <c r="AG135" s="158">
        <v>0</v>
      </c>
      <c r="AH135" s="158">
        <v>148512</v>
      </c>
      <c r="AI135" s="158">
        <v>0</v>
      </c>
      <c r="AJ135" s="158">
        <v>0</v>
      </c>
      <c r="AK135" s="158">
        <v>4903239</v>
      </c>
      <c r="AL135" s="158">
        <v>498</v>
      </c>
      <c r="AM135" s="158">
        <v>0</v>
      </c>
      <c r="AN135" s="158">
        <v>0</v>
      </c>
      <c r="AO135" s="158">
        <v>4</v>
      </c>
      <c r="AP135" s="158">
        <v>0</v>
      </c>
      <c r="AQ135" s="158">
        <v>707</v>
      </c>
      <c r="AR135" s="158">
        <v>2</v>
      </c>
      <c r="AS135" s="158">
        <v>45</v>
      </c>
      <c r="AT135" s="158">
        <v>0</v>
      </c>
      <c r="AU135" s="158">
        <v>0</v>
      </c>
      <c r="AV135" s="158">
        <v>0</v>
      </c>
      <c r="AW135" s="158">
        <v>4</v>
      </c>
      <c r="AX135" s="158">
        <v>0</v>
      </c>
      <c r="AY135" s="158">
        <v>935</v>
      </c>
      <c r="AZ135" s="158">
        <v>2063</v>
      </c>
      <c r="BA135" s="158">
        <v>3662</v>
      </c>
      <c r="BB135" s="158">
        <v>3482</v>
      </c>
      <c r="BC135" s="158">
        <v>180</v>
      </c>
      <c r="BD135" s="158">
        <v>3305</v>
      </c>
      <c r="BE135" s="158">
        <v>-148785</v>
      </c>
      <c r="BF135" s="158">
        <v>-712598</v>
      </c>
      <c r="BG135" s="158">
        <v>0</v>
      </c>
      <c r="BH135" s="158">
        <v>0</v>
      </c>
      <c r="BI135" s="158">
        <v>-1370065</v>
      </c>
      <c r="BJ135" s="158">
        <v>0</v>
      </c>
      <c r="BK135" s="158">
        <v>5314599</v>
      </c>
      <c r="BL135" s="1438">
        <v>31766350</v>
      </c>
      <c r="BM135" s="1439">
        <v>232000</v>
      </c>
      <c r="BN135" s="784" t="s">
        <v>509</v>
      </c>
      <c r="BO135" s="784" t="s">
        <v>2364</v>
      </c>
      <c r="BP135" s="1400" t="s">
        <v>2490</v>
      </c>
      <c r="BQ135" s="509"/>
      <c r="BR135" s="509"/>
      <c r="BS135" s="509"/>
      <c r="BT135" s="509"/>
      <c r="BU135" s="509"/>
      <c r="BV135" s="509"/>
      <c r="BW135" s="509"/>
      <c r="BX135" s="509"/>
      <c r="BY135" s="509"/>
      <c r="BZ135" s="509"/>
      <c r="CA135" s="509"/>
      <c r="CB135" s="509"/>
      <c r="CC135" s="509"/>
      <c r="CD135" s="509"/>
      <c r="CE135" s="509"/>
      <c r="CF135" s="509"/>
      <c r="CG135" s="509"/>
      <c r="CH135" s="509"/>
      <c r="CI135" s="509"/>
      <c r="CJ135" s="509"/>
      <c r="CK135" s="509"/>
      <c r="CL135" s="509"/>
      <c r="CM135" s="509"/>
      <c r="CN135" s="509"/>
      <c r="CO135" s="509"/>
      <c r="CP135" s="509"/>
      <c r="CQ135" s="509"/>
      <c r="CR135" s="509"/>
      <c r="CS135" s="509"/>
    </row>
    <row r="136" spans="1:97" s="137" customFormat="1" ht="12.75" customHeight="1" x14ac:dyDescent="0.2">
      <c r="A136" s="1421">
        <v>132</v>
      </c>
      <c r="B136" s="649" t="s">
        <v>152</v>
      </c>
      <c r="C136" s="1607" t="s">
        <v>153</v>
      </c>
      <c r="D136" s="1605">
        <v>217867</v>
      </c>
      <c r="E136" s="1405">
        <v>205720230</v>
      </c>
      <c r="F136" s="1405">
        <v>4564</v>
      </c>
      <c r="G136" s="158">
        <v>-4118576</v>
      </c>
      <c r="H136" s="158">
        <v>-9676341</v>
      </c>
      <c r="I136" s="158">
        <v>-115953</v>
      </c>
      <c r="J136" s="158">
        <v>0</v>
      </c>
      <c r="K136" s="158">
        <v>0</v>
      </c>
      <c r="L136" s="158">
        <v>-12000</v>
      </c>
      <c r="M136" s="158">
        <v>-3205170</v>
      </c>
      <c r="N136" s="158">
        <v>-78009</v>
      </c>
      <c r="O136" s="158">
        <v>-398517</v>
      </c>
      <c r="P136" s="158">
        <v>0</v>
      </c>
      <c r="Q136" s="158">
        <v>0</v>
      </c>
      <c r="R136" s="158">
        <v>0</v>
      </c>
      <c r="S136" s="158">
        <v>0</v>
      </c>
      <c r="T136" s="158">
        <v>0</v>
      </c>
      <c r="U136" s="158">
        <v>-10379336</v>
      </c>
      <c r="V136" s="158">
        <v>79055209</v>
      </c>
      <c r="W136" s="158">
        <v>-5355000</v>
      </c>
      <c r="X136" s="158">
        <v>151494000</v>
      </c>
      <c r="Y136" s="158">
        <v>205127792</v>
      </c>
      <c r="Z136" s="158">
        <v>24297927</v>
      </c>
      <c r="AA136" s="158">
        <v>22089024</v>
      </c>
      <c r="AB136" s="158">
        <v>27243130</v>
      </c>
      <c r="AC136" s="158">
        <v>0</v>
      </c>
      <c r="AD136" s="158">
        <v>216251</v>
      </c>
      <c r="AE136" s="158">
        <v>0</v>
      </c>
      <c r="AF136" s="158">
        <v>0</v>
      </c>
      <c r="AG136" s="158">
        <v>0</v>
      </c>
      <c r="AH136" s="158">
        <v>0</v>
      </c>
      <c r="AI136" s="158">
        <v>0</v>
      </c>
      <c r="AJ136" s="158">
        <v>0</v>
      </c>
      <c r="AK136" s="158">
        <v>774437</v>
      </c>
      <c r="AL136" s="158">
        <v>176</v>
      </c>
      <c r="AM136" s="158">
        <v>9</v>
      </c>
      <c r="AN136" s="158">
        <v>0</v>
      </c>
      <c r="AO136" s="158">
        <v>0</v>
      </c>
      <c r="AP136" s="158">
        <v>0</v>
      </c>
      <c r="AQ136" s="158">
        <v>678</v>
      </c>
      <c r="AR136" s="158">
        <v>19</v>
      </c>
      <c r="AS136" s="158">
        <v>25</v>
      </c>
      <c r="AT136" s="158">
        <v>0</v>
      </c>
      <c r="AU136" s="158">
        <v>0</v>
      </c>
      <c r="AV136" s="158">
        <v>0</v>
      </c>
      <c r="AW136" s="158">
        <v>0</v>
      </c>
      <c r="AX136" s="158">
        <v>0</v>
      </c>
      <c r="AY136" s="158">
        <v>971</v>
      </c>
      <c r="AZ136" s="158">
        <v>2141</v>
      </c>
      <c r="BA136" s="158">
        <v>1467</v>
      </c>
      <c r="BB136" s="158">
        <v>1261</v>
      </c>
      <c r="BC136" s="158">
        <v>206</v>
      </c>
      <c r="BD136" s="158">
        <v>927</v>
      </c>
      <c r="BE136" s="158">
        <v>-215445</v>
      </c>
      <c r="BF136" s="158">
        <v>-1625348</v>
      </c>
      <c r="BG136" s="158">
        <v>0</v>
      </c>
      <c r="BH136" s="158">
        <v>-52483</v>
      </c>
      <c r="BI136" s="158">
        <v>-585526</v>
      </c>
      <c r="BJ136" s="158">
        <v>-726368</v>
      </c>
      <c r="BK136" s="158">
        <v>1069656</v>
      </c>
      <c r="BL136" s="1438">
        <v>18105000</v>
      </c>
      <c r="BM136" s="1439">
        <v>0</v>
      </c>
      <c r="BN136" s="784" t="s">
        <v>2359</v>
      </c>
      <c r="BO136" s="784" t="s">
        <v>2360</v>
      </c>
      <c r="BP136" s="1400" t="s">
        <v>2491</v>
      </c>
      <c r="BQ136" s="509"/>
      <c r="BR136" s="509"/>
      <c r="BS136" s="509"/>
      <c r="BT136" s="509"/>
      <c r="BU136" s="509"/>
      <c r="BV136" s="509"/>
      <c r="BW136" s="509"/>
      <c r="BX136" s="509"/>
      <c r="BY136" s="509"/>
      <c r="BZ136" s="509"/>
      <c r="CA136" s="509"/>
      <c r="CB136" s="509"/>
      <c r="CC136" s="509"/>
      <c r="CD136" s="509"/>
      <c r="CE136" s="509"/>
      <c r="CF136" s="509"/>
      <c r="CG136" s="509"/>
      <c r="CH136" s="509"/>
      <c r="CI136" s="509"/>
      <c r="CJ136" s="509"/>
      <c r="CK136" s="509"/>
      <c r="CL136" s="509"/>
      <c r="CM136" s="509"/>
      <c r="CN136" s="509"/>
      <c r="CO136" s="509"/>
      <c r="CP136" s="509"/>
      <c r="CQ136" s="509"/>
      <c r="CR136" s="509"/>
      <c r="CS136" s="509"/>
    </row>
    <row r="137" spans="1:97" s="137" customFormat="1" ht="12.75" customHeight="1" x14ac:dyDescent="0.2">
      <c r="A137" s="1421">
        <v>133</v>
      </c>
      <c r="B137" s="649" t="s">
        <v>154</v>
      </c>
      <c r="C137" s="1607" t="s">
        <v>155</v>
      </c>
      <c r="D137" s="1605">
        <v>591249</v>
      </c>
      <c r="E137" s="1405">
        <v>303608359</v>
      </c>
      <c r="F137" s="1405">
        <v>16494</v>
      </c>
      <c r="G137" s="158">
        <v>-21396948</v>
      </c>
      <c r="H137" s="158">
        <v>-11450194</v>
      </c>
      <c r="I137" s="158">
        <v>-163953</v>
      </c>
      <c r="J137" s="158">
        <v>-2071</v>
      </c>
      <c r="K137" s="158">
        <v>-4229</v>
      </c>
      <c r="L137" s="158">
        <v>-4808</v>
      </c>
      <c r="M137" s="158">
        <v>-3395541</v>
      </c>
      <c r="N137" s="158">
        <v>-302629</v>
      </c>
      <c r="O137" s="158">
        <v>-121077</v>
      </c>
      <c r="P137" s="158">
        <v>0</v>
      </c>
      <c r="Q137" s="158">
        <v>-45226</v>
      </c>
      <c r="R137" s="158">
        <v>-110000</v>
      </c>
      <c r="S137" s="158">
        <v>-110000</v>
      </c>
      <c r="T137" s="158">
        <v>0</v>
      </c>
      <c r="U137" s="158">
        <v>-12168288</v>
      </c>
      <c r="V137" s="158">
        <v>104986847</v>
      </c>
      <c r="W137" s="158">
        <v>-3000000</v>
      </c>
      <c r="X137" s="158">
        <v>167354000</v>
      </c>
      <c r="Y137" s="158">
        <v>302715168</v>
      </c>
      <c r="Z137" s="158">
        <v>50263719</v>
      </c>
      <c r="AA137" s="158">
        <v>49366244</v>
      </c>
      <c r="AB137" s="158">
        <v>0</v>
      </c>
      <c r="AC137" s="158">
        <v>1007474</v>
      </c>
      <c r="AD137" s="158">
        <v>587361</v>
      </c>
      <c r="AE137" s="158">
        <v>1318882</v>
      </c>
      <c r="AF137" s="158">
        <v>0</v>
      </c>
      <c r="AG137" s="158">
        <v>0</v>
      </c>
      <c r="AH137" s="158">
        <v>110000</v>
      </c>
      <c r="AI137" s="158">
        <v>0</v>
      </c>
      <c r="AJ137" s="158">
        <v>0</v>
      </c>
      <c r="AK137" s="158">
        <v>-1346462</v>
      </c>
      <c r="AL137" s="158">
        <v>470</v>
      </c>
      <c r="AM137" s="158">
        <v>23</v>
      </c>
      <c r="AN137" s="158">
        <v>1</v>
      </c>
      <c r="AO137" s="158">
        <v>3</v>
      </c>
      <c r="AP137" s="158">
        <v>1</v>
      </c>
      <c r="AQ137" s="158">
        <v>1928</v>
      </c>
      <c r="AR137" s="158">
        <v>66</v>
      </c>
      <c r="AS137" s="158">
        <v>23</v>
      </c>
      <c r="AT137" s="158">
        <v>0</v>
      </c>
      <c r="AU137" s="158">
        <v>0</v>
      </c>
      <c r="AV137" s="158">
        <v>10</v>
      </c>
      <c r="AW137" s="158">
        <v>3</v>
      </c>
      <c r="AX137" s="158">
        <v>0</v>
      </c>
      <c r="AY137" s="158">
        <v>1590</v>
      </c>
      <c r="AZ137" s="158">
        <v>4103</v>
      </c>
      <c r="BA137" s="158">
        <v>8182</v>
      </c>
      <c r="BB137" s="158">
        <v>7711</v>
      </c>
      <c r="BC137" s="158">
        <v>471</v>
      </c>
      <c r="BD137" s="158">
        <v>4167</v>
      </c>
      <c r="BE137" s="158">
        <v>-589010</v>
      </c>
      <c r="BF137" s="158">
        <v>-1590954</v>
      </c>
      <c r="BG137" s="158">
        <v>0</v>
      </c>
      <c r="BH137" s="158">
        <v>-89083</v>
      </c>
      <c r="BI137" s="158">
        <v>-758547</v>
      </c>
      <c r="BJ137" s="158">
        <v>-367947</v>
      </c>
      <c r="BK137" s="158">
        <v>-5378419</v>
      </c>
      <c r="BL137" s="1438">
        <v>38865551</v>
      </c>
      <c r="BM137" s="1439">
        <v>0</v>
      </c>
      <c r="BN137" s="784" t="s">
        <v>2363</v>
      </c>
      <c r="BO137" s="784" t="s">
        <v>2364</v>
      </c>
      <c r="BP137" s="1400" t="s">
        <v>2492</v>
      </c>
      <c r="BQ137" s="509"/>
      <c r="BR137" s="509"/>
      <c r="BS137" s="509"/>
      <c r="BT137" s="509"/>
      <c r="BU137" s="509"/>
      <c r="BV137" s="509"/>
      <c r="BW137" s="509"/>
      <c r="BX137" s="509"/>
      <c r="BY137" s="509"/>
      <c r="BZ137" s="509"/>
      <c r="CA137" s="509"/>
      <c r="CB137" s="509"/>
      <c r="CC137" s="509"/>
      <c r="CD137" s="509"/>
      <c r="CE137" s="509"/>
      <c r="CF137" s="509"/>
      <c r="CG137" s="509"/>
      <c r="CH137" s="509"/>
      <c r="CI137" s="509"/>
      <c r="CJ137" s="509"/>
      <c r="CK137" s="509"/>
      <c r="CL137" s="509"/>
      <c r="CM137" s="509"/>
      <c r="CN137" s="509"/>
      <c r="CO137" s="509"/>
      <c r="CP137" s="509"/>
      <c r="CQ137" s="509"/>
      <c r="CR137" s="509"/>
      <c r="CS137" s="509"/>
    </row>
    <row r="138" spans="1:97" s="137" customFormat="1" ht="12.75" customHeight="1" x14ac:dyDescent="0.2">
      <c r="A138" s="1421">
        <v>134</v>
      </c>
      <c r="B138" s="649" t="s">
        <v>156</v>
      </c>
      <c r="C138" s="1607" t="s">
        <v>157</v>
      </c>
      <c r="D138" s="1605">
        <v>135932</v>
      </c>
      <c r="E138" s="1405">
        <v>130174571</v>
      </c>
      <c r="F138" s="1405">
        <v>3243</v>
      </c>
      <c r="G138" s="158">
        <v>-3172168</v>
      </c>
      <c r="H138" s="158">
        <v>-3079504</v>
      </c>
      <c r="I138" s="158">
        <v>-6593</v>
      </c>
      <c r="J138" s="158">
        <v>0</v>
      </c>
      <c r="K138" s="158">
        <v>0</v>
      </c>
      <c r="L138" s="158">
        <v>-100000</v>
      </c>
      <c r="M138" s="158">
        <v>-1231007</v>
      </c>
      <c r="N138" s="158">
        <v>-28911</v>
      </c>
      <c r="O138" s="158">
        <v>-926813</v>
      </c>
      <c r="P138" s="158">
        <v>0</v>
      </c>
      <c r="Q138" s="158">
        <v>0</v>
      </c>
      <c r="R138" s="158">
        <v>0</v>
      </c>
      <c r="S138" s="158">
        <v>0</v>
      </c>
      <c r="T138" s="158">
        <v>0</v>
      </c>
      <c r="U138" s="158">
        <v>-2065490</v>
      </c>
      <c r="V138" s="158">
        <v>54224142</v>
      </c>
      <c r="W138" s="158">
        <v>-542000</v>
      </c>
      <c r="X138" s="158">
        <v>90125750</v>
      </c>
      <c r="Y138" s="158">
        <v>124650627</v>
      </c>
      <c r="Z138" s="158">
        <v>0</v>
      </c>
      <c r="AA138" s="158">
        <v>54260325</v>
      </c>
      <c r="AB138" s="158">
        <v>0</v>
      </c>
      <c r="AC138" s="158">
        <v>548084</v>
      </c>
      <c r="AD138" s="158">
        <v>134119</v>
      </c>
      <c r="AE138" s="158">
        <v>0</v>
      </c>
      <c r="AF138" s="158">
        <v>0</v>
      </c>
      <c r="AG138" s="158">
        <v>0</v>
      </c>
      <c r="AH138" s="158">
        <v>0</v>
      </c>
      <c r="AI138" s="158">
        <v>0</v>
      </c>
      <c r="AJ138" s="158">
        <v>0</v>
      </c>
      <c r="AK138" s="158">
        <v>2698758</v>
      </c>
      <c r="AL138" s="158">
        <v>161</v>
      </c>
      <c r="AM138" s="158">
        <v>3</v>
      </c>
      <c r="AN138" s="158">
        <v>0</v>
      </c>
      <c r="AO138" s="158">
        <v>0</v>
      </c>
      <c r="AP138" s="158">
        <v>0</v>
      </c>
      <c r="AQ138" s="158">
        <v>343</v>
      </c>
      <c r="AR138" s="158">
        <v>34</v>
      </c>
      <c r="AS138" s="158">
        <v>9</v>
      </c>
      <c r="AT138" s="158">
        <v>0</v>
      </c>
      <c r="AU138" s="158">
        <v>0</v>
      </c>
      <c r="AV138" s="158">
        <v>0</v>
      </c>
      <c r="AW138" s="158">
        <v>0</v>
      </c>
      <c r="AX138" s="158">
        <v>0</v>
      </c>
      <c r="AY138" s="158">
        <v>310</v>
      </c>
      <c r="AZ138" s="158">
        <v>889</v>
      </c>
      <c r="BA138" s="158">
        <v>1075</v>
      </c>
      <c r="BB138" s="158">
        <v>987</v>
      </c>
      <c r="BC138" s="158">
        <v>88</v>
      </c>
      <c r="BD138" s="158">
        <v>1097</v>
      </c>
      <c r="BE138" s="158">
        <v>-833184</v>
      </c>
      <c r="BF138" s="158">
        <v>-61335</v>
      </c>
      <c r="BG138" s="158">
        <v>0</v>
      </c>
      <c r="BH138" s="158">
        <v>0</v>
      </c>
      <c r="BI138" s="158">
        <v>-336488</v>
      </c>
      <c r="BJ138" s="158">
        <v>0</v>
      </c>
      <c r="BK138" s="158">
        <v>6477400</v>
      </c>
      <c r="BL138" s="1438">
        <v>12881950</v>
      </c>
      <c r="BM138" s="1439">
        <v>0</v>
      </c>
      <c r="BN138" s="784" t="s">
        <v>2363</v>
      </c>
      <c r="BO138" s="784" t="s">
        <v>2376</v>
      </c>
      <c r="BP138" s="1400" t="s">
        <v>2493</v>
      </c>
      <c r="BQ138" s="509"/>
      <c r="BR138" s="509"/>
      <c r="BS138" s="509"/>
      <c r="BT138" s="509"/>
      <c r="BU138" s="509"/>
      <c r="BV138" s="509"/>
      <c r="BW138" s="509"/>
      <c r="BX138" s="509"/>
      <c r="BY138" s="509"/>
      <c r="BZ138" s="509"/>
      <c r="CA138" s="509"/>
      <c r="CB138" s="509"/>
      <c r="CC138" s="509"/>
      <c r="CD138" s="509"/>
      <c r="CE138" s="509"/>
      <c r="CF138" s="509"/>
      <c r="CG138" s="509"/>
      <c r="CH138" s="509"/>
      <c r="CI138" s="509"/>
      <c r="CJ138" s="509"/>
      <c r="CK138" s="509"/>
      <c r="CL138" s="509"/>
      <c r="CM138" s="509"/>
      <c r="CN138" s="509"/>
      <c r="CO138" s="509"/>
      <c r="CP138" s="509"/>
      <c r="CQ138" s="509"/>
      <c r="CR138" s="509"/>
      <c r="CS138" s="509"/>
    </row>
    <row r="139" spans="1:97" s="137" customFormat="1" ht="12.75" customHeight="1" x14ac:dyDescent="0.2">
      <c r="A139" s="1421">
        <v>135</v>
      </c>
      <c r="B139" s="649" t="s">
        <v>158</v>
      </c>
      <c r="C139" s="1607" t="s">
        <v>159</v>
      </c>
      <c r="D139" s="1605">
        <v>489776</v>
      </c>
      <c r="E139" s="1405">
        <v>456057062</v>
      </c>
      <c r="F139" s="1405">
        <v>9026</v>
      </c>
      <c r="G139" s="158">
        <v>-8917137</v>
      </c>
      <c r="H139" s="158">
        <v>-22906629</v>
      </c>
      <c r="I139" s="158">
        <v>-7425</v>
      </c>
      <c r="J139" s="158">
        <v>0</v>
      </c>
      <c r="K139" s="158">
        <v>-4067</v>
      </c>
      <c r="L139" s="158">
        <v>0</v>
      </c>
      <c r="M139" s="158">
        <v>-9387719</v>
      </c>
      <c r="N139" s="158">
        <v>-268408</v>
      </c>
      <c r="O139" s="158">
        <v>-448253</v>
      </c>
      <c r="P139" s="158">
        <v>0</v>
      </c>
      <c r="Q139" s="158">
        <v>0</v>
      </c>
      <c r="R139" s="158">
        <v>-864</v>
      </c>
      <c r="S139" s="158">
        <v>0</v>
      </c>
      <c r="T139" s="158">
        <v>0</v>
      </c>
      <c r="U139" s="158">
        <v>-17748499</v>
      </c>
      <c r="V139" s="158">
        <v>175981802</v>
      </c>
      <c r="W139" s="158">
        <v>-4000000</v>
      </c>
      <c r="X139" s="158">
        <v>341025200</v>
      </c>
      <c r="Y139" s="158">
        <v>451949047</v>
      </c>
      <c r="Z139" s="158">
        <v>57722478</v>
      </c>
      <c r="AA139" s="158">
        <v>52474979</v>
      </c>
      <c r="AB139" s="158">
        <v>64719141</v>
      </c>
      <c r="AC139" s="158">
        <v>0</v>
      </c>
      <c r="AD139" s="158">
        <v>487471</v>
      </c>
      <c r="AE139" s="158">
        <v>196214</v>
      </c>
      <c r="AF139" s="158">
        <v>0</v>
      </c>
      <c r="AG139" s="158">
        <v>0</v>
      </c>
      <c r="AH139" s="158">
        <v>0</v>
      </c>
      <c r="AI139" s="158">
        <v>0</v>
      </c>
      <c r="AJ139" s="158">
        <v>0</v>
      </c>
      <c r="AK139" s="158">
        <v>-14934138</v>
      </c>
      <c r="AL139" s="158">
        <v>595</v>
      </c>
      <c r="AM139" s="158">
        <v>2</v>
      </c>
      <c r="AN139" s="158">
        <v>0</v>
      </c>
      <c r="AO139" s="158">
        <v>3</v>
      </c>
      <c r="AP139" s="158">
        <v>0</v>
      </c>
      <c r="AQ139" s="158">
        <v>931</v>
      </c>
      <c r="AR139" s="158">
        <v>60</v>
      </c>
      <c r="AS139" s="158">
        <v>25</v>
      </c>
      <c r="AT139" s="158">
        <v>0</v>
      </c>
      <c r="AU139" s="158">
        <v>0</v>
      </c>
      <c r="AV139" s="158">
        <v>0</v>
      </c>
      <c r="AW139" s="158">
        <v>0</v>
      </c>
      <c r="AX139" s="158">
        <v>3</v>
      </c>
      <c r="AY139" s="158">
        <v>1625</v>
      </c>
      <c r="AZ139" s="158">
        <v>2717</v>
      </c>
      <c r="BA139" s="158">
        <v>2549</v>
      </c>
      <c r="BB139" s="158">
        <v>2139</v>
      </c>
      <c r="BC139" s="158">
        <v>410</v>
      </c>
      <c r="BD139" s="158">
        <v>3772</v>
      </c>
      <c r="BE139" s="158">
        <v>-325849</v>
      </c>
      <c r="BF139" s="158">
        <v>-5251136</v>
      </c>
      <c r="BG139" s="158">
        <v>0</v>
      </c>
      <c r="BH139" s="158">
        <v>-47502</v>
      </c>
      <c r="BI139" s="158">
        <v>-86596</v>
      </c>
      <c r="BJ139" s="158">
        <v>-3676636</v>
      </c>
      <c r="BK139" s="158">
        <v>-16608830</v>
      </c>
      <c r="BL139" s="1438">
        <v>34134400</v>
      </c>
      <c r="BM139" s="1439">
        <v>0</v>
      </c>
      <c r="BN139" s="784" t="s">
        <v>2401</v>
      </c>
      <c r="BO139" s="784" t="s">
        <v>2360</v>
      </c>
      <c r="BP139" s="1400" t="s">
        <v>2494</v>
      </c>
      <c r="BQ139" s="509"/>
      <c r="BR139" s="509"/>
      <c r="BS139" s="509"/>
      <c r="BT139" s="509"/>
      <c r="BU139" s="509"/>
      <c r="BV139" s="509"/>
      <c r="BW139" s="509"/>
      <c r="BX139" s="509"/>
      <c r="BY139" s="509"/>
      <c r="BZ139" s="509"/>
      <c r="CA139" s="509"/>
      <c r="CB139" s="509"/>
      <c r="CC139" s="509"/>
      <c r="CD139" s="509"/>
      <c r="CE139" s="509"/>
      <c r="CF139" s="509"/>
      <c r="CG139" s="509"/>
      <c r="CH139" s="509"/>
      <c r="CI139" s="509"/>
      <c r="CJ139" s="509"/>
      <c r="CK139" s="509"/>
      <c r="CL139" s="509"/>
      <c r="CM139" s="509"/>
      <c r="CN139" s="509"/>
      <c r="CO139" s="509"/>
      <c r="CP139" s="509"/>
      <c r="CQ139" s="509"/>
      <c r="CR139" s="509"/>
      <c r="CS139" s="509"/>
    </row>
    <row r="140" spans="1:97" s="137" customFormat="1" ht="12.75" customHeight="1" x14ac:dyDescent="0.2">
      <c r="A140" s="1421">
        <v>136</v>
      </c>
      <c r="B140" s="649" t="s">
        <v>160</v>
      </c>
      <c r="C140" s="1607" t="s">
        <v>161</v>
      </c>
      <c r="D140" s="1605">
        <v>209223</v>
      </c>
      <c r="E140" s="1405">
        <v>168340823</v>
      </c>
      <c r="F140" s="1405">
        <v>5329</v>
      </c>
      <c r="G140" s="158">
        <v>-5732879</v>
      </c>
      <c r="H140" s="158">
        <v>-5661066</v>
      </c>
      <c r="I140" s="158">
        <v>-50382</v>
      </c>
      <c r="J140" s="158">
        <v>-27137</v>
      </c>
      <c r="K140" s="158">
        <v>-23102</v>
      </c>
      <c r="L140" s="158">
        <v>0</v>
      </c>
      <c r="M140" s="158">
        <v>-1013553</v>
      </c>
      <c r="N140" s="158">
        <v>-132213</v>
      </c>
      <c r="O140" s="158">
        <v>-116847</v>
      </c>
      <c r="P140" s="158">
        <v>-3247</v>
      </c>
      <c r="Q140" s="158">
        <v>0</v>
      </c>
      <c r="R140" s="158">
        <v>0</v>
      </c>
      <c r="S140" s="158">
        <v>0</v>
      </c>
      <c r="T140" s="158">
        <v>0</v>
      </c>
      <c r="U140" s="158">
        <v>-5139191</v>
      </c>
      <c r="V140" s="158">
        <v>70283611</v>
      </c>
      <c r="W140" s="158">
        <v>-1290933</v>
      </c>
      <c r="X140" s="158">
        <v>125058501</v>
      </c>
      <c r="Y140" s="158">
        <v>167482054</v>
      </c>
      <c r="Z140" s="158">
        <v>32794662</v>
      </c>
      <c r="AA140" s="158">
        <v>26235729</v>
      </c>
      <c r="AB140" s="158">
        <v>5903039</v>
      </c>
      <c r="AC140" s="158">
        <v>655893</v>
      </c>
      <c r="AD140" s="158">
        <v>209548</v>
      </c>
      <c r="AE140" s="158">
        <v>0</v>
      </c>
      <c r="AF140" s="158">
        <v>4001054</v>
      </c>
      <c r="AG140" s="158">
        <v>0</v>
      </c>
      <c r="AH140" s="158">
        <v>0</v>
      </c>
      <c r="AI140" s="158">
        <v>0</v>
      </c>
      <c r="AJ140" s="158">
        <v>0</v>
      </c>
      <c r="AK140" s="158">
        <v>1552942</v>
      </c>
      <c r="AL140" s="158">
        <v>255</v>
      </c>
      <c r="AM140" s="158">
        <v>27</v>
      </c>
      <c r="AN140" s="158">
        <v>12</v>
      </c>
      <c r="AO140" s="158">
        <v>12</v>
      </c>
      <c r="AP140" s="158">
        <v>0</v>
      </c>
      <c r="AQ140" s="158">
        <v>351</v>
      </c>
      <c r="AR140" s="158">
        <v>131</v>
      </c>
      <c r="AS140" s="158">
        <v>16</v>
      </c>
      <c r="AT140" s="158">
        <v>14</v>
      </c>
      <c r="AU140" s="158">
        <v>0</v>
      </c>
      <c r="AV140" s="158">
        <v>0</v>
      </c>
      <c r="AW140" s="158">
        <v>0</v>
      </c>
      <c r="AX140" s="158">
        <v>0</v>
      </c>
      <c r="AY140" s="158">
        <v>565</v>
      </c>
      <c r="AZ140" s="158">
        <v>383</v>
      </c>
      <c r="BA140" s="158">
        <v>2452</v>
      </c>
      <c r="BB140" s="158">
        <v>2348</v>
      </c>
      <c r="BC140" s="158">
        <v>104</v>
      </c>
      <c r="BD140" s="158">
        <v>2469</v>
      </c>
      <c r="BE140" s="158">
        <v>-96943</v>
      </c>
      <c r="BF140" s="158">
        <v>-429879</v>
      </c>
      <c r="BG140" s="158">
        <v>0</v>
      </c>
      <c r="BH140" s="158">
        <v>-12849</v>
      </c>
      <c r="BI140" s="158">
        <v>-473882</v>
      </c>
      <c r="BJ140" s="158">
        <v>0</v>
      </c>
      <c r="BK140" s="158">
        <v>2597929</v>
      </c>
      <c r="BL140" s="1438">
        <v>15670450</v>
      </c>
      <c r="BM140" s="1439">
        <v>0</v>
      </c>
      <c r="BN140" s="784" t="s">
        <v>2349</v>
      </c>
      <c r="BO140" s="784" t="s">
        <v>2376</v>
      </c>
      <c r="BP140" s="1400" t="s">
        <v>2495</v>
      </c>
      <c r="BQ140" s="509"/>
      <c r="BR140" s="509"/>
      <c r="BS140" s="509"/>
      <c r="BT140" s="509"/>
      <c r="BU140" s="509"/>
      <c r="BV140" s="509"/>
      <c r="BW140" s="509"/>
      <c r="BX140" s="509"/>
      <c r="BY140" s="509"/>
      <c r="BZ140" s="509"/>
      <c r="CA140" s="509"/>
      <c r="CB140" s="509"/>
      <c r="CC140" s="509"/>
      <c r="CD140" s="509"/>
      <c r="CE140" s="509"/>
      <c r="CF140" s="509"/>
      <c r="CG140" s="509"/>
      <c r="CH140" s="509"/>
      <c r="CI140" s="509"/>
      <c r="CJ140" s="509"/>
      <c r="CK140" s="509"/>
      <c r="CL140" s="509"/>
      <c r="CM140" s="509"/>
      <c r="CN140" s="509"/>
      <c r="CO140" s="509"/>
      <c r="CP140" s="509"/>
      <c r="CQ140" s="509"/>
      <c r="CR140" s="509"/>
      <c r="CS140" s="509"/>
    </row>
    <row r="141" spans="1:97" s="137" customFormat="1" ht="12.75" customHeight="1" x14ac:dyDescent="0.2">
      <c r="A141" s="1421">
        <v>137</v>
      </c>
      <c r="B141" s="649" t="s">
        <v>162</v>
      </c>
      <c r="C141" s="1607" t="s">
        <v>163</v>
      </c>
      <c r="D141" s="1605">
        <v>1239637</v>
      </c>
      <c r="E141" s="1405">
        <v>955238962</v>
      </c>
      <c r="F141" s="1405">
        <v>31730</v>
      </c>
      <c r="G141" s="158">
        <v>-28977561</v>
      </c>
      <c r="H141" s="158">
        <v>-32978371</v>
      </c>
      <c r="I141" s="158">
        <v>-341642</v>
      </c>
      <c r="J141" s="158">
        <v>-6604</v>
      </c>
      <c r="K141" s="158">
        <v>-23455</v>
      </c>
      <c r="L141" s="158">
        <v>-180000</v>
      </c>
      <c r="M141" s="158">
        <v>-19780839</v>
      </c>
      <c r="N141" s="158">
        <v>-72000</v>
      </c>
      <c r="O141" s="158">
        <v>-373675</v>
      </c>
      <c r="P141" s="158">
        <v>-69084</v>
      </c>
      <c r="Q141" s="158">
        <v>-1000</v>
      </c>
      <c r="R141" s="158">
        <v>-500000</v>
      </c>
      <c r="S141" s="158">
        <v>0</v>
      </c>
      <c r="T141" s="158">
        <v>0</v>
      </c>
      <c r="U141" s="158">
        <v>-24849568</v>
      </c>
      <c r="V141" s="158">
        <v>390527580</v>
      </c>
      <c r="W141" s="158">
        <v>-12546797</v>
      </c>
      <c r="X141" s="158">
        <v>661440125</v>
      </c>
      <c r="Y141" s="158">
        <v>947784049</v>
      </c>
      <c r="Z141" s="158">
        <v>186882757</v>
      </c>
      <c r="AA141" s="158">
        <v>183145102</v>
      </c>
      <c r="AB141" s="158">
        <v>0</v>
      </c>
      <c r="AC141" s="158">
        <v>3737655</v>
      </c>
      <c r="AD141" s="158">
        <v>1231670</v>
      </c>
      <c r="AE141" s="158">
        <v>5202977</v>
      </c>
      <c r="AF141" s="158">
        <v>297273</v>
      </c>
      <c r="AG141" s="158">
        <v>0</v>
      </c>
      <c r="AH141" s="158">
        <v>0</v>
      </c>
      <c r="AI141" s="158">
        <v>0</v>
      </c>
      <c r="AJ141" s="158">
        <v>0</v>
      </c>
      <c r="AK141" s="158">
        <v>-6486016</v>
      </c>
      <c r="AL141" s="158">
        <v>1099</v>
      </c>
      <c r="AM141" s="158">
        <v>65</v>
      </c>
      <c r="AN141" s="158">
        <v>2</v>
      </c>
      <c r="AO141" s="158">
        <v>11</v>
      </c>
      <c r="AP141" s="158">
        <v>0</v>
      </c>
      <c r="AQ141" s="158">
        <v>3757</v>
      </c>
      <c r="AR141" s="158">
        <v>43</v>
      </c>
      <c r="AS141" s="158">
        <v>148</v>
      </c>
      <c r="AT141" s="158">
        <v>63</v>
      </c>
      <c r="AU141" s="158">
        <v>2</v>
      </c>
      <c r="AV141" s="158">
        <v>2</v>
      </c>
      <c r="AW141" s="158">
        <v>0</v>
      </c>
      <c r="AX141" s="158">
        <v>20</v>
      </c>
      <c r="AY141" s="158">
        <v>3027</v>
      </c>
      <c r="AZ141" s="158">
        <v>9427</v>
      </c>
      <c r="BA141" s="158">
        <v>10344</v>
      </c>
      <c r="BB141" s="158">
        <v>9497</v>
      </c>
      <c r="BC141" s="158">
        <v>847</v>
      </c>
      <c r="BD141" s="158">
        <v>11765</v>
      </c>
      <c r="BE141" s="158">
        <v>-1709113</v>
      </c>
      <c r="BF141" s="158">
        <v>-7336179</v>
      </c>
      <c r="BG141" s="158">
        <v>0</v>
      </c>
      <c r="BH141" s="158">
        <v>-417587</v>
      </c>
      <c r="BI141" s="158">
        <v>-5202087</v>
      </c>
      <c r="BJ141" s="158">
        <v>-5115873</v>
      </c>
      <c r="BK141" s="158">
        <v>-273581</v>
      </c>
      <c r="BL141" s="1438">
        <v>116009725</v>
      </c>
      <c r="BM141" s="1439">
        <v>40000</v>
      </c>
      <c r="BN141" s="784" t="s">
        <v>2363</v>
      </c>
      <c r="BO141" s="784" t="s">
        <v>2364</v>
      </c>
      <c r="BP141" s="1400" t="s">
        <v>2496</v>
      </c>
      <c r="BQ141" s="509"/>
      <c r="BR141" s="509"/>
      <c r="BS141" s="509"/>
      <c r="BT141" s="509"/>
      <c r="BU141" s="509"/>
      <c r="BV141" s="509"/>
      <c r="BW141" s="509"/>
      <c r="BX141" s="509"/>
      <c r="BY141" s="509"/>
      <c r="BZ141" s="509"/>
      <c r="CA141" s="509"/>
      <c r="CB141" s="509"/>
      <c r="CC141" s="509"/>
      <c r="CD141" s="509"/>
      <c r="CE141" s="509"/>
      <c r="CF141" s="509"/>
      <c r="CG141" s="509"/>
      <c r="CH141" s="509"/>
      <c r="CI141" s="509"/>
      <c r="CJ141" s="509"/>
      <c r="CK141" s="509"/>
      <c r="CL141" s="509"/>
      <c r="CM141" s="509"/>
      <c r="CN141" s="509"/>
      <c r="CO141" s="509"/>
      <c r="CP141" s="509"/>
      <c r="CQ141" s="509"/>
      <c r="CR141" s="509"/>
      <c r="CS141" s="509"/>
    </row>
    <row r="142" spans="1:97" s="137" customFormat="1" ht="12.75" customHeight="1" x14ac:dyDescent="0.2">
      <c r="A142" s="1421">
        <v>138</v>
      </c>
      <c r="B142" s="649" t="s">
        <v>611</v>
      </c>
      <c r="C142" s="1607" t="s">
        <v>165</v>
      </c>
      <c r="D142" s="1605">
        <v>473572</v>
      </c>
      <c r="E142" s="1405">
        <v>310649915</v>
      </c>
      <c r="F142" s="1405">
        <v>12692</v>
      </c>
      <c r="G142" s="158">
        <v>-16322195</v>
      </c>
      <c r="H142" s="158">
        <v>-16568293</v>
      </c>
      <c r="I142" s="158">
        <v>-55471</v>
      </c>
      <c r="J142" s="158">
        <v>0</v>
      </c>
      <c r="K142" s="158">
        <v>-18055</v>
      </c>
      <c r="L142" s="158">
        <v>0</v>
      </c>
      <c r="M142" s="158">
        <v>-3854971</v>
      </c>
      <c r="N142" s="158">
        <v>-553881</v>
      </c>
      <c r="O142" s="158">
        <v>-180070</v>
      </c>
      <c r="P142" s="158">
        <v>0</v>
      </c>
      <c r="Q142" s="158">
        <v>0</v>
      </c>
      <c r="R142" s="158">
        <v>-577045</v>
      </c>
      <c r="S142" s="158">
        <v>-427045</v>
      </c>
      <c r="T142" s="158">
        <v>0</v>
      </c>
      <c r="U142" s="158">
        <v>-10526931</v>
      </c>
      <c r="V142" s="158">
        <v>109205920</v>
      </c>
      <c r="W142" s="158">
        <v>-4906656</v>
      </c>
      <c r="X142" s="158">
        <v>190315000</v>
      </c>
      <c r="Y142" s="158">
        <v>310073764</v>
      </c>
      <c r="Z142" s="158">
        <v>52002012</v>
      </c>
      <c r="AA142" s="158">
        <v>51380475</v>
      </c>
      <c r="AB142" s="158">
        <v>0</v>
      </c>
      <c r="AC142" s="158">
        <v>1048581</v>
      </c>
      <c r="AD142" s="158">
        <v>473253</v>
      </c>
      <c r="AE142" s="158">
        <v>94294</v>
      </c>
      <c r="AF142" s="158">
        <v>0</v>
      </c>
      <c r="AG142" s="158">
        <v>0</v>
      </c>
      <c r="AH142" s="158">
        <v>427045</v>
      </c>
      <c r="AI142" s="158">
        <v>0</v>
      </c>
      <c r="AJ142" s="158">
        <v>0</v>
      </c>
      <c r="AK142" s="158">
        <v>4058062</v>
      </c>
      <c r="AL142" s="158">
        <v>471</v>
      </c>
      <c r="AM142" s="158">
        <v>8</v>
      </c>
      <c r="AN142" s="158">
        <v>0</v>
      </c>
      <c r="AO142" s="158">
        <v>7</v>
      </c>
      <c r="AP142" s="158">
        <v>0</v>
      </c>
      <c r="AQ142" s="158">
        <v>1237</v>
      </c>
      <c r="AR142" s="158">
        <v>249</v>
      </c>
      <c r="AS142" s="158">
        <v>27</v>
      </c>
      <c r="AT142" s="158">
        <v>0</v>
      </c>
      <c r="AU142" s="158">
        <v>0</v>
      </c>
      <c r="AV142" s="158">
        <v>0</v>
      </c>
      <c r="AW142" s="158">
        <v>18</v>
      </c>
      <c r="AX142" s="158">
        <v>0</v>
      </c>
      <c r="AY142" s="158">
        <v>1214</v>
      </c>
      <c r="AZ142" s="158">
        <v>3339</v>
      </c>
      <c r="BA142" s="158">
        <v>5465</v>
      </c>
      <c r="BB142" s="158">
        <v>5011</v>
      </c>
      <c r="BC142" s="158">
        <v>454</v>
      </c>
      <c r="BD142" s="158">
        <v>3867</v>
      </c>
      <c r="BE142" s="158">
        <v>-422670</v>
      </c>
      <c r="BF142" s="158">
        <v>-991454</v>
      </c>
      <c r="BG142" s="158">
        <v>0</v>
      </c>
      <c r="BH142" s="158">
        <v>-13423</v>
      </c>
      <c r="BI142" s="158">
        <v>-2258223</v>
      </c>
      <c r="BJ142" s="158">
        <v>-169201</v>
      </c>
      <c r="BK142" s="158">
        <v>3258574</v>
      </c>
      <c r="BL142" s="1438">
        <v>37694200</v>
      </c>
      <c r="BM142" s="1439">
        <v>1323500</v>
      </c>
      <c r="BN142" s="784" t="s">
        <v>509</v>
      </c>
      <c r="BO142" s="784" t="s">
        <v>2352</v>
      </c>
      <c r="BP142" s="1400" t="s">
        <v>2497</v>
      </c>
      <c r="BQ142" s="509"/>
      <c r="BR142" s="509"/>
      <c r="BS142" s="509"/>
      <c r="BT142" s="509"/>
      <c r="BU142" s="509"/>
      <c r="BV142" s="509"/>
      <c r="BW142" s="509"/>
      <c r="BX142" s="509"/>
      <c r="BY142" s="509"/>
      <c r="BZ142" s="509"/>
      <c r="CA142" s="509"/>
      <c r="CB142" s="509"/>
      <c r="CC142" s="509"/>
      <c r="CD142" s="509"/>
      <c r="CE142" s="509"/>
      <c r="CF142" s="509"/>
      <c r="CG142" s="509"/>
      <c r="CH142" s="509"/>
      <c r="CI142" s="509"/>
      <c r="CJ142" s="509"/>
      <c r="CK142" s="509"/>
      <c r="CL142" s="509"/>
      <c r="CM142" s="509"/>
      <c r="CN142" s="509"/>
      <c r="CO142" s="509"/>
      <c r="CP142" s="509"/>
      <c r="CQ142" s="509"/>
      <c r="CR142" s="509"/>
      <c r="CS142" s="509"/>
    </row>
    <row r="143" spans="1:97" s="137" customFormat="1" ht="12.75" customHeight="1" x14ac:dyDescent="0.2">
      <c r="A143" s="1421">
        <v>139</v>
      </c>
      <c r="B143" s="649" t="s">
        <v>166</v>
      </c>
      <c r="C143" s="1607" t="s">
        <v>167</v>
      </c>
      <c r="D143" s="1605">
        <v>135988</v>
      </c>
      <c r="E143" s="1405">
        <v>80257200</v>
      </c>
      <c r="F143" s="1405">
        <v>3685</v>
      </c>
      <c r="G143" s="158">
        <v>-4378520</v>
      </c>
      <c r="H143" s="158">
        <v>-3469392</v>
      </c>
      <c r="I143" s="158">
        <v>-107939</v>
      </c>
      <c r="J143" s="158">
        <v>-18238</v>
      </c>
      <c r="K143" s="158">
        <v>-13162</v>
      </c>
      <c r="L143" s="158">
        <v>0</v>
      </c>
      <c r="M143" s="158">
        <v>-657127</v>
      </c>
      <c r="N143" s="158">
        <v>-177517</v>
      </c>
      <c r="O143" s="158">
        <v>0</v>
      </c>
      <c r="P143" s="158">
        <v>0</v>
      </c>
      <c r="Q143" s="158">
        <v>0</v>
      </c>
      <c r="R143" s="158">
        <v>-350309</v>
      </c>
      <c r="S143" s="158">
        <v>-350309</v>
      </c>
      <c r="T143" s="158">
        <v>0</v>
      </c>
      <c r="U143" s="158">
        <v>-2993366</v>
      </c>
      <c r="V143" s="158">
        <v>28735425</v>
      </c>
      <c r="W143" s="158">
        <v>-402000</v>
      </c>
      <c r="X143" s="158">
        <v>43895175</v>
      </c>
      <c r="Y143" s="158">
        <v>80263239</v>
      </c>
      <c r="Z143" s="158">
        <v>13715057</v>
      </c>
      <c r="AA143" s="158">
        <v>11252292</v>
      </c>
      <c r="AB143" s="158">
        <v>2531766</v>
      </c>
      <c r="AC143" s="158">
        <v>281307</v>
      </c>
      <c r="AD143" s="158">
        <v>136495</v>
      </c>
      <c r="AE143" s="158">
        <v>798185</v>
      </c>
      <c r="AF143" s="158">
        <v>0</v>
      </c>
      <c r="AG143" s="158">
        <v>0</v>
      </c>
      <c r="AH143" s="158">
        <v>350309</v>
      </c>
      <c r="AI143" s="158">
        <v>0</v>
      </c>
      <c r="AJ143" s="158">
        <v>0</v>
      </c>
      <c r="AK143" s="158">
        <v>-2959811</v>
      </c>
      <c r="AL143" s="158">
        <v>194</v>
      </c>
      <c r="AM143" s="158">
        <v>20</v>
      </c>
      <c r="AN143" s="158">
        <v>0</v>
      </c>
      <c r="AO143" s="158">
        <v>10</v>
      </c>
      <c r="AP143" s="158">
        <v>0</v>
      </c>
      <c r="AQ143" s="158">
        <v>220</v>
      </c>
      <c r="AR143" s="158">
        <v>81</v>
      </c>
      <c r="AS143" s="158">
        <v>0</v>
      </c>
      <c r="AT143" s="158">
        <v>0</v>
      </c>
      <c r="AU143" s="158">
        <v>0</v>
      </c>
      <c r="AV143" s="158">
        <v>0</v>
      </c>
      <c r="AW143" s="158">
        <v>22</v>
      </c>
      <c r="AX143" s="158">
        <v>0</v>
      </c>
      <c r="AY143" s="158">
        <v>337</v>
      </c>
      <c r="AZ143" s="158">
        <v>700</v>
      </c>
      <c r="BA143" s="158">
        <v>1669</v>
      </c>
      <c r="BB143" s="158">
        <v>1558</v>
      </c>
      <c r="BC143" s="158">
        <v>111</v>
      </c>
      <c r="BD143" s="158">
        <v>1450</v>
      </c>
      <c r="BE143" s="158">
        <v>-25713</v>
      </c>
      <c r="BF143" s="158">
        <v>-244380</v>
      </c>
      <c r="BG143" s="158">
        <v>0</v>
      </c>
      <c r="BH143" s="158">
        <v>0</v>
      </c>
      <c r="BI143" s="158">
        <v>-363433</v>
      </c>
      <c r="BJ143" s="158">
        <v>-23601</v>
      </c>
      <c r="BK143" s="158">
        <v>-5120222</v>
      </c>
      <c r="BL143" s="1438">
        <v>12124750</v>
      </c>
      <c r="BM143" s="1439">
        <v>1370170</v>
      </c>
      <c r="BN143" s="784" t="s">
        <v>2349</v>
      </c>
      <c r="BO143" s="784" t="s">
        <v>2350</v>
      </c>
      <c r="BP143" s="1400" t="s">
        <v>2498</v>
      </c>
      <c r="BQ143" s="509"/>
      <c r="BR143" s="509"/>
      <c r="BS143" s="509"/>
      <c r="BT143" s="509"/>
      <c r="BU143" s="509"/>
      <c r="BV143" s="509"/>
      <c r="BW143" s="509"/>
      <c r="BX143" s="509"/>
      <c r="BY143" s="509"/>
      <c r="BZ143" s="509"/>
      <c r="CA143" s="509"/>
      <c r="CB143" s="509"/>
      <c r="CC143" s="509"/>
      <c r="CD143" s="509"/>
      <c r="CE143" s="509"/>
      <c r="CF143" s="509"/>
      <c r="CG143" s="509"/>
      <c r="CH143" s="509"/>
      <c r="CI143" s="509"/>
      <c r="CJ143" s="509"/>
      <c r="CK143" s="509"/>
      <c r="CL143" s="509"/>
      <c r="CM143" s="509"/>
      <c r="CN143" s="509"/>
      <c r="CO143" s="509"/>
      <c r="CP143" s="509"/>
      <c r="CQ143" s="509"/>
      <c r="CR143" s="509"/>
      <c r="CS143" s="509"/>
    </row>
    <row r="144" spans="1:97" s="137" customFormat="1" ht="12.75" customHeight="1" x14ac:dyDescent="0.2">
      <c r="A144" s="1421">
        <v>140</v>
      </c>
      <c r="B144" s="649" t="s">
        <v>168</v>
      </c>
      <c r="C144" s="1607" t="s">
        <v>169</v>
      </c>
      <c r="D144" s="1605">
        <v>291256</v>
      </c>
      <c r="E144" s="1405">
        <v>172929163</v>
      </c>
      <c r="F144" s="1405">
        <v>6247</v>
      </c>
      <c r="G144" s="158">
        <v>-7888852</v>
      </c>
      <c r="H144" s="158">
        <v>-10650599</v>
      </c>
      <c r="I144" s="158">
        <v>0</v>
      </c>
      <c r="J144" s="158">
        <v>0</v>
      </c>
      <c r="K144" s="158">
        <v>-6657</v>
      </c>
      <c r="L144" s="158">
        <v>0</v>
      </c>
      <c r="M144" s="158">
        <v>-1309228</v>
      </c>
      <c r="N144" s="158">
        <v>-545771</v>
      </c>
      <c r="O144" s="158">
        <v>0</v>
      </c>
      <c r="P144" s="158">
        <v>0</v>
      </c>
      <c r="Q144" s="158">
        <v>0</v>
      </c>
      <c r="R144" s="158">
        <v>0</v>
      </c>
      <c r="S144" s="158">
        <v>0</v>
      </c>
      <c r="T144" s="158">
        <v>0</v>
      </c>
      <c r="U144" s="158">
        <v>-7755560</v>
      </c>
      <c r="V144" s="158">
        <v>59323867</v>
      </c>
      <c r="W144" s="158">
        <v>-2729000</v>
      </c>
      <c r="X144" s="158">
        <v>102694550</v>
      </c>
      <c r="Y144" s="158">
        <v>171739118</v>
      </c>
      <c r="Z144" s="158">
        <v>19226548</v>
      </c>
      <c r="AA144" s="158">
        <v>17478680</v>
      </c>
      <c r="AB144" s="158">
        <v>21557038</v>
      </c>
      <c r="AC144" s="158">
        <v>0</v>
      </c>
      <c r="AD144" s="158">
        <v>292664</v>
      </c>
      <c r="AE144" s="158">
        <v>0</v>
      </c>
      <c r="AF144" s="158">
        <v>0</v>
      </c>
      <c r="AG144" s="158">
        <v>0</v>
      </c>
      <c r="AH144" s="158">
        <v>0</v>
      </c>
      <c r="AI144" s="158">
        <v>0</v>
      </c>
      <c r="AJ144" s="158">
        <v>0</v>
      </c>
      <c r="AK144" s="158">
        <v>-2898065</v>
      </c>
      <c r="AL144" s="158">
        <v>343</v>
      </c>
      <c r="AM144" s="158">
        <v>0</v>
      </c>
      <c r="AN144" s="158">
        <v>0</v>
      </c>
      <c r="AO144" s="158">
        <v>2</v>
      </c>
      <c r="AP144" s="158">
        <v>0</v>
      </c>
      <c r="AQ144" s="158">
        <v>424</v>
      </c>
      <c r="AR144" s="158">
        <v>105</v>
      </c>
      <c r="AS144" s="158">
        <v>0</v>
      </c>
      <c r="AT144" s="158">
        <v>0</v>
      </c>
      <c r="AU144" s="158">
        <v>0</v>
      </c>
      <c r="AV144" s="158">
        <v>0</v>
      </c>
      <c r="AW144" s="158">
        <v>0</v>
      </c>
      <c r="AX144" s="158">
        <v>0</v>
      </c>
      <c r="AY144" s="158">
        <v>997</v>
      </c>
      <c r="AZ144" s="158">
        <v>1224</v>
      </c>
      <c r="BA144" s="158">
        <v>2317</v>
      </c>
      <c r="BB144" s="158">
        <v>2050</v>
      </c>
      <c r="BC144" s="158">
        <v>267</v>
      </c>
      <c r="BD144" s="158">
        <v>2736</v>
      </c>
      <c r="BE144" s="158">
        <v>-143873</v>
      </c>
      <c r="BF144" s="158">
        <v>-80319</v>
      </c>
      <c r="BG144" s="158">
        <v>0</v>
      </c>
      <c r="BH144" s="158">
        <v>-33308</v>
      </c>
      <c r="BI144" s="158">
        <v>-53670</v>
      </c>
      <c r="BJ144" s="158">
        <v>-998058</v>
      </c>
      <c r="BK144" s="158">
        <v>-3100199</v>
      </c>
      <c r="BL144" s="1438">
        <v>18154600</v>
      </c>
      <c r="BM144" s="1439">
        <v>0</v>
      </c>
      <c r="BN144" s="784" t="s">
        <v>2401</v>
      </c>
      <c r="BO144" s="784" t="s">
        <v>2360</v>
      </c>
      <c r="BP144" s="1400" t="s">
        <v>2499</v>
      </c>
      <c r="BQ144" s="509"/>
      <c r="BR144" s="509"/>
      <c r="BS144" s="509"/>
      <c r="BT144" s="509"/>
      <c r="BU144" s="509"/>
      <c r="BV144" s="509"/>
      <c r="BW144" s="509"/>
      <c r="BX144" s="509"/>
      <c r="BY144" s="509"/>
      <c r="BZ144" s="509"/>
      <c r="CA144" s="509"/>
      <c r="CB144" s="509"/>
      <c r="CC144" s="509"/>
      <c r="CD144" s="509"/>
      <c r="CE144" s="509"/>
      <c r="CF144" s="509"/>
      <c r="CG144" s="509"/>
      <c r="CH144" s="509"/>
      <c r="CI144" s="509"/>
      <c r="CJ144" s="509"/>
      <c r="CK144" s="509"/>
      <c r="CL144" s="509"/>
      <c r="CM144" s="509"/>
      <c r="CN144" s="509"/>
      <c r="CO144" s="509"/>
      <c r="CP144" s="509"/>
      <c r="CQ144" s="509"/>
      <c r="CR144" s="509"/>
      <c r="CS144" s="509"/>
    </row>
    <row r="145" spans="1:97" s="137" customFormat="1" ht="12.75" customHeight="1" x14ac:dyDescent="0.2">
      <c r="A145" s="1421">
        <v>141</v>
      </c>
      <c r="B145" s="649" t="s">
        <v>170</v>
      </c>
      <c r="C145" s="1607" t="s">
        <v>171</v>
      </c>
      <c r="D145" s="1605">
        <v>121109</v>
      </c>
      <c r="E145" s="1405">
        <v>100763296</v>
      </c>
      <c r="F145" s="1405">
        <v>3055</v>
      </c>
      <c r="G145" s="158">
        <v>-3608715</v>
      </c>
      <c r="H145" s="158">
        <v>-2578505</v>
      </c>
      <c r="I145" s="158">
        <v>-52807</v>
      </c>
      <c r="J145" s="158">
        <v>-3625</v>
      </c>
      <c r="K145" s="158">
        <v>-7640</v>
      </c>
      <c r="L145" s="158">
        <v>0</v>
      </c>
      <c r="M145" s="158">
        <v>-582479</v>
      </c>
      <c r="N145" s="158">
        <v>-8342</v>
      </c>
      <c r="O145" s="158">
        <v>0</v>
      </c>
      <c r="P145" s="158">
        <v>0</v>
      </c>
      <c r="Q145" s="158">
        <v>0</v>
      </c>
      <c r="R145" s="158">
        <v>0</v>
      </c>
      <c r="S145" s="158">
        <v>0</v>
      </c>
      <c r="T145" s="158">
        <v>0</v>
      </c>
      <c r="U145" s="158">
        <v>-2863437</v>
      </c>
      <c r="V145" s="158">
        <v>38585273</v>
      </c>
      <c r="W145" s="158">
        <v>-1044000</v>
      </c>
      <c r="X145" s="158">
        <v>68878750</v>
      </c>
      <c r="Y145" s="158">
        <v>100679034</v>
      </c>
      <c r="Z145" s="158">
        <v>18967549</v>
      </c>
      <c r="AA145" s="158">
        <v>15174039</v>
      </c>
      <c r="AB145" s="158">
        <v>3414159</v>
      </c>
      <c r="AC145" s="158">
        <v>379351</v>
      </c>
      <c r="AD145" s="158">
        <v>131000</v>
      </c>
      <c r="AE145" s="158">
        <v>0</v>
      </c>
      <c r="AF145" s="158">
        <v>0</v>
      </c>
      <c r="AG145" s="158">
        <v>0</v>
      </c>
      <c r="AH145" s="158">
        <v>0</v>
      </c>
      <c r="AI145" s="158">
        <v>0</v>
      </c>
      <c r="AJ145" s="158">
        <v>0</v>
      </c>
      <c r="AK145" s="158">
        <v>2827000</v>
      </c>
      <c r="AL145" s="158">
        <v>135</v>
      </c>
      <c r="AM145" s="158">
        <v>13</v>
      </c>
      <c r="AN145" s="158">
        <v>2</v>
      </c>
      <c r="AO145" s="158">
        <v>6</v>
      </c>
      <c r="AP145" s="158">
        <v>0</v>
      </c>
      <c r="AQ145" s="158">
        <v>164</v>
      </c>
      <c r="AR145" s="158">
        <v>7</v>
      </c>
      <c r="AS145" s="158">
        <v>0</v>
      </c>
      <c r="AT145" s="158">
        <v>0</v>
      </c>
      <c r="AU145" s="158">
        <v>0</v>
      </c>
      <c r="AV145" s="158">
        <v>0</v>
      </c>
      <c r="AW145" s="158">
        <v>0</v>
      </c>
      <c r="AX145" s="158">
        <v>0</v>
      </c>
      <c r="AY145" s="158">
        <v>428</v>
      </c>
      <c r="AZ145" s="158">
        <v>708</v>
      </c>
      <c r="BA145" s="158">
        <v>1215</v>
      </c>
      <c r="BB145" s="158">
        <v>1103</v>
      </c>
      <c r="BC145" s="158">
        <v>112</v>
      </c>
      <c r="BD145" s="158">
        <v>1121</v>
      </c>
      <c r="BE145" s="158">
        <v>-7925</v>
      </c>
      <c r="BF145" s="158">
        <v>-391522</v>
      </c>
      <c r="BG145" s="158">
        <v>0</v>
      </c>
      <c r="BH145" s="158">
        <v>0</v>
      </c>
      <c r="BI145" s="158">
        <v>-150348</v>
      </c>
      <c r="BJ145" s="158">
        <v>-32684</v>
      </c>
      <c r="BK145" s="158">
        <v>5045878</v>
      </c>
      <c r="BL145" s="1438">
        <v>13004925</v>
      </c>
      <c r="BM145" s="1439">
        <v>0</v>
      </c>
      <c r="BN145" s="784" t="s">
        <v>2349</v>
      </c>
      <c r="BO145" s="784" t="s">
        <v>2373</v>
      </c>
      <c r="BP145" s="1400" t="s">
        <v>2500</v>
      </c>
      <c r="BQ145" s="509"/>
      <c r="BR145" s="509"/>
      <c r="BS145" s="509"/>
      <c r="BT145" s="509"/>
      <c r="BU145" s="509"/>
      <c r="BV145" s="509"/>
      <c r="BW145" s="509"/>
      <c r="BX145" s="509"/>
      <c r="BY145" s="509"/>
      <c r="BZ145" s="509"/>
      <c r="CA145" s="509"/>
      <c r="CB145" s="509"/>
      <c r="CC145" s="509"/>
      <c r="CD145" s="509"/>
      <c r="CE145" s="509"/>
      <c r="CF145" s="509"/>
      <c r="CG145" s="509"/>
      <c r="CH145" s="509"/>
      <c r="CI145" s="509"/>
      <c r="CJ145" s="509"/>
      <c r="CK145" s="509"/>
      <c r="CL145" s="509"/>
      <c r="CM145" s="509"/>
      <c r="CN145" s="509"/>
      <c r="CO145" s="509"/>
      <c r="CP145" s="509"/>
      <c r="CQ145" s="509"/>
      <c r="CR145" s="509"/>
      <c r="CS145" s="509"/>
    </row>
    <row r="146" spans="1:97" s="137" customFormat="1" ht="12.75" customHeight="1" x14ac:dyDescent="0.2">
      <c r="A146" s="1421">
        <v>142</v>
      </c>
      <c r="B146" s="649" t="s">
        <v>172</v>
      </c>
      <c r="C146" s="1607" t="s">
        <v>173</v>
      </c>
      <c r="D146" s="1605">
        <v>137671</v>
      </c>
      <c r="E146" s="1405">
        <v>108594152</v>
      </c>
      <c r="F146" s="1405">
        <v>3526</v>
      </c>
      <c r="G146" s="158">
        <v>-3591970</v>
      </c>
      <c r="H146" s="158">
        <v>-5980945</v>
      </c>
      <c r="I146" s="158">
        <v>-89443</v>
      </c>
      <c r="J146" s="158">
        <v>0</v>
      </c>
      <c r="K146" s="158">
        <v>-10080</v>
      </c>
      <c r="L146" s="158">
        <v>-20000</v>
      </c>
      <c r="M146" s="158">
        <v>-1321568</v>
      </c>
      <c r="N146" s="158">
        <v>-27206</v>
      </c>
      <c r="O146" s="158">
        <v>-9019</v>
      </c>
      <c r="P146" s="158">
        <v>-5693</v>
      </c>
      <c r="Q146" s="158">
        <v>0</v>
      </c>
      <c r="R146" s="158">
        <v>-150000</v>
      </c>
      <c r="S146" s="158">
        <v>0</v>
      </c>
      <c r="T146" s="158">
        <v>0</v>
      </c>
      <c r="U146" s="158">
        <v>-4003220</v>
      </c>
      <c r="V146" s="158">
        <v>41118517</v>
      </c>
      <c r="W146" s="158">
        <v>-1233555</v>
      </c>
      <c r="X146" s="158">
        <v>73730750</v>
      </c>
      <c r="Y146" s="158">
        <v>109342950</v>
      </c>
      <c r="Z146" s="158">
        <v>20125699</v>
      </c>
      <c r="AA146" s="158">
        <v>16100560</v>
      </c>
      <c r="AB146" s="158">
        <v>4025140</v>
      </c>
      <c r="AC146" s="158">
        <v>0</v>
      </c>
      <c r="AD146" s="158">
        <v>138964</v>
      </c>
      <c r="AE146" s="158">
        <v>0</v>
      </c>
      <c r="AF146" s="158">
        <v>0</v>
      </c>
      <c r="AG146" s="158">
        <v>0</v>
      </c>
      <c r="AH146" s="158">
        <v>0</v>
      </c>
      <c r="AI146" s="158">
        <v>0</v>
      </c>
      <c r="AJ146" s="158">
        <v>0</v>
      </c>
      <c r="AK146" s="158">
        <v>1169795</v>
      </c>
      <c r="AL146" s="158">
        <v>180</v>
      </c>
      <c r="AM146" s="158">
        <v>11</v>
      </c>
      <c r="AN146" s="158">
        <v>0</v>
      </c>
      <c r="AO146" s="158">
        <v>6</v>
      </c>
      <c r="AP146" s="158">
        <v>0</v>
      </c>
      <c r="AQ146" s="158">
        <v>159</v>
      </c>
      <c r="AR146" s="158">
        <v>22</v>
      </c>
      <c r="AS146" s="158">
        <v>2</v>
      </c>
      <c r="AT146" s="158">
        <v>3</v>
      </c>
      <c r="AU146" s="158">
        <v>0</v>
      </c>
      <c r="AV146" s="158">
        <v>0</v>
      </c>
      <c r="AW146" s="158">
        <v>0</v>
      </c>
      <c r="AX146" s="158">
        <v>0</v>
      </c>
      <c r="AY146" s="158">
        <v>444</v>
      </c>
      <c r="AZ146" s="158">
        <v>436</v>
      </c>
      <c r="BA146" s="158">
        <v>1258</v>
      </c>
      <c r="BB146" s="158">
        <v>1168</v>
      </c>
      <c r="BC146" s="158">
        <v>90</v>
      </c>
      <c r="BD146" s="158">
        <v>1855</v>
      </c>
      <c r="BE146" s="158">
        <v>-27524</v>
      </c>
      <c r="BF146" s="158">
        <v>-465086</v>
      </c>
      <c r="BG146" s="158">
        <v>0</v>
      </c>
      <c r="BH146" s="158">
        <v>0</v>
      </c>
      <c r="BI146" s="158">
        <v>-826595</v>
      </c>
      <c r="BJ146" s="158">
        <v>-2363</v>
      </c>
      <c r="BK146" s="158">
        <v>195063</v>
      </c>
      <c r="BL146" s="1438">
        <v>13942000</v>
      </c>
      <c r="BM146" s="1439">
        <v>0</v>
      </c>
      <c r="BN146" s="784" t="s">
        <v>2349</v>
      </c>
      <c r="BO146" s="784" t="s">
        <v>2352</v>
      </c>
      <c r="BP146" s="1400" t="s">
        <v>2501</v>
      </c>
      <c r="BQ146" s="509"/>
      <c r="BR146" s="509"/>
      <c r="BS146" s="509"/>
      <c r="BT146" s="509"/>
      <c r="BU146" s="509"/>
      <c r="BV146" s="509"/>
      <c r="BW146" s="509"/>
      <c r="BX146" s="509"/>
      <c r="BY146" s="509"/>
      <c r="BZ146" s="509"/>
      <c r="CA146" s="509"/>
      <c r="CB146" s="509"/>
      <c r="CC146" s="509"/>
      <c r="CD146" s="509"/>
      <c r="CE146" s="509"/>
      <c r="CF146" s="509"/>
      <c r="CG146" s="509"/>
      <c r="CH146" s="509"/>
      <c r="CI146" s="509"/>
      <c r="CJ146" s="509"/>
      <c r="CK146" s="509"/>
      <c r="CL146" s="509"/>
      <c r="CM146" s="509"/>
      <c r="CN146" s="509"/>
      <c r="CO146" s="509"/>
      <c r="CP146" s="509"/>
      <c r="CQ146" s="509"/>
      <c r="CR146" s="509"/>
      <c r="CS146" s="509"/>
    </row>
    <row r="147" spans="1:97" s="137" customFormat="1" ht="12.75" customHeight="1" x14ac:dyDescent="0.2">
      <c r="A147" s="1421">
        <v>143</v>
      </c>
      <c r="B147" s="649" t="s">
        <v>174</v>
      </c>
      <c r="C147" s="1607" t="s">
        <v>175</v>
      </c>
      <c r="D147" s="1605">
        <v>774317</v>
      </c>
      <c r="E147" s="1405">
        <v>557186055</v>
      </c>
      <c r="F147" s="1405">
        <v>20123</v>
      </c>
      <c r="G147" s="158">
        <v>-17207555</v>
      </c>
      <c r="H147" s="158">
        <v>-25807478</v>
      </c>
      <c r="I147" s="158">
        <v>0</v>
      </c>
      <c r="J147" s="158">
        <v>0</v>
      </c>
      <c r="K147" s="158">
        <v>0</v>
      </c>
      <c r="L147" s="158">
        <v>0</v>
      </c>
      <c r="M147" s="158">
        <v>-12462378</v>
      </c>
      <c r="N147" s="158">
        <v>-15952</v>
      </c>
      <c r="O147" s="158">
        <v>-83</v>
      </c>
      <c r="P147" s="158">
        <v>0</v>
      </c>
      <c r="Q147" s="158">
        <v>0</v>
      </c>
      <c r="R147" s="158">
        <v>0</v>
      </c>
      <c r="S147" s="158">
        <v>0</v>
      </c>
      <c r="T147" s="158">
        <v>0</v>
      </c>
      <c r="U147" s="158">
        <v>-28957112</v>
      </c>
      <c r="V147" s="158">
        <v>203969103</v>
      </c>
      <c r="W147" s="158">
        <v>-5500000</v>
      </c>
      <c r="X147" s="158">
        <v>400604149</v>
      </c>
      <c r="Y147" s="158">
        <v>560702199</v>
      </c>
      <c r="Z147" s="158">
        <v>0</v>
      </c>
      <c r="AA147" s="158">
        <v>198525622</v>
      </c>
      <c r="AB147" s="158">
        <v>0</v>
      </c>
      <c r="AC147" s="158">
        <v>2005309</v>
      </c>
      <c r="AD147" s="158">
        <v>779790</v>
      </c>
      <c r="AE147" s="158">
        <v>0</v>
      </c>
      <c r="AF147" s="158">
        <v>0</v>
      </c>
      <c r="AG147" s="158">
        <v>0</v>
      </c>
      <c r="AH147" s="158">
        <v>0</v>
      </c>
      <c r="AI147" s="158">
        <v>0</v>
      </c>
      <c r="AJ147" s="158">
        <v>0</v>
      </c>
      <c r="AK147" s="158">
        <v>23552000</v>
      </c>
      <c r="AL147" s="158">
        <v>745</v>
      </c>
      <c r="AM147" s="158">
        <v>2</v>
      </c>
      <c r="AN147" s="158">
        <v>74</v>
      </c>
      <c r="AO147" s="158">
        <v>0</v>
      </c>
      <c r="AP147" s="158">
        <v>0</v>
      </c>
      <c r="AQ147" s="158">
        <v>3444</v>
      </c>
      <c r="AR147" s="158">
        <v>42</v>
      </c>
      <c r="AS147" s="158">
        <v>2</v>
      </c>
      <c r="AT147" s="158">
        <v>2</v>
      </c>
      <c r="AU147" s="158">
        <v>0</v>
      </c>
      <c r="AV147" s="158">
        <v>0</v>
      </c>
      <c r="AW147" s="158">
        <v>0</v>
      </c>
      <c r="AX147" s="158">
        <v>0</v>
      </c>
      <c r="AY147" s="158">
        <v>2794</v>
      </c>
      <c r="AZ147" s="158">
        <v>6786</v>
      </c>
      <c r="BA147" s="158">
        <v>6795</v>
      </c>
      <c r="BB147" s="158">
        <v>6386</v>
      </c>
      <c r="BC147" s="158">
        <v>409</v>
      </c>
      <c r="BD147" s="158">
        <v>6289</v>
      </c>
      <c r="BE147" s="158">
        <v>0</v>
      </c>
      <c r="BF147" s="158">
        <v>0</v>
      </c>
      <c r="BG147" s="158">
        <v>0</v>
      </c>
      <c r="BH147" s="158">
        <v>0</v>
      </c>
      <c r="BI147" s="158">
        <v>0</v>
      </c>
      <c r="BJ147" s="158">
        <v>0</v>
      </c>
      <c r="BK147" s="158">
        <v>23859919</v>
      </c>
      <c r="BL147" s="1438">
        <v>49264850</v>
      </c>
      <c r="BM147" s="1439">
        <v>8167750</v>
      </c>
      <c r="BN147" s="784" t="s">
        <v>2363</v>
      </c>
      <c r="BO147" s="784" t="s">
        <v>2376</v>
      </c>
      <c r="BP147" s="1400" t="s">
        <v>2502</v>
      </c>
      <c r="BQ147" s="509"/>
      <c r="BR147" s="509"/>
      <c r="BS147" s="509"/>
      <c r="BT147" s="509"/>
      <c r="BU147" s="509"/>
      <c r="BV147" s="509"/>
      <c r="BW147" s="509"/>
      <c r="BX147" s="509"/>
      <c r="BY147" s="509"/>
      <c r="BZ147" s="509"/>
      <c r="CA147" s="509"/>
      <c r="CB147" s="509"/>
      <c r="CC147" s="509"/>
      <c r="CD147" s="509"/>
      <c r="CE147" s="509"/>
      <c r="CF147" s="509"/>
      <c r="CG147" s="509"/>
      <c r="CH147" s="509"/>
      <c r="CI147" s="509"/>
      <c r="CJ147" s="509"/>
      <c r="CK147" s="509"/>
      <c r="CL147" s="509"/>
      <c r="CM147" s="509"/>
      <c r="CN147" s="509"/>
      <c r="CO147" s="509"/>
      <c r="CP147" s="509"/>
      <c r="CQ147" s="509"/>
      <c r="CR147" s="509"/>
      <c r="CS147" s="509"/>
    </row>
    <row r="148" spans="1:97" s="137" customFormat="1" ht="12.75" customHeight="1" x14ac:dyDescent="0.2">
      <c r="A148" s="1421">
        <v>144</v>
      </c>
      <c r="B148" s="649" t="s">
        <v>515</v>
      </c>
      <c r="C148" s="1607" t="s">
        <v>177</v>
      </c>
      <c r="D148" s="1605">
        <v>235154</v>
      </c>
      <c r="E148" s="1405">
        <v>189870652</v>
      </c>
      <c r="F148" s="1405">
        <v>5693</v>
      </c>
      <c r="G148" s="158">
        <v>-5400227</v>
      </c>
      <c r="H148" s="158">
        <v>-7237956</v>
      </c>
      <c r="I148" s="158">
        <v>-64558</v>
      </c>
      <c r="J148" s="158">
        <v>0</v>
      </c>
      <c r="K148" s="158">
        <v>-2171</v>
      </c>
      <c r="L148" s="158">
        <v>0</v>
      </c>
      <c r="M148" s="158">
        <v>-2710627</v>
      </c>
      <c r="N148" s="158">
        <v>-41840</v>
      </c>
      <c r="O148" s="158">
        <v>-71870</v>
      </c>
      <c r="P148" s="158">
        <v>0</v>
      </c>
      <c r="Q148" s="158">
        <v>0</v>
      </c>
      <c r="R148" s="158">
        <v>0</v>
      </c>
      <c r="S148" s="158">
        <v>0</v>
      </c>
      <c r="T148" s="158">
        <v>0</v>
      </c>
      <c r="U148" s="158">
        <v>-6750326</v>
      </c>
      <c r="V148" s="158">
        <v>72319190</v>
      </c>
      <c r="W148" s="158">
        <v>-2892768</v>
      </c>
      <c r="X148" s="158">
        <v>131459000</v>
      </c>
      <c r="Y148" s="158">
        <v>186294496</v>
      </c>
      <c r="Z148" s="158">
        <v>34432441</v>
      </c>
      <c r="AA148" s="158">
        <v>33743792</v>
      </c>
      <c r="AB148" s="158">
        <v>0</v>
      </c>
      <c r="AC148" s="158">
        <v>688649</v>
      </c>
      <c r="AD148" s="158">
        <v>236478</v>
      </c>
      <c r="AE148" s="158">
        <v>0</v>
      </c>
      <c r="AF148" s="158">
        <v>0</v>
      </c>
      <c r="AG148" s="158">
        <v>0</v>
      </c>
      <c r="AH148" s="158">
        <v>0</v>
      </c>
      <c r="AI148" s="158">
        <v>0</v>
      </c>
      <c r="AJ148" s="158">
        <v>0</v>
      </c>
      <c r="AK148" s="158">
        <v>-10972801</v>
      </c>
      <c r="AL148" s="158">
        <v>288</v>
      </c>
      <c r="AM148" s="158">
        <v>6</v>
      </c>
      <c r="AN148" s="158">
        <v>0</v>
      </c>
      <c r="AO148" s="158">
        <v>1</v>
      </c>
      <c r="AP148" s="158">
        <v>1</v>
      </c>
      <c r="AQ148" s="158">
        <v>727</v>
      </c>
      <c r="AR148" s="158">
        <v>27</v>
      </c>
      <c r="AS148" s="158">
        <v>8</v>
      </c>
      <c r="AT148" s="158">
        <v>0</v>
      </c>
      <c r="AU148" s="158">
        <v>0</v>
      </c>
      <c r="AV148" s="158">
        <v>0</v>
      </c>
      <c r="AW148" s="158">
        <v>0</v>
      </c>
      <c r="AX148" s="158">
        <v>0</v>
      </c>
      <c r="AY148" s="158">
        <v>748</v>
      </c>
      <c r="AZ148" s="158">
        <v>1798</v>
      </c>
      <c r="BA148" s="158">
        <v>1815</v>
      </c>
      <c r="BB148" s="158">
        <v>1577</v>
      </c>
      <c r="BC148" s="158">
        <v>238</v>
      </c>
      <c r="BD148" s="158">
        <v>2177</v>
      </c>
      <c r="BE148" s="158">
        <v>-431524</v>
      </c>
      <c r="BF148" s="158">
        <v>-132515</v>
      </c>
      <c r="BG148" s="158">
        <v>0</v>
      </c>
      <c r="BH148" s="158">
        <v>-247040</v>
      </c>
      <c r="BI148" s="158">
        <v>-1269713</v>
      </c>
      <c r="BJ148" s="158">
        <v>-629835</v>
      </c>
      <c r="BK148" s="158">
        <v>12627966</v>
      </c>
      <c r="BL148" s="1438">
        <v>21697450</v>
      </c>
      <c r="BM148" s="1439">
        <v>904250</v>
      </c>
      <c r="BN148" s="784" t="s">
        <v>509</v>
      </c>
      <c r="BO148" s="784" t="s">
        <v>2357</v>
      </c>
      <c r="BP148" s="1400" t="s">
        <v>2503</v>
      </c>
      <c r="BQ148" s="509"/>
      <c r="BR148" s="509"/>
      <c r="BS148" s="509"/>
      <c r="BT148" s="509"/>
      <c r="BU148" s="509"/>
      <c r="BV148" s="509"/>
      <c r="BW148" s="509"/>
      <c r="BX148" s="509"/>
      <c r="BY148" s="509"/>
      <c r="BZ148" s="509"/>
      <c r="CA148" s="509"/>
      <c r="CB148" s="509"/>
      <c r="CC148" s="509"/>
      <c r="CD148" s="509"/>
      <c r="CE148" s="509"/>
      <c r="CF148" s="509"/>
      <c r="CG148" s="509"/>
      <c r="CH148" s="509"/>
      <c r="CI148" s="509"/>
      <c r="CJ148" s="509"/>
      <c r="CK148" s="509"/>
      <c r="CL148" s="509"/>
      <c r="CM148" s="509"/>
      <c r="CN148" s="509"/>
      <c r="CO148" s="509"/>
      <c r="CP148" s="509"/>
      <c r="CQ148" s="509"/>
      <c r="CR148" s="509"/>
      <c r="CS148" s="509"/>
    </row>
    <row r="149" spans="1:97" s="137" customFormat="1" ht="12.75" customHeight="1" x14ac:dyDescent="0.2">
      <c r="A149" s="1421">
        <v>145</v>
      </c>
      <c r="B149" s="649" t="s">
        <v>178</v>
      </c>
      <c r="C149" s="1607" t="s">
        <v>179</v>
      </c>
      <c r="D149" s="1605">
        <v>210353</v>
      </c>
      <c r="E149" s="1405">
        <v>167055141</v>
      </c>
      <c r="F149" s="1405">
        <v>5331</v>
      </c>
      <c r="G149" s="158">
        <v>-4927325</v>
      </c>
      <c r="H149" s="158">
        <v>-6030600</v>
      </c>
      <c r="I149" s="158">
        <v>-123494</v>
      </c>
      <c r="J149" s="158">
        <v>-3194</v>
      </c>
      <c r="K149" s="158">
        <v>-3780</v>
      </c>
      <c r="L149" s="158">
        <v>0</v>
      </c>
      <c r="M149" s="158">
        <v>-1854696</v>
      </c>
      <c r="N149" s="158">
        <v>-161007</v>
      </c>
      <c r="O149" s="158">
        <v>-8516</v>
      </c>
      <c r="P149" s="158">
        <v>-8572</v>
      </c>
      <c r="Q149" s="158">
        <v>0</v>
      </c>
      <c r="R149" s="158">
        <v>-11726</v>
      </c>
      <c r="S149" s="158">
        <v>-11726</v>
      </c>
      <c r="T149" s="158">
        <v>0</v>
      </c>
      <c r="U149" s="158">
        <v>-8355273</v>
      </c>
      <c r="V149" s="158">
        <v>65352407</v>
      </c>
      <c r="W149" s="158">
        <v>-1364265</v>
      </c>
      <c r="X149" s="158">
        <v>112001150</v>
      </c>
      <c r="Y149" s="158">
        <v>168276863</v>
      </c>
      <c r="Z149" s="158">
        <v>32062083</v>
      </c>
      <c r="AA149" s="158">
        <v>25659047</v>
      </c>
      <c r="AB149" s="158">
        <v>5773286</v>
      </c>
      <c r="AC149" s="158">
        <v>641476</v>
      </c>
      <c r="AD149" s="158">
        <v>209168</v>
      </c>
      <c r="AE149" s="158">
        <v>405663</v>
      </c>
      <c r="AF149" s="158">
        <v>47931</v>
      </c>
      <c r="AG149" s="158">
        <v>0</v>
      </c>
      <c r="AH149" s="158">
        <v>11726</v>
      </c>
      <c r="AI149" s="158">
        <v>0</v>
      </c>
      <c r="AJ149" s="158">
        <v>0</v>
      </c>
      <c r="AK149" s="158">
        <v>-214429</v>
      </c>
      <c r="AL149" s="158">
        <v>430</v>
      </c>
      <c r="AM149" s="158">
        <v>30</v>
      </c>
      <c r="AN149" s="158">
        <v>0</v>
      </c>
      <c r="AO149" s="158">
        <v>2</v>
      </c>
      <c r="AP149" s="158">
        <v>0</v>
      </c>
      <c r="AQ149" s="158">
        <v>276</v>
      </c>
      <c r="AR149" s="158">
        <v>199</v>
      </c>
      <c r="AS149" s="158">
        <v>4</v>
      </c>
      <c r="AT149" s="158">
        <v>1</v>
      </c>
      <c r="AU149" s="158">
        <v>0</v>
      </c>
      <c r="AV149" s="158">
        <v>0</v>
      </c>
      <c r="AW149" s="158">
        <v>1</v>
      </c>
      <c r="AX149" s="158">
        <v>0</v>
      </c>
      <c r="AY149" s="158">
        <v>760</v>
      </c>
      <c r="AZ149" s="158">
        <v>659</v>
      </c>
      <c r="BA149" s="158">
        <v>1629</v>
      </c>
      <c r="BB149" s="158">
        <v>1472</v>
      </c>
      <c r="BC149" s="158">
        <v>157</v>
      </c>
      <c r="BD149" s="158">
        <v>3040</v>
      </c>
      <c r="BE149" s="158">
        <v>-151089</v>
      </c>
      <c r="BF149" s="158">
        <v>-1034024</v>
      </c>
      <c r="BG149" s="158">
        <v>0</v>
      </c>
      <c r="BH149" s="158">
        <v>-87601</v>
      </c>
      <c r="BI149" s="158">
        <v>-558429</v>
      </c>
      <c r="BJ149" s="158">
        <v>-23553</v>
      </c>
      <c r="BK149" s="158">
        <v>420787</v>
      </c>
      <c r="BL149" s="1438">
        <v>23763200</v>
      </c>
      <c r="BM149" s="1439">
        <v>0</v>
      </c>
      <c r="BN149" s="784" t="s">
        <v>2349</v>
      </c>
      <c r="BO149" s="784" t="s">
        <v>2350</v>
      </c>
      <c r="BP149" s="1400" t="s">
        <v>2504</v>
      </c>
      <c r="BQ149" s="509"/>
      <c r="BR149" s="509"/>
      <c r="BS149" s="509"/>
      <c r="BT149" s="509"/>
      <c r="BU149" s="509"/>
      <c r="BV149" s="509"/>
      <c r="BW149" s="509"/>
      <c r="BX149" s="509"/>
      <c r="BY149" s="509"/>
      <c r="BZ149" s="509"/>
      <c r="CA149" s="509"/>
      <c r="CB149" s="509"/>
      <c r="CC149" s="509"/>
      <c r="CD149" s="509"/>
      <c r="CE149" s="509"/>
      <c r="CF149" s="509"/>
      <c r="CG149" s="509"/>
      <c r="CH149" s="509"/>
      <c r="CI149" s="509"/>
      <c r="CJ149" s="509"/>
      <c r="CK149" s="509"/>
      <c r="CL149" s="509"/>
      <c r="CM149" s="509"/>
      <c r="CN149" s="509"/>
      <c r="CO149" s="509"/>
      <c r="CP149" s="509"/>
      <c r="CQ149" s="509"/>
      <c r="CR149" s="509"/>
      <c r="CS149" s="509"/>
    </row>
    <row r="150" spans="1:97" s="137" customFormat="1" ht="12.75" customHeight="1" x14ac:dyDescent="0.2">
      <c r="A150" s="1421">
        <v>146</v>
      </c>
      <c r="B150" s="649" t="s">
        <v>180</v>
      </c>
      <c r="C150" s="1607" t="s">
        <v>181</v>
      </c>
      <c r="D150" s="1605">
        <v>92245</v>
      </c>
      <c r="E150" s="1405">
        <v>46492295</v>
      </c>
      <c r="F150" s="1405">
        <v>2559</v>
      </c>
      <c r="G150" s="158">
        <v>-3351521</v>
      </c>
      <c r="H150" s="158">
        <v>-1057010</v>
      </c>
      <c r="I150" s="158">
        <v>-60216</v>
      </c>
      <c r="J150" s="158">
        <v>-16267</v>
      </c>
      <c r="K150" s="158">
        <v>-12096</v>
      </c>
      <c r="L150" s="158">
        <v>0</v>
      </c>
      <c r="M150" s="158">
        <v>-473853</v>
      </c>
      <c r="N150" s="158">
        <v>-24023</v>
      </c>
      <c r="O150" s="158">
        <v>-6947</v>
      </c>
      <c r="P150" s="158">
        <v>-574</v>
      </c>
      <c r="Q150" s="158">
        <v>0</v>
      </c>
      <c r="R150" s="158">
        <v>0</v>
      </c>
      <c r="S150" s="158">
        <v>0</v>
      </c>
      <c r="T150" s="158">
        <v>0</v>
      </c>
      <c r="U150" s="158">
        <v>-1616300</v>
      </c>
      <c r="V150" s="158">
        <v>16704551</v>
      </c>
      <c r="W150" s="158">
        <v>-1090247</v>
      </c>
      <c r="X150" s="158">
        <v>23657850</v>
      </c>
      <c r="Y150" s="158">
        <v>46237123</v>
      </c>
      <c r="Z150" s="158">
        <v>7504552</v>
      </c>
      <c r="AA150" s="158">
        <v>6003642</v>
      </c>
      <c r="AB150" s="158">
        <v>1350819</v>
      </c>
      <c r="AC150" s="158">
        <v>150091</v>
      </c>
      <c r="AD150" s="158">
        <v>91401</v>
      </c>
      <c r="AE150" s="158">
        <v>0</v>
      </c>
      <c r="AF150" s="158">
        <v>957000</v>
      </c>
      <c r="AG150" s="158">
        <v>0</v>
      </c>
      <c r="AH150" s="158">
        <v>0</v>
      </c>
      <c r="AI150" s="158">
        <v>0</v>
      </c>
      <c r="AJ150" s="158">
        <v>0</v>
      </c>
      <c r="AK150" s="158">
        <v>5988910</v>
      </c>
      <c r="AL150" s="158">
        <v>109</v>
      </c>
      <c r="AM150" s="158">
        <v>11</v>
      </c>
      <c r="AN150" s="158">
        <v>7</v>
      </c>
      <c r="AO150" s="158">
        <v>8</v>
      </c>
      <c r="AP150" s="158">
        <v>0</v>
      </c>
      <c r="AQ150" s="158">
        <v>105</v>
      </c>
      <c r="AR150" s="158">
        <v>46</v>
      </c>
      <c r="AS150" s="158">
        <v>7</v>
      </c>
      <c r="AT150" s="158">
        <v>2</v>
      </c>
      <c r="AU150" s="158">
        <v>0</v>
      </c>
      <c r="AV150" s="158">
        <v>0</v>
      </c>
      <c r="AW150" s="158">
        <v>0</v>
      </c>
      <c r="AX150" s="158">
        <v>0</v>
      </c>
      <c r="AY150" s="158">
        <v>186</v>
      </c>
      <c r="AZ150" s="158">
        <v>153</v>
      </c>
      <c r="BA150" s="158">
        <v>1298</v>
      </c>
      <c r="BB150" s="158">
        <v>1205</v>
      </c>
      <c r="BC150" s="158">
        <v>93</v>
      </c>
      <c r="BD150" s="158">
        <v>1093</v>
      </c>
      <c r="BE150" s="158">
        <v>-88719</v>
      </c>
      <c r="BF150" s="158">
        <v>-233198</v>
      </c>
      <c r="BG150" s="158">
        <v>0</v>
      </c>
      <c r="BH150" s="158">
        <v>-908</v>
      </c>
      <c r="BI150" s="158">
        <v>-151028</v>
      </c>
      <c r="BJ150" s="158">
        <v>0</v>
      </c>
      <c r="BK150" s="158">
        <v>5730196</v>
      </c>
      <c r="BL150" s="1438">
        <v>7465150</v>
      </c>
      <c r="BM150" s="1439">
        <v>0</v>
      </c>
      <c r="BN150" s="784" t="s">
        <v>2349</v>
      </c>
      <c r="BO150" s="784" t="s">
        <v>2357</v>
      </c>
      <c r="BP150" s="1400" t="s">
        <v>2505</v>
      </c>
      <c r="BQ150" s="509"/>
      <c r="BR150" s="509"/>
      <c r="BS150" s="509"/>
      <c r="BT150" s="509"/>
      <c r="BU150" s="509"/>
      <c r="BV150" s="509"/>
      <c r="BW150" s="509"/>
      <c r="BX150" s="509"/>
      <c r="BY150" s="509"/>
      <c r="BZ150" s="509"/>
      <c r="CA150" s="509"/>
      <c r="CB150" s="509"/>
      <c r="CC150" s="509"/>
      <c r="CD150" s="509"/>
      <c r="CE150" s="509"/>
      <c r="CF150" s="509"/>
      <c r="CG150" s="509"/>
      <c r="CH150" s="509"/>
      <c r="CI150" s="509"/>
      <c r="CJ150" s="509"/>
      <c r="CK150" s="509"/>
      <c r="CL150" s="509"/>
      <c r="CM150" s="509"/>
      <c r="CN150" s="509"/>
      <c r="CO150" s="509"/>
      <c r="CP150" s="509"/>
      <c r="CQ150" s="509"/>
      <c r="CR150" s="509"/>
      <c r="CS150" s="509"/>
    </row>
    <row r="151" spans="1:97" s="137" customFormat="1" ht="12.75" customHeight="1" x14ac:dyDescent="0.2">
      <c r="A151" s="1421">
        <v>147</v>
      </c>
      <c r="B151" s="649" t="s">
        <v>182</v>
      </c>
      <c r="C151" s="1607" t="s">
        <v>183</v>
      </c>
      <c r="D151" s="1605">
        <v>106831</v>
      </c>
      <c r="E151" s="1405">
        <v>52324939</v>
      </c>
      <c r="F151" s="1405">
        <v>3022</v>
      </c>
      <c r="G151" s="158">
        <v>-3962125</v>
      </c>
      <c r="H151" s="158">
        <v>-2319979</v>
      </c>
      <c r="I151" s="158">
        <v>-198087</v>
      </c>
      <c r="J151" s="158">
        <v>-36129</v>
      </c>
      <c r="K151" s="158">
        <v>-9923</v>
      </c>
      <c r="L151" s="158">
        <v>0</v>
      </c>
      <c r="M151" s="158">
        <v>-801234</v>
      </c>
      <c r="N151" s="158">
        <v>-88522</v>
      </c>
      <c r="O151" s="158">
        <v>-22172</v>
      </c>
      <c r="P151" s="158">
        <v>-46698</v>
      </c>
      <c r="Q151" s="158">
        <v>0</v>
      </c>
      <c r="R151" s="158">
        <v>0</v>
      </c>
      <c r="S151" s="158">
        <v>0</v>
      </c>
      <c r="T151" s="158">
        <v>0</v>
      </c>
      <c r="U151" s="158">
        <v>-2655009</v>
      </c>
      <c r="V151" s="158">
        <v>15773057</v>
      </c>
      <c r="W151" s="158">
        <v>0</v>
      </c>
      <c r="X151" s="158">
        <v>26252266</v>
      </c>
      <c r="Y151" s="158">
        <v>51999999</v>
      </c>
      <c r="Z151" s="158">
        <v>8306403</v>
      </c>
      <c r="AA151" s="158">
        <v>6645122</v>
      </c>
      <c r="AB151" s="158">
        <v>1495152</v>
      </c>
      <c r="AC151" s="158">
        <v>166128</v>
      </c>
      <c r="AD151" s="158">
        <v>106333</v>
      </c>
      <c r="AE151" s="158">
        <v>0</v>
      </c>
      <c r="AF151" s="158">
        <v>0</v>
      </c>
      <c r="AG151" s="158">
        <v>0</v>
      </c>
      <c r="AH151" s="158">
        <v>0</v>
      </c>
      <c r="AI151" s="158">
        <v>0</v>
      </c>
      <c r="AJ151" s="158">
        <v>0</v>
      </c>
      <c r="AK151" s="158">
        <v>-3426356</v>
      </c>
      <c r="AL151" s="158">
        <v>201</v>
      </c>
      <c r="AM151" s="158">
        <v>16</v>
      </c>
      <c r="AN151" s="158">
        <v>17</v>
      </c>
      <c r="AO151" s="158">
        <v>8</v>
      </c>
      <c r="AP151" s="158">
        <v>0</v>
      </c>
      <c r="AQ151" s="158">
        <v>159</v>
      </c>
      <c r="AR151" s="158">
        <v>113</v>
      </c>
      <c r="AS151" s="158">
        <v>8</v>
      </c>
      <c r="AT151" s="158">
        <v>14</v>
      </c>
      <c r="AU151" s="158">
        <v>0</v>
      </c>
      <c r="AV151" s="158">
        <v>0</v>
      </c>
      <c r="AW151" s="158">
        <v>0</v>
      </c>
      <c r="AX151" s="158">
        <v>0</v>
      </c>
      <c r="AY151" s="158">
        <v>345</v>
      </c>
      <c r="AZ151" s="158">
        <v>600</v>
      </c>
      <c r="BA151" s="158">
        <v>1577</v>
      </c>
      <c r="BB151" s="158">
        <v>1485</v>
      </c>
      <c r="BC151" s="158">
        <v>92</v>
      </c>
      <c r="BD151" s="158">
        <v>858</v>
      </c>
      <c r="BE151" s="158">
        <v>-35503</v>
      </c>
      <c r="BF151" s="158">
        <v>-345210</v>
      </c>
      <c r="BG151" s="158">
        <v>0</v>
      </c>
      <c r="BH151" s="158">
        <v>0</v>
      </c>
      <c r="BI151" s="158">
        <v>-404661</v>
      </c>
      <c r="BJ151" s="158">
        <v>-15859</v>
      </c>
      <c r="BK151" s="158">
        <v>-1470051</v>
      </c>
      <c r="BL151" s="1438">
        <v>6971825</v>
      </c>
      <c r="BM151" s="1439">
        <v>0</v>
      </c>
      <c r="BN151" s="784" t="s">
        <v>2349</v>
      </c>
      <c r="BO151" s="784" t="s">
        <v>2373</v>
      </c>
      <c r="BP151" s="1400" t="s">
        <v>2506</v>
      </c>
      <c r="BQ151" s="509"/>
      <c r="BR151" s="509"/>
      <c r="BS151" s="509"/>
      <c r="BT151" s="509"/>
      <c r="BU151" s="509"/>
      <c r="BV151" s="509"/>
      <c r="BW151" s="509"/>
      <c r="BX151" s="509"/>
      <c r="BY151" s="509"/>
      <c r="BZ151" s="509"/>
      <c r="CA151" s="509"/>
      <c r="CB151" s="509"/>
      <c r="CC151" s="509"/>
      <c r="CD151" s="509"/>
      <c r="CE151" s="509"/>
      <c r="CF151" s="509"/>
      <c r="CG151" s="509"/>
      <c r="CH151" s="509"/>
      <c r="CI151" s="509"/>
      <c r="CJ151" s="509"/>
      <c r="CK151" s="509"/>
      <c r="CL151" s="509"/>
      <c r="CM151" s="509"/>
      <c r="CN151" s="509"/>
      <c r="CO151" s="509"/>
      <c r="CP151" s="509"/>
      <c r="CQ151" s="509"/>
      <c r="CR151" s="509"/>
      <c r="CS151" s="509"/>
    </row>
    <row r="152" spans="1:97" s="137" customFormat="1" ht="12.75" customHeight="1" x14ac:dyDescent="0.2">
      <c r="A152" s="1421">
        <v>148</v>
      </c>
      <c r="B152" s="649" t="s">
        <v>184</v>
      </c>
      <c r="C152" s="1607" t="s">
        <v>185</v>
      </c>
      <c r="D152" s="1605">
        <v>1110147</v>
      </c>
      <c r="E152" s="1405">
        <v>984871445</v>
      </c>
      <c r="F152" s="1405">
        <v>26853</v>
      </c>
      <c r="G152" s="158">
        <v>-20950751</v>
      </c>
      <c r="H152" s="158">
        <v>-35910293</v>
      </c>
      <c r="I152" s="158">
        <v>-1521963</v>
      </c>
      <c r="J152" s="158">
        <v>0</v>
      </c>
      <c r="K152" s="158">
        <v>0</v>
      </c>
      <c r="L152" s="158">
        <v>0</v>
      </c>
      <c r="M152" s="158">
        <v>-30933632</v>
      </c>
      <c r="N152" s="158">
        <v>-802422</v>
      </c>
      <c r="O152" s="158">
        <v>-253397</v>
      </c>
      <c r="P152" s="158">
        <v>0</v>
      </c>
      <c r="Q152" s="158">
        <v>0</v>
      </c>
      <c r="R152" s="158">
        <v>-122340</v>
      </c>
      <c r="S152" s="158">
        <v>-122340</v>
      </c>
      <c r="T152" s="158">
        <v>0</v>
      </c>
      <c r="U152" s="158">
        <v>-35524289</v>
      </c>
      <c r="V152" s="158">
        <v>389679648</v>
      </c>
      <c r="W152" s="158">
        <v>-21003733</v>
      </c>
      <c r="X152" s="158">
        <v>726934500</v>
      </c>
      <c r="Y152" s="158">
        <v>974100652</v>
      </c>
      <c r="Z152" s="158">
        <v>0</v>
      </c>
      <c r="AA152" s="158">
        <v>360872632</v>
      </c>
      <c r="AB152" s="158">
        <v>0</v>
      </c>
      <c r="AC152" s="158">
        <v>3645178</v>
      </c>
      <c r="AD152" s="158">
        <v>1121075</v>
      </c>
      <c r="AE152" s="158">
        <v>1971432</v>
      </c>
      <c r="AF152" s="158">
        <v>0</v>
      </c>
      <c r="AG152" s="158">
        <v>0</v>
      </c>
      <c r="AH152" s="158">
        <v>0</v>
      </c>
      <c r="AI152" s="158">
        <v>0</v>
      </c>
      <c r="AJ152" s="158">
        <v>0</v>
      </c>
      <c r="AK152" s="158">
        <v>23030953</v>
      </c>
      <c r="AL152" s="158">
        <v>843</v>
      </c>
      <c r="AM152" s="158">
        <v>13</v>
      </c>
      <c r="AN152" s="158">
        <v>0</v>
      </c>
      <c r="AO152" s="158">
        <v>0</v>
      </c>
      <c r="AP152" s="158">
        <v>0</v>
      </c>
      <c r="AQ152" s="158">
        <v>3131</v>
      </c>
      <c r="AR152" s="158">
        <v>3335</v>
      </c>
      <c r="AS152" s="158">
        <v>0</v>
      </c>
      <c r="AT152" s="158">
        <v>0</v>
      </c>
      <c r="AU152" s="158">
        <v>0</v>
      </c>
      <c r="AV152" s="158">
        <v>0</v>
      </c>
      <c r="AW152" s="158">
        <v>6</v>
      </c>
      <c r="AX152" s="158">
        <v>0</v>
      </c>
      <c r="AY152" s="158">
        <v>2644</v>
      </c>
      <c r="AZ152" s="158">
        <v>3320</v>
      </c>
      <c r="BA152" s="158">
        <v>7362</v>
      </c>
      <c r="BB152" s="158">
        <v>6760</v>
      </c>
      <c r="BC152" s="158">
        <v>602</v>
      </c>
      <c r="BD152" s="158">
        <v>16185</v>
      </c>
      <c r="BE152" s="158">
        <v>-111457</v>
      </c>
      <c r="BF152" s="158">
        <v>-24659122</v>
      </c>
      <c r="BG152" s="158">
        <v>0</v>
      </c>
      <c r="BH152" s="158">
        <v>-96348</v>
      </c>
      <c r="BI152" s="158">
        <v>-5978341</v>
      </c>
      <c r="BJ152" s="158">
        <v>-88364</v>
      </c>
      <c r="BK152" s="158">
        <v>31055829</v>
      </c>
      <c r="BL152" s="1438">
        <v>93805950</v>
      </c>
      <c r="BM152" s="1439">
        <v>3002000</v>
      </c>
      <c r="BN152" s="784" t="s">
        <v>2363</v>
      </c>
      <c r="BO152" s="784" t="s">
        <v>2376</v>
      </c>
      <c r="BP152" s="1400" t="s">
        <v>2507</v>
      </c>
      <c r="BQ152" s="509"/>
      <c r="BR152" s="509"/>
      <c r="BS152" s="509"/>
      <c r="BT152" s="509"/>
      <c r="BU152" s="509"/>
      <c r="BV152" s="509"/>
      <c r="BW152" s="509"/>
      <c r="BX152" s="509"/>
      <c r="BY152" s="509"/>
      <c r="BZ152" s="509"/>
      <c r="CA152" s="509"/>
      <c r="CB152" s="509"/>
      <c r="CC152" s="509"/>
      <c r="CD152" s="509"/>
      <c r="CE152" s="509"/>
      <c r="CF152" s="509"/>
      <c r="CG152" s="509"/>
      <c r="CH152" s="509"/>
      <c r="CI152" s="509"/>
      <c r="CJ152" s="509"/>
      <c r="CK152" s="509"/>
      <c r="CL152" s="509"/>
      <c r="CM152" s="509"/>
      <c r="CN152" s="509"/>
      <c r="CO152" s="509"/>
      <c r="CP152" s="509"/>
      <c r="CQ152" s="509"/>
      <c r="CR152" s="509"/>
      <c r="CS152" s="509"/>
    </row>
    <row r="153" spans="1:97" s="137" customFormat="1" ht="12.75" customHeight="1" x14ac:dyDescent="0.2">
      <c r="A153" s="1421">
        <v>149</v>
      </c>
      <c r="B153" s="649" t="s">
        <v>186</v>
      </c>
      <c r="C153" s="1607" t="s">
        <v>187</v>
      </c>
      <c r="D153" s="1605">
        <v>125852</v>
      </c>
      <c r="E153" s="1405">
        <v>75374705</v>
      </c>
      <c r="F153" s="1405">
        <v>3388</v>
      </c>
      <c r="G153" s="158">
        <v>-3417927</v>
      </c>
      <c r="H153" s="158">
        <v>-2693732</v>
      </c>
      <c r="I153" s="158">
        <v>-19505</v>
      </c>
      <c r="J153" s="158">
        <v>0</v>
      </c>
      <c r="K153" s="158">
        <v>-19360</v>
      </c>
      <c r="L153" s="158">
        <v>0</v>
      </c>
      <c r="M153" s="158">
        <v>-565745</v>
      </c>
      <c r="N153" s="158">
        <v>-104768</v>
      </c>
      <c r="O153" s="158">
        <v>-10493</v>
      </c>
      <c r="P153" s="158">
        <v>0</v>
      </c>
      <c r="Q153" s="158">
        <v>0</v>
      </c>
      <c r="R153" s="158">
        <v>0</v>
      </c>
      <c r="S153" s="158">
        <v>0</v>
      </c>
      <c r="T153" s="158">
        <v>0</v>
      </c>
      <c r="U153" s="158">
        <v>-2681797</v>
      </c>
      <c r="V153" s="158">
        <v>29469259</v>
      </c>
      <c r="W153" s="158">
        <v>-1781209</v>
      </c>
      <c r="X153" s="158">
        <v>46197500</v>
      </c>
      <c r="Y153" s="158">
        <v>75863513</v>
      </c>
      <c r="Z153" s="158">
        <v>13849969</v>
      </c>
      <c r="AA153" s="158">
        <v>11079975</v>
      </c>
      <c r="AB153" s="158">
        <v>2492994</v>
      </c>
      <c r="AC153" s="158">
        <v>276999</v>
      </c>
      <c r="AD153" s="158">
        <v>125196</v>
      </c>
      <c r="AE153" s="158">
        <v>0</v>
      </c>
      <c r="AF153" s="158">
        <v>148450</v>
      </c>
      <c r="AG153" s="158">
        <v>0</v>
      </c>
      <c r="AH153" s="158">
        <v>0</v>
      </c>
      <c r="AI153" s="158">
        <v>0</v>
      </c>
      <c r="AJ153" s="158">
        <v>0</v>
      </c>
      <c r="AK153" s="158">
        <v>2755318</v>
      </c>
      <c r="AL153" s="158">
        <v>145</v>
      </c>
      <c r="AM153" s="158">
        <v>2</v>
      </c>
      <c r="AN153" s="158">
        <v>0</v>
      </c>
      <c r="AO153" s="158">
        <v>5</v>
      </c>
      <c r="AP153" s="158">
        <v>0</v>
      </c>
      <c r="AQ153" s="158">
        <v>510</v>
      </c>
      <c r="AR153" s="158">
        <v>14</v>
      </c>
      <c r="AS153" s="158">
        <v>2</v>
      </c>
      <c r="AT153" s="158">
        <v>0</v>
      </c>
      <c r="AU153" s="158">
        <v>0</v>
      </c>
      <c r="AV153" s="158">
        <v>0</v>
      </c>
      <c r="AW153" s="158">
        <v>0</v>
      </c>
      <c r="AX153" s="158">
        <v>1</v>
      </c>
      <c r="AY153" s="158">
        <v>311</v>
      </c>
      <c r="AZ153" s="158">
        <v>1013</v>
      </c>
      <c r="BA153" s="158">
        <v>1412</v>
      </c>
      <c r="BB153" s="158">
        <v>1313</v>
      </c>
      <c r="BC153" s="158">
        <v>99</v>
      </c>
      <c r="BD153" s="158">
        <v>979</v>
      </c>
      <c r="BE153" s="158">
        <v>-34944</v>
      </c>
      <c r="BF153" s="158">
        <v>-171316</v>
      </c>
      <c r="BG153" s="158">
        <v>0</v>
      </c>
      <c r="BH153" s="158">
        <v>-2305</v>
      </c>
      <c r="BI153" s="158">
        <v>-354020</v>
      </c>
      <c r="BJ153" s="158">
        <v>-3160</v>
      </c>
      <c r="BK153" s="158">
        <v>3147244</v>
      </c>
      <c r="BL153" s="1438">
        <v>8413635</v>
      </c>
      <c r="BM153" s="1439">
        <v>0</v>
      </c>
      <c r="BN153" s="784" t="s">
        <v>2349</v>
      </c>
      <c r="BO153" s="784" t="s">
        <v>2352</v>
      </c>
      <c r="BP153" s="1400" t="s">
        <v>2508</v>
      </c>
      <c r="BQ153" s="509"/>
      <c r="BR153" s="509"/>
      <c r="BS153" s="509"/>
      <c r="BT153" s="509"/>
      <c r="BU153" s="509"/>
      <c r="BV153" s="509"/>
      <c r="BW153" s="509"/>
      <c r="BX153" s="509"/>
      <c r="BY153" s="509"/>
      <c r="BZ153" s="509"/>
      <c r="CA153" s="509"/>
      <c r="CB153" s="509"/>
      <c r="CC153" s="509"/>
      <c r="CD153" s="509"/>
      <c r="CE153" s="509"/>
      <c r="CF153" s="509"/>
      <c r="CG153" s="509"/>
      <c r="CH153" s="509"/>
      <c r="CI153" s="509"/>
      <c r="CJ153" s="509"/>
      <c r="CK153" s="509"/>
      <c r="CL153" s="509"/>
      <c r="CM153" s="509"/>
      <c r="CN153" s="509"/>
      <c r="CO153" s="509"/>
      <c r="CP153" s="509"/>
      <c r="CQ153" s="509"/>
      <c r="CR153" s="509"/>
      <c r="CS153" s="509"/>
    </row>
    <row r="154" spans="1:97" s="137" customFormat="1" ht="12.75" customHeight="1" x14ac:dyDescent="0.2">
      <c r="A154" s="1421">
        <v>150</v>
      </c>
      <c r="B154" s="649" t="s">
        <v>599</v>
      </c>
      <c r="C154" s="1607" t="s">
        <v>189</v>
      </c>
      <c r="D154" s="1605">
        <v>268781</v>
      </c>
      <c r="E154" s="1405">
        <v>253657854</v>
      </c>
      <c r="F154" s="1405">
        <v>6452</v>
      </c>
      <c r="G154" s="158">
        <v>-7202218</v>
      </c>
      <c r="H154" s="158">
        <v>-10878501</v>
      </c>
      <c r="I154" s="158">
        <v>-116248</v>
      </c>
      <c r="J154" s="158">
        <v>-2392</v>
      </c>
      <c r="K154" s="158">
        <v>-24545</v>
      </c>
      <c r="L154" s="158">
        <v>0</v>
      </c>
      <c r="M154" s="158">
        <v>-1963308</v>
      </c>
      <c r="N154" s="158">
        <v>-87022</v>
      </c>
      <c r="O154" s="158">
        <v>-74883</v>
      </c>
      <c r="P154" s="158">
        <v>0</v>
      </c>
      <c r="Q154" s="158">
        <v>0</v>
      </c>
      <c r="R154" s="158">
        <v>0</v>
      </c>
      <c r="S154" s="158">
        <v>0</v>
      </c>
      <c r="T154" s="158">
        <v>0</v>
      </c>
      <c r="U154" s="158">
        <v>-7310204</v>
      </c>
      <c r="V154" s="158">
        <v>102823853</v>
      </c>
      <c r="W154" s="158">
        <v>-2081365</v>
      </c>
      <c r="X154" s="158">
        <v>181443600</v>
      </c>
      <c r="Y154" s="158">
        <v>251818556</v>
      </c>
      <c r="Z154" s="158">
        <v>50938986</v>
      </c>
      <c r="AA154" s="158">
        <v>49920206</v>
      </c>
      <c r="AB154" s="158">
        <v>0</v>
      </c>
      <c r="AC154" s="158">
        <v>1018780</v>
      </c>
      <c r="AD154" s="158">
        <v>266817</v>
      </c>
      <c r="AE154" s="158">
        <v>0</v>
      </c>
      <c r="AF154" s="158">
        <v>65515</v>
      </c>
      <c r="AG154" s="158">
        <v>0</v>
      </c>
      <c r="AH154" s="158">
        <v>0</v>
      </c>
      <c r="AI154" s="158">
        <v>0</v>
      </c>
      <c r="AJ154" s="158">
        <v>0</v>
      </c>
      <c r="AK154" s="158">
        <v>4121363</v>
      </c>
      <c r="AL154" s="158">
        <v>323</v>
      </c>
      <c r="AM154" s="158">
        <v>8</v>
      </c>
      <c r="AN154" s="158">
        <v>1</v>
      </c>
      <c r="AO154" s="158">
        <v>11</v>
      </c>
      <c r="AP154" s="158">
        <v>0</v>
      </c>
      <c r="AQ154" s="158">
        <v>242</v>
      </c>
      <c r="AR154" s="158">
        <v>82</v>
      </c>
      <c r="AS154" s="158">
        <v>1</v>
      </c>
      <c r="AT154" s="158">
        <v>0</v>
      </c>
      <c r="AU154" s="158">
        <v>0</v>
      </c>
      <c r="AV154" s="158">
        <v>0</v>
      </c>
      <c r="AW154" s="158">
        <v>0</v>
      </c>
      <c r="AX154" s="158">
        <v>0</v>
      </c>
      <c r="AY154" s="158">
        <v>891</v>
      </c>
      <c r="AZ154" s="158">
        <v>3835</v>
      </c>
      <c r="BA154" s="158">
        <v>2360</v>
      </c>
      <c r="BB154" s="158">
        <v>2134</v>
      </c>
      <c r="BC154" s="158">
        <v>226</v>
      </c>
      <c r="BD154" s="158">
        <v>251</v>
      </c>
      <c r="BE154" s="158">
        <v>0</v>
      </c>
      <c r="BF154" s="158">
        <v>0</v>
      </c>
      <c r="BG154" s="158">
        <v>0</v>
      </c>
      <c r="BH154" s="158">
        <v>-124772</v>
      </c>
      <c r="BI154" s="158">
        <v>-68063</v>
      </c>
      <c r="BJ154" s="158">
        <v>-1770473</v>
      </c>
      <c r="BK154" s="158">
        <v>3022498</v>
      </c>
      <c r="BL154" s="1438">
        <v>23823872</v>
      </c>
      <c r="BM154" s="1439">
        <v>0</v>
      </c>
      <c r="BN154" s="784" t="s">
        <v>509</v>
      </c>
      <c r="BO154" s="784" t="s">
        <v>2350</v>
      </c>
      <c r="BP154" s="1400" t="s">
        <v>2509</v>
      </c>
      <c r="BQ154" s="509"/>
      <c r="BR154" s="509"/>
      <c r="BS154" s="509"/>
      <c r="BT154" s="509"/>
      <c r="BU154" s="509"/>
      <c r="BV154" s="509"/>
      <c r="BW154" s="509"/>
      <c r="BX154" s="509"/>
      <c r="BY154" s="509"/>
      <c r="BZ154" s="509"/>
      <c r="CA154" s="509"/>
      <c r="CB154" s="509"/>
      <c r="CC154" s="509"/>
      <c r="CD154" s="509"/>
      <c r="CE154" s="509"/>
      <c r="CF154" s="509"/>
      <c r="CG154" s="509"/>
      <c r="CH154" s="509"/>
      <c r="CI154" s="509"/>
      <c r="CJ154" s="509"/>
      <c r="CK154" s="509"/>
      <c r="CL154" s="509"/>
      <c r="CM154" s="509"/>
      <c r="CN154" s="509"/>
      <c r="CO154" s="509"/>
      <c r="CP154" s="509"/>
      <c r="CQ154" s="509"/>
      <c r="CR154" s="509"/>
      <c r="CS154" s="509"/>
    </row>
    <row r="155" spans="1:97" s="137" customFormat="1" ht="12.75" customHeight="1" x14ac:dyDescent="0.2">
      <c r="A155" s="1421">
        <v>151</v>
      </c>
      <c r="B155" s="649" t="s">
        <v>190</v>
      </c>
      <c r="C155" s="1607" t="s">
        <v>191</v>
      </c>
      <c r="D155" s="1605">
        <v>63535</v>
      </c>
      <c r="E155" s="1405">
        <v>43551137</v>
      </c>
      <c r="F155" s="1405">
        <v>1686</v>
      </c>
      <c r="G155" s="158">
        <v>-2288075</v>
      </c>
      <c r="H155" s="158">
        <v>-1791291</v>
      </c>
      <c r="I155" s="158">
        <v>-44072</v>
      </c>
      <c r="J155" s="158">
        <v>-21857</v>
      </c>
      <c r="K155" s="158">
        <v>-3356</v>
      </c>
      <c r="L155" s="158">
        <v>0</v>
      </c>
      <c r="M155" s="158">
        <v>-159205</v>
      </c>
      <c r="N155" s="158">
        <v>-19690</v>
      </c>
      <c r="O155" s="158">
        <v>0</v>
      </c>
      <c r="P155" s="158">
        <v>-141</v>
      </c>
      <c r="Q155" s="158">
        <v>0</v>
      </c>
      <c r="R155" s="158">
        <v>0</v>
      </c>
      <c r="S155" s="158">
        <v>0</v>
      </c>
      <c r="T155" s="158">
        <v>0</v>
      </c>
      <c r="U155" s="158">
        <v>-1784426</v>
      </c>
      <c r="V155" s="158">
        <v>16214950</v>
      </c>
      <c r="W155" s="158">
        <v>-993713</v>
      </c>
      <c r="X155" s="158">
        <v>26174000</v>
      </c>
      <c r="Y155" s="158">
        <v>43729571</v>
      </c>
      <c r="Z155" s="158">
        <v>7664538</v>
      </c>
      <c r="AA155" s="158">
        <v>6131630</v>
      </c>
      <c r="AB155" s="158">
        <v>1379617</v>
      </c>
      <c r="AC155" s="158">
        <v>153291</v>
      </c>
      <c r="AD155" s="158">
        <v>63189</v>
      </c>
      <c r="AE155" s="158">
        <v>0</v>
      </c>
      <c r="AF155" s="158">
        <v>240000</v>
      </c>
      <c r="AG155" s="158">
        <v>0</v>
      </c>
      <c r="AH155" s="158">
        <v>0</v>
      </c>
      <c r="AI155" s="158">
        <v>0</v>
      </c>
      <c r="AJ155" s="158">
        <v>0</v>
      </c>
      <c r="AK155" s="158">
        <v>-830668</v>
      </c>
      <c r="AL155" s="158">
        <v>105</v>
      </c>
      <c r="AM155" s="158">
        <v>8</v>
      </c>
      <c r="AN155" s="158">
        <v>9</v>
      </c>
      <c r="AO155" s="158">
        <v>2</v>
      </c>
      <c r="AP155" s="158">
        <v>0</v>
      </c>
      <c r="AQ155" s="158">
        <v>116</v>
      </c>
      <c r="AR155" s="158">
        <v>28</v>
      </c>
      <c r="AS155" s="158">
        <v>0</v>
      </c>
      <c r="AT155" s="158">
        <v>2</v>
      </c>
      <c r="AU155" s="158">
        <v>9</v>
      </c>
      <c r="AV155" s="158">
        <v>0</v>
      </c>
      <c r="AW155" s="158">
        <v>0</v>
      </c>
      <c r="AX155" s="158">
        <v>0</v>
      </c>
      <c r="AY155" s="158">
        <v>245</v>
      </c>
      <c r="AZ155" s="158">
        <v>327</v>
      </c>
      <c r="BA155" s="158">
        <v>830</v>
      </c>
      <c r="BB155" s="158">
        <v>722</v>
      </c>
      <c r="BC155" s="158">
        <v>108</v>
      </c>
      <c r="BD155" s="158">
        <v>529</v>
      </c>
      <c r="BE155" s="158">
        <v>-139601</v>
      </c>
      <c r="BF155" s="158">
        <v>-12284</v>
      </c>
      <c r="BG155" s="158">
        <v>0</v>
      </c>
      <c r="BH155" s="158">
        <v>-175</v>
      </c>
      <c r="BI155" s="158">
        <v>-4679</v>
      </c>
      <c r="BJ155" s="158">
        <v>-2466</v>
      </c>
      <c r="BK155" s="158">
        <v>-364333</v>
      </c>
      <c r="BL155" s="1438">
        <v>6319850</v>
      </c>
      <c r="BM155" s="1439">
        <v>0</v>
      </c>
      <c r="BN155" s="784" t="s">
        <v>2349</v>
      </c>
      <c r="BO155" s="784" t="s">
        <v>2352</v>
      </c>
      <c r="BP155" s="1400" t="s">
        <v>2510</v>
      </c>
      <c r="BQ155" s="509"/>
      <c r="BR155" s="509"/>
      <c r="BS155" s="509"/>
      <c r="BT155" s="509"/>
      <c r="BU155" s="509"/>
      <c r="BV155" s="509"/>
      <c r="BW155" s="509"/>
      <c r="BX155" s="509"/>
      <c r="BY155" s="509"/>
      <c r="BZ155" s="509"/>
      <c r="CA155" s="509"/>
      <c r="CB155" s="509"/>
      <c r="CC155" s="509"/>
      <c r="CD155" s="509"/>
      <c r="CE155" s="509"/>
      <c r="CF155" s="509"/>
      <c r="CG155" s="509"/>
      <c r="CH155" s="509"/>
      <c r="CI155" s="509"/>
      <c r="CJ155" s="509"/>
      <c r="CK155" s="509"/>
      <c r="CL155" s="509"/>
      <c r="CM155" s="509"/>
      <c r="CN155" s="509"/>
      <c r="CO155" s="509"/>
      <c r="CP155" s="509"/>
      <c r="CQ155" s="509"/>
      <c r="CR155" s="509"/>
      <c r="CS155" s="509"/>
    </row>
    <row r="156" spans="1:97" s="137" customFormat="1" ht="12.75" customHeight="1" x14ac:dyDescent="0.2">
      <c r="A156" s="1421">
        <v>152</v>
      </c>
      <c r="B156" s="649" t="s">
        <v>192</v>
      </c>
      <c r="C156" s="1607" t="s">
        <v>193</v>
      </c>
      <c r="D156" s="1605">
        <v>255623</v>
      </c>
      <c r="E156" s="1405">
        <v>242483626</v>
      </c>
      <c r="F156" s="1405">
        <v>5345</v>
      </c>
      <c r="G156" s="158">
        <v>-4807398</v>
      </c>
      <c r="H156" s="158">
        <v>-7954033</v>
      </c>
      <c r="I156" s="158">
        <v>-111265</v>
      </c>
      <c r="J156" s="158">
        <v>0</v>
      </c>
      <c r="K156" s="158">
        <v>0</v>
      </c>
      <c r="L156" s="158">
        <v>0</v>
      </c>
      <c r="M156" s="158">
        <v>-1489078</v>
      </c>
      <c r="N156" s="158">
        <v>-201502</v>
      </c>
      <c r="O156" s="158">
        <v>-52976</v>
      </c>
      <c r="P156" s="158">
        <v>0</v>
      </c>
      <c r="Q156" s="158">
        <v>0</v>
      </c>
      <c r="R156" s="158">
        <v>-50000</v>
      </c>
      <c r="S156" s="158">
        <v>0</v>
      </c>
      <c r="T156" s="158">
        <v>0</v>
      </c>
      <c r="U156" s="158">
        <v>-8691034</v>
      </c>
      <c r="V156" s="158">
        <v>102680275</v>
      </c>
      <c r="W156" s="158">
        <v>-1225830</v>
      </c>
      <c r="X156" s="158">
        <v>187147600</v>
      </c>
      <c r="Y156" s="158">
        <v>244068912</v>
      </c>
      <c r="Z156" s="158">
        <v>32651247</v>
      </c>
      <c r="AA156" s="158">
        <v>29682953</v>
      </c>
      <c r="AB156" s="158">
        <v>36608975</v>
      </c>
      <c r="AC156" s="158">
        <v>0</v>
      </c>
      <c r="AD156" s="158">
        <v>440890</v>
      </c>
      <c r="AE156" s="158">
        <v>0</v>
      </c>
      <c r="AF156" s="158">
        <v>0</v>
      </c>
      <c r="AG156" s="158">
        <v>0</v>
      </c>
      <c r="AH156" s="158">
        <v>0</v>
      </c>
      <c r="AI156" s="158">
        <v>0</v>
      </c>
      <c r="AJ156" s="158">
        <v>0</v>
      </c>
      <c r="AK156" s="158">
        <v>5164142</v>
      </c>
      <c r="AL156" s="158">
        <v>216</v>
      </c>
      <c r="AM156" s="158">
        <v>7</v>
      </c>
      <c r="AN156" s="158">
        <v>0</v>
      </c>
      <c r="AO156" s="158">
        <v>0</v>
      </c>
      <c r="AP156" s="158">
        <v>0</v>
      </c>
      <c r="AQ156" s="158">
        <v>190</v>
      </c>
      <c r="AR156" s="158">
        <v>62</v>
      </c>
      <c r="AS156" s="158">
        <v>7</v>
      </c>
      <c r="AT156" s="158">
        <v>0</v>
      </c>
      <c r="AU156" s="158">
        <v>0</v>
      </c>
      <c r="AV156" s="158">
        <v>0</v>
      </c>
      <c r="AW156" s="158">
        <v>0</v>
      </c>
      <c r="AX156" s="158">
        <v>0</v>
      </c>
      <c r="AY156" s="158">
        <v>744</v>
      </c>
      <c r="AZ156" s="158">
        <v>1550</v>
      </c>
      <c r="BA156" s="158">
        <v>1471</v>
      </c>
      <c r="BB156" s="158">
        <v>1287</v>
      </c>
      <c r="BC156" s="158">
        <v>184</v>
      </c>
      <c r="BD156" s="158">
        <v>2360</v>
      </c>
      <c r="BE156" s="158">
        <v>-397554</v>
      </c>
      <c r="BF156" s="158">
        <v>-367873</v>
      </c>
      <c r="BG156" s="158">
        <v>0</v>
      </c>
      <c r="BH156" s="158">
        <v>-111517</v>
      </c>
      <c r="BI156" s="158">
        <v>-443779</v>
      </c>
      <c r="BJ156" s="158">
        <v>-168355</v>
      </c>
      <c r="BK156" s="158">
        <v>2966318</v>
      </c>
      <c r="BL156" s="1438">
        <v>20361250</v>
      </c>
      <c r="BM156" s="1439">
        <v>0</v>
      </c>
      <c r="BN156" s="784" t="s">
        <v>2359</v>
      </c>
      <c r="BO156" s="784" t="s">
        <v>2360</v>
      </c>
      <c r="BP156" s="1400" t="s">
        <v>2511</v>
      </c>
      <c r="BQ156" s="509"/>
      <c r="BR156" s="509"/>
      <c r="BS156" s="509"/>
      <c r="BT156" s="509"/>
      <c r="BU156" s="509"/>
      <c r="BV156" s="509"/>
      <c r="BW156" s="509"/>
      <c r="BX156" s="509"/>
      <c r="BY156" s="509"/>
      <c r="BZ156" s="509"/>
      <c r="CA156" s="509"/>
      <c r="CB156" s="509"/>
      <c r="CC156" s="509"/>
      <c r="CD156" s="509"/>
      <c r="CE156" s="509"/>
      <c r="CF156" s="509"/>
      <c r="CG156" s="509"/>
      <c r="CH156" s="509"/>
      <c r="CI156" s="509"/>
      <c r="CJ156" s="509"/>
      <c r="CK156" s="509"/>
      <c r="CL156" s="509"/>
      <c r="CM156" s="509"/>
      <c r="CN156" s="509"/>
      <c r="CO156" s="509"/>
      <c r="CP156" s="509"/>
      <c r="CQ156" s="509"/>
      <c r="CR156" s="509"/>
      <c r="CS156" s="509"/>
    </row>
    <row r="157" spans="1:97" s="137" customFormat="1" ht="12.75" customHeight="1" x14ac:dyDescent="0.2">
      <c r="A157" s="1421">
        <v>153</v>
      </c>
      <c r="B157" s="649" t="s">
        <v>194</v>
      </c>
      <c r="C157" s="1607" t="s">
        <v>195</v>
      </c>
      <c r="D157" s="1605">
        <v>123908</v>
      </c>
      <c r="E157" s="1405">
        <v>54553197</v>
      </c>
      <c r="F157" s="1405">
        <v>3560</v>
      </c>
      <c r="G157" s="158">
        <v>-4127431</v>
      </c>
      <c r="H157" s="158">
        <v>-1785632</v>
      </c>
      <c r="I157" s="158">
        <v>-21756</v>
      </c>
      <c r="J157" s="158">
        <v>-23789</v>
      </c>
      <c r="K157" s="158">
        <v>-6949</v>
      </c>
      <c r="L157" s="158">
        <v>0</v>
      </c>
      <c r="M157" s="158">
        <v>-231772</v>
      </c>
      <c r="N157" s="158">
        <v>-77318</v>
      </c>
      <c r="O157" s="158">
        <v>-4987</v>
      </c>
      <c r="P157" s="158">
        <v>-3604</v>
      </c>
      <c r="Q157" s="158">
        <v>0</v>
      </c>
      <c r="R157" s="158">
        <v>0</v>
      </c>
      <c r="S157" s="158">
        <v>0</v>
      </c>
      <c r="T157" s="158">
        <v>0</v>
      </c>
      <c r="U157" s="158">
        <v>-2345193</v>
      </c>
      <c r="V157" s="158">
        <v>17980662</v>
      </c>
      <c r="W157" s="158">
        <v>-250000</v>
      </c>
      <c r="X157" s="158">
        <v>24868950</v>
      </c>
      <c r="Y157" s="158">
        <v>53969372</v>
      </c>
      <c r="Z157" s="158">
        <v>9152176</v>
      </c>
      <c r="AA157" s="158">
        <v>7321741</v>
      </c>
      <c r="AB157" s="158">
        <v>1647392</v>
      </c>
      <c r="AC157" s="158">
        <v>183044</v>
      </c>
      <c r="AD157" s="158">
        <v>123164</v>
      </c>
      <c r="AE157" s="158">
        <v>0</v>
      </c>
      <c r="AF157" s="158">
        <v>334661</v>
      </c>
      <c r="AG157" s="158">
        <v>0</v>
      </c>
      <c r="AH157" s="158">
        <v>0</v>
      </c>
      <c r="AI157" s="158">
        <v>0</v>
      </c>
      <c r="AJ157" s="158">
        <v>0</v>
      </c>
      <c r="AK157" s="158">
        <v>669761</v>
      </c>
      <c r="AL157" s="158">
        <v>214</v>
      </c>
      <c r="AM157" s="158">
        <v>4</v>
      </c>
      <c r="AN157" s="158">
        <v>14</v>
      </c>
      <c r="AO157" s="158">
        <v>6</v>
      </c>
      <c r="AP157" s="158">
        <v>0</v>
      </c>
      <c r="AQ157" s="158">
        <v>227</v>
      </c>
      <c r="AR157" s="158">
        <v>120</v>
      </c>
      <c r="AS157" s="158">
        <v>14</v>
      </c>
      <c r="AT157" s="158">
        <v>8</v>
      </c>
      <c r="AU157" s="158">
        <v>0</v>
      </c>
      <c r="AV157" s="158">
        <v>0</v>
      </c>
      <c r="AW157" s="158">
        <v>0</v>
      </c>
      <c r="AX157" s="158">
        <v>0</v>
      </c>
      <c r="AY157" s="158">
        <v>302</v>
      </c>
      <c r="AZ157" s="158">
        <v>162</v>
      </c>
      <c r="BA157" s="158">
        <v>1839</v>
      </c>
      <c r="BB157" s="158">
        <v>1732</v>
      </c>
      <c r="BC157" s="158">
        <v>107</v>
      </c>
      <c r="BD157" s="158">
        <v>540</v>
      </c>
      <c r="BE157" s="158">
        <v>-12198</v>
      </c>
      <c r="BF157" s="158">
        <v>-107174</v>
      </c>
      <c r="BG157" s="158">
        <v>0</v>
      </c>
      <c r="BH157" s="158">
        <v>0</v>
      </c>
      <c r="BI157" s="158">
        <v>-112400</v>
      </c>
      <c r="BJ157" s="158">
        <v>0</v>
      </c>
      <c r="BK157" s="158">
        <v>486696</v>
      </c>
      <c r="BL157" s="1438">
        <v>7886450</v>
      </c>
      <c r="BM157" s="1439">
        <v>0</v>
      </c>
      <c r="BN157" s="784" t="s">
        <v>2349</v>
      </c>
      <c r="BO157" s="784" t="s">
        <v>2369</v>
      </c>
      <c r="BP157" s="1400" t="s">
        <v>2512</v>
      </c>
      <c r="BQ157" s="509"/>
      <c r="BR157" s="509"/>
      <c r="BS157" s="509"/>
      <c r="BT157" s="509"/>
      <c r="BU157" s="509"/>
      <c r="BV157" s="509"/>
      <c r="BW157" s="509"/>
      <c r="BX157" s="509"/>
      <c r="BY157" s="509"/>
      <c r="BZ157" s="509"/>
      <c r="CA157" s="509"/>
      <c r="CB157" s="509"/>
      <c r="CC157" s="509"/>
      <c r="CD157" s="509"/>
      <c r="CE157" s="509"/>
      <c r="CF157" s="509"/>
      <c r="CG157" s="509"/>
      <c r="CH157" s="509"/>
      <c r="CI157" s="509"/>
      <c r="CJ157" s="509"/>
      <c r="CK157" s="509"/>
      <c r="CL157" s="509"/>
      <c r="CM157" s="509"/>
      <c r="CN157" s="509"/>
      <c r="CO157" s="509"/>
      <c r="CP157" s="509"/>
      <c r="CQ157" s="509"/>
      <c r="CR157" s="509"/>
      <c r="CS157" s="509"/>
    </row>
    <row r="158" spans="1:97" s="137" customFormat="1" ht="12.75" customHeight="1" x14ac:dyDescent="0.2">
      <c r="A158" s="1421">
        <v>154</v>
      </c>
      <c r="B158" s="649" t="s">
        <v>196</v>
      </c>
      <c r="C158" s="1607" t="s">
        <v>197</v>
      </c>
      <c r="D158" s="1605">
        <v>133816</v>
      </c>
      <c r="E158" s="1405">
        <v>85642060</v>
      </c>
      <c r="F158" s="1405">
        <v>3582</v>
      </c>
      <c r="G158" s="158">
        <v>-4036702</v>
      </c>
      <c r="H158" s="158">
        <v>-2332830</v>
      </c>
      <c r="I158" s="158">
        <v>-81159</v>
      </c>
      <c r="J158" s="158">
        <v>-82354</v>
      </c>
      <c r="K158" s="158">
        <v>-2964</v>
      </c>
      <c r="L158" s="158">
        <v>0</v>
      </c>
      <c r="M158" s="158">
        <v>-548975</v>
      </c>
      <c r="N158" s="158">
        <v>-179836</v>
      </c>
      <c r="O158" s="158">
        <v>-34116</v>
      </c>
      <c r="P158" s="158">
        <v>-17850</v>
      </c>
      <c r="Q158" s="158">
        <v>-5589</v>
      </c>
      <c r="R158" s="158">
        <v>-1501500</v>
      </c>
      <c r="S158" s="158">
        <v>0</v>
      </c>
      <c r="T158" s="158">
        <v>0</v>
      </c>
      <c r="U158" s="158">
        <v>-2193637</v>
      </c>
      <c r="V158" s="158">
        <v>36118905</v>
      </c>
      <c r="W158" s="158">
        <v>-1489024</v>
      </c>
      <c r="X158" s="158">
        <v>50099250</v>
      </c>
      <c r="Y158" s="158">
        <v>80988179</v>
      </c>
      <c r="Z158" s="158">
        <v>17271255</v>
      </c>
      <c r="AA158" s="158">
        <v>13817004</v>
      </c>
      <c r="AB158" s="158">
        <v>3454251</v>
      </c>
      <c r="AC158" s="158">
        <v>0</v>
      </c>
      <c r="AD158" s="158">
        <v>132662</v>
      </c>
      <c r="AE158" s="158">
        <v>0</v>
      </c>
      <c r="AF158" s="158">
        <v>858090</v>
      </c>
      <c r="AG158" s="158">
        <v>0</v>
      </c>
      <c r="AH158" s="158">
        <v>0</v>
      </c>
      <c r="AI158" s="158">
        <v>0</v>
      </c>
      <c r="AJ158" s="158">
        <v>0</v>
      </c>
      <c r="AK158" s="158">
        <v>990333</v>
      </c>
      <c r="AL158" s="158">
        <v>266</v>
      </c>
      <c r="AM158" s="158">
        <v>11</v>
      </c>
      <c r="AN158" s="158">
        <v>37</v>
      </c>
      <c r="AO158" s="158">
        <v>3</v>
      </c>
      <c r="AP158" s="158">
        <v>0</v>
      </c>
      <c r="AQ158" s="158">
        <v>222</v>
      </c>
      <c r="AR158" s="158">
        <v>180</v>
      </c>
      <c r="AS158" s="158">
        <v>6</v>
      </c>
      <c r="AT158" s="158">
        <v>8</v>
      </c>
      <c r="AU158" s="158">
        <v>0</v>
      </c>
      <c r="AV158" s="158">
        <v>1</v>
      </c>
      <c r="AW158" s="158">
        <v>0</v>
      </c>
      <c r="AX158" s="158">
        <v>0</v>
      </c>
      <c r="AY158" s="158">
        <v>285</v>
      </c>
      <c r="AZ158" s="158">
        <v>898</v>
      </c>
      <c r="BA158" s="158">
        <v>1627</v>
      </c>
      <c r="BB158" s="158">
        <v>1540</v>
      </c>
      <c r="BC158" s="158">
        <v>87</v>
      </c>
      <c r="BD158" s="158">
        <v>1041</v>
      </c>
      <c r="BE158" s="158">
        <v>-3919</v>
      </c>
      <c r="BF158" s="158">
        <v>-316611</v>
      </c>
      <c r="BG158" s="158">
        <v>0</v>
      </c>
      <c r="BH158" s="158">
        <v>0</v>
      </c>
      <c r="BI158" s="158">
        <v>-228445</v>
      </c>
      <c r="BJ158" s="158">
        <v>0</v>
      </c>
      <c r="BK158" s="158">
        <v>3594202</v>
      </c>
      <c r="BL158" s="1438">
        <v>10677550</v>
      </c>
      <c r="BM158" s="1439">
        <v>0</v>
      </c>
      <c r="BN158" s="784" t="s">
        <v>2349</v>
      </c>
      <c r="BO158" s="784" t="s">
        <v>2357</v>
      </c>
      <c r="BP158" s="1400" t="s">
        <v>2513</v>
      </c>
      <c r="BQ158" s="509"/>
      <c r="BR158" s="509"/>
      <c r="BS158" s="509"/>
      <c r="BT158" s="509"/>
      <c r="BU158" s="509"/>
      <c r="BV158" s="509"/>
      <c r="BW158" s="509"/>
      <c r="BX158" s="509"/>
      <c r="BY158" s="509"/>
      <c r="BZ158" s="509"/>
      <c r="CA158" s="509"/>
      <c r="CB158" s="509"/>
      <c r="CC158" s="509"/>
      <c r="CD158" s="509"/>
      <c r="CE158" s="509"/>
      <c r="CF158" s="509"/>
      <c r="CG158" s="509"/>
      <c r="CH158" s="509"/>
      <c r="CI158" s="509"/>
      <c r="CJ158" s="509"/>
      <c r="CK158" s="509"/>
      <c r="CL158" s="509"/>
      <c r="CM158" s="509"/>
      <c r="CN158" s="509"/>
      <c r="CO158" s="509"/>
      <c r="CP158" s="509"/>
      <c r="CQ158" s="509"/>
      <c r="CR158" s="509"/>
      <c r="CS158" s="509"/>
    </row>
    <row r="159" spans="1:97" s="137" customFormat="1" ht="12.75" customHeight="1" x14ac:dyDescent="0.2">
      <c r="A159" s="1421">
        <v>155</v>
      </c>
      <c r="B159" s="649" t="s">
        <v>198</v>
      </c>
      <c r="C159" s="1607" t="s">
        <v>199</v>
      </c>
      <c r="D159" s="1605">
        <v>182014</v>
      </c>
      <c r="E159" s="1405">
        <v>148123805</v>
      </c>
      <c r="F159" s="1405">
        <v>4621</v>
      </c>
      <c r="G159" s="158">
        <v>-4404365</v>
      </c>
      <c r="H159" s="158">
        <v>-5747529</v>
      </c>
      <c r="I159" s="158">
        <v>-61449</v>
      </c>
      <c r="J159" s="158">
        <v>-5090</v>
      </c>
      <c r="K159" s="158">
        <v>-11291</v>
      </c>
      <c r="L159" s="158">
        <v>0</v>
      </c>
      <c r="M159" s="158">
        <v>-755703</v>
      </c>
      <c r="N159" s="158">
        <v>-117631</v>
      </c>
      <c r="O159" s="158">
        <v>-824362</v>
      </c>
      <c r="P159" s="158">
        <v>-5364</v>
      </c>
      <c r="Q159" s="158">
        <v>0</v>
      </c>
      <c r="R159" s="158">
        <v>0</v>
      </c>
      <c r="S159" s="158">
        <v>0</v>
      </c>
      <c r="T159" s="158">
        <v>0</v>
      </c>
      <c r="U159" s="158">
        <v>-4079558</v>
      </c>
      <c r="V159" s="158">
        <v>57498155</v>
      </c>
      <c r="W159" s="158">
        <v>-1724945</v>
      </c>
      <c r="X159" s="158">
        <v>93267400</v>
      </c>
      <c r="Y159" s="158">
        <v>142811303</v>
      </c>
      <c r="Z159" s="158">
        <v>27579637</v>
      </c>
      <c r="AA159" s="158">
        <v>22063710</v>
      </c>
      <c r="AB159" s="158">
        <v>5515927</v>
      </c>
      <c r="AC159" s="158">
        <v>0</v>
      </c>
      <c r="AD159" s="158">
        <v>179129</v>
      </c>
      <c r="AE159" s="158">
        <v>0</v>
      </c>
      <c r="AF159" s="158">
        <v>1155071</v>
      </c>
      <c r="AG159" s="158">
        <v>0</v>
      </c>
      <c r="AH159" s="158">
        <v>0</v>
      </c>
      <c r="AI159" s="158">
        <v>0</v>
      </c>
      <c r="AJ159" s="158">
        <v>0</v>
      </c>
      <c r="AK159" s="158">
        <v>-3025274</v>
      </c>
      <c r="AL159" s="158">
        <v>239</v>
      </c>
      <c r="AM159" s="158">
        <v>9</v>
      </c>
      <c r="AN159" s="158">
        <v>2</v>
      </c>
      <c r="AO159" s="158">
        <v>9</v>
      </c>
      <c r="AP159" s="158">
        <v>0</v>
      </c>
      <c r="AQ159" s="158">
        <v>287</v>
      </c>
      <c r="AR159" s="158">
        <v>81</v>
      </c>
      <c r="AS159" s="158">
        <v>10</v>
      </c>
      <c r="AT159" s="158">
        <v>5</v>
      </c>
      <c r="AU159" s="158">
        <v>0</v>
      </c>
      <c r="AV159" s="158">
        <v>0</v>
      </c>
      <c r="AW159" s="158">
        <v>0</v>
      </c>
      <c r="AX159" s="158">
        <v>0</v>
      </c>
      <c r="AY159" s="158">
        <v>384</v>
      </c>
      <c r="AZ159" s="158">
        <v>943</v>
      </c>
      <c r="BA159" s="158">
        <v>1491</v>
      </c>
      <c r="BB159" s="158">
        <v>1311</v>
      </c>
      <c r="BC159" s="158">
        <v>180</v>
      </c>
      <c r="BD159" s="158">
        <v>2236</v>
      </c>
      <c r="BE159" s="158">
        <v>-440227</v>
      </c>
      <c r="BF159" s="158">
        <v>-77297</v>
      </c>
      <c r="BG159" s="158">
        <v>0</v>
      </c>
      <c r="BH159" s="158">
        <v>-40669</v>
      </c>
      <c r="BI159" s="158">
        <v>-197510</v>
      </c>
      <c r="BJ159" s="158">
        <v>0</v>
      </c>
      <c r="BK159" s="158">
        <v>-2852589</v>
      </c>
      <c r="BL159" s="1438">
        <v>22516300</v>
      </c>
      <c r="BM159" s="1439">
        <v>0</v>
      </c>
      <c r="BN159" s="784" t="s">
        <v>2349</v>
      </c>
      <c r="BO159" s="784" t="s">
        <v>2350</v>
      </c>
      <c r="BP159" s="1400" t="s">
        <v>2514</v>
      </c>
      <c r="BQ159" s="509"/>
      <c r="BR159" s="509"/>
      <c r="BS159" s="509"/>
      <c r="BT159" s="509"/>
      <c r="BU159" s="509"/>
      <c r="BV159" s="509"/>
      <c r="BW159" s="509"/>
      <c r="BX159" s="509"/>
      <c r="BY159" s="509"/>
      <c r="BZ159" s="509"/>
      <c r="CA159" s="509"/>
      <c r="CB159" s="509"/>
      <c r="CC159" s="509"/>
      <c r="CD159" s="509"/>
      <c r="CE159" s="509"/>
      <c r="CF159" s="509"/>
      <c r="CG159" s="509"/>
      <c r="CH159" s="509"/>
      <c r="CI159" s="509"/>
      <c r="CJ159" s="509"/>
      <c r="CK159" s="509"/>
      <c r="CL159" s="509"/>
      <c r="CM159" s="509"/>
      <c r="CN159" s="509"/>
      <c r="CO159" s="509"/>
      <c r="CP159" s="509"/>
      <c r="CQ159" s="509"/>
      <c r="CR159" s="509"/>
      <c r="CS159" s="509"/>
    </row>
    <row r="160" spans="1:97" s="137" customFormat="1" ht="12.75" customHeight="1" x14ac:dyDescent="0.2">
      <c r="A160" s="1421">
        <v>156</v>
      </c>
      <c r="B160" s="649" t="s">
        <v>543</v>
      </c>
      <c r="C160" s="1607" t="s">
        <v>201</v>
      </c>
      <c r="D160" s="1605">
        <v>169949</v>
      </c>
      <c r="E160" s="1405">
        <v>102512658</v>
      </c>
      <c r="F160" s="1405">
        <v>4635</v>
      </c>
      <c r="G160" s="158">
        <v>-3667058</v>
      </c>
      <c r="H160" s="158">
        <v>-7365585</v>
      </c>
      <c r="I160" s="158">
        <v>-63634</v>
      </c>
      <c r="J160" s="158">
        <v>0</v>
      </c>
      <c r="K160" s="158">
        <v>0</v>
      </c>
      <c r="L160" s="158">
        <v>0</v>
      </c>
      <c r="M160" s="158">
        <v>-1560044</v>
      </c>
      <c r="N160" s="158">
        <v>0</v>
      </c>
      <c r="O160" s="158">
        <v>-232</v>
      </c>
      <c r="P160" s="158">
        <v>0</v>
      </c>
      <c r="Q160" s="158">
        <v>0</v>
      </c>
      <c r="R160" s="158">
        <v>-138008</v>
      </c>
      <c r="S160" s="158">
        <v>-138008</v>
      </c>
      <c r="T160" s="158">
        <v>0</v>
      </c>
      <c r="U160" s="158">
        <v>-3000693</v>
      </c>
      <c r="V160" s="158">
        <v>37383787</v>
      </c>
      <c r="W160" s="158">
        <v>-798434</v>
      </c>
      <c r="X160" s="158">
        <v>60554750</v>
      </c>
      <c r="Y160" s="158">
        <v>101819906</v>
      </c>
      <c r="Z160" s="158">
        <v>17682614</v>
      </c>
      <c r="AA160" s="158">
        <v>17464210</v>
      </c>
      <c r="AB160" s="158">
        <v>0</v>
      </c>
      <c r="AC160" s="158">
        <v>356412</v>
      </c>
      <c r="AD160" s="158">
        <v>169415</v>
      </c>
      <c r="AE160" s="158">
        <v>563659</v>
      </c>
      <c r="AF160" s="158">
        <v>242009</v>
      </c>
      <c r="AG160" s="158">
        <v>0</v>
      </c>
      <c r="AH160" s="158">
        <v>138008</v>
      </c>
      <c r="AI160" s="158">
        <v>0</v>
      </c>
      <c r="AJ160" s="158">
        <v>0</v>
      </c>
      <c r="AK160" s="158">
        <v>1250929</v>
      </c>
      <c r="AL160" s="158">
        <v>231</v>
      </c>
      <c r="AM160" s="158">
        <v>5</v>
      </c>
      <c r="AN160" s="158">
        <v>0</v>
      </c>
      <c r="AO160" s="158">
        <v>0</v>
      </c>
      <c r="AP160" s="158">
        <v>0</v>
      </c>
      <c r="AQ160" s="158">
        <v>471</v>
      </c>
      <c r="AR160" s="158">
        <v>1</v>
      </c>
      <c r="AS160" s="158">
        <v>2</v>
      </c>
      <c r="AT160" s="158">
        <v>0</v>
      </c>
      <c r="AU160" s="158">
        <v>0</v>
      </c>
      <c r="AV160" s="158">
        <v>0</v>
      </c>
      <c r="AW160" s="158">
        <v>22</v>
      </c>
      <c r="AX160" s="158">
        <v>0</v>
      </c>
      <c r="AY160" s="158">
        <v>438</v>
      </c>
      <c r="AZ160" s="158">
        <v>1196</v>
      </c>
      <c r="BA160" s="158">
        <v>1263</v>
      </c>
      <c r="BB160" s="158">
        <v>1207</v>
      </c>
      <c r="BC160" s="158">
        <v>56</v>
      </c>
      <c r="BD160" s="158">
        <v>2125</v>
      </c>
      <c r="BE160" s="158">
        <v>-186737</v>
      </c>
      <c r="BF160" s="158">
        <v>-281813</v>
      </c>
      <c r="BG160" s="158">
        <v>0</v>
      </c>
      <c r="BH160" s="158">
        <v>-77188</v>
      </c>
      <c r="BI160" s="158">
        <v>-398705</v>
      </c>
      <c r="BJ160" s="158">
        <v>-615601</v>
      </c>
      <c r="BK160" s="158">
        <v>1709414</v>
      </c>
      <c r="BL160" s="1438">
        <v>14167250</v>
      </c>
      <c r="BM160" s="1439">
        <v>1260750</v>
      </c>
      <c r="BN160" s="784" t="s">
        <v>509</v>
      </c>
      <c r="BO160" s="784" t="s">
        <v>855</v>
      </c>
      <c r="BP160" s="1400" t="s">
        <v>2515</v>
      </c>
      <c r="BQ160" s="509"/>
      <c r="BR160" s="509"/>
      <c r="BS160" s="509"/>
      <c r="BT160" s="509"/>
      <c r="BU160" s="509"/>
      <c r="BV160" s="509"/>
      <c r="BW160" s="509"/>
      <c r="BX160" s="509"/>
      <c r="BY160" s="509"/>
      <c r="BZ160" s="509"/>
      <c r="CA160" s="509"/>
      <c r="CB160" s="509"/>
      <c r="CC160" s="509"/>
      <c r="CD160" s="509"/>
      <c r="CE160" s="509"/>
      <c r="CF160" s="509"/>
      <c r="CG160" s="509"/>
      <c r="CH160" s="509"/>
      <c r="CI160" s="509"/>
      <c r="CJ160" s="509"/>
      <c r="CK160" s="509"/>
      <c r="CL160" s="509"/>
      <c r="CM160" s="509"/>
      <c r="CN160" s="509"/>
      <c r="CO160" s="509"/>
      <c r="CP160" s="509"/>
      <c r="CQ160" s="509"/>
      <c r="CR160" s="509"/>
      <c r="CS160" s="509"/>
    </row>
    <row r="161" spans="1:98" s="137" customFormat="1" ht="12.75" customHeight="1" x14ac:dyDescent="0.2">
      <c r="A161" s="1421">
        <v>157</v>
      </c>
      <c r="B161" s="649" t="s">
        <v>526</v>
      </c>
      <c r="C161" s="1607" t="s">
        <v>203</v>
      </c>
      <c r="D161" s="1605">
        <v>424067</v>
      </c>
      <c r="E161" s="1405">
        <v>491173180</v>
      </c>
      <c r="F161" s="1405">
        <v>8583</v>
      </c>
      <c r="G161" s="158">
        <v>-6451116</v>
      </c>
      <c r="H161" s="158">
        <v>-13164277</v>
      </c>
      <c r="I161" s="158">
        <v>-60315</v>
      </c>
      <c r="J161" s="158">
        <v>-16367</v>
      </c>
      <c r="K161" s="158">
        <v>-6521</v>
      </c>
      <c r="L161" s="158">
        <v>-100000</v>
      </c>
      <c r="M161" s="158">
        <v>-4349539</v>
      </c>
      <c r="N161" s="158">
        <v>-442467</v>
      </c>
      <c r="O161" s="158">
        <v>-14526</v>
      </c>
      <c r="P161" s="158">
        <v>-7148</v>
      </c>
      <c r="Q161" s="158">
        <v>0</v>
      </c>
      <c r="R161" s="158">
        <v>0</v>
      </c>
      <c r="S161" s="158">
        <v>0</v>
      </c>
      <c r="T161" s="158">
        <v>0</v>
      </c>
      <c r="U161" s="158">
        <v>-7536034</v>
      </c>
      <c r="V161" s="158">
        <v>231367606</v>
      </c>
      <c r="W161" s="158">
        <v>-4150000</v>
      </c>
      <c r="X161" s="158">
        <v>403928150</v>
      </c>
      <c r="Y161" s="158">
        <v>494211786</v>
      </c>
      <c r="Z161" s="158">
        <v>114358795</v>
      </c>
      <c r="AA161" s="158">
        <v>112071620</v>
      </c>
      <c r="AB161" s="158">
        <v>0</v>
      </c>
      <c r="AC161" s="158">
        <v>2287176</v>
      </c>
      <c r="AD161" s="158">
        <v>425962</v>
      </c>
      <c r="AE161" s="158">
        <v>0</v>
      </c>
      <c r="AF161" s="158">
        <v>252477</v>
      </c>
      <c r="AG161" s="158">
        <v>0</v>
      </c>
      <c r="AH161" s="158">
        <v>0</v>
      </c>
      <c r="AI161" s="158">
        <v>0</v>
      </c>
      <c r="AJ161" s="158">
        <v>0</v>
      </c>
      <c r="AK161" s="158">
        <v>-4044190</v>
      </c>
      <c r="AL161" s="158">
        <v>355</v>
      </c>
      <c r="AM161" s="158">
        <v>16</v>
      </c>
      <c r="AN161" s="158">
        <v>5</v>
      </c>
      <c r="AO161" s="158">
        <v>5</v>
      </c>
      <c r="AP161" s="158">
        <v>0</v>
      </c>
      <c r="AQ161" s="158">
        <v>594</v>
      </c>
      <c r="AR161" s="158">
        <v>137</v>
      </c>
      <c r="AS161" s="158">
        <v>2</v>
      </c>
      <c r="AT161" s="158">
        <v>8</v>
      </c>
      <c r="AU161" s="158">
        <v>0</v>
      </c>
      <c r="AV161" s="158">
        <v>0</v>
      </c>
      <c r="AW161" s="158">
        <v>0</v>
      </c>
      <c r="AX161" s="158">
        <v>0</v>
      </c>
      <c r="AY161" s="158">
        <v>924</v>
      </c>
      <c r="AZ161" s="158">
        <v>2758</v>
      </c>
      <c r="BA161" s="158">
        <v>2223</v>
      </c>
      <c r="BB161" s="158">
        <v>1909</v>
      </c>
      <c r="BC161" s="158">
        <v>314</v>
      </c>
      <c r="BD161" s="158">
        <v>3304</v>
      </c>
      <c r="BE161" s="158">
        <v>-876893</v>
      </c>
      <c r="BF161" s="158">
        <v>-1196202</v>
      </c>
      <c r="BG161" s="158">
        <v>0</v>
      </c>
      <c r="BH161" s="158">
        <v>-18463</v>
      </c>
      <c r="BI161" s="158">
        <v>-1096128</v>
      </c>
      <c r="BJ161" s="158">
        <v>-1161853</v>
      </c>
      <c r="BK161" s="158">
        <v>718328</v>
      </c>
      <c r="BL161" s="1438">
        <v>35649575</v>
      </c>
      <c r="BM161" s="1439">
        <v>0</v>
      </c>
      <c r="BN161" s="784" t="s">
        <v>509</v>
      </c>
      <c r="BO161" s="784" t="s">
        <v>2350</v>
      </c>
      <c r="BP161" s="1400" t="s">
        <v>2516</v>
      </c>
      <c r="BQ161" s="509"/>
      <c r="BR161" s="509"/>
      <c r="BS161" s="509"/>
      <c r="BT161" s="509"/>
      <c r="BU161" s="509"/>
      <c r="BV161" s="509"/>
      <c r="BW161" s="509"/>
      <c r="BX161" s="509"/>
      <c r="BY161" s="509"/>
      <c r="BZ161" s="509"/>
      <c r="CA161" s="509"/>
      <c r="CB161" s="509"/>
      <c r="CC161" s="509"/>
      <c r="CD161" s="509"/>
      <c r="CE161" s="509"/>
      <c r="CF161" s="509"/>
      <c r="CG161" s="509"/>
      <c r="CH161" s="509"/>
      <c r="CI161" s="509"/>
      <c r="CJ161" s="509"/>
      <c r="CK161" s="509"/>
      <c r="CL161" s="509"/>
      <c r="CM161" s="509"/>
      <c r="CN161" s="509"/>
      <c r="CO161" s="509"/>
      <c r="CP161" s="509"/>
      <c r="CQ161" s="509"/>
      <c r="CR161" s="509"/>
      <c r="CS161" s="509"/>
    </row>
    <row r="162" spans="1:98" s="137" customFormat="1" ht="12.75" customHeight="1" x14ac:dyDescent="0.2">
      <c r="A162" s="1421">
        <v>158</v>
      </c>
      <c r="B162" s="649" t="s">
        <v>204</v>
      </c>
      <c r="C162" s="1607" t="s">
        <v>205</v>
      </c>
      <c r="D162" s="1605">
        <v>139289</v>
      </c>
      <c r="E162" s="1405">
        <v>108432527</v>
      </c>
      <c r="F162" s="1405">
        <v>3152</v>
      </c>
      <c r="G162" s="158">
        <v>-2984778</v>
      </c>
      <c r="H162" s="158">
        <v>-3235626</v>
      </c>
      <c r="I162" s="158">
        <v>-34343</v>
      </c>
      <c r="J162" s="158">
        <v>-4676</v>
      </c>
      <c r="K162" s="158">
        <v>-10392</v>
      </c>
      <c r="L162" s="158">
        <v>0</v>
      </c>
      <c r="M162" s="158">
        <v>-1821609</v>
      </c>
      <c r="N162" s="158">
        <v>-43785</v>
      </c>
      <c r="O162" s="158">
        <v>-30881</v>
      </c>
      <c r="P162" s="158">
        <v>0</v>
      </c>
      <c r="Q162" s="158">
        <v>-5089</v>
      </c>
      <c r="R162" s="158">
        <v>0</v>
      </c>
      <c r="S162" s="158">
        <v>0</v>
      </c>
      <c r="T162" s="158">
        <v>0</v>
      </c>
      <c r="U162" s="158">
        <v>-4466193</v>
      </c>
      <c r="V162" s="158">
        <v>44873498</v>
      </c>
      <c r="W162" s="158">
        <v>-1904420</v>
      </c>
      <c r="X162" s="158">
        <v>74849800</v>
      </c>
      <c r="Y162" s="158">
        <v>109397282</v>
      </c>
      <c r="Z162" s="158">
        <v>21151534</v>
      </c>
      <c r="AA162" s="158">
        <v>16921228</v>
      </c>
      <c r="AB162" s="158">
        <v>4230307</v>
      </c>
      <c r="AC162" s="158">
        <v>0</v>
      </c>
      <c r="AD162" s="158">
        <v>140450</v>
      </c>
      <c r="AE162" s="158">
        <v>0</v>
      </c>
      <c r="AF162" s="158">
        <v>0</v>
      </c>
      <c r="AG162" s="158">
        <v>0</v>
      </c>
      <c r="AH162" s="158">
        <v>0</v>
      </c>
      <c r="AI162" s="158">
        <v>0</v>
      </c>
      <c r="AJ162" s="158">
        <v>0</v>
      </c>
      <c r="AK162" s="158">
        <v>2173423</v>
      </c>
      <c r="AL162" s="158">
        <v>222</v>
      </c>
      <c r="AM162" s="158">
        <v>24</v>
      </c>
      <c r="AN162" s="158">
        <v>1</v>
      </c>
      <c r="AO162" s="158">
        <v>5</v>
      </c>
      <c r="AP162" s="158">
        <v>0</v>
      </c>
      <c r="AQ162" s="158">
        <v>198</v>
      </c>
      <c r="AR162" s="158">
        <v>14</v>
      </c>
      <c r="AS162" s="158">
        <v>2</v>
      </c>
      <c r="AT162" s="158">
        <v>0</v>
      </c>
      <c r="AU162" s="158">
        <v>1</v>
      </c>
      <c r="AV162" s="158">
        <v>1</v>
      </c>
      <c r="AW162" s="158">
        <v>0</v>
      </c>
      <c r="AX162" s="158">
        <v>0</v>
      </c>
      <c r="AY162" s="158">
        <v>550</v>
      </c>
      <c r="AZ162" s="158">
        <v>372</v>
      </c>
      <c r="BA162" s="158">
        <v>1024</v>
      </c>
      <c r="BB162" s="158">
        <v>909</v>
      </c>
      <c r="BC162" s="158">
        <v>115</v>
      </c>
      <c r="BD162" s="158">
        <v>1775</v>
      </c>
      <c r="BE162" s="158">
        <v>-46683</v>
      </c>
      <c r="BF162" s="158">
        <v>-387685</v>
      </c>
      <c r="BG162" s="158">
        <v>0</v>
      </c>
      <c r="BH162" s="158">
        <v>-12430</v>
      </c>
      <c r="BI162" s="158">
        <v>-1374811</v>
      </c>
      <c r="BJ162" s="158">
        <v>0</v>
      </c>
      <c r="BK162" s="158">
        <v>-5274491</v>
      </c>
      <c r="BL162" s="1438">
        <v>13905950</v>
      </c>
      <c r="BM162" s="1439">
        <v>0</v>
      </c>
      <c r="BN162" s="784" t="s">
        <v>2349</v>
      </c>
      <c r="BO162" s="784" t="s">
        <v>2350</v>
      </c>
      <c r="BP162" s="1400" t="s">
        <v>2517</v>
      </c>
      <c r="BQ162" s="509"/>
      <c r="BR162" s="509"/>
      <c r="BS162" s="509"/>
      <c r="BT162" s="509"/>
      <c r="BU162" s="509"/>
      <c r="BV162" s="509"/>
      <c r="BW162" s="509"/>
      <c r="BX162" s="509"/>
      <c r="BY162" s="509"/>
      <c r="BZ162" s="509"/>
      <c r="CA162" s="509"/>
      <c r="CB162" s="509"/>
      <c r="CC162" s="509"/>
      <c r="CD162" s="509"/>
      <c r="CE162" s="509"/>
      <c r="CF162" s="509"/>
      <c r="CG162" s="509"/>
      <c r="CH162" s="509"/>
      <c r="CI162" s="509"/>
      <c r="CJ162" s="509"/>
      <c r="CK162" s="509"/>
      <c r="CL162" s="509"/>
      <c r="CM162" s="509"/>
      <c r="CN162" s="509"/>
      <c r="CO162" s="509"/>
      <c r="CP162" s="509"/>
      <c r="CQ162" s="509"/>
      <c r="CR162" s="509"/>
      <c r="CS162" s="509"/>
    </row>
    <row r="163" spans="1:98" s="137" customFormat="1" ht="12.75" customHeight="1" x14ac:dyDescent="0.2">
      <c r="A163" s="1421">
        <v>159</v>
      </c>
      <c r="B163" s="649" t="s">
        <v>206</v>
      </c>
      <c r="C163" s="1607" t="s">
        <v>207</v>
      </c>
      <c r="D163" s="1605">
        <v>287783</v>
      </c>
      <c r="E163" s="1405">
        <v>195263688</v>
      </c>
      <c r="F163" s="1405">
        <v>7328</v>
      </c>
      <c r="G163" s="158">
        <v>-8475851</v>
      </c>
      <c r="H163" s="158">
        <v>-4599446</v>
      </c>
      <c r="I163" s="158">
        <v>-60499</v>
      </c>
      <c r="J163" s="158">
        <v>-14471</v>
      </c>
      <c r="K163" s="158">
        <v>-40095</v>
      </c>
      <c r="L163" s="158">
        <v>-53080</v>
      </c>
      <c r="M163" s="158">
        <v>-1246966</v>
      </c>
      <c r="N163" s="158">
        <v>-103889</v>
      </c>
      <c r="O163" s="158">
        <v>0</v>
      </c>
      <c r="P163" s="158">
        <v>0</v>
      </c>
      <c r="Q163" s="158">
        <v>0</v>
      </c>
      <c r="R163" s="158">
        <v>-10000</v>
      </c>
      <c r="S163" s="158">
        <v>0</v>
      </c>
      <c r="T163" s="158">
        <v>0</v>
      </c>
      <c r="U163" s="158">
        <v>-7781536</v>
      </c>
      <c r="V163" s="158">
        <v>78493157</v>
      </c>
      <c r="W163" s="158">
        <v>-2380547</v>
      </c>
      <c r="X163" s="158">
        <v>127962575</v>
      </c>
      <c r="Y163" s="158">
        <v>195626615</v>
      </c>
      <c r="Z163" s="158">
        <v>38627802</v>
      </c>
      <c r="AA163" s="158">
        <v>30902242</v>
      </c>
      <c r="AB163" s="158">
        <v>6953004</v>
      </c>
      <c r="AC163" s="158">
        <v>772556</v>
      </c>
      <c r="AD163" s="158">
        <v>288186</v>
      </c>
      <c r="AE163" s="158">
        <v>47934</v>
      </c>
      <c r="AF163" s="158">
        <v>14280</v>
      </c>
      <c r="AG163" s="158">
        <v>0</v>
      </c>
      <c r="AH163" s="158">
        <v>0</v>
      </c>
      <c r="AI163" s="158">
        <v>0</v>
      </c>
      <c r="AJ163" s="158">
        <v>0</v>
      </c>
      <c r="AK163" s="158">
        <v>-3261465</v>
      </c>
      <c r="AL163" s="158">
        <v>311</v>
      </c>
      <c r="AM163" s="158">
        <v>14</v>
      </c>
      <c r="AN163" s="158">
        <v>4</v>
      </c>
      <c r="AO163" s="158">
        <v>16</v>
      </c>
      <c r="AP163" s="158">
        <v>0</v>
      </c>
      <c r="AQ163" s="158">
        <v>237</v>
      </c>
      <c r="AR163" s="158">
        <v>134</v>
      </c>
      <c r="AS163" s="158">
        <v>0</v>
      </c>
      <c r="AT163" s="158">
        <v>0</v>
      </c>
      <c r="AU163" s="158">
        <v>0</v>
      </c>
      <c r="AV163" s="158">
        <v>0</v>
      </c>
      <c r="AW163" s="158">
        <v>0</v>
      </c>
      <c r="AX163" s="158">
        <v>0</v>
      </c>
      <c r="AY163" s="158">
        <v>854</v>
      </c>
      <c r="AZ163" s="158">
        <v>1295</v>
      </c>
      <c r="BA163" s="158">
        <v>3712</v>
      </c>
      <c r="BB163" s="158">
        <v>3425</v>
      </c>
      <c r="BC163" s="158">
        <v>287</v>
      </c>
      <c r="BD163" s="158">
        <v>2359</v>
      </c>
      <c r="BE163" s="158">
        <v>-198000</v>
      </c>
      <c r="BF163" s="158">
        <v>-458000</v>
      </c>
      <c r="BG163" s="158">
        <v>0</v>
      </c>
      <c r="BH163" s="158">
        <v>-5000</v>
      </c>
      <c r="BI163" s="158">
        <v>-411000</v>
      </c>
      <c r="BJ163" s="158">
        <v>-174966</v>
      </c>
      <c r="BK163" s="158">
        <v>-2476351</v>
      </c>
      <c r="BL163" s="1438">
        <v>27542660</v>
      </c>
      <c r="BM163" s="1439">
        <v>0</v>
      </c>
      <c r="BN163" s="784" t="s">
        <v>2349</v>
      </c>
      <c r="BO163" s="784" t="s">
        <v>2350</v>
      </c>
      <c r="BP163" s="1400" t="s">
        <v>2518</v>
      </c>
      <c r="BQ163" s="509"/>
      <c r="BR163" s="509"/>
      <c r="BS163" s="509"/>
      <c r="BT163" s="509"/>
      <c r="BU163" s="509"/>
      <c r="BV163" s="509"/>
      <c r="BW163" s="509"/>
      <c r="BX163" s="509"/>
      <c r="BY163" s="509"/>
      <c r="BZ163" s="509"/>
      <c r="CA163" s="509"/>
      <c r="CB163" s="509"/>
      <c r="CC163" s="509"/>
      <c r="CD163" s="509"/>
      <c r="CE163" s="509"/>
      <c r="CF163" s="509"/>
      <c r="CG163" s="509"/>
      <c r="CH163" s="509"/>
      <c r="CI163" s="509"/>
      <c r="CJ163" s="509"/>
      <c r="CK163" s="509"/>
      <c r="CL163" s="509"/>
      <c r="CM163" s="509"/>
      <c r="CN163" s="509"/>
      <c r="CO163" s="509"/>
      <c r="CP163" s="509"/>
      <c r="CQ163" s="509"/>
      <c r="CR163" s="509"/>
      <c r="CS163" s="509"/>
    </row>
    <row r="164" spans="1:98" s="137" customFormat="1" ht="12.75" customHeight="1" x14ac:dyDescent="0.2">
      <c r="A164" s="1421">
        <v>160</v>
      </c>
      <c r="B164" s="649" t="s">
        <v>208</v>
      </c>
      <c r="C164" s="1607" t="s">
        <v>209</v>
      </c>
      <c r="D164" s="1605">
        <v>172079</v>
      </c>
      <c r="E164" s="1405">
        <v>115628035</v>
      </c>
      <c r="F164" s="1405">
        <v>4520</v>
      </c>
      <c r="G164" s="158">
        <v>-4834228</v>
      </c>
      <c r="H164" s="158">
        <v>-2812430</v>
      </c>
      <c r="I164" s="158">
        <v>-78303</v>
      </c>
      <c r="J164" s="158">
        <v>-24028</v>
      </c>
      <c r="K164" s="158">
        <v>-20984</v>
      </c>
      <c r="L164" s="158">
        <v>0</v>
      </c>
      <c r="M164" s="158">
        <v>-1210225</v>
      </c>
      <c r="N164" s="158">
        <v>-58362</v>
      </c>
      <c r="O164" s="158">
        <v>-430152</v>
      </c>
      <c r="P164" s="158">
        <v>0</v>
      </c>
      <c r="Q164" s="158">
        <v>0</v>
      </c>
      <c r="R164" s="158">
        <v>0</v>
      </c>
      <c r="S164" s="158">
        <v>0</v>
      </c>
      <c r="T164" s="158">
        <v>0</v>
      </c>
      <c r="U164" s="158">
        <v>-3273309</v>
      </c>
      <c r="V164" s="158">
        <v>46257561</v>
      </c>
      <c r="W164" s="158">
        <v>-400000</v>
      </c>
      <c r="X164" s="158">
        <v>76155500</v>
      </c>
      <c r="Y164" s="158">
        <v>114593229</v>
      </c>
      <c r="Z164" s="158">
        <v>22673520</v>
      </c>
      <c r="AA164" s="158">
        <v>18138816</v>
      </c>
      <c r="AB164" s="158">
        <v>4081234</v>
      </c>
      <c r="AC164" s="158">
        <v>453470</v>
      </c>
      <c r="AD164" s="158">
        <v>171051</v>
      </c>
      <c r="AE164" s="158">
        <v>0</v>
      </c>
      <c r="AF164" s="158">
        <v>1202790</v>
      </c>
      <c r="AG164" s="158">
        <v>0</v>
      </c>
      <c r="AH164" s="158">
        <v>0</v>
      </c>
      <c r="AI164" s="158">
        <v>0</v>
      </c>
      <c r="AJ164" s="158">
        <v>0</v>
      </c>
      <c r="AK164" s="158">
        <v>1010683</v>
      </c>
      <c r="AL164" s="158">
        <v>250</v>
      </c>
      <c r="AM164" s="158">
        <v>21</v>
      </c>
      <c r="AN164" s="158">
        <v>12</v>
      </c>
      <c r="AO164" s="158">
        <v>0</v>
      </c>
      <c r="AP164" s="158">
        <v>0</v>
      </c>
      <c r="AQ164" s="158">
        <v>353</v>
      </c>
      <c r="AR164" s="158">
        <v>119</v>
      </c>
      <c r="AS164" s="158">
        <v>7</v>
      </c>
      <c r="AT164" s="158">
        <v>0</v>
      </c>
      <c r="AU164" s="158">
        <v>0</v>
      </c>
      <c r="AV164" s="158">
        <v>0</v>
      </c>
      <c r="AW164" s="158">
        <v>0</v>
      </c>
      <c r="AX164" s="158">
        <v>0</v>
      </c>
      <c r="AY164" s="158">
        <v>381</v>
      </c>
      <c r="AZ164" s="158">
        <v>1033</v>
      </c>
      <c r="BA164" s="158">
        <v>2019</v>
      </c>
      <c r="BB164" s="158">
        <v>1894</v>
      </c>
      <c r="BC164" s="158">
        <v>125</v>
      </c>
      <c r="BD164" s="158">
        <v>1460</v>
      </c>
      <c r="BE164" s="158">
        <v>-54177</v>
      </c>
      <c r="BF164" s="158">
        <v>-456932</v>
      </c>
      <c r="BG164" s="158">
        <v>0</v>
      </c>
      <c r="BH164" s="158">
        <v>0</v>
      </c>
      <c r="BI164" s="158">
        <v>-691550</v>
      </c>
      <c r="BJ164" s="158">
        <v>-7566</v>
      </c>
      <c r="BK164" s="158">
        <v>1996781</v>
      </c>
      <c r="BL164" s="1438">
        <v>13131150</v>
      </c>
      <c r="BM164" s="1439">
        <v>0</v>
      </c>
      <c r="BN164" s="784" t="s">
        <v>2349</v>
      </c>
      <c r="BO164" s="784" t="s">
        <v>2352</v>
      </c>
      <c r="BP164" s="1400" t="s">
        <v>2519</v>
      </c>
      <c r="BQ164" s="509"/>
      <c r="BR164" s="509"/>
      <c r="BS164" s="509"/>
      <c r="BT164" s="509"/>
      <c r="BU164" s="509"/>
      <c r="BV164" s="509"/>
      <c r="BW164" s="509"/>
      <c r="BX164" s="509"/>
      <c r="BY164" s="509"/>
      <c r="BZ164" s="509"/>
      <c r="CA164" s="509"/>
      <c r="CB164" s="509"/>
      <c r="CC164" s="509"/>
      <c r="CD164" s="509"/>
      <c r="CE164" s="509"/>
      <c r="CF164" s="509"/>
      <c r="CG164" s="509"/>
      <c r="CH164" s="509"/>
      <c r="CI164" s="509"/>
      <c r="CJ164" s="509"/>
      <c r="CK164" s="509"/>
      <c r="CL164" s="509"/>
      <c r="CM164" s="509"/>
      <c r="CN164" s="509"/>
      <c r="CO164" s="509"/>
      <c r="CP164" s="509"/>
      <c r="CQ164" s="509"/>
      <c r="CR164" s="509"/>
      <c r="CS164" s="509"/>
    </row>
    <row r="165" spans="1:98" s="137" customFormat="1" ht="12.75" customHeight="1" x14ac:dyDescent="0.2">
      <c r="A165" s="1421">
        <v>161</v>
      </c>
      <c r="B165" s="649" t="s">
        <v>923</v>
      </c>
      <c r="C165" s="1607" t="s">
        <v>211</v>
      </c>
      <c r="D165" s="1605">
        <v>457109</v>
      </c>
      <c r="E165" s="1405">
        <v>332120670</v>
      </c>
      <c r="F165" s="1405">
        <v>11962</v>
      </c>
      <c r="G165" s="158">
        <v>-10215621</v>
      </c>
      <c r="H165" s="158">
        <v>-17750958</v>
      </c>
      <c r="I165" s="158">
        <v>-123006</v>
      </c>
      <c r="J165" s="158">
        <v>0</v>
      </c>
      <c r="K165" s="158">
        <v>-3106</v>
      </c>
      <c r="L165" s="158">
        <v>-450000</v>
      </c>
      <c r="M165" s="158">
        <v>-6224232</v>
      </c>
      <c r="N165" s="158">
        <v>-492955</v>
      </c>
      <c r="O165" s="158">
        <v>-114315</v>
      </c>
      <c r="P165" s="158">
        <v>-18967</v>
      </c>
      <c r="Q165" s="158">
        <v>0</v>
      </c>
      <c r="R165" s="158">
        <v>0</v>
      </c>
      <c r="S165" s="158">
        <v>0</v>
      </c>
      <c r="T165" s="158">
        <v>0</v>
      </c>
      <c r="U165" s="158">
        <v>-14026015</v>
      </c>
      <c r="V165" s="158">
        <v>119361020</v>
      </c>
      <c r="W165" s="158">
        <v>-5714516</v>
      </c>
      <c r="X165" s="158">
        <v>238260850</v>
      </c>
      <c r="Y165" s="158">
        <v>337700930</v>
      </c>
      <c r="Z165" s="158">
        <v>54337989</v>
      </c>
      <c r="AA165" s="158">
        <v>53251230</v>
      </c>
      <c r="AB165" s="158">
        <v>0</v>
      </c>
      <c r="AC165" s="158">
        <v>1086760</v>
      </c>
      <c r="AD165" s="158">
        <v>458682</v>
      </c>
      <c r="AE165" s="158">
        <v>3293124</v>
      </c>
      <c r="AF165" s="158">
        <v>0</v>
      </c>
      <c r="AG165" s="158">
        <v>0</v>
      </c>
      <c r="AH165" s="158">
        <v>0</v>
      </c>
      <c r="AI165" s="158">
        <v>0</v>
      </c>
      <c r="AJ165" s="158">
        <v>0</v>
      </c>
      <c r="AK165" s="158">
        <v>10217625</v>
      </c>
      <c r="AL165" s="158">
        <v>662</v>
      </c>
      <c r="AM165" s="158">
        <v>14</v>
      </c>
      <c r="AN165" s="158">
        <v>0</v>
      </c>
      <c r="AO165" s="158">
        <v>3</v>
      </c>
      <c r="AP165" s="158">
        <v>0</v>
      </c>
      <c r="AQ165" s="158">
        <v>2587</v>
      </c>
      <c r="AR165" s="158">
        <v>17</v>
      </c>
      <c r="AS165" s="158">
        <v>17</v>
      </c>
      <c r="AT165" s="158">
        <v>14</v>
      </c>
      <c r="AU165" s="158">
        <v>0</v>
      </c>
      <c r="AV165" s="158">
        <v>0</v>
      </c>
      <c r="AW165" s="158">
        <v>0</v>
      </c>
      <c r="AX165" s="158">
        <v>0</v>
      </c>
      <c r="AY165" s="158">
        <v>1428</v>
      </c>
      <c r="AZ165" s="158">
        <v>4090</v>
      </c>
      <c r="BA165" s="158">
        <v>3957</v>
      </c>
      <c r="BB165" s="158">
        <v>3698</v>
      </c>
      <c r="BC165" s="158">
        <v>259</v>
      </c>
      <c r="BD165" s="158">
        <v>3913</v>
      </c>
      <c r="BE165" s="158">
        <v>0</v>
      </c>
      <c r="BF165" s="158">
        <v>-2663872</v>
      </c>
      <c r="BG165" s="158">
        <v>0</v>
      </c>
      <c r="BH165" s="158">
        <v>-116216</v>
      </c>
      <c r="BI165" s="158">
        <v>-1447968</v>
      </c>
      <c r="BJ165" s="158">
        <v>-1996176</v>
      </c>
      <c r="BK165" s="158">
        <v>8101769</v>
      </c>
      <c r="BL165" s="1438">
        <v>33585250</v>
      </c>
      <c r="BM165" s="1439">
        <v>1359250</v>
      </c>
      <c r="BN165" s="784" t="s">
        <v>2363</v>
      </c>
      <c r="BO165" s="784" t="s">
        <v>855</v>
      </c>
      <c r="BP165" s="1400" t="s">
        <v>2520</v>
      </c>
      <c r="BQ165" s="509"/>
      <c r="BR165" s="509"/>
      <c r="BS165" s="509"/>
      <c r="BT165" s="509"/>
      <c r="BU165" s="509"/>
      <c r="BV165" s="509"/>
      <c r="BW165" s="509"/>
      <c r="BX165" s="509"/>
      <c r="BY165" s="509"/>
      <c r="BZ165" s="509"/>
      <c r="CA165" s="509"/>
      <c r="CB165" s="509"/>
      <c r="CC165" s="509"/>
      <c r="CD165" s="509"/>
      <c r="CE165" s="509"/>
      <c r="CF165" s="509"/>
      <c r="CG165" s="509"/>
      <c r="CH165" s="509"/>
      <c r="CI165" s="509"/>
      <c r="CJ165" s="509"/>
      <c r="CK165" s="509"/>
      <c r="CL165" s="509"/>
      <c r="CM165" s="509"/>
      <c r="CN165" s="509"/>
      <c r="CO165" s="509"/>
      <c r="CP165" s="509"/>
      <c r="CQ165" s="509"/>
      <c r="CR165" s="509"/>
      <c r="CS165" s="509"/>
    </row>
    <row r="166" spans="1:98" s="657" customFormat="1" ht="12.75" customHeight="1" x14ac:dyDescent="0.2">
      <c r="A166" s="1421">
        <v>162</v>
      </c>
      <c r="B166" s="649" t="s">
        <v>212</v>
      </c>
      <c r="C166" s="1607" t="s">
        <v>213</v>
      </c>
      <c r="D166" s="1605">
        <v>140249</v>
      </c>
      <c r="E166" s="1405">
        <v>103368572</v>
      </c>
      <c r="F166" s="1405">
        <v>3657</v>
      </c>
      <c r="G166" s="158">
        <v>-4283949</v>
      </c>
      <c r="H166" s="158">
        <v>-5088848</v>
      </c>
      <c r="I166" s="158">
        <v>-34730</v>
      </c>
      <c r="J166" s="158">
        <v>-19875</v>
      </c>
      <c r="K166" s="158">
        <v>0</v>
      </c>
      <c r="L166" s="158">
        <v>0</v>
      </c>
      <c r="M166" s="158">
        <v>-947643</v>
      </c>
      <c r="N166" s="158">
        <v>-8320</v>
      </c>
      <c r="O166" s="158">
        <v>-4522</v>
      </c>
      <c r="P166" s="158">
        <v>-235</v>
      </c>
      <c r="Q166" s="158">
        <v>0</v>
      </c>
      <c r="R166" s="158">
        <v>0</v>
      </c>
      <c r="S166" s="158">
        <v>0</v>
      </c>
      <c r="T166" s="158">
        <v>0</v>
      </c>
      <c r="U166" s="158">
        <v>-2511701</v>
      </c>
      <c r="V166" s="158">
        <v>40545586</v>
      </c>
      <c r="W166" s="158">
        <v>-1679870</v>
      </c>
      <c r="X166" s="158">
        <v>68651750</v>
      </c>
      <c r="Y166" s="158">
        <v>102326505</v>
      </c>
      <c r="Z166" s="158">
        <v>19581964</v>
      </c>
      <c r="AA166" s="158">
        <v>15665572</v>
      </c>
      <c r="AB166" s="158">
        <v>3524754</v>
      </c>
      <c r="AC166" s="158">
        <v>391639</v>
      </c>
      <c r="AD166" s="158">
        <v>139905</v>
      </c>
      <c r="AE166" s="158">
        <v>0</v>
      </c>
      <c r="AF166" s="158">
        <v>0</v>
      </c>
      <c r="AG166" s="158">
        <v>0</v>
      </c>
      <c r="AH166" s="158">
        <v>0</v>
      </c>
      <c r="AI166" s="158">
        <v>0</v>
      </c>
      <c r="AJ166" s="158">
        <v>0</v>
      </c>
      <c r="AK166" s="158">
        <v>-896501</v>
      </c>
      <c r="AL166" s="158">
        <v>161</v>
      </c>
      <c r="AM166" s="158">
        <v>6</v>
      </c>
      <c r="AN166" s="158">
        <v>8</v>
      </c>
      <c r="AO166" s="158">
        <v>0</v>
      </c>
      <c r="AP166" s="158">
        <v>0</v>
      </c>
      <c r="AQ166" s="158">
        <v>271</v>
      </c>
      <c r="AR166" s="158">
        <v>4</v>
      </c>
      <c r="AS166" s="158">
        <v>1</v>
      </c>
      <c r="AT166" s="158">
        <v>2</v>
      </c>
      <c r="AU166" s="158">
        <v>0</v>
      </c>
      <c r="AV166" s="158">
        <v>0</v>
      </c>
      <c r="AW166" s="158">
        <v>0</v>
      </c>
      <c r="AX166" s="158">
        <v>0</v>
      </c>
      <c r="AY166" s="158">
        <v>344</v>
      </c>
      <c r="AZ166" s="158">
        <v>300</v>
      </c>
      <c r="BA166" s="158">
        <v>1593</v>
      </c>
      <c r="BB166" s="158">
        <v>1503</v>
      </c>
      <c r="BC166" s="158">
        <v>90</v>
      </c>
      <c r="BD166" s="158">
        <v>1745</v>
      </c>
      <c r="BE166" s="158">
        <v>-947643</v>
      </c>
      <c r="BF166" s="158">
        <v>0</v>
      </c>
      <c r="BG166" s="158">
        <v>0</v>
      </c>
      <c r="BH166" s="158">
        <v>0</v>
      </c>
      <c r="BI166" s="158">
        <v>0</v>
      </c>
      <c r="BJ166" s="158">
        <v>0</v>
      </c>
      <c r="BK166" s="158">
        <v>-1206369</v>
      </c>
      <c r="BL166" s="1438">
        <v>12483250</v>
      </c>
      <c r="BM166" s="1439">
        <v>0</v>
      </c>
      <c r="BN166" s="784" t="s">
        <v>2349</v>
      </c>
      <c r="BO166" s="784" t="s">
        <v>2373</v>
      </c>
      <c r="BP166" s="1400" t="s">
        <v>2521</v>
      </c>
      <c r="BQ166" s="509"/>
      <c r="BR166" s="509"/>
      <c r="BS166" s="509"/>
      <c r="BT166" s="509"/>
      <c r="BU166" s="509"/>
      <c r="BV166" s="509"/>
      <c r="BW166" s="509"/>
      <c r="BX166" s="509"/>
      <c r="BY166" s="509"/>
      <c r="BZ166" s="509"/>
      <c r="CA166" s="509"/>
      <c r="CB166" s="509"/>
      <c r="CC166" s="509"/>
      <c r="CD166" s="509"/>
      <c r="CE166" s="509"/>
      <c r="CF166" s="509"/>
      <c r="CG166" s="509"/>
      <c r="CH166" s="509"/>
      <c r="CI166" s="509"/>
      <c r="CJ166" s="509"/>
      <c r="CK166" s="509"/>
      <c r="CL166" s="509"/>
      <c r="CM166" s="509"/>
      <c r="CN166" s="509"/>
      <c r="CO166" s="509"/>
      <c r="CP166" s="509"/>
      <c r="CQ166" s="509"/>
      <c r="CR166" s="509"/>
      <c r="CS166" s="509"/>
      <c r="CT166" s="137"/>
    </row>
    <row r="167" spans="1:98" s="137" customFormat="1" ht="12.75" customHeight="1" x14ac:dyDescent="0.2">
      <c r="A167" s="1421">
        <v>163</v>
      </c>
      <c r="B167" s="649" t="s">
        <v>214</v>
      </c>
      <c r="C167" s="1607" t="s">
        <v>215</v>
      </c>
      <c r="D167" s="1605">
        <v>401188</v>
      </c>
      <c r="E167" s="1405">
        <v>468577675</v>
      </c>
      <c r="F167" s="1405">
        <v>7988</v>
      </c>
      <c r="G167" s="158">
        <v>-9166553</v>
      </c>
      <c r="H167" s="158">
        <v>-19830658</v>
      </c>
      <c r="I167" s="158">
        <v>-48489</v>
      </c>
      <c r="J167" s="158">
        <v>0</v>
      </c>
      <c r="K167" s="158">
        <v>0</v>
      </c>
      <c r="L167" s="158">
        <v>0</v>
      </c>
      <c r="M167" s="158">
        <v>-5982153</v>
      </c>
      <c r="N167" s="158">
        <v>0</v>
      </c>
      <c r="O167" s="158">
        <v>0</v>
      </c>
      <c r="P167" s="158">
        <v>0</v>
      </c>
      <c r="Q167" s="158">
        <v>0</v>
      </c>
      <c r="R167" s="158">
        <v>0</v>
      </c>
      <c r="S167" s="158">
        <v>0</v>
      </c>
      <c r="T167" s="158">
        <v>0</v>
      </c>
      <c r="U167" s="158">
        <v>-29606747</v>
      </c>
      <c r="V167" s="158">
        <v>176693075</v>
      </c>
      <c r="W167" s="158">
        <v>-3514069</v>
      </c>
      <c r="X167" s="158">
        <v>374458650</v>
      </c>
      <c r="Y167" s="158">
        <v>467624936</v>
      </c>
      <c r="Z167" s="158">
        <v>57264340</v>
      </c>
      <c r="AA167" s="158">
        <v>52058490</v>
      </c>
      <c r="AB167" s="158">
        <v>64205471</v>
      </c>
      <c r="AC167" s="158">
        <v>0</v>
      </c>
      <c r="AD167" s="158">
        <v>396513</v>
      </c>
      <c r="AE167" s="158">
        <v>3042009</v>
      </c>
      <c r="AF167" s="158">
        <v>319410</v>
      </c>
      <c r="AG167" s="158">
        <v>0</v>
      </c>
      <c r="AH167" s="158">
        <v>0</v>
      </c>
      <c r="AI167" s="158">
        <v>0</v>
      </c>
      <c r="AJ167" s="158">
        <v>0</v>
      </c>
      <c r="AK167" s="158">
        <v>9813773</v>
      </c>
      <c r="AL167" s="158">
        <v>379</v>
      </c>
      <c r="AM167" s="158">
        <v>1</v>
      </c>
      <c r="AN167" s="158">
        <v>0</v>
      </c>
      <c r="AO167" s="158">
        <v>0</v>
      </c>
      <c r="AP167" s="158">
        <v>0</v>
      </c>
      <c r="AQ167" s="158">
        <v>375</v>
      </c>
      <c r="AR167" s="158">
        <v>0</v>
      </c>
      <c r="AS167" s="158">
        <v>0</v>
      </c>
      <c r="AT167" s="158">
        <v>0</v>
      </c>
      <c r="AU167" s="158">
        <v>0</v>
      </c>
      <c r="AV167" s="158">
        <v>0</v>
      </c>
      <c r="AW167" s="158">
        <v>0</v>
      </c>
      <c r="AX167" s="158">
        <v>0</v>
      </c>
      <c r="AY167" s="158">
        <v>2036</v>
      </c>
      <c r="AZ167" s="158">
        <v>1323</v>
      </c>
      <c r="BA167" s="158">
        <v>2908</v>
      </c>
      <c r="BB167" s="158">
        <v>2476</v>
      </c>
      <c r="BC167" s="158">
        <v>432</v>
      </c>
      <c r="BD167" s="158">
        <v>2689</v>
      </c>
      <c r="BE167" s="158">
        <v>-463850</v>
      </c>
      <c r="BF167" s="158">
        <v>-244535</v>
      </c>
      <c r="BG167" s="158">
        <v>0</v>
      </c>
      <c r="BH167" s="158">
        <v>-167243</v>
      </c>
      <c r="BI167" s="158">
        <v>-4564199</v>
      </c>
      <c r="BJ167" s="158">
        <v>-542326</v>
      </c>
      <c r="BK167" s="158">
        <v>9769822</v>
      </c>
      <c r="BL167" s="1438">
        <v>24345550</v>
      </c>
      <c r="BM167" s="1439">
        <v>137650</v>
      </c>
      <c r="BN167" s="784" t="s">
        <v>2359</v>
      </c>
      <c r="BO167" s="784" t="s">
        <v>2360</v>
      </c>
      <c r="BP167" s="1400" t="s">
        <v>2522</v>
      </c>
      <c r="BQ167" s="509"/>
      <c r="BR167" s="509"/>
      <c r="BS167" s="509"/>
      <c r="BT167" s="509"/>
      <c r="BU167" s="509"/>
      <c r="BV167" s="509"/>
      <c r="BW167" s="509"/>
      <c r="BX167" s="509"/>
      <c r="BY167" s="509"/>
      <c r="BZ167" s="509"/>
      <c r="CA167" s="509"/>
      <c r="CB167" s="509"/>
      <c r="CC167" s="509"/>
      <c r="CD167" s="509"/>
      <c r="CE167" s="509"/>
      <c r="CF167" s="509"/>
      <c r="CG167" s="509"/>
      <c r="CH167" s="509"/>
      <c r="CI167" s="509"/>
      <c r="CJ167" s="509"/>
      <c r="CK167" s="509"/>
      <c r="CL167" s="509"/>
      <c r="CM167" s="509"/>
      <c r="CN167" s="509"/>
      <c r="CO167" s="509"/>
      <c r="CP167" s="509"/>
      <c r="CQ167" s="509"/>
      <c r="CR167" s="509"/>
      <c r="CS167" s="509"/>
    </row>
    <row r="168" spans="1:98" s="137" customFormat="1" ht="12.75" customHeight="1" x14ac:dyDescent="0.2">
      <c r="A168" s="1421">
        <v>164</v>
      </c>
      <c r="B168" s="649" t="s">
        <v>216</v>
      </c>
      <c r="C168" s="1607" t="s">
        <v>217</v>
      </c>
      <c r="D168" s="1605">
        <v>221773</v>
      </c>
      <c r="E168" s="1405">
        <v>98059028</v>
      </c>
      <c r="F168" s="1405">
        <v>6368</v>
      </c>
      <c r="G168" s="158">
        <v>-8615120</v>
      </c>
      <c r="H168" s="158">
        <v>-3627756</v>
      </c>
      <c r="I168" s="158">
        <v>-131091</v>
      </c>
      <c r="J168" s="158">
        <v>-50168</v>
      </c>
      <c r="K168" s="158">
        <v>-43355</v>
      </c>
      <c r="L168" s="158">
        <v>-9000</v>
      </c>
      <c r="M168" s="158">
        <v>-471692</v>
      </c>
      <c r="N168" s="158">
        <v>-123359</v>
      </c>
      <c r="O168" s="158">
        <v>-39811</v>
      </c>
      <c r="P168" s="158">
        <v>-9071</v>
      </c>
      <c r="Q168" s="158">
        <v>-15904</v>
      </c>
      <c r="R168" s="158">
        <v>0</v>
      </c>
      <c r="S168" s="158">
        <v>0</v>
      </c>
      <c r="T168" s="158">
        <v>0</v>
      </c>
      <c r="U168" s="158">
        <v>-6500552</v>
      </c>
      <c r="V168" s="158">
        <v>29258060</v>
      </c>
      <c r="W168" s="158">
        <v>-292581</v>
      </c>
      <c r="X168" s="158">
        <v>48702950</v>
      </c>
      <c r="Y168" s="158">
        <v>98232024</v>
      </c>
      <c r="Z168" s="158">
        <v>14642023</v>
      </c>
      <c r="AA168" s="158">
        <v>11713618</v>
      </c>
      <c r="AB168" s="158">
        <v>2635564</v>
      </c>
      <c r="AC168" s="158">
        <v>292840</v>
      </c>
      <c r="AD168" s="158">
        <v>226430</v>
      </c>
      <c r="AE168" s="158">
        <v>0</v>
      </c>
      <c r="AF168" s="158">
        <v>682768</v>
      </c>
      <c r="AG168" s="158">
        <v>0</v>
      </c>
      <c r="AH168" s="158">
        <v>0</v>
      </c>
      <c r="AI168" s="158">
        <v>0</v>
      </c>
      <c r="AJ168" s="158">
        <v>0</v>
      </c>
      <c r="AK168" s="158">
        <v>-2532140</v>
      </c>
      <c r="AL168" s="158">
        <v>309</v>
      </c>
      <c r="AM168" s="158">
        <v>37</v>
      </c>
      <c r="AN168" s="158">
        <v>19</v>
      </c>
      <c r="AO168" s="158">
        <v>28</v>
      </c>
      <c r="AP168" s="158">
        <v>0</v>
      </c>
      <c r="AQ168" s="158">
        <v>145</v>
      </c>
      <c r="AR168" s="158">
        <v>149</v>
      </c>
      <c r="AS168" s="158">
        <v>9</v>
      </c>
      <c r="AT168" s="158">
        <v>36</v>
      </c>
      <c r="AU168" s="158">
        <v>0</v>
      </c>
      <c r="AV168" s="158">
        <v>3</v>
      </c>
      <c r="AW168" s="158">
        <v>0</v>
      </c>
      <c r="AX168" s="158">
        <v>0</v>
      </c>
      <c r="AY168" s="158">
        <v>931</v>
      </c>
      <c r="AZ168" s="158">
        <v>302</v>
      </c>
      <c r="BA168" s="158">
        <v>3692</v>
      </c>
      <c r="BB168" s="158">
        <v>3559</v>
      </c>
      <c r="BC168" s="158">
        <v>133</v>
      </c>
      <c r="BD168" s="158">
        <v>2527</v>
      </c>
      <c r="BE168" s="158">
        <v>-39273</v>
      </c>
      <c r="BF168" s="158">
        <v>-323980</v>
      </c>
      <c r="BG168" s="158">
        <v>0</v>
      </c>
      <c r="BH168" s="158">
        <v>-18713</v>
      </c>
      <c r="BI168" s="158">
        <v>-67981</v>
      </c>
      <c r="BJ168" s="158">
        <v>-21745</v>
      </c>
      <c r="BK168" s="158">
        <v>-3115198</v>
      </c>
      <c r="BL168" s="1438">
        <v>14852450</v>
      </c>
      <c r="BM168" s="1439">
        <v>0</v>
      </c>
      <c r="BN168" s="784" t="s">
        <v>2349</v>
      </c>
      <c r="BO168" s="784" t="s">
        <v>2369</v>
      </c>
      <c r="BP168" s="1400" t="s">
        <v>2523</v>
      </c>
      <c r="BQ168" s="509"/>
      <c r="BR168" s="509"/>
      <c r="BS168" s="509"/>
      <c r="BT168" s="509"/>
      <c r="BU168" s="509"/>
      <c r="BV168" s="509"/>
      <c r="BW168" s="509"/>
      <c r="BX168" s="509"/>
      <c r="BY168" s="509"/>
      <c r="BZ168" s="509"/>
      <c r="CA168" s="509"/>
      <c r="CB168" s="509"/>
      <c r="CC168" s="509"/>
      <c r="CD168" s="509"/>
      <c r="CE168" s="509"/>
      <c r="CF168" s="509"/>
      <c r="CG168" s="509"/>
      <c r="CH168" s="509"/>
      <c r="CI168" s="509"/>
      <c r="CJ168" s="509"/>
      <c r="CK168" s="509"/>
      <c r="CL168" s="509"/>
      <c r="CM168" s="509"/>
      <c r="CN168" s="509"/>
      <c r="CO168" s="509"/>
      <c r="CP168" s="509"/>
      <c r="CQ168" s="509"/>
      <c r="CR168" s="509"/>
      <c r="CS168" s="509"/>
    </row>
    <row r="169" spans="1:98" s="137" customFormat="1" ht="12.75" customHeight="1" x14ac:dyDescent="0.2">
      <c r="A169" s="1421">
        <v>165</v>
      </c>
      <c r="B169" s="649" t="s">
        <v>218</v>
      </c>
      <c r="C169" s="1607" t="s">
        <v>219</v>
      </c>
      <c r="D169" s="1605">
        <v>104811</v>
      </c>
      <c r="E169" s="1405">
        <v>52104604</v>
      </c>
      <c r="F169" s="1405">
        <v>2958</v>
      </c>
      <c r="G169" s="158">
        <v>-3744658</v>
      </c>
      <c r="H169" s="158">
        <v>-1371403</v>
      </c>
      <c r="I169" s="158">
        <v>-32525</v>
      </c>
      <c r="J169" s="158">
        <v>-1383</v>
      </c>
      <c r="K169" s="158">
        <v>-2408</v>
      </c>
      <c r="L169" s="158">
        <v>0</v>
      </c>
      <c r="M169" s="158">
        <v>-303950</v>
      </c>
      <c r="N169" s="158">
        <v>-40544</v>
      </c>
      <c r="O169" s="158">
        <v>-7496</v>
      </c>
      <c r="P169" s="158">
        <v>-230</v>
      </c>
      <c r="Q169" s="158">
        <v>0</v>
      </c>
      <c r="R169" s="158">
        <v>0</v>
      </c>
      <c r="S169" s="158">
        <v>0</v>
      </c>
      <c r="T169" s="158">
        <v>0</v>
      </c>
      <c r="U169" s="158">
        <v>-2034439</v>
      </c>
      <c r="V169" s="158">
        <v>19050321</v>
      </c>
      <c r="W169" s="158">
        <v>-101738</v>
      </c>
      <c r="X169" s="158">
        <v>27287500</v>
      </c>
      <c r="Y169" s="158">
        <v>52057751</v>
      </c>
      <c r="Z169" s="158">
        <v>9528571</v>
      </c>
      <c r="AA169" s="158">
        <v>7622857</v>
      </c>
      <c r="AB169" s="158">
        <v>1715143</v>
      </c>
      <c r="AC169" s="158">
        <v>190571</v>
      </c>
      <c r="AD169" s="158">
        <v>104462</v>
      </c>
      <c r="AE169" s="158">
        <v>0</v>
      </c>
      <c r="AF169" s="158">
        <v>0</v>
      </c>
      <c r="AG169" s="158">
        <v>0</v>
      </c>
      <c r="AH169" s="158">
        <v>0</v>
      </c>
      <c r="AI169" s="158">
        <v>0</v>
      </c>
      <c r="AJ169" s="158">
        <v>0</v>
      </c>
      <c r="AK169" s="158">
        <v>-629573</v>
      </c>
      <c r="AL169" s="158">
        <v>122</v>
      </c>
      <c r="AM169" s="158">
        <v>6</v>
      </c>
      <c r="AN169" s="158">
        <v>0</v>
      </c>
      <c r="AO169" s="158">
        <v>2</v>
      </c>
      <c r="AP169" s="158">
        <v>0</v>
      </c>
      <c r="AQ169" s="158">
        <v>78</v>
      </c>
      <c r="AR169" s="158">
        <v>25</v>
      </c>
      <c r="AS169" s="158">
        <v>5</v>
      </c>
      <c r="AT169" s="158">
        <v>1</v>
      </c>
      <c r="AU169" s="158">
        <v>0</v>
      </c>
      <c r="AV169" s="158">
        <v>0</v>
      </c>
      <c r="AW169" s="158">
        <v>0</v>
      </c>
      <c r="AX169" s="158">
        <v>0</v>
      </c>
      <c r="AY169" s="158">
        <v>300</v>
      </c>
      <c r="AZ169" s="158">
        <v>173</v>
      </c>
      <c r="BA169" s="158">
        <v>1529</v>
      </c>
      <c r="BB169" s="158">
        <v>1454</v>
      </c>
      <c r="BC169" s="158">
        <v>75</v>
      </c>
      <c r="BD169" s="158">
        <v>1254</v>
      </c>
      <c r="BE169" s="158">
        <v>-10848</v>
      </c>
      <c r="BF169" s="158">
        <v>-8510</v>
      </c>
      <c r="BG169" s="158">
        <v>0</v>
      </c>
      <c r="BH169" s="158">
        <v>0</v>
      </c>
      <c r="BI169" s="158">
        <v>-284592</v>
      </c>
      <c r="BJ169" s="158">
        <v>0</v>
      </c>
      <c r="BK169" s="158">
        <v>-440704</v>
      </c>
      <c r="BL169" s="1438">
        <v>9076500</v>
      </c>
      <c r="BM169" s="1439">
        <v>0</v>
      </c>
      <c r="BN169" s="784" t="s">
        <v>2349</v>
      </c>
      <c r="BO169" s="784" t="s">
        <v>2352</v>
      </c>
      <c r="BP169" s="1400" t="s">
        <v>2524</v>
      </c>
      <c r="BQ169" s="509"/>
      <c r="BR169" s="509"/>
      <c r="BS169" s="509"/>
      <c r="BT169" s="509"/>
      <c r="BU169" s="509"/>
      <c r="BV169" s="509"/>
      <c r="BW169" s="509"/>
      <c r="BX169" s="509"/>
      <c r="BY169" s="509"/>
      <c r="BZ169" s="509"/>
      <c r="CA169" s="509"/>
      <c r="CB169" s="509"/>
      <c r="CC169" s="509"/>
      <c r="CD169" s="509"/>
      <c r="CE169" s="509"/>
      <c r="CF169" s="509"/>
      <c r="CG169" s="509"/>
      <c r="CH169" s="509"/>
      <c r="CI169" s="509"/>
      <c r="CJ169" s="509"/>
      <c r="CK169" s="509"/>
      <c r="CL169" s="509"/>
      <c r="CM169" s="509"/>
      <c r="CN169" s="509"/>
      <c r="CO169" s="509"/>
      <c r="CP169" s="509"/>
      <c r="CQ169" s="509"/>
      <c r="CR169" s="509"/>
      <c r="CS169" s="509"/>
    </row>
    <row r="170" spans="1:98" s="137" customFormat="1" ht="12.75" customHeight="1" x14ac:dyDescent="0.2">
      <c r="A170" s="1421">
        <v>166</v>
      </c>
      <c r="B170" s="649" t="s">
        <v>596</v>
      </c>
      <c r="C170" s="1607" t="s">
        <v>221</v>
      </c>
      <c r="D170" s="1605">
        <v>213822</v>
      </c>
      <c r="E170" s="1405">
        <v>152391719</v>
      </c>
      <c r="F170" s="1405">
        <v>5622</v>
      </c>
      <c r="G170" s="158">
        <v>-6033075</v>
      </c>
      <c r="H170" s="158">
        <v>-4696092</v>
      </c>
      <c r="I170" s="158">
        <v>-70285</v>
      </c>
      <c r="J170" s="158">
        <v>0</v>
      </c>
      <c r="K170" s="158">
        <v>-19411</v>
      </c>
      <c r="L170" s="158">
        <v>0</v>
      </c>
      <c r="M170" s="158">
        <v>-4108778</v>
      </c>
      <c r="N170" s="158">
        <v>-176595</v>
      </c>
      <c r="O170" s="158">
        <v>-297181</v>
      </c>
      <c r="P170" s="158">
        <v>-7308</v>
      </c>
      <c r="Q170" s="158">
        <v>0</v>
      </c>
      <c r="R170" s="158">
        <v>-19212</v>
      </c>
      <c r="S170" s="158">
        <v>-19212</v>
      </c>
      <c r="T170" s="158">
        <v>0</v>
      </c>
      <c r="U170" s="158">
        <v>-4762924</v>
      </c>
      <c r="V170" s="158">
        <v>59836014</v>
      </c>
      <c r="W170" s="158">
        <v>-289908</v>
      </c>
      <c r="X170" s="158">
        <v>109178750</v>
      </c>
      <c r="Y170" s="158">
        <v>156409112</v>
      </c>
      <c r="Z170" s="158">
        <v>29434419</v>
      </c>
      <c r="AA170" s="158">
        <v>28864558</v>
      </c>
      <c r="AB170" s="158">
        <v>0</v>
      </c>
      <c r="AC170" s="158">
        <v>589073</v>
      </c>
      <c r="AD170" s="158">
        <v>214082</v>
      </c>
      <c r="AE170" s="158">
        <v>324157</v>
      </c>
      <c r="AF170" s="158">
        <v>374453</v>
      </c>
      <c r="AG170" s="158">
        <v>0</v>
      </c>
      <c r="AH170" s="158">
        <v>19212</v>
      </c>
      <c r="AI170" s="158">
        <v>0</v>
      </c>
      <c r="AJ170" s="158">
        <v>0</v>
      </c>
      <c r="AK170" s="158">
        <v>-406029</v>
      </c>
      <c r="AL170" s="158">
        <v>210</v>
      </c>
      <c r="AM170" s="158">
        <v>10</v>
      </c>
      <c r="AN170" s="158">
        <v>0</v>
      </c>
      <c r="AO170" s="158">
        <v>8</v>
      </c>
      <c r="AP170" s="158">
        <v>0</v>
      </c>
      <c r="AQ170" s="158">
        <v>608</v>
      </c>
      <c r="AR170" s="158">
        <v>64</v>
      </c>
      <c r="AS170" s="158">
        <v>36</v>
      </c>
      <c r="AT170" s="158">
        <v>7</v>
      </c>
      <c r="AU170" s="158">
        <v>0</v>
      </c>
      <c r="AV170" s="158">
        <v>0</v>
      </c>
      <c r="AW170" s="158">
        <v>1</v>
      </c>
      <c r="AX170" s="158">
        <v>0</v>
      </c>
      <c r="AY170" s="158">
        <v>581</v>
      </c>
      <c r="AZ170" s="158">
        <v>1216</v>
      </c>
      <c r="BA170" s="158">
        <v>2426</v>
      </c>
      <c r="BB170" s="158">
        <v>2293</v>
      </c>
      <c r="BC170" s="158">
        <v>133</v>
      </c>
      <c r="BD170" s="158">
        <v>1913</v>
      </c>
      <c r="BE170" s="158">
        <v>-2640325</v>
      </c>
      <c r="BF170" s="158">
        <v>-238630</v>
      </c>
      <c r="BG170" s="158">
        <v>0</v>
      </c>
      <c r="BH170" s="158">
        <v>-33599</v>
      </c>
      <c r="BI170" s="158">
        <v>-935081</v>
      </c>
      <c r="BJ170" s="158">
        <v>-261143</v>
      </c>
      <c r="BK170" s="158">
        <v>-4252535</v>
      </c>
      <c r="BL170" s="1438">
        <v>4560850</v>
      </c>
      <c r="BM170" s="1439">
        <v>0</v>
      </c>
      <c r="BN170" s="784" t="s">
        <v>509</v>
      </c>
      <c r="BO170" s="784" t="s">
        <v>2364</v>
      </c>
      <c r="BP170" s="1400" t="s">
        <v>2525</v>
      </c>
      <c r="BQ170" s="509"/>
      <c r="BR170" s="509"/>
      <c r="BS170" s="509"/>
      <c r="BT170" s="509"/>
      <c r="BU170" s="509"/>
      <c r="BV170" s="509"/>
      <c r="BW170" s="509"/>
      <c r="BX170" s="509"/>
      <c r="BY170" s="509"/>
      <c r="BZ170" s="509"/>
      <c r="CA170" s="509"/>
      <c r="CB170" s="509"/>
      <c r="CC170" s="509"/>
      <c r="CD170" s="509"/>
      <c r="CE170" s="509"/>
      <c r="CF170" s="509"/>
      <c r="CG170" s="509"/>
      <c r="CH170" s="509"/>
      <c r="CI170" s="509"/>
      <c r="CJ170" s="509"/>
      <c r="CK170" s="509"/>
      <c r="CL170" s="509"/>
      <c r="CM170" s="509"/>
      <c r="CN170" s="509"/>
      <c r="CO170" s="509"/>
      <c r="CP170" s="509"/>
      <c r="CQ170" s="509"/>
      <c r="CR170" s="509"/>
      <c r="CS170" s="509"/>
    </row>
    <row r="171" spans="1:98" s="137" customFormat="1" ht="12.75" customHeight="1" x14ac:dyDescent="0.2">
      <c r="A171" s="1421">
        <v>167</v>
      </c>
      <c r="B171" s="649" t="s">
        <v>222</v>
      </c>
      <c r="C171" s="1607" t="s">
        <v>223</v>
      </c>
      <c r="D171" s="1605">
        <v>183495</v>
      </c>
      <c r="E171" s="1405">
        <v>118701037</v>
      </c>
      <c r="F171" s="1405">
        <v>4706</v>
      </c>
      <c r="G171" s="158">
        <v>-5026679</v>
      </c>
      <c r="H171" s="158">
        <v>-3886421</v>
      </c>
      <c r="I171" s="158">
        <v>-17804</v>
      </c>
      <c r="J171" s="158">
        <v>-8949</v>
      </c>
      <c r="K171" s="158">
        <v>-17500</v>
      </c>
      <c r="L171" s="158">
        <v>-15000</v>
      </c>
      <c r="M171" s="158">
        <v>-1456475</v>
      </c>
      <c r="N171" s="158">
        <v>-217038</v>
      </c>
      <c r="O171" s="158">
        <v>-143045</v>
      </c>
      <c r="P171" s="158">
        <v>-10439</v>
      </c>
      <c r="Q171" s="158">
        <v>0</v>
      </c>
      <c r="R171" s="158">
        <v>0</v>
      </c>
      <c r="S171" s="158">
        <v>0</v>
      </c>
      <c r="T171" s="158">
        <v>0</v>
      </c>
      <c r="U171" s="158">
        <v>-6335233</v>
      </c>
      <c r="V171" s="158">
        <v>40866532</v>
      </c>
      <c r="W171" s="158">
        <v>-2963600</v>
      </c>
      <c r="X171" s="158">
        <v>66087750</v>
      </c>
      <c r="Y171" s="158">
        <v>117871899</v>
      </c>
      <c r="Z171" s="158">
        <v>19788665</v>
      </c>
      <c r="AA171" s="158">
        <v>15830932</v>
      </c>
      <c r="AB171" s="158">
        <v>3957733</v>
      </c>
      <c r="AC171" s="158">
        <v>0</v>
      </c>
      <c r="AD171" s="158">
        <v>182214</v>
      </c>
      <c r="AE171" s="158">
        <v>0</v>
      </c>
      <c r="AF171" s="158">
        <v>37500</v>
      </c>
      <c r="AG171" s="158">
        <v>0</v>
      </c>
      <c r="AH171" s="158">
        <v>0</v>
      </c>
      <c r="AI171" s="158">
        <v>0</v>
      </c>
      <c r="AJ171" s="158">
        <v>0</v>
      </c>
      <c r="AK171" s="158">
        <v>1039753</v>
      </c>
      <c r="AL171" s="158">
        <v>229</v>
      </c>
      <c r="AM171" s="158">
        <v>9</v>
      </c>
      <c r="AN171" s="158">
        <v>4</v>
      </c>
      <c r="AO171" s="158">
        <v>7</v>
      </c>
      <c r="AP171" s="158">
        <v>0</v>
      </c>
      <c r="AQ171" s="158">
        <v>517</v>
      </c>
      <c r="AR171" s="158">
        <v>85</v>
      </c>
      <c r="AS171" s="158">
        <v>19</v>
      </c>
      <c r="AT171" s="158">
        <v>7</v>
      </c>
      <c r="AU171" s="158">
        <v>4</v>
      </c>
      <c r="AV171" s="158">
        <v>0</v>
      </c>
      <c r="AW171" s="158">
        <v>0</v>
      </c>
      <c r="AX171" s="158">
        <v>0</v>
      </c>
      <c r="AY171" s="158">
        <v>731</v>
      </c>
      <c r="AZ171" s="158">
        <v>1117</v>
      </c>
      <c r="BA171" s="158">
        <v>1747</v>
      </c>
      <c r="BB171" s="158">
        <v>1590</v>
      </c>
      <c r="BC171" s="158">
        <v>157</v>
      </c>
      <c r="BD171" s="158">
        <v>1825</v>
      </c>
      <c r="BE171" s="158">
        <v>0</v>
      </c>
      <c r="BF171" s="158">
        <v>-703237</v>
      </c>
      <c r="BG171" s="158">
        <v>0</v>
      </c>
      <c r="BH171" s="158">
        <v>0</v>
      </c>
      <c r="BI171" s="158">
        <v>-646309</v>
      </c>
      <c r="BJ171" s="158">
        <v>-106929</v>
      </c>
      <c r="BK171" s="158">
        <v>126755</v>
      </c>
      <c r="BL171" s="1438">
        <v>21315450</v>
      </c>
      <c r="BM171" s="1439">
        <v>0</v>
      </c>
      <c r="BN171" s="784" t="s">
        <v>2349</v>
      </c>
      <c r="BO171" s="784" t="s">
        <v>2357</v>
      </c>
      <c r="BP171" s="1400" t="s">
        <v>2526</v>
      </c>
      <c r="BQ171" s="509"/>
      <c r="BR171" s="509"/>
      <c r="BS171" s="509"/>
      <c r="BT171" s="509"/>
      <c r="BU171" s="509"/>
      <c r="BV171" s="509"/>
      <c r="BW171" s="509"/>
      <c r="BX171" s="509"/>
      <c r="BY171" s="509"/>
      <c r="BZ171" s="509"/>
      <c r="CA171" s="509"/>
      <c r="CB171" s="509"/>
      <c r="CC171" s="509"/>
      <c r="CD171" s="509"/>
      <c r="CE171" s="509"/>
      <c r="CF171" s="509"/>
      <c r="CG171" s="509"/>
      <c r="CH171" s="509"/>
      <c r="CI171" s="509"/>
      <c r="CJ171" s="509"/>
      <c r="CK171" s="509"/>
      <c r="CL171" s="509"/>
      <c r="CM171" s="509"/>
      <c r="CN171" s="509"/>
      <c r="CO171" s="509"/>
      <c r="CP171" s="509"/>
      <c r="CQ171" s="509"/>
      <c r="CR171" s="509"/>
      <c r="CS171" s="509"/>
    </row>
    <row r="172" spans="1:98" s="137" customFormat="1" ht="12.75" customHeight="1" x14ac:dyDescent="0.2">
      <c r="A172" s="1421">
        <v>168</v>
      </c>
      <c r="B172" s="649" t="s">
        <v>224</v>
      </c>
      <c r="C172" s="1607" t="s">
        <v>225</v>
      </c>
      <c r="D172" s="1605">
        <v>131223</v>
      </c>
      <c r="E172" s="1405">
        <v>86955352</v>
      </c>
      <c r="F172" s="1405">
        <v>3509</v>
      </c>
      <c r="G172" s="158">
        <v>-4421484</v>
      </c>
      <c r="H172" s="158">
        <v>-2584335</v>
      </c>
      <c r="I172" s="158">
        <v>-31170</v>
      </c>
      <c r="J172" s="158">
        <v>-23250</v>
      </c>
      <c r="K172" s="158">
        <v>-2430</v>
      </c>
      <c r="L172" s="158">
        <v>-20000</v>
      </c>
      <c r="M172" s="158">
        <v>-783940</v>
      </c>
      <c r="N172" s="158">
        <v>-169348</v>
      </c>
      <c r="O172" s="158">
        <v>-13102</v>
      </c>
      <c r="P172" s="158">
        <v>-58</v>
      </c>
      <c r="Q172" s="158">
        <v>0</v>
      </c>
      <c r="R172" s="158">
        <v>0</v>
      </c>
      <c r="S172" s="158">
        <v>0</v>
      </c>
      <c r="T172" s="158">
        <v>0</v>
      </c>
      <c r="U172" s="158">
        <v>-2336515</v>
      </c>
      <c r="V172" s="158">
        <v>33580213</v>
      </c>
      <c r="W172" s="158">
        <v>-825000</v>
      </c>
      <c r="X172" s="158">
        <v>56320900</v>
      </c>
      <c r="Y172" s="158">
        <v>85248140</v>
      </c>
      <c r="Z172" s="158">
        <v>14725479</v>
      </c>
      <c r="AA172" s="158">
        <v>11780384</v>
      </c>
      <c r="AB172" s="158">
        <v>2945096</v>
      </c>
      <c r="AC172" s="158">
        <v>0</v>
      </c>
      <c r="AD172" s="158">
        <v>128604</v>
      </c>
      <c r="AE172" s="158">
        <v>0</v>
      </c>
      <c r="AF172" s="158">
        <v>3667380</v>
      </c>
      <c r="AG172" s="158">
        <v>0</v>
      </c>
      <c r="AH172" s="158">
        <v>0</v>
      </c>
      <c r="AI172" s="158">
        <v>0</v>
      </c>
      <c r="AJ172" s="158">
        <v>0</v>
      </c>
      <c r="AK172" s="158">
        <v>-724180</v>
      </c>
      <c r="AL172" s="158">
        <v>164</v>
      </c>
      <c r="AM172" s="158">
        <v>5</v>
      </c>
      <c r="AN172" s="158">
        <v>13</v>
      </c>
      <c r="AO172" s="158">
        <v>3</v>
      </c>
      <c r="AP172" s="158">
        <v>0</v>
      </c>
      <c r="AQ172" s="158">
        <v>177</v>
      </c>
      <c r="AR172" s="158">
        <v>100</v>
      </c>
      <c r="AS172" s="158">
        <v>2</v>
      </c>
      <c r="AT172" s="158">
        <v>1</v>
      </c>
      <c r="AU172" s="158">
        <v>0</v>
      </c>
      <c r="AV172" s="158">
        <v>0</v>
      </c>
      <c r="AW172" s="158">
        <v>0</v>
      </c>
      <c r="AX172" s="158">
        <v>0</v>
      </c>
      <c r="AY172" s="158">
        <v>271</v>
      </c>
      <c r="AZ172" s="158">
        <v>271</v>
      </c>
      <c r="BA172" s="158">
        <v>1702</v>
      </c>
      <c r="BB172" s="158">
        <v>1603</v>
      </c>
      <c r="BC172" s="158">
        <v>99</v>
      </c>
      <c r="BD172" s="158">
        <v>1472</v>
      </c>
      <c r="BE172" s="158">
        <v>-19225</v>
      </c>
      <c r="BF172" s="158">
        <v>-266937</v>
      </c>
      <c r="BG172" s="158">
        <v>0</v>
      </c>
      <c r="BH172" s="158">
        <v>-4591</v>
      </c>
      <c r="BI172" s="158">
        <v>-493187</v>
      </c>
      <c r="BJ172" s="158">
        <v>0</v>
      </c>
      <c r="BK172" s="158">
        <v>1532826</v>
      </c>
      <c r="BL172" s="1438">
        <v>9248750</v>
      </c>
      <c r="BM172" s="1439">
        <v>0</v>
      </c>
      <c r="BN172" s="784" t="s">
        <v>2349</v>
      </c>
      <c r="BO172" s="784" t="s">
        <v>2352</v>
      </c>
      <c r="BP172" s="1400" t="s">
        <v>2527</v>
      </c>
      <c r="BQ172" s="509"/>
      <c r="BR172" s="509"/>
      <c r="BS172" s="509"/>
      <c r="BT172" s="509"/>
      <c r="BU172" s="509"/>
      <c r="BV172" s="509"/>
      <c r="BW172" s="509"/>
      <c r="BX172" s="509"/>
      <c r="BY172" s="509"/>
      <c r="BZ172" s="509"/>
      <c r="CA172" s="509"/>
      <c r="CB172" s="509"/>
      <c r="CC172" s="509"/>
      <c r="CD172" s="509"/>
      <c r="CE172" s="509"/>
      <c r="CF172" s="509"/>
      <c r="CG172" s="509"/>
      <c r="CH172" s="509"/>
      <c r="CI172" s="509"/>
      <c r="CJ172" s="509"/>
      <c r="CK172" s="509"/>
      <c r="CL172" s="509"/>
      <c r="CM172" s="509"/>
      <c r="CN172" s="509"/>
      <c r="CO172" s="509"/>
      <c r="CP172" s="509"/>
      <c r="CQ172" s="509"/>
      <c r="CR172" s="509"/>
      <c r="CS172" s="509"/>
    </row>
    <row r="173" spans="1:98" s="137" customFormat="1" ht="12.75" customHeight="1" x14ac:dyDescent="0.2">
      <c r="A173" s="1421">
        <v>169</v>
      </c>
      <c r="B173" s="649" t="s">
        <v>597</v>
      </c>
      <c r="C173" s="1607" t="s">
        <v>227</v>
      </c>
      <c r="D173" s="1605">
        <v>237516</v>
      </c>
      <c r="E173" s="1405">
        <v>223805374</v>
      </c>
      <c r="F173" s="1405">
        <v>5757</v>
      </c>
      <c r="G173" s="158">
        <v>-6583139</v>
      </c>
      <c r="H173" s="158">
        <v>-3235789</v>
      </c>
      <c r="I173" s="158">
        <v>-61683</v>
      </c>
      <c r="J173" s="158">
        <v>-11048</v>
      </c>
      <c r="K173" s="158">
        <v>-21982</v>
      </c>
      <c r="L173" s="158">
        <v>0</v>
      </c>
      <c r="M173" s="158">
        <v>-2529539</v>
      </c>
      <c r="N173" s="158">
        <v>-96756</v>
      </c>
      <c r="O173" s="158">
        <v>-103601</v>
      </c>
      <c r="P173" s="158">
        <v>-11303</v>
      </c>
      <c r="Q173" s="158">
        <v>0</v>
      </c>
      <c r="R173" s="158">
        <v>0</v>
      </c>
      <c r="S173" s="158">
        <v>0</v>
      </c>
      <c r="T173" s="158">
        <v>0</v>
      </c>
      <c r="U173" s="158">
        <v>-4562397</v>
      </c>
      <c r="V173" s="158">
        <v>101410944</v>
      </c>
      <c r="W173" s="158">
        <v>-4258192</v>
      </c>
      <c r="X173" s="158">
        <v>175498250</v>
      </c>
      <c r="Y173" s="158">
        <v>222614333</v>
      </c>
      <c r="Z173" s="158">
        <v>42093794</v>
      </c>
      <c r="AA173" s="158">
        <v>41251919</v>
      </c>
      <c r="AB173" s="158">
        <v>0</v>
      </c>
      <c r="AC173" s="158">
        <v>841876</v>
      </c>
      <c r="AD173" s="158">
        <v>232901</v>
      </c>
      <c r="AE173" s="158">
        <v>948806</v>
      </c>
      <c r="AF173" s="158">
        <v>10290487</v>
      </c>
      <c r="AG173" s="158">
        <v>0</v>
      </c>
      <c r="AH173" s="158">
        <v>0</v>
      </c>
      <c r="AI173" s="158">
        <v>0</v>
      </c>
      <c r="AJ173" s="158">
        <v>0</v>
      </c>
      <c r="AK173" s="158">
        <v>7255503</v>
      </c>
      <c r="AL173" s="158">
        <v>212</v>
      </c>
      <c r="AM173" s="158">
        <v>15</v>
      </c>
      <c r="AN173" s="158">
        <v>4</v>
      </c>
      <c r="AO173" s="158">
        <v>14</v>
      </c>
      <c r="AP173" s="158">
        <v>0</v>
      </c>
      <c r="AQ173" s="158">
        <v>479</v>
      </c>
      <c r="AR173" s="158">
        <v>111</v>
      </c>
      <c r="AS173" s="158">
        <v>16</v>
      </c>
      <c r="AT173" s="158">
        <v>12</v>
      </c>
      <c r="AU173" s="158">
        <v>0</v>
      </c>
      <c r="AV173" s="158">
        <v>0</v>
      </c>
      <c r="AW173" s="158">
        <v>0</v>
      </c>
      <c r="AX173" s="158">
        <v>0</v>
      </c>
      <c r="AY173" s="158">
        <v>543</v>
      </c>
      <c r="AZ173" s="158">
        <v>1117</v>
      </c>
      <c r="BA173" s="158">
        <v>2638</v>
      </c>
      <c r="BB173" s="158">
        <v>2539</v>
      </c>
      <c r="BC173" s="158">
        <v>99</v>
      </c>
      <c r="BD173" s="158">
        <v>1921</v>
      </c>
      <c r="BE173" s="158">
        <v>-20334</v>
      </c>
      <c r="BF173" s="158">
        <v>-102755</v>
      </c>
      <c r="BG173" s="158">
        <v>0</v>
      </c>
      <c r="BH173" s="158">
        <v>-1410</v>
      </c>
      <c r="BI173" s="158">
        <v>-2405040</v>
      </c>
      <c r="BJ173" s="158">
        <v>0</v>
      </c>
      <c r="BK173" s="158">
        <v>10653083</v>
      </c>
      <c r="BL173" s="1438">
        <v>2745000</v>
      </c>
      <c r="BM173" s="1439">
        <v>36250</v>
      </c>
      <c r="BN173" s="784" t="s">
        <v>509</v>
      </c>
      <c r="BO173" s="784" t="s">
        <v>2364</v>
      </c>
      <c r="BP173" s="1400" t="s">
        <v>2528</v>
      </c>
      <c r="BQ173" s="509"/>
      <c r="BR173" s="509"/>
      <c r="BS173" s="509"/>
      <c r="BT173" s="509"/>
      <c r="BU173" s="509"/>
      <c r="BV173" s="509"/>
      <c r="BW173" s="509"/>
      <c r="BX173" s="509"/>
      <c r="BY173" s="509"/>
      <c r="BZ173" s="509"/>
      <c r="CA173" s="509"/>
      <c r="CB173" s="509"/>
      <c r="CC173" s="509"/>
      <c r="CD173" s="509"/>
      <c r="CE173" s="509"/>
      <c r="CF173" s="509"/>
      <c r="CG173" s="509"/>
      <c r="CH173" s="509"/>
      <c r="CI173" s="509"/>
      <c r="CJ173" s="509"/>
      <c r="CK173" s="509"/>
      <c r="CL173" s="509"/>
      <c r="CM173" s="509"/>
      <c r="CN173" s="509"/>
      <c r="CO173" s="509"/>
      <c r="CP173" s="509"/>
      <c r="CQ173" s="509"/>
      <c r="CR173" s="509"/>
      <c r="CS173" s="509"/>
    </row>
    <row r="174" spans="1:98" s="137" customFormat="1" ht="12.75" customHeight="1" x14ac:dyDescent="0.2">
      <c r="A174" s="1421">
        <v>170</v>
      </c>
      <c r="B174" s="649" t="s">
        <v>228</v>
      </c>
      <c r="C174" s="1607" t="s">
        <v>229</v>
      </c>
      <c r="D174" s="1605">
        <v>266337</v>
      </c>
      <c r="E174" s="1405">
        <v>90902323</v>
      </c>
      <c r="F174" s="1405">
        <v>7888</v>
      </c>
      <c r="G174" s="158">
        <v>-7153320</v>
      </c>
      <c r="H174" s="158">
        <v>-3058922</v>
      </c>
      <c r="I174" s="158">
        <v>-42039</v>
      </c>
      <c r="J174" s="158">
        <v>-75639</v>
      </c>
      <c r="K174" s="158">
        <v>-47727</v>
      </c>
      <c r="L174" s="158">
        <v>0</v>
      </c>
      <c r="M174" s="158">
        <v>-597375</v>
      </c>
      <c r="N174" s="158">
        <v>-3658</v>
      </c>
      <c r="O174" s="158">
        <v>-3259</v>
      </c>
      <c r="P174" s="158">
        <v>0</v>
      </c>
      <c r="Q174" s="158">
        <v>0</v>
      </c>
      <c r="R174" s="158">
        <v>-34293</v>
      </c>
      <c r="S174" s="158">
        <v>-34293</v>
      </c>
      <c r="T174" s="158">
        <v>0</v>
      </c>
      <c r="U174" s="158">
        <v>-8104368</v>
      </c>
      <c r="V174" s="158">
        <v>26778931</v>
      </c>
      <c r="W174" s="158">
        <v>-562821</v>
      </c>
      <c r="X174" s="158">
        <v>43782100</v>
      </c>
      <c r="Y174" s="158">
        <v>91106228</v>
      </c>
      <c r="Z174" s="158">
        <v>12767322</v>
      </c>
      <c r="AA174" s="158">
        <v>10241292</v>
      </c>
      <c r="AB174" s="158">
        <v>2560323</v>
      </c>
      <c r="AC174" s="158">
        <v>0</v>
      </c>
      <c r="AD174" s="158">
        <v>275342</v>
      </c>
      <c r="AE174" s="158">
        <v>423183</v>
      </c>
      <c r="AF174" s="158">
        <v>1328573</v>
      </c>
      <c r="AG174" s="158">
        <v>0</v>
      </c>
      <c r="AH174" s="158">
        <v>34293</v>
      </c>
      <c r="AI174" s="158">
        <v>0</v>
      </c>
      <c r="AJ174" s="158">
        <v>0</v>
      </c>
      <c r="AK174" s="158">
        <v>-4779560</v>
      </c>
      <c r="AL174" s="158">
        <v>389</v>
      </c>
      <c r="AM174" s="158">
        <v>32</v>
      </c>
      <c r="AN174" s="158">
        <v>36</v>
      </c>
      <c r="AO174" s="158">
        <v>35</v>
      </c>
      <c r="AP174" s="158">
        <v>0</v>
      </c>
      <c r="AQ174" s="158">
        <v>289</v>
      </c>
      <c r="AR174" s="158">
        <v>12</v>
      </c>
      <c r="AS174" s="158">
        <v>2</v>
      </c>
      <c r="AT174" s="158">
        <v>0</v>
      </c>
      <c r="AU174" s="158">
        <v>35</v>
      </c>
      <c r="AV174" s="158">
        <v>0</v>
      </c>
      <c r="AW174" s="158">
        <v>22</v>
      </c>
      <c r="AX174" s="158">
        <v>0</v>
      </c>
      <c r="AY174" s="158">
        <v>1789</v>
      </c>
      <c r="AZ174" s="158">
        <v>272</v>
      </c>
      <c r="BA174" s="158">
        <v>4263</v>
      </c>
      <c r="BB174" s="158">
        <v>4138</v>
      </c>
      <c r="BC174" s="158">
        <v>125</v>
      </c>
      <c r="BD174" s="158">
        <v>2861</v>
      </c>
      <c r="BE174" s="158">
        <v>-101815</v>
      </c>
      <c r="BF174" s="158">
        <v>-202935</v>
      </c>
      <c r="BG174" s="158">
        <v>0</v>
      </c>
      <c r="BH174" s="158">
        <v>-35945</v>
      </c>
      <c r="BI174" s="158">
        <v>-182285</v>
      </c>
      <c r="BJ174" s="158">
        <v>-74395</v>
      </c>
      <c r="BK174" s="158">
        <v>-8991515</v>
      </c>
      <c r="BL174" s="1438">
        <v>12784499</v>
      </c>
      <c r="BM174" s="1439">
        <v>196000</v>
      </c>
      <c r="BN174" s="784" t="s">
        <v>2349</v>
      </c>
      <c r="BO174" s="784" t="s">
        <v>2357</v>
      </c>
      <c r="BP174" s="1400" t="s">
        <v>2529</v>
      </c>
      <c r="BQ174" s="509"/>
      <c r="BR174" s="509"/>
      <c r="BS174" s="509"/>
      <c r="BT174" s="509"/>
      <c r="BU174" s="509"/>
      <c r="BV174" s="509"/>
      <c r="BW174" s="509"/>
      <c r="BX174" s="509"/>
      <c r="BY174" s="509"/>
      <c r="BZ174" s="509"/>
      <c r="CA174" s="509"/>
      <c r="CB174" s="509"/>
      <c r="CC174" s="509"/>
      <c r="CD174" s="509"/>
      <c r="CE174" s="509"/>
      <c r="CF174" s="509"/>
      <c r="CG174" s="509"/>
      <c r="CH174" s="509"/>
      <c r="CI174" s="509"/>
      <c r="CJ174" s="509"/>
      <c r="CK174" s="509"/>
      <c r="CL174" s="509"/>
      <c r="CM174" s="509"/>
      <c r="CN174" s="509"/>
      <c r="CO174" s="509"/>
      <c r="CP174" s="509"/>
      <c r="CQ174" s="509"/>
      <c r="CR174" s="509"/>
      <c r="CS174" s="509"/>
    </row>
    <row r="175" spans="1:98" s="137" customFormat="1" ht="12.75" customHeight="1" x14ac:dyDescent="0.2">
      <c r="A175" s="1421">
        <v>171</v>
      </c>
      <c r="B175" s="649" t="s">
        <v>1288</v>
      </c>
      <c r="C175" s="1607" t="s">
        <v>1313</v>
      </c>
      <c r="D175" s="1605">
        <v>485531</v>
      </c>
      <c r="E175" s="1405">
        <v>413791710</v>
      </c>
      <c r="F175" s="1405">
        <v>11953</v>
      </c>
      <c r="G175" s="158">
        <v>-11584065</v>
      </c>
      <c r="H175" s="158">
        <v>-9359993</v>
      </c>
      <c r="I175" s="158">
        <v>-193436</v>
      </c>
      <c r="J175" s="158">
        <v>-12683</v>
      </c>
      <c r="K175" s="158">
        <v>-24056</v>
      </c>
      <c r="L175" s="158">
        <v>-348049</v>
      </c>
      <c r="M175" s="158">
        <v>-2740208</v>
      </c>
      <c r="N175" s="158">
        <v>-48272</v>
      </c>
      <c r="O175" s="158">
        <v>-36088</v>
      </c>
      <c r="P175" s="158">
        <v>-1584</v>
      </c>
      <c r="Q175" s="158">
        <v>-601</v>
      </c>
      <c r="R175" s="158">
        <v>0</v>
      </c>
      <c r="S175" s="158">
        <v>0</v>
      </c>
      <c r="T175" s="158">
        <v>0</v>
      </c>
      <c r="U175" s="158">
        <v>-5057607</v>
      </c>
      <c r="V175" s="158">
        <v>177004562</v>
      </c>
      <c r="W175" s="158">
        <v>-2000000</v>
      </c>
      <c r="X175" s="158">
        <v>320883720</v>
      </c>
      <c r="Y175" s="158">
        <v>406668082</v>
      </c>
      <c r="Z175" s="158">
        <v>93392486</v>
      </c>
      <c r="AA175" s="158">
        <v>91524636</v>
      </c>
      <c r="AB175" s="158">
        <v>0</v>
      </c>
      <c r="AC175" s="158">
        <v>1867850</v>
      </c>
      <c r="AD175" s="158">
        <v>481217</v>
      </c>
      <c r="AE175" s="158">
        <v>0</v>
      </c>
      <c r="AF175" s="158">
        <v>954380</v>
      </c>
      <c r="AG175" s="158">
        <v>0</v>
      </c>
      <c r="AH175" s="158">
        <v>0</v>
      </c>
      <c r="AI175" s="158">
        <v>0</v>
      </c>
      <c r="AJ175" s="158">
        <v>0</v>
      </c>
      <c r="AK175" s="158">
        <v>5641571</v>
      </c>
      <c r="AL175" s="158">
        <v>417</v>
      </c>
      <c r="AM175" s="158">
        <v>26</v>
      </c>
      <c r="AN175" s="158">
        <v>0</v>
      </c>
      <c r="AO175" s="158">
        <v>10</v>
      </c>
      <c r="AP175" s="158">
        <v>5</v>
      </c>
      <c r="AQ175" s="158">
        <v>1451</v>
      </c>
      <c r="AR175" s="158">
        <v>49</v>
      </c>
      <c r="AS175" s="158">
        <v>12</v>
      </c>
      <c r="AT175" s="158">
        <v>11</v>
      </c>
      <c r="AU175" s="158">
        <v>0</v>
      </c>
      <c r="AV175" s="158">
        <v>1</v>
      </c>
      <c r="AW175" s="158">
        <v>0</v>
      </c>
      <c r="AX175" s="158">
        <v>0</v>
      </c>
      <c r="AY175" s="158">
        <v>529</v>
      </c>
      <c r="AZ175" s="158">
        <v>2956</v>
      </c>
      <c r="BA175" s="158">
        <v>4887</v>
      </c>
      <c r="BB175" s="158">
        <v>4560</v>
      </c>
      <c r="BC175" s="158">
        <v>327</v>
      </c>
      <c r="BD175" s="158">
        <v>4227</v>
      </c>
      <c r="BE175" s="158">
        <v>-1600173</v>
      </c>
      <c r="BF175" s="158">
        <v>-259318</v>
      </c>
      <c r="BG175" s="158">
        <v>0</v>
      </c>
      <c r="BH175" s="158">
        <v>-58533</v>
      </c>
      <c r="BI175" s="158">
        <v>-27327</v>
      </c>
      <c r="BJ175" s="158">
        <v>-794857</v>
      </c>
      <c r="BK175" s="158">
        <v>6343653</v>
      </c>
      <c r="BL175" s="1438">
        <v>29109900</v>
      </c>
      <c r="BM175" s="1439">
        <v>0</v>
      </c>
      <c r="BN175" s="784" t="s">
        <v>509</v>
      </c>
      <c r="BO175" s="784" t="s">
        <v>2352</v>
      </c>
      <c r="BP175" s="1400" t="s">
        <v>2530</v>
      </c>
      <c r="BQ175" s="509"/>
      <c r="BR175" s="509"/>
      <c r="BS175" s="509"/>
      <c r="BT175" s="509"/>
      <c r="BU175" s="509"/>
      <c r="BV175" s="509"/>
      <c r="BW175" s="509"/>
      <c r="BX175" s="509"/>
      <c r="BY175" s="509"/>
      <c r="BZ175" s="509"/>
      <c r="CA175" s="509"/>
      <c r="CB175" s="509"/>
      <c r="CC175" s="509"/>
      <c r="CD175" s="509"/>
      <c r="CE175" s="509"/>
      <c r="CF175" s="509"/>
      <c r="CG175" s="509"/>
      <c r="CH175" s="509"/>
      <c r="CI175" s="509"/>
      <c r="CJ175" s="509"/>
      <c r="CK175" s="509"/>
      <c r="CL175" s="509"/>
      <c r="CM175" s="509"/>
      <c r="CN175" s="509"/>
      <c r="CO175" s="509"/>
      <c r="CP175" s="509"/>
      <c r="CQ175" s="509"/>
      <c r="CR175" s="509"/>
      <c r="CS175" s="509"/>
    </row>
    <row r="176" spans="1:98" s="137" customFormat="1" ht="12.75" customHeight="1" x14ac:dyDescent="0.2">
      <c r="A176" s="1421">
        <v>172</v>
      </c>
      <c r="B176" s="649" t="s">
        <v>514</v>
      </c>
      <c r="C176" s="1607" t="s">
        <v>231</v>
      </c>
      <c r="D176" s="1605">
        <v>258373</v>
      </c>
      <c r="E176" s="1405">
        <v>179773796</v>
      </c>
      <c r="F176" s="1405">
        <v>6525</v>
      </c>
      <c r="G176" s="158">
        <v>-6608862</v>
      </c>
      <c r="H176" s="158">
        <v>-7534031</v>
      </c>
      <c r="I176" s="158">
        <v>-138032</v>
      </c>
      <c r="J176" s="158">
        <v>-11885</v>
      </c>
      <c r="K176" s="158">
        <v>-17992</v>
      </c>
      <c r="L176" s="158">
        <v>-20000</v>
      </c>
      <c r="M176" s="158">
        <v>-1321028</v>
      </c>
      <c r="N176" s="158">
        <v>-91278</v>
      </c>
      <c r="O176" s="158">
        <v>-307479</v>
      </c>
      <c r="P176" s="158">
        <v>0</v>
      </c>
      <c r="Q176" s="158">
        <v>0</v>
      </c>
      <c r="R176" s="158">
        <v>0</v>
      </c>
      <c r="S176" s="158">
        <v>0</v>
      </c>
      <c r="T176" s="158">
        <v>0</v>
      </c>
      <c r="U176" s="158">
        <v>-6908217</v>
      </c>
      <c r="V176" s="158">
        <v>68746678</v>
      </c>
      <c r="W176" s="158">
        <v>-2268641</v>
      </c>
      <c r="X176" s="158">
        <v>115109300</v>
      </c>
      <c r="Y176" s="158">
        <v>180052918</v>
      </c>
      <c r="Z176" s="158">
        <v>32440260</v>
      </c>
      <c r="AA176" s="158">
        <v>32716555</v>
      </c>
      <c r="AB176" s="158">
        <v>0</v>
      </c>
      <c r="AC176" s="158">
        <v>667685</v>
      </c>
      <c r="AD176" s="158">
        <v>258815</v>
      </c>
      <c r="AE176" s="158">
        <v>1031100</v>
      </c>
      <c r="AF176" s="158">
        <v>211217</v>
      </c>
      <c r="AG176" s="158">
        <v>0</v>
      </c>
      <c r="AH176" s="158">
        <v>0</v>
      </c>
      <c r="AI176" s="158">
        <v>0</v>
      </c>
      <c r="AJ176" s="158">
        <v>943979</v>
      </c>
      <c r="AK176" s="158">
        <v>-2455700</v>
      </c>
      <c r="AL176" s="158">
        <v>376</v>
      </c>
      <c r="AM176" s="158">
        <v>24</v>
      </c>
      <c r="AN176" s="158">
        <v>4</v>
      </c>
      <c r="AO176" s="158">
        <v>14</v>
      </c>
      <c r="AP176" s="158">
        <v>0</v>
      </c>
      <c r="AQ176" s="158">
        <v>448</v>
      </c>
      <c r="AR176" s="158">
        <v>77</v>
      </c>
      <c r="AS176" s="158">
        <v>24</v>
      </c>
      <c r="AT176" s="158">
        <v>0</v>
      </c>
      <c r="AU176" s="158">
        <v>0</v>
      </c>
      <c r="AV176" s="158">
        <v>0</v>
      </c>
      <c r="AW176" s="158">
        <v>0</v>
      </c>
      <c r="AX176" s="158">
        <v>0</v>
      </c>
      <c r="AY176" s="158">
        <v>853</v>
      </c>
      <c r="AZ176" s="158">
        <v>557</v>
      </c>
      <c r="BA176" s="158">
        <v>2556</v>
      </c>
      <c r="BB176" s="158">
        <v>2360</v>
      </c>
      <c r="BC176" s="158">
        <v>196</v>
      </c>
      <c r="BD176" s="158">
        <v>3438</v>
      </c>
      <c r="BE176" s="158">
        <v>-316732</v>
      </c>
      <c r="BF176" s="158">
        <v>-137135</v>
      </c>
      <c r="BG176" s="158">
        <v>0</v>
      </c>
      <c r="BH176" s="158">
        <v>-2096</v>
      </c>
      <c r="BI176" s="158">
        <v>-531702</v>
      </c>
      <c r="BJ176" s="158">
        <v>-333363</v>
      </c>
      <c r="BK176" s="158">
        <v>-3654306</v>
      </c>
      <c r="BL176" s="1438">
        <v>22200850</v>
      </c>
      <c r="BM176" s="1439">
        <v>208500</v>
      </c>
      <c r="BN176" s="784" t="s">
        <v>509</v>
      </c>
      <c r="BO176" s="784" t="s">
        <v>2369</v>
      </c>
      <c r="BP176" s="1400" t="s">
        <v>2531</v>
      </c>
      <c r="BQ176" s="509"/>
      <c r="BR176" s="509"/>
      <c r="BS176" s="509"/>
      <c r="BT176" s="509"/>
      <c r="BU176" s="509"/>
      <c r="BV176" s="509"/>
      <c r="BW176" s="509"/>
      <c r="BX176" s="509"/>
      <c r="BY176" s="509"/>
      <c r="BZ176" s="509"/>
      <c r="CA176" s="509"/>
      <c r="CB176" s="509"/>
      <c r="CC176" s="509"/>
      <c r="CD176" s="509"/>
      <c r="CE176" s="509"/>
      <c r="CF176" s="509"/>
      <c r="CG176" s="509"/>
      <c r="CH176" s="509"/>
      <c r="CI176" s="509"/>
      <c r="CJ176" s="509"/>
      <c r="CK176" s="509"/>
      <c r="CL176" s="509"/>
      <c r="CM176" s="509"/>
      <c r="CN176" s="509"/>
      <c r="CO176" s="509"/>
      <c r="CP176" s="509"/>
      <c r="CQ176" s="509"/>
      <c r="CR176" s="509"/>
      <c r="CS176" s="509"/>
    </row>
    <row r="177" spans="1:98" s="137" customFormat="1" ht="12.75" customHeight="1" x14ac:dyDescent="0.2">
      <c r="A177" s="1421">
        <v>173</v>
      </c>
      <c r="B177" s="649" t="s">
        <v>232</v>
      </c>
      <c r="C177" s="1607" t="s">
        <v>233</v>
      </c>
      <c r="D177" s="1605">
        <v>237810</v>
      </c>
      <c r="E177" s="1405">
        <v>163196883</v>
      </c>
      <c r="F177" s="1405">
        <v>6309</v>
      </c>
      <c r="G177" s="158">
        <v>-7215267</v>
      </c>
      <c r="H177" s="158">
        <v>-4775763</v>
      </c>
      <c r="I177" s="158">
        <v>-111405</v>
      </c>
      <c r="J177" s="158">
        <v>0</v>
      </c>
      <c r="K177" s="158">
        <v>-18358</v>
      </c>
      <c r="L177" s="158">
        <v>-50000</v>
      </c>
      <c r="M177" s="158">
        <v>-3005546</v>
      </c>
      <c r="N177" s="158">
        <v>-322677</v>
      </c>
      <c r="O177" s="158">
        <v>-48993</v>
      </c>
      <c r="P177" s="158">
        <v>-27851</v>
      </c>
      <c r="Q177" s="158">
        <v>0</v>
      </c>
      <c r="R177" s="158">
        <v>-100000</v>
      </c>
      <c r="S177" s="158">
        <v>0</v>
      </c>
      <c r="T177" s="158">
        <v>0</v>
      </c>
      <c r="U177" s="158">
        <v>-3593455</v>
      </c>
      <c r="V177" s="158">
        <v>66068511</v>
      </c>
      <c r="W177" s="158">
        <v>0</v>
      </c>
      <c r="X177" s="158">
        <v>111894850</v>
      </c>
      <c r="Y177" s="158">
        <v>163559364</v>
      </c>
      <c r="Z177" s="158">
        <v>33086615</v>
      </c>
      <c r="AA177" s="158">
        <v>32424883</v>
      </c>
      <c r="AB177" s="158">
        <v>0</v>
      </c>
      <c r="AC177" s="158">
        <v>661732</v>
      </c>
      <c r="AD177" s="158">
        <v>237343</v>
      </c>
      <c r="AE177" s="158">
        <v>210994</v>
      </c>
      <c r="AF177" s="158">
        <v>0</v>
      </c>
      <c r="AG177" s="158">
        <v>0</v>
      </c>
      <c r="AH177" s="158">
        <v>0</v>
      </c>
      <c r="AI177" s="158">
        <v>0</v>
      </c>
      <c r="AJ177" s="158">
        <v>0</v>
      </c>
      <c r="AK177" s="158">
        <v>-5274320</v>
      </c>
      <c r="AL177" s="158">
        <v>242</v>
      </c>
      <c r="AM177" s="158">
        <v>11</v>
      </c>
      <c r="AN177" s="158">
        <v>0</v>
      </c>
      <c r="AO177" s="158">
        <v>8</v>
      </c>
      <c r="AP177" s="158">
        <v>1</v>
      </c>
      <c r="AQ177" s="158">
        <v>1066</v>
      </c>
      <c r="AR177" s="158">
        <v>130</v>
      </c>
      <c r="AS177" s="158">
        <v>12</v>
      </c>
      <c r="AT177" s="158">
        <v>11</v>
      </c>
      <c r="AU177" s="158">
        <v>0</v>
      </c>
      <c r="AV177" s="158">
        <v>0</v>
      </c>
      <c r="AW177" s="158">
        <v>0</v>
      </c>
      <c r="AX177" s="158">
        <v>13</v>
      </c>
      <c r="AY177" s="158">
        <v>483</v>
      </c>
      <c r="AZ177" s="158">
        <v>1784</v>
      </c>
      <c r="BA177" s="158">
        <v>2597</v>
      </c>
      <c r="BB177" s="158">
        <v>2416</v>
      </c>
      <c r="BC177" s="158">
        <v>181</v>
      </c>
      <c r="BD177" s="158">
        <v>1896</v>
      </c>
      <c r="BE177" s="158">
        <v>-400000</v>
      </c>
      <c r="BF177" s="158">
        <v>-100000</v>
      </c>
      <c r="BG177" s="158">
        <v>0</v>
      </c>
      <c r="BH177" s="158">
        <v>-40000</v>
      </c>
      <c r="BI177" s="158">
        <v>-1665546</v>
      </c>
      <c r="BJ177" s="158">
        <v>-800000</v>
      </c>
      <c r="BK177" s="158">
        <v>-6041015</v>
      </c>
      <c r="BL177" s="1438">
        <v>17081625</v>
      </c>
      <c r="BM177" s="1439">
        <v>49250</v>
      </c>
      <c r="BN177" s="784" t="s">
        <v>2363</v>
      </c>
      <c r="BO177" s="784" t="s">
        <v>855</v>
      </c>
      <c r="BP177" s="1400" t="s">
        <v>2532</v>
      </c>
      <c r="BQ177" s="509"/>
      <c r="BR177" s="509"/>
      <c r="BS177" s="509"/>
      <c r="BT177" s="509"/>
      <c r="BU177" s="509"/>
      <c r="BV177" s="509"/>
      <c r="BW177" s="509"/>
      <c r="BX177" s="509"/>
      <c r="BY177" s="509"/>
      <c r="BZ177" s="509"/>
      <c r="CA177" s="509"/>
      <c r="CB177" s="509"/>
      <c r="CC177" s="509"/>
      <c r="CD177" s="509"/>
      <c r="CE177" s="509"/>
      <c r="CF177" s="509"/>
      <c r="CG177" s="509"/>
      <c r="CH177" s="509"/>
      <c r="CI177" s="509"/>
      <c r="CJ177" s="509"/>
      <c r="CK177" s="509"/>
      <c r="CL177" s="509"/>
      <c r="CM177" s="509"/>
      <c r="CN177" s="509"/>
      <c r="CO177" s="509"/>
      <c r="CP177" s="509"/>
      <c r="CQ177" s="509"/>
      <c r="CR177" s="509"/>
      <c r="CS177" s="509"/>
    </row>
    <row r="178" spans="1:98" s="137" customFormat="1" ht="12.75" customHeight="1" x14ac:dyDescent="0.2">
      <c r="A178" s="1421">
        <v>174</v>
      </c>
      <c r="B178" s="649" t="s">
        <v>234</v>
      </c>
      <c r="C178" s="1607" t="s">
        <v>235</v>
      </c>
      <c r="D178" s="1605">
        <v>125299</v>
      </c>
      <c r="E178" s="1405">
        <v>161717348</v>
      </c>
      <c r="F178" s="1405">
        <v>2561</v>
      </c>
      <c r="G178" s="158">
        <v>-2651443</v>
      </c>
      <c r="H178" s="158">
        <v>-1200767</v>
      </c>
      <c r="I178" s="158">
        <v>-33872</v>
      </c>
      <c r="J178" s="158">
        <v>-23813</v>
      </c>
      <c r="K178" s="158">
        <v>0</v>
      </c>
      <c r="L178" s="158">
        <v>0</v>
      </c>
      <c r="M178" s="158">
        <v>-1073096</v>
      </c>
      <c r="N178" s="158">
        <v>-9881</v>
      </c>
      <c r="O178" s="158">
        <v>-9139</v>
      </c>
      <c r="P178" s="158">
        <v>-816</v>
      </c>
      <c r="Q178" s="158">
        <v>0</v>
      </c>
      <c r="R178" s="158">
        <v>0</v>
      </c>
      <c r="S178" s="158">
        <v>0</v>
      </c>
      <c r="T178" s="158">
        <v>0</v>
      </c>
      <c r="U178" s="158">
        <v>-2318086</v>
      </c>
      <c r="V178" s="158">
        <v>76726263</v>
      </c>
      <c r="W178" s="158">
        <v>-2540170</v>
      </c>
      <c r="X178" s="158">
        <v>134707000</v>
      </c>
      <c r="Y178" s="158">
        <v>158065913</v>
      </c>
      <c r="Z178" s="158">
        <v>37532521</v>
      </c>
      <c r="AA178" s="158">
        <v>30026016</v>
      </c>
      <c r="AB178" s="158">
        <v>7506504</v>
      </c>
      <c r="AC178" s="158">
        <v>0</v>
      </c>
      <c r="AD178" s="158">
        <v>120368</v>
      </c>
      <c r="AE178" s="158">
        <v>0</v>
      </c>
      <c r="AF178" s="158">
        <v>3477</v>
      </c>
      <c r="AG178" s="158">
        <v>0</v>
      </c>
      <c r="AH178" s="158">
        <v>0</v>
      </c>
      <c r="AI178" s="158">
        <v>0</v>
      </c>
      <c r="AJ178" s="158">
        <v>0</v>
      </c>
      <c r="AK178" s="158">
        <v>5029509</v>
      </c>
      <c r="AL178" s="158">
        <v>94</v>
      </c>
      <c r="AM178" s="158">
        <v>12</v>
      </c>
      <c r="AN178" s="158">
        <v>9</v>
      </c>
      <c r="AO178" s="158">
        <v>0</v>
      </c>
      <c r="AP178" s="158">
        <v>0</v>
      </c>
      <c r="AQ178" s="158">
        <v>141</v>
      </c>
      <c r="AR178" s="158">
        <v>18</v>
      </c>
      <c r="AS178" s="158">
        <v>32</v>
      </c>
      <c r="AT178" s="158">
        <v>2</v>
      </c>
      <c r="AU178" s="158">
        <v>9</v>
      </c>
      <c r="AV178" s="158">
        <v>0</v>
      </c>
      <c r="AW178" s="158">
        <v>0</v>
      </c>
      <c r="AX178" s="158">
        <v>0</v>
      </c>
      <c r="AY178" s="158">
        <v>262</v>
      </c>
      <c r="AZ178" s="158">
        <v>633</v>
      </c>
      <c r="BA178" s="158">
        <v>969</v>
      </c>
      <c r="BB178" s="158">
        <v>899</v>
      </c>
      <c r="BC178" s="158">
        <v>70</v>
      </c>
      <c r="BD178" s="158">
        <v>843</v>
      </c>
      <c r="BE178" s="158">
        <v>-401283</v>
      </c>
      <c r="BF178" s="158">
        <v>-304871</v>
      </c>
      <c r="BG178" s="158">
        <v>0</v>
      </c>
      <c r="BH178" s="158">
        <v>0</v>
      </c>
      <c r="BI178" s="158">
        <v>-340103</v>
      </c>
      <c r="BJ178" s="158">
        <v>-26839</v>
      </c>
      <c r="BK178" s="158">
        <v>14530295</v>
      </c>
      <c r="BL178" s="1438">
        <v>8697725</v>
      </c>
      <c r="BM178" s="1439">
        <v>0</v>
      </c>
      <c r="BN178" s="784" t="s">
        <v>2349</v>
      </c>
      <c r="BO178" s="784" t="s">
        <v>2373</v>
      </c>
      <c r="BP178" s="1400" t="s">
        <v>2533</v>
      </c>
      <c r="BQ178" s="509"/>
      <c r="BR178" s="509"/>
      <c r="BS178" s="509"/>
      <c r="BT178" s="509"/>
      <c r="BU178" s="509"/>
      <c r="BV178" s="509"/>
      <c r="BW178" s="509"/>
      <c r="BX178" s="509"/>
      <c r="BY178" s="509"/>
      <c r="BZ178" s="509"/>
      <c r="CA178" s="509"/>
      <c r="CB178" s="509"/>
      <c r="CC178" s="509"/>
      <c r="CD178" s="509"/>
      <c r="CE178" s="509"/>
      <c r="CF178" s="509"/>
      <c r="CG178" s="509"/>
      <c r="CH178" s="509"/>
      <c r="CI178" s="509"/>
      <c r="CJ178" s="509"/>
      <c r="CK178" s="509"/>
      <c r="CL178" s="509"/>
      <c r="CM178" s="509"/>
      <c r="CN178" s="509"/>
      <c r="CO178" s="509"/>
      <c r="CP178" s="509"/>
      <c r="CQ178" s="509"/>
      <c r="CR178" s="509"/>
      <c r="CS178" s="509"/>
    </row>
    <row r="179" spans="1:98" s="137" customFormat="1" ht="12.75" customHeight="1" x14ac:dyDescent="0.2">
      <c r="A179" s="1421">
        <v>175</v>
      </c>
      <c r="B179" s="649" t="s">
        <v>247</v>
      </c>
      <c r="C179" s="1607" t="s">
        <v>248</v>
      </c>
      <c r="D179" s="1605">
        <v>170786</v>
      </c>
      <c r="E179" s="1405">
        <v>229935785</v>
      </c>
      <c r="F179" s="1405">
        <v>3522</v>
      </c>
      <c r="G179" s="158">
        <v>-3854271</v>
      </c>
      <c r="H179" s="158">
        <v>-2479326</v>
      </c>
      <c r="I179" s="158">
        <v>-25070</v>
      </c>
      <c r="J179" s="158">
        <v>-6824</v>
      </c>
      <c r="K179" s="158">
        <v>-5414</v>
      </c>
      <c r="L179" s="158">
        <v>0</v>
      </c>
      <c r="M179" s="158">
        <v>-819464</v>
      </c>
      <c r="N179" s="158">
        <v>-95775</v>
      </c>
      <c r="O179" s="158">
        <v>-36793</v>
      </c>
      <c r="P179" s="158">
        <v>-1599</v>
      </c>
      <c r="Q179" s="158">
        <v>0</v>
      </c>
      <c r="R179" s="158">
        <v>0</v>
      </c>
      <c r="S179" s="158">
        <v>0</v>
      </c>
      <c r="T179" s="158">
        <v>0</v>
      </c>
      <c r="U179" s="158">
        <v>-1962169</v>
      </c>
      <c r="V179" s="158">
        <v>116603737</v>
      </c>
      <c r="W179" s="158">
        <v>-1784037</v>
      </c>
      <c r="X179" s="158">
        <v>194480501</v>
      </c>
      <c r="Y179" s="158">
        <v>228041615</v>
      </c>
      <c r="Z179" s="158">
        <v>55192811</v>
      </c>
      <c r="AA179" s="158">
        <v>44154248</v>
      </c>
      <c r="AB179" s="158">
        <v>9934706</v>
      </c>
      <c r="AC179" s="158">
        <v>1103856</v>
      </c>
      <c r="AD179" s="158">
        <v>167587</v>
      </c>
      <c r="AE179" s="158">
        <v>4091362</v>
      </c>
      <c r="AF179" s="158">
        <v>254721</v>
      </c>
      <c r="AG179" s="158">
        <v>0</v>
      </c>
      <c r="AH179" s="158">
        <v>0</v>
      </c>
      <c r="AI179" s="158">
        <v>0</v>
      </c>
      <c r="AJ179" s="158">
        <v>0</v>
      </c>
      <c r="AK179" s="158">
        <v>2708007</v>
      </c>
      <c r="AL179" s="158">
        <v>129</v>
      </c>
      <c r="AM179" s="158">
        <v>8</v>
      </c>
      <c r="AN179" s="158">
        <v>0</v>
      </c>
      <c r="AO179" s="158">
        <v>3</v>
      </c>
      <c r="AP179" s="158">
        <v>0</v>
      </c>
      <c r="AQ179" s="158">
        <v>151</v>
      </c>
      <c r="AR179" s="158">
        <v>79</v>
      </c>
      <c r="AS179" s="158">
        <v>4</v>
      </c>
      <c r="AT179" s="158">
        <v>3</v>
      </c>
      <c r="AU179" s="158">
        <v>0</v>
      </c>
      <c r="AV179" s="158">
        <v>0</v>
      </c>
      <c r="AW179" s="158">
        <v>0</v>
      </c>
      <c r="AX179" s="158">
        <v>0</v>
      </c>
      <c r="AY179" s="158">
        <v>256</v>
      </c>
      <c r="AZ179" s="158">
        <v>484</v>
      </c>
      <c r="BA179" s="158">
        <v>1445</v>
      </c>
      <c r="BB179" s="158">
        <v>1339</v>
      </c>
      <c r="BC179" s="158">
        <v>106</v>
      </c>
      <c r="BD179" s="158">
        <v>1591</v>
      </c>
      <c r="BE179" s="158">
        <v>-248604</v>
      </c>
      <c r="BF179" s="158">
        <v>-229718</v>
      </c>
      <c r="BG179" s="158">
        <v>0</v>
      </c>
      <c r="BH179" s="158">
        <v>-1771</v>
      </c>
      <c r="BI179" s="158">
        <v>-320752</v>
      </c>
      <c r="BJ179" s="158">
        <v>-18619</v>
      </c>
      <c r="BK179" s="158">
        <v>-1114001</v>
      </c>
      <c r="BL179" s="1438">
        <v>15721150</v>
      </c>
      <c r="BM179" s="1439">
        <v>0</v>
      </c>
      <c r="BN179" s="784" t="s">
        <v>2349</v>
      </c>
      <c r="BO179" s="784" t="s">
        <v>2352</v>
      </c>
      <c r="BP179" s="1400" t="s">
        <v>2534</v>
      </c>
      <c r="BQ179" s="509"/>
      <c r="BR179" s="509"/>
      <c r="BS179" s="509"/>
      <c r="BT179" s="509"/>
      <c r="BU179" s="509"/>
      <c r="BV179" s="509"/>
      <c r="BW179" s="509"/>
      <c r="BX179" s="509"/>
      <c r="BY179" s="509"/>
      <c r="BZ179" s="509"/>
      <c r="CA179" s="509"/>
      <c r="CB179" s="509"/>
      <c r="CC179" s="509"/>
      <c r="CD179" s="509"/>
      <c r="CE179" s="509"/>
      <c r="CF179" s="509"/>
      <c r="CG179" s="509"/>
      <c r="CH179" s="509"/>
      <c r="CI179" s="509"/>
      <c r="CJ179" s="509"/>
      <c r="CK179" s="509"/>
      <c r="CL179" s="509"/>
      <c r="CM179" s="509"/>
      <c r="CN179" s="509"/>
      <c r="CO179" s="509"/>
      <c r="CP179" s="509"/>
      <c r="CQ179" s="509"/>
      <c r="CR179" s="509"/>
      <c r="CS179" s="509"/>
    </row>
    <row r="180" spans="1:98" s="137" customFormat="1" ht="12.75" customHeight="1" x14ac:dyDescent="0.2">
      <c r="A180" s="1421">
        <v>176</v>
      </c>
      <c r="B180" s="649" t="s">
        <v>627</v>
      </c>
      <c r="C180" s="1607" t="s">
        <v>2334</v>
      </c>
      <c r="D180" s="1605">
        <v>1180628</v>
      </c>
      <c r="E180" s="1405">
        <v>607352631</v>
      </c>
      <c r="F180" s="1405">
        <v>33137</v>
      </c>
      <c r="G180" s="158">
        <v>-38863505</v>
      </c>
      <c r="H180" s="158">
        <v>-14928191</v>
      </c>
      <c r="I180" s="158">
        <v>-509618</v>
      </c>
      <c r="J180" s="158">
        <v>-332021</v>
      </c>
      <c r="K180" s="158">
        <v>-118425</v>
      </c>
      <c r="L180" s="158">
        <v>-1200</v>
      </c>
      <c r="M180" s="158">
        <v>-7004640</v>
      </c>
      <c r="N180" s="158">
        <v>-623092</v>
      </c>
      <c r="O180" s="158">
        <v>-149154</v>
      </c>
      <c r="P180" s="158">
        <v>-10333</v>
      </c>
      <c r="Q180" s="158">
        <v>-2227</v>
      </c>
      <c r="R180" s="158">
        <v>0</v>
      </c>
      <c r="S180" s="158">
        <v>0</v>
      </c>
      <c r="T180" s="158">
        <v>0</v>
      </c>
      <c r="U180" s="158">
        <v>-34453874</v>
      </c>
      <c r="V180" s="158">
        <v>212465684</v>
      </c>
      <c r="W180" s="158">
        <v>-7592847</v>
      </c>
      <c r="X180" s="158">
        <v>338798424</v>
      </c>
      <c r="Y180" s="158">
        <v>608884906</v>
      </c>
      <c r="Z180" s="158">
        <v>98219942</v>
      </c>
      <c r="AA180" s="158">
        <v>96255544</v>
      </c>
      <c r="AB180" s="158">
        <v>0</v>
      </c>
      <c r="AC180" s="158">
        <v>1964399</v>
      </c>
      <c r="AD180" s="158">
        <v>1189637</v>
      </c>
      <c r="AE180" s="158">
        <v>0</v>
      </c>
      <c r="AF180" s="158">
        <v>13584404</v>
      </c>
      <c r="AG180" s="158">
        <v>0</v>
      </c>
      <c r="AH180" s="158">
        <v>0</v>
      </c>
      <c r="AI180" s="158">
        <v>0</v>
      </c>
      <c r="AJ180" s="158">
        <v>0</v>
      </c>
      <c r="AK180" s="158">
        <v>6081599</v>
      </c>
      <c r="AL180" s="158">
        <v>1518</v>
      </c>
      <c r="AM180" s="158">
        <v>106</v>
      </c>
      <c r="AN180" s="158">
        <v>157</v>
      </c>
      <c r="AO180" s="158">
        <v>77</v>
      </c>
      <c r="AP180" s="158">
        <v>0</v>
      </c>
      <c r="AQ180" s="158">
        <v>2309</v>
      </c>
      <c r="AR180" s="158">
        <v>566</v>
      </c>
      <c r="AS180" s="158">
        <v>88</v>
      </c>
      <c r="AT180" s="158">
        <v>5</v>
      </c>
      <c r="AU180" s="158">
        <v>0</v>
      </c>
      <c r="AV180" s="158">
        <v>1</v>
      </c>
      <c r="AW180" s="158">
        <v>0</v>
      </c>
      <c r="AX180" s="158">
        <v>0</v>
      </c>
      <c r="AY180" s="158">
        <v>5801</v>
      </c>
      <c r="AZ180" s="158">
        <v>6815</v>
      </c>
      <c r="BA180" s="158">
        <v>16253</v>
      </c>
      <c r="BB180" s="158">
        <v>15456</v>
      </c>
      <c r="BC180" s="158">
        <v>797</v>
      </c>
      <c r="BD180" s="158">
        <v>10346</v>
      </c>
      <c r="BE180" s="158">
        <v>-1176282</v>
      </c>
      <c r="BF180" s="158">
        <v>-1994108</v>
      </c>
      <c r="BG180" s="158">
        <v>0</v>
      </c>
      <c r="BH180" s="158">
        <v>-84950</v>
      </c>
      <c r="BI180" s="158">
        <v>-2227398</v>
      </c>
      <c r="BJ180" s="158">
        <v>-1521902</v>
      </c>
      <c r="BK180" s="158">
        <v>290875</v>
      </c>
      <c r="BL180" s="1438">
        <v>88605685</v>
      </c>
      <c r="BM180" s="1439">
        <v>0</v>
      </c>
      <c r="BN180" s="784" t="s">
        <v>509</v>
      </c>
      <c r="BO180" s="784" t="s">
        <v>2364</v>
      </c>
      <c r="BP180" s="1400" t="s">
        <v>2655</v>
      </c>
      <c r="BQ180" s="509"/>
      <c r="BR180" s="509"/>
      <c r="BS180" s="509"/>
      <c r="BT180" s="509"/>
      <c r="BU180" s="509"/>
      <c r="BV180" s="509"/>
      <c r="BW180" s="509"/>
      <c r="BX180" s="509"/>
      <c r="BY180" s="509"/>
      <c r="BZ180" s="509"/>
      <c r="CA180" s="509"/>
      <c r="CB180" s="509"/>
      <c r="CC180" s="509"/>
      <c r="CD180" s="509"/>
      <c r="CE180" s="509"/>
      <c r="CF180" s="509"/>
      <c r="CG180" s="509"/>
      <c r="CH180" s="509"/>
      <c r="CI180" s="509"/>
      <c r="CJ180" s="509"/>
      <c r="CK180" s="509"/>
      <c r="CL180" s="509"/>
      <c r="CM180" s="509"/>
      <c r="CN180" s="509"/>
      <c r="CO180" s="509"/>
      <c r="CP180" s="509"/>
      <c r="CQ180" s="509"/>
      <c r="CR180" s="509"/>
      <c r="CS180" s="509"/>
    </row>
    <row r="181" spans="1:98" s="137" customFormat="1" ht="12.75" customHeight="1" x14ac:dyDescent="0.2">
      <c r="A181" s="1421">
        <v>177</v>
      </c>
      <c r="B181" s="649" t="s">
        <v>249</v>
      </c>
      <c r="C181" s="1607" t="s">
        <v>250</v>
      </c>
      <c r="D181" s="1605">
        <v>507756</v>
      </c>
      <c r="E181" s="1405">
        <v>260907284</v>
      </c>
      <c r="F181" s="1405">
        <v>14254</v>
      </c>
      <c r="G181" s="158">
        <v>-14980177</v>
      </c>
      <c r="H181" s="158">
        <v>-9104623</v>
      </c>
      <c r="I181" s="158">
        <v>-169748</v>
      </c>
      <c r="J181" s="158">
        <v>-114423</v>
      </c>
      <c r="K181" s="158">
        <v>-60977</v>
      </c>
      <c r="L181" s="158">
        <v>-100000</v>
      </c>
      <c r="M181" s="158">
        <v>-3077093</v>
      </c>
      <c r="N181" s="158">
        <v>-593624</v>
      </c>
      <c r="O181" s="158">
        <v>-611582</v>
      </c>
      <c r="P181" s="158">
        <v>-21816</v>
      </c>
      <c r="Q181" s="158">
        <v>-15944</v>
      </c>
      <c r="R181" s="158">
        <v>-524639</v>
      </c>
      <c r="S181" s="158">
        <v>-24639</v>
      </c>
      <c r="T181" s="158">
        <v>0</v>
      </c>
      <c r="U181" s="158">
        <v>-12300110</v>
      </c>
      <c r="V181" s="158">
        <v>89252174</v>
      </c>
      <c r="W181" s="158">
        <v>-4600000</v>
      </c>
      <c r="X181" s="158">
        <v>150830400</v>
      </c>
      <c r="Y181" s="158">
        <v>260239534</v>
      </c>
      <c r="Z181" s="158">
        <v>40443396</v>
      </c>
      <c r="AA181" s="158">
        <v>40468035</v>
      </c>
      <c r="AB181" s="158">
        <v>0</v>
      </c>
      <c r="AC181" s="158">
        <v>0</v>
      </c>
      <c r="AD181" s="158">
        <v>509427</v>
      </c>
      <c r="AE181" s="158">
        <v>429282</v>
      </c>
      <c r="AF181" s="158">
        <v>6219457</v>
      </c>
      <c r="AG181" s="158">
        <v>0</v>
      </c>
      <c r="AH181" s="158">
        <v>24639</v>
      </c>
      <c r="AI181" s="158">
        <v>0</v>
      </c>
      <c r="AJ181" s="158">
        <v>0</v>
      </c>
      <c r="AK181" s="158">
        <v>6942707</v>
      </c>
      <c r="AL181" s="158">
        <v>772</v>
      </c>
      <c r="AM181" s="158">
        <v>54</v>
      </c>
      <c r="AN181" s="158">
        <v>55</v>
      </c>
      <c r="AO181" s="158">
        <v>43</v>
      </c>
      <c r="AP181" s="158">
        <v>0</v>
      </c>
      <c r="AQ181" s="158">
        <v>1033</v>
      </c>
      <c r="AR181" s="158">
        <v>418</v>
      </c>
      <c r="AS181" s="158">
        <v>74</v>
      </c>
      <c r="AT181" s="158">
        <v>24</v>
      </c>
      <c r="AU181" s="158">
        <v>0</v>
      </c>
      <c r="AV181" s="158">
        <v>2</v>
      </c>
      <c r="AW181" s="158">
        <v>8</v>
      </c>
      <c r="AX181" s="158">
        <v>0</v>
      </c>
      <c r="AY181" s="158">
        <v>2219</v>
      </c>
      <c r="AZ181" s="158">
        <v>2656</v>
      </c>
      <c r="BA181" s="158">
        <v>6709</v>
      </c>
      <c r="BB181" s="158">
        <v>6410</v>
      </c>
      <c r="BC181" s="158">
        <v>299</v>
      </c>
      <c r="BD181" s="158">
        <v>4948</v>
      </c>
      <c r="BE181" s="158">
        <v>-449294</v>
      </c>
      <c r="BF181" s="158">
        <v>-1052512</v>
      </c>
      <c r="BG181" s="158">
        <v>0</v>
      </c>
      <c r="BH181" s="158">
        <v>-226989</v>
      </c>
      <c r="BI181" s="158">
        <v>-1158393</v>
      </c>
      <c r="BJ181" s="158">
        <v>-189905</v>
      </c>
      <c r="BK181" s="158">
        <v>13225440</v>
      </c>
      <c r="BL181" s="1438">
        <v>36146950</v>
      </c>
      <c r="BM181" s="1439">
        <v>84500</v>
      </c>
      <c r="BN181" s="784" t="s">
        <v>509</v>
      </c>
      <c r="BO181" s="784" t="s">
        <v>855</v>
      </c>
      <c r="BP181" s="1400" t="s">
        <v>2535</v>
      </c>
      <c r="BQ181" s="509"/>
      <c r="BR181" s="509"/>
      <c r="BS181" s="509"/>
      <c r="BT181" s="509"/>
      <c r="BU181" s="509"/>
      <c r="BV181" s="509"/>
      <c r="BW181" s="509"/>
      <c r="BX181" s="509"/>
      <c r="BY181" s="509"/>
      <c r="BZ181" s="509"/>
      <c r="CA181" s="509"/>
      <c r="CB181" s="509"/>
      <c r="CC181" s="509"/>
      <c r="CD181" s="509"/>
      <c r="CE181" s="509"/>
      <c r="CF181" s="509"/>
      <c r="CG181" s="509"/>
      <c r="CH181" s="509"/>
      <c r="CI181" s="509"/>
      <c r="CJ181" s="509"/>
      <c r="CK181" s="509"/>
      <c r="CL181" s="509"/>
      <c r="CM181" s="509"/>
      <c r="CN181" s="509"/>
      <c r="CO181" s="509"/>
      <c r="CP181" s="509"/>
      <c r="CQ181" s="509"/>
      <c r="CR181" s="509"/>
      <c r="CS181" s="509"/>
    </row>
    <row r="182" spans="1:98" s="137" customFormat="1" ht="12.75" customHeight="1" x14ac:dyDescent="0.2">
      <c r="A182" s="1421">
        <v>178</v>
      </c>
      <c r="B182" s="649" t="s">
        <v>251</v>
      </c>
      <c r="C182" s="1607" t="s">
        <v>252</v>
      </c>
      <c r="D182" s="1605">
        <v>260148</v>
      </c>
      <c r="E182" s="1405">
        <v>187313807</v>
      </c>
      <c r="F182" s="1405">
        <v>6823</v>
      </c>
      <c r="G182" s="158">
        <v>-6094360</v>
      </c>
      <c r="H182" s="158">
        <v>-8723665</v>
      </c>
      <c r="I182" s="158">
        <v>-23194</v>
      </c>
      <c r="J182" s="158">
        <v>0</v>
      </c>
      <c r="K182" s="158">
        <v>-6010</v>
      </c>
      <c r="L182" s="158">
        <v>-100000</v>
      </c>
      <c r="M182" s="158">
        <v>-3952224</v>
      </c>
      <c r="N182" s="158">
        <v>-175000</v>
      </c>
      <c r="O182" s="158">
        <v>-75000</v>
      </c>
      <c r="P182" s="158">
        <v>0</v>
      </c>
      <c r="Q182" s="158">
        <v>0</v>
      </c>
      <c r="R182" s="158">
        <v>0</v>
      </c>
      <c r="S182" s="158">
        <v>0</v>
      </c>
      <c r="T182" s="158">
        <v>0</v>
      </c>
      <c r="U182" s="158">
        <v>-11554888</v>
      </c>
      <c r="V182" s="158">
        <v>64635513</v>
      </c>
      <c r="W182" s="158">
        <v>-1000000</v>
      </c>
      <c r="X182" s="158">
        <v>121160750</v>
      </c>
      <c r="Y182" s="158">
        <v>186837932</v>
      </c>
      <c r="Z182" s="158">
        <v>31932812</v>
      </c>
      <c r="AA182" s="158">
        <v>25546250</v>
      </c>
      <c r="AB182" s="158">
        <v>6386562</v>
      </c>
      <c r="AC182" s="158">
        <v>0</v>
      </c>
      <c r="AD182" s="158">
        <v>262386</v>
      </c>
      <c r="AE182" s="158">
        <v>0</v>
      </c>
      <c r="AF182" s="158">
        <v>0</v>
      </c>
      <c r="AG182" s="158">
        <v>0</v>
      </c>
      <c r="AH182" s="158">
        <v>0</v>
      </c>
      <c r="AI182" s="158">
        <v>0</v>
      </c>
      <c r="AJ182" s="158">
        <v>0</v>
      </c>
      <c r="AK182" s="158">
        <v>1431886</v>
      </c>
      <c r="AL182" s="158">
        <v>361</v>
      </c>
      <c r="AM182" s="158">
        <v>3</v>
      </c>
      <c r="AN182" s="158">
        <v>0</v>
      </c>
      <c r="AO182" s="158">
        <v>4</v>
      </c>
      <c r="AP182" s="158">
        <v>0</v>
      </c>
      <c r="AQ182" s="158">
        <v>1163</v>
      </c>
      <c r="AR182" s="158">
        <v>69</v>
      </c>
      <c r="AS182" s="158">
        <v>8</v>
      </c>
      <c r="AT182" s="158">
        <v>0</v>
      </c>
      <c r="AU182" s="158">
        <v>0</v>
      </c>
      <c r="AV182" s="158">
        <v>0</v>
      </c>
      <c r="AW182" s="158">
        <v>0</v>
      </c>
      <c r="AX182" s="158">
        <v>0</v>
      </c>
      <c r="AY182" s="158">
        <v>1260</v>
      </c>
      <c r="AZ182" s="158">
        <v>2421</v>
      </c>
      <c r="BA182" s="158">
        <v>2071</v>
      </c>
      <c r="BB182" s="158">
        <v>1900</v>
      </c>
      <c r="BC182" s="158">
        <v>171</v>
      </c>
      <c r="BD182" s="158">
        <v>2373</v>
      </c>
      <c r="BE182" s="158">
        <v>-258066</v>
      </c>
      <c r="BF182" s="158">
        <v>-1148615</v>
      </c>
      <c r="BG182" s="158">
        <v>0</v>
      </c>
      <c r="BH182" s="158">
        <v>-12909</v>
      </c>
      <c r="BI182" s="158">
        <v>-1507455</v>
      </c>
      <c r="BJ182" s="158">
        <v>-1025179</v>
      </c>
      <c r="BK182" s="158">
        <v>3045787</v>
      </c>
      <c r="BL182" s="1438">
        <v>28332225</v>
      </c>
      <c r="BM182" s="1439">
        <v>0</v>
      </c>
      <c r="BN182" s="784" t="s">
        <v>2349</v>
      </c>
      <c r="BO182" s="784" t="s">
        <v>2357</v>
      </c>
      <c r="BP182" s="1400" t="s">
        <v>2536</v>
      </c>
      <c r="BQ182" s="509"/>
      <c r="BR182" s="509"/>
      <c r="BS182" s="509"/>
      <c r="BT182" s="509"/>
      <c r="BU182" s="509"/>
      <c r="BV182" s="509"/>
      <c r="BW182" s="509"/>
      <c r="BX182" s="509"/>
      <c r="BY182" s="509"/>
      <c r="BZ182" s="509"/>
      <c r="CA182" s="509"/>
      <c r="CB182" s="509"/>
      <c r="CC182" s="509"/>
      <c r="CD182" s="509"/>
      <c r="CE182" s="509"/>
      <c r="CF182" s="509"/>
      <c r="CG182" s="509"/>
      <c r="CH182" s="509"/>
      <c r="CI182" s="509"/>
      <c r="CJ182" s="509"/>
      <c r="CK182" s="509"/>
      <c r="CL182" s="509"/>
      <c r="CM182" s="509"/>
      <c r="CN182" s="509"/>
      <c r="CO182" s="509"/>
      <c r="CP182" s="509"/>
      <c r="CQ182" s="509"/>
      <c r="CR182" s="509"/>
      <c r="CS182" s="509"/>
    </row>
    <row r="183" spans="1:98" s="137" customFormat="1" ht="12.75" customHeight="1" x14ac:dyDescent="0.2">
      <c r="A183" s="1421">
        <v>179</v>
      </c>
      <c r="B183" s="649" t="s">
        <v>630</v>
      </c>
      <c r="C183" s="1607" t="s">
        <v>254</v>
      </c>
      <c r="D183" s="1605">
        <v>454402</v>
      </c>
      <c r="E183" s="1405">
        <v>343858624</v>
      </c>
      <c r="F183" s="1405">
        <v>11591</v>
      </c>
      <c r="G183" s="158">
        <v>-9741731</v>
      </c>
      <c r="H183" s="158">
        <v>-18333808</v>
      </c>
      <c r="I183" s="158">
        <v>-74155</v>
      </c>
      <c r="J183" s="158">
        <v>0</v>
      </c>
      <c r="K183" s="158">
        <v>0</v>
      </c>
      <c r="L183" s="158">
        <v>0</v>
      </c>
      <c r="M183" s="158">
        <v>-5892546</v>
      </c>
      <c r="N183" s="158">
        <v>-165900</v>
      </c>
      <c r="O183" s="158">
        <v>-270743</v>
      </c>
      <c r="P183" s="158">
        <v>0</v>
      </c>
      <c r="Q183" s="158">
        <v>0</v>
      </c>
      <c r="R183" s="158">
        <v>0</v>
      </c>
      <c r="S183" s="158">
        <v>0</v>
      </c>
      <c r="T183" s="158">
        <v>0</v>
      </c>
      <c r="U183" s="158">
        <v>-14580081</v>
      </c>
      <c r="V183" s="158">
        <v>131403434</v>
      </c>
      <c r="W183" s="158">
        <v>-2697372</v>
      </c>
      <c r="X183" s="158">
        <v>243478750</v>
      </c>
      <c r="Y183" s="158">
        <v>345962426</v>
      </c>
      <c r="Z183" s="158">
        <v>63491172</v>
      </c>
      <c r="AA183" s="158">
        <v>62221348</v>
      </c>
      <c r="AB183" s="158">
        <v>0</v>
      </c>
      <c r="AC183" s="158">
        <v>1269823</v>
      </c>
      <c r="AD183" s="158">
        <v>456739</v>
      </c>
      <c r="AE183" s="158">
        <v>150208</v>
      </c>
      <c r="AF183" s="158">
        <v>0</v>
      </c>
      <c r="AG183" s="158">
        <v>0</v>
      </c>
      <c r="AH183" s="158">
        <v>0</v>
      </c>
      <c r="AI183" s="158">
        <v>0</v>
      </c>
      <c r="AJ183" s="158">
        <v>0</v>
      </c>
      <c r="AK183" s="158">
        <v>-4074489</v>
      </c>
      <c r="AL183" s="158">
        <v>541</v>
      </c>
      <c r="AM183" s="158">
        <v>10</v>
      </c>
      <c r="AN183" s="158">
        <v>0</v>
      </c>
      <c r="AO183" s="158">
        <v>0</v>
      </c>
      <c r="AP183" s="158">
        <v>0</v>
      </c>
      <c r="AQ183" s="158">
        <v>3351</v>
      </c>
      <c r="AR183" s="158">
        <v>142</v>
      </c>
      <c r="AS183" s="158">
        <v>52</v>
      </c>
      <c r="AT183" s="158">
        <v>0</v>
      </c>
      <c r="AU183" s="158">
        <v>0</v>
      </c>
      <c r="AV183" s="158">
        <v>0</v>
      </c>
      <c r="AW183" s="158">
        <v>0</v>
      </c>
      <c r="AX183" s="158">
        <v>0</v>
      </c>
      <c r="AY183" s="158">
        <v>1673</v>
      </c>
      <c r="AZ183" s="158">
        <v>3682</v>
      </c>
      <c r="BA183" s="158">
        <v>3651</v>
      </c>
      <c r="BB183" s="158">
        <v>3322</v>
      </c>
      <c r="BC183" s="158">
        <v>329</v>
      </c>
      <c r="BD183" s="158">
        <v>4169</v>
      </c>
      <c r="BE183" s="158">
        <v>-204038</v>
      </c>
      <c r="BF183" s="158">
        <v>-3239444</v>
      </c>
      <c r="BG183" s="158">
        <v>0</v>
      </c>
      <c r="BH183" s="158">
        <v>-271014</v>
      </c>
      <c r="BI183" s="158">
        <v>-2178050</v>
      </c>
      <c r="BJ183" s="158">
        <v>0</v>
      </c>
      <c r="BK183" s="158">
        <v>-3339492</v>
      </c>
      <c r="BL183" s="1438">
        <v>37715900</v>
      </c>
      <c r="BM183" s="1439">
        <v>3135750</v>
      </c>
      <c r="BN183" s="784" t="s">
        <v>509</v>
      </c>
      <c r="BO183" s="784" t="s">
        <v>2352</v>
      </c>
      <c r="BP183" s="1400" t="s">
        <v>2537</v>
      </c>
      <c r="BQ183" s="509"/>
      <c r="BR183" s="509"/>
      <c r="BS183" s="509"/>
      <c r="BT183" s="509"/>
      <c r="BU183" s="509"/>
      <c r="BV183" s="509"/>
      <c r="BW183" s="509"/>
      <c r="BX183" s="509"/>
      <c r="BY183" s="509"/>
      <c r="BZ183" s="509"/>
      <c r="CA183" s="509"/>
      <c r="CB183" s="509"/>
      <c r="CC183" s="509"/>
      <c r="CD183" s="509"/>
      <c r="CE183" s="509"/>
      <c r="CF183" s="509"/>
      <c r="CG183" s="509"/>
      <c r="CH183" s="509"/>
      <c r="CI183" s="509"/>
      <c r="CJ183" s="509"/>
      <c r="CK183" s="509"/>
      <c r="CL183" s="509"/>
      <c r="CM183" s="509"/>
      <c r="CN183" s="509"/>
      <c r="CO183" s="509"/>
      <c r="CP183" s="509"/>
      <c r="CQ183" s="509"/>
      <c r="CR183" s="509"/>
      <c r="CS183" s="509"/>
    </row>
    <row r="184" spans="1:98" s="137" customFormat="1" ht="12.75" customHeight="1" x14ac:dyDescent="0.2">
      <c r="A184" s="1421">
        <v>180</v>
      </c>
      <c r="B184" s="649" t="s">
        <v>255</v>
      </c>
      <c r="C184" s="1607" t="s">
        <v>256</v>
      </c>
      <c r="D184" s="1605">
        <v>130875</v>
      </c>
      <c r="E184" s="1405">
        <v>104328078</v>
      </c>
      <c r="F184" s="1405">
        <v>3253</v>
      </c>
      <c r="G184" s="158">
        <v>-3395077</v>
      </c>
      <c r="H184" s="158">
        <v>-2757927</v>
      </c>
      <c r="I184" s="158">
        <v>-17525</v>
      </c>
      <c r="J184" s="158">
        <v>0</v>
      </c>
      <c r="K184" s="158">
        <v>-1398</v>
      </c>
      <c r="L184" s="158">
        <v>0</v>
      </c>
      <c r="M184" s="158">
        <v>-510653</v>
      </c>
      <c r="N184" s="158">
        <v>-12010</v>
      </c>
      <c r="O184" s="158">
        <v>-19810</v>
      </c>
      <c r="P184" s="158">
        <v>0</v>
      </c>
      <c r="Q184" s="158">
        <v>0</v>
      </c>
      <c r="R184" s="158">
        <v>0</v>
      </c>
      <c r="S184" s="158">
        <v>0</v>
      </c>
      <c r="T184" s="158">
        <v>0</v>
      </c>
      <c r="U184" s="158">
        <v>-2528875</v>
      </c>
      <c r="V184" s="158">
        <v>42895386</v>
      </c>
      <c r="W184" s="158">
        <v>-991033</v>
      </c>
      <c r="X184" s="158">
        <v>64515500</v>
      </c>
      <c r="Y184" s="158">
        <v>99535670</v>
      </c>
      <c r="Z184" s="158">
        <v>21252947</v>
      </c>
      <c r="AA184" s="158">
        <v>17002358</v>
      </c>
      <c r="AB184" s="158">
        <v>4250590</v>
      </c>
      <c r="AC184" s="158">
        <v>0</v>
      </c>
      <c r="AD184" s="158">
        <v>128177</v>
      </c>
      <c r="AE184" s="158">
        <v>0</v>
      </c>
      <c r="AF184" s="158">
        <v>0</v>
      </c>
      <c r="AG184" s="158">
        <v>0</v>
      </c>
      <c r="AH184" s="158">
        <v>0</v>
      </c>
      <c r="AI184" s="158">
        <v>0</v>
      </c>
      <c r="AJ184" s="158">
        <v>0</v>
      </c>
      <c r="AK184" s="158">
        <v>3379207</v>
      </c>
      <c r="AL184" s="158">
        <v>134</v>
      </c>
      <c r="AM184" s="158">
        <v>3</v>
      </c>
      <c r="AN184" s="158">
        <v>0</v>
      </c>
      <c r="AO184" s="158">
        <v>1</v>
      </c>
      <c r="AP184" s="158">
        <v>0</v>
      </c>
      <c r="AQ184" s="158">
        <v>159</v>
      </c>
      <c r="AR184" s="158">
        <v>12</v>
      </c>
      <c r="AS184" s="158">
        <v>4</v>
      </c>
      <c r="AT184" s="158">
        <v>0</v>
      </c>
      <c r="AU184" s="158">
        <v>0</v>
      </c>
      <c r="AV184" s="158">
        <v>0</v>
      </c>
      <c r="AW184" s="158">
        <v>0</v>
      </c>
      <c r="AX184" s="158">
        <v>0</v>
      </c>
      <c r="AY184" s="158">
        <v>341</v>
      </c>
      <c r="AZ184" s="158">
        <v>742</v>
      </c>
      <c r="BA184" s="158">
        <v>1202</v>
      </c>
      <c r="BB184" s="158">
        <v>1088</v>
      </c>
      <c r="BC184" s="158">
        <v>114</v>
      </c>
      <c r="BD184" s="158">
        <v>1313</v>
      </c>
      <c r="BE184" s="158">
        <v>-106781</v>
      </c>
      <c r="BF184" s="158">
        <v>0</v>
      </c>
      <c r="BG184" s="158">
        <v>0</v>
      </c>
      <c r="BH184" s="158">
        <v>0</v>
      </c>
      <c r="BI184" s="158">
        <v>-243263</v>
      </c>
      <c r="BJ184" s="158">
        <v>-160609</v>
      </c>
      <c r="BK184" s="158">
        <v>5972227</v>
      </c>
      <c r="BL184" s="1438">
        <v>15801576</v>
      </c>
      <c r="BM184" s="1439">
        <v>0</v>
      </c>
      <c r="BN184" s="784" t="s">
        <v>2349</v>
      </c>
      <c r="BO184" s="784" t="s">
        <v>2373</v>
      </c>
      <c r="BP184" s="1400" t="s">
        <v>2538</v>
      </c>
      <c r="BQ184" s="509"/>
      <c r="BR184" s="509"/>
      <c r="BS184" s="509"/>
      <c r="BT184" s="509"/>
      <c r="BU184" s="509"/>
      <c r="BV184" s="509"/>
      <c r="BW184" s="509"/>
      <c r="BX184" s="509"/>
      <c r="BY184" s="509"/>
      <c r="BZ184" s="509"/>
      <c r="CA184" s="509"/>
      <c r="CB184" s="509"/>
      <c r="CC184" s="509"/>
      <c r="CD184" s="509"/>
      <c r="CE184" s="509"/>
      <c r="CF184" s="509"/>
      <c r="CG184" s="509"/>
      <c r="CH184" s="509"/>
      <c r="CI184" s="509"/>
      <c r="CJ184" s="509"/>
      <c r="CK184" s="509"/>
      <c r="CL184" s="509"/>
      <c r="CM184" s="509"/>
      <c r="CN184" s="509"/>
      <c r="CO184" s="509"/>
      <c r="CP184" s="509"/>
      <c r="CQ184" s="509"/>
      <c r="CR184" s="509"/>
      <c r="CS184" s="509"/>
    </row>
    <row r="185" spans="1:98" s="137" customFormat="1" ht="12.75" customHeight="1" x14ac:dyDescent="0.2">
      <c r="A185" s="1421">
        <v>181</v>
      </c>
      <c r="B185" s="649" t="s">
        <v>257</v>
      </c>
      <c r="C185" s="1607" t="s">
        <v>258</v>
      </c>
      <c r="D185" s="1605">
        <v>53110</v>
      </c>
      <c r="E185" s="1405">
        <v>35217281</v>
      </c>
      <c r="F185" s="1405">
        <v>1420</v>
      </c>
      <c r="G185" s="158">
        <v>-2052943</v>
      </c>
      <c r="H185" s="158">
        <v>-2275508</v>
      </c>
      <c r="I185" s="158">
        <v>0</v>
      </c>
      <c r="J185" s="158">
        <v>0</v>
      </c>
      <c r="K185" s="158">
        <v>-7411</v>
      </c>
      <c r="L185" s="158">
        <v>0</v>
      </c>
      <c r="M185" s="158">
        <v>-141427</v>
      </c>
      <c r="N185" s="158">
        <v>-116373</v>
      </c>
      <c r="O185" s="158">
        <v>-14571</v>
      </c>
      <c r="P185" s="158">
        <v>0</v>
      </c>
      <c r="Q185" s="158">
        <v>0</v>
      </c>
      <c r="R185" s="158">
        <v>0</v>
      </c>
      <c r="S185" s="158">
        <v>0</v>
      </c>
      <c r="T185" s="158">
        <v>0</v>
      </c>
      <c r="U185" s="158">
        <v>-1007992</v>
      </c>
      <c r="V185" s="158">
        <v>12837203</v>
      </c>
      <c r="W185" s="158">
        <v>-189000</v>
      </c>
      <c r="X185" s="158">
        <v>20352000</v>
      </c>
      <c r="Y185" s="158">
        <v>35372466</v>
      </c>
      <c r="Z185" s="158">
        <v>6311234</v>
      </c>
      <c r="AA185" s="158">
        <v>5048987</v>
      </c>
      <c r="AB185" s="158">
        <v>1136022</v>
      </c>
      <c r="AC185" s="158">
        <v>126225</v>
      </c>
      <c r="AD185" s="158">
        <v>52892</v>
      </c>
      <c r="AE185" s="158">
        <v>0</v>
      </c>
      <c r="AF185" s="158">
        <v>8564</v>
      </c>
      <c r="AG185" s="158">
        <v>0</v>
      </c>
      <c r="AH185" s="158">
        <v>0</v>
      </c>
      <c r="AI185" s="158">
        <v>0</v>
      </c>
      <c r="AJ185" s="158">
        <v>0</v>
      </c>
      <c r="AK185" s="158">
        <v>-1594456</v>
      </c>
      <c r="AL185" s="158">
        <v>74</v>
      </c>
      <c r="AM185" s="158">
        <v>0</v>
      </c>
      <c r="AN185" s="158">
        <v>0</v>
      </c>
      <c r="AO185" s="158">
        <v>5</v>
      </c>
      <c r="AP185" s="158">
        <v>0</v>
      </c>
      <c r="AQ185" s="158">
        <v>76</v>
      </c>
      <c r="AR185" s="158">
        <v>44</v>
      </c>
      <c r="AS185" s="158">
        <v>4</v>
      </c>
      <c r="AT185" s="158">
        <v>0</v>
      </c>
      <c r="AU185" s="158">
        <v>0</v>
      </c>
      <c r="AV185" s="158">
        <v>0</v>
      </c>
      <c r="AW185" s="158">
        <v>0</v>
      </c>
      <c r="AX185" s="158">
        <v>0</v>
      </c>
      <c r="AY185" s="158">
        <v>137</v>
      </c>
      <c r="AZ185" s="158">
        <v>274</v>
      </c>
      <c r="BA185" s="158">
        <v>652</v>
      </c>
      <c r="BB185" s="158">
        <v>596</v>
      </c>
      <c r="BC185" s="158">
        <v>56</v>
      </c>
      <c r="BD185" s="158">
        <v>513</v>
      </c>
      <c r="BE185" s="158">
        <v>-13822</v>
      </c>
      <c r="BF185" s="158">
        <v>-43134</v>
      </c>
      <c r="BG185" s="158">
        <v>0</v>
      </c>
      <c r="BH185" s="158">
        <v>0</v>
      </c>
      <c r="BI185" s="158">
        <v>-84471</v>
      </c>
      <c r="BJ185" s="158">
        <v>0</v>
      </c>
      <c r="BK185" s="158">
        <v>-1673060</v>
      </c>
      <c r="BL185" s="1438">
        <v>5543950</v>
      </c>
      <c r="BM185" s="1439">
        <v>0</v>
      </c>
      <c r="BN185" s="784" t="s">
        <v>2349</v>
      </c>
      <c r="BO185" s="784" t="s">
        <v>2352</v>
      </c>
      <c r="BP185" s="1400" t="s">
        <v>2539</v>
      </c>
      <c r="BQ185" s="509"/>
      <c r="BR185" s="509"/>
      <c r="BS185" s="509"/>
      <c r="BT185" s="509"/>
      <c r="BU185" s="509"/>
      <c r="BV185" s="509"/>
      <c r="BW185" s="509"/>
      <c r="BX185" s="509"/>
      <c r="BY185" s="509"/>
      <c r="BZ185" s="509"/>
      <c r="CA185" s="509"/>
      <c r="CB185" s="509"/>
      <c r="CC185" s="509"/>
      <c r="CD185" s="509"/>
      <c r="CE185" s="509"/>
      <c r="CF185" s="509"/>
      <c r="CG185" s="509"/>
      <c r="CH185" s="509"/>
      <c r="CI185" s="509"/>
      <c r="CJ185" s="509"/>
      <c r="CK185" s="509"/>
      <c r="CL185" s="509"/>
      <c r="CM185" s="509"/>
      <c r="CN185" s="509"/>
      <c r="CO185" s="509"/>
      <c r="CP185" s="509"/>
      <c r="CQ185" s="509"/>
      <c r="CR185" s="509"/>
      <c r="CS185" s="509"/>
    </row>
    <row r="186" spans="1:98" s="137" customFormat="1" ht="12.75" customHeight="1" x14ac:dyDescent="0.2">
      <c r="A186" s="1421">
        <v>182</v>
      </c>
      <c r="B186" s="649" t="s">
        <v>259</v>
      </c>
      <c r="C186" s="1607" t="s">
        <v>260</v>
      </c>
      <c r="D186" s="1605">
        <v>295417</v>
      </c>
      <c r="E186" s="1405">
        <v>166180871</v>
      </c>
      <c r="F186" s="1405">
        <v>8004</v>
      </c>
      <c r="G186" s="158">
        <v>-10775257</v>
      </c>
      <c r="H186" s="158">
        <v>-8479858</v>
      </c>
      <c r="I186" s="158">
        <v>-91374</v>
      </c>
      <c r="J186" s="158">
        <v>-2052</v>
      </c>
      <c r="K186" s="158">
        <v>-10332</v>
      </c>
      <c r="L186" s="158">
        <v>0</v>
      </c>
      <c r="M186" s="158">
        <v>-1125138</v>
      </c>
      <c r="N186" s="158">
        <v>-286172</v>
      </c>
      <c r="O186" s="158">
        <v>-27570</v>
      </c>
      <c r="P186" s="158">
        <v>-1320</v>
      </c>
      <c r="Q186" s="158">
        <v>0</v>
      </c>
      <c r="R186" s="158">
        <v>0</v>
      </c>
      <c r="S186" s="158">
        <v>0</v>
      </c>
      <c r="T186" s="158">
        <v>0</v>
      </c>
      <c r="U186" s="158">
        <v>-4858770</v>
      </c>
      <c r="V186" s="158">
        <v>58145335</v>
      </c>
      <c r="W186" s="158">
        <v>-1744360</v>
      </c>
      <c r="X186" s="158">
        <v>97019000</v>
      </c>
      <c r="Y186" s="158">
        <v>165027695</v>
      </c>
      <c r="Z186" s="158">
        <v>0</v>
      </c>
      <c r="AA186" s="158">
        <v>56282244</v>
      </c>
      <c r="AB186" s="158">
        <v>0</v>
      </c>
      <c r="AC186" s="158">
        <v>568508</v>
      </c>
      <c r="AD186" s="158">
        <v>293126</v>
      </c>
      <c r="AE186" s="158">
        <v>0</v>
      </c>
      <c r="AF186" s="158">
        <v>0</v>
      </c>
      <c r="AG186" s="158">
        <v>0</v>
      </c>
      <c r="AH186" s="158">
        <v>0</v>
      </c>
      <c r="AI186" s="158">
        <v>0</v>
      </c>
      <c r="AJ186" s="158">
        <v>0</v>
      </c>
      <c r="AK186" s="158">
        <v>1039386</v>
      </c>
      <c r="AL186" s="158">
        <v>290</v>
      </c>
      <c r="AM186" s="158">
        <v>16</v>
      </c>
      <c r="AN186" s="158">
        <v>1</v>
      </c>
      <c r="AO186" s="158">
        <v>5</v>
      </c>
      <c r="AP186" s="158">
        <v>0</v>
      </c>
      <c r="AQ186" s="158">
        <v>741</v>
      </c>
      <c r="AR186" s="158">
        <v>48</v>
      </c>
      <c r="AS186" s="158">
        <v>2</v>
      </c>
      <c r="AT186" s="158">
        <v>2</v>
      </c>
      <c r="AU186" s="158">
        <v>1</v>
      </c>
      <c r="AV186" s="158">
        <v>0</v>
      </c>
      <c r="AW186" s="158">
        <v>0</v>
      </c>
      <c r="AX186" s="158">
        <v>0</v>
      </c>
      <c r="AY186" s="158">
        <v>588</v>
      </c>
      <c r="AZ186" s="158">
        <v>528</v>
      </c>
      <c r="BA186" s="158">
        <v>4047</v>
      </c>
      <c r="BB186" s="158">
        <v>3825</v>
      </c>
      <c r="BC186" s="158">
        <v>222</v>
      </c>
      <c r="BD186" s="158">
        <v>3302</v>
      </c>
      <c r="BE186" s="158">
        <v>-15423</v>
      </c>
      <c r="BF186" s="158">
        <v>-508424</v>
      </c>
      <c r="BG186" s="158">
        <v>0</v>
      </c>
      <c r="BH186" s="158">
        <v>-15744</v>
      </c>
      <c r="BI186" s="158">
        <v>-530401</v>
      </c>
      <c r="BJ186" s="158">
        <v>-55146</v>
      </c>
      <c r="BK186" s="158">
        <v>1139669</v>
      </c>
      <c r="BL186" s="1438">
        <v>22184250</v>
      </c>
      <c r="BM186" s="1439">
        <v>0</v>
      </c>
      <c r="BN186" s="784" t="s">
        <v>2363</v>
      </c>
      <c r="BO186" s="784" t="s">
        <v>2376</v>
      </c>
      <c r="BP186" s="1400" t="s">
        <v>2540</v>
      </c>
      <c r="BQ186" s="509"/>
      <c r="BR186" s="509"/>
      <c r="BS186" s="509"/>
      <c r="BT186" s="509"/>
      <c r="BU186" s="509"/>
      <c r="BV186" s="509"/>
      <c r="BW186" s="509"/>
      <c r="BX186" s="509"/>
      <c r="BY186" s="509"/>
      <c r="BZ186" s="509"/>
      <c r="CA186" s="509"/>
      <c r="CB186" s="509"/>
      <c r="CC186" s="509"/>
      <c r="CD186" s="509"/>
      <c r="CE186" s="509"/>
      <c r="CF186" s="509"/>
      <c r="CG186" s="509"/>
      <c r="CH186" s="509"/>
      <c r="CI186" s="509"/>
      <c r="CJ186" s="509"/>
      <c r="CK186" s="509"/>
      <c r="CL186" s="509"/>
      <c r="CM186" s="509"/>
      <c r="CN186" s="509"/>
      <c r="CO186" s="509"/>
      <c r="CP186" s="509"/>
      <c r="CQ186" s="509"/>
      <c r="CR186" s="509"/>
      <c r="CS186" s="509"/>
    </row>
    <row r="187" spans="1:98" s="137" customFormat="1" ht="12.75" customHeight="1" x14ac:dyDescent="0.2">
      <c r="A187" s="1421">
        <v>183</v>
      </c>
      <c r="B187" s="649" t="s">
        <v>261</v>
      </c>
      <c r="C187" s="1607" t="s">
        <v>262</v>
      </c>
      <c r="D187" s="1605">
        <v>229688</v>
      </c>
      <c r="E187" s="1405">
        <v>288930923</v>
      </c>
      <c r="F187" s="1405">
        <v>4538</v>
      </c>
      <c r="G187" s="158">
        <v>-2331229</v>
      </c>
      <c r="H187" s="158">
        <v>-34465382</v>
      </c>
      <c r="I187" s="158">
        <v>-100868</v>
      </c>
      <c r="J187" s="158">
        <v>0</v>
      </c>
      <c r="K187" s="158">
        <v>-18373</v>
      </c>
      <c r="L187" s="158">
        <v>-100000</v>
      </c>
      <c r="M187" s="158">
        <v>-1473125</v>
      </c>
      <c r="N187" s="158">
        <v>-10000</v>
      </c>
      <c r="O187" s="158">
        <v>0</v>
      </c>
      <c r="P187" s="158">
        <v>0</v>
      </c>
      <c r="Q187" s="158">
        <v>0</v>
      </c>
      <c r="R187" s="158">
        <v>-40000</v>
      </c>
      <c r="S187" s="158">
        <v>0</v>
      </c>
      <c r="T187" s="158">
        <v>0</v>
      </c>
      <c r="U187" s="158">
        <v>-11571129</v>
      </c>
      <c r="V187" s="158">
        <v>103363897</v>
      </c>
      <c r="W187" s="158">
        <v>-7043000</v>
      </c>
      <c r="X187" s="158">
        <v>238423200</v>
      </c>
      <c r="Y187" s="158">
        <v>290436217</v>
      </c>
      <c r="Z187" s="158">
        <v>48757862</v>
      </c>
      <c r="AA187" s="158">
        <v>39006290</v>
      </c>
      <c r="AB187" s="158">
        <v>9751573</v>
      </c>
      <c r="AC187" s="158">
        <v>0</v>
      </c>
      <c r="AD187" s="158">
        <v>232362</v>
      </c>
      <c r="AE187" s="158">
        <v>0</v>
      </c>
      <c r="AF187" s="158">
        <v>16552</v>
      </c>
      <c r="AG187" s="158">
        <v>0</v>
      </c>
      <c r="AH187" s="158">
        <v>0</v>
      </c>
      <c r="AI187" s="158">
        <v>0</v>
      </c>
      <c r="AJ187" s="158">
        <v>0</v>
      </c>
      <c r="AK187" s="158">
        <v>-253138</v>
      </c>
      <c r="AL187" s="158">
        <v>567</v>
      </c>
      <c r="AM187" s="158">
        <v>13</v>
      </c>
      <c r="AN187" s="158">
        <v>0</v>
      </c>
      <c r="AO187" s="158">
        <v>12</v>
      </c>
      <c r="AP187" s="158">
        <v>0</v>
      </c>
      <c r="AQ187" s="158">
        <v>184</v>
      </c>
      <c r="AR187" s="158">
        <v>4</v>
      </c>
      <c r="AS187" s="158">
        <v>0</v>
      </c>
      <c r="AT187" s="158">
        <v>0</v>
      </c>
      <c r="AU187" s="158">
        <v>0</v>
      </c>
      <c r="AV187" s="158">
        <v>0</v>
      </c>
      <c r="AW187" s="158">
        <v>0</v>
      </c>
      <c r="AX187" s="158">
        <v>0</v>
      </c>
      <c r="AY187" s="158">
        <v>994</v>
      </c>
      <c r="AZ187" s="158">
        <v>1438</v>
      </c>
      <c r="BA187" s="158">
        <v>775</v>
      </c>
      <c r="BB187" s="158">
        <v>660</v>
      </c>
      <c r="BC187" s="158">
        <v>115</v>
      </c>
      <c r="BD187" s="158">
        <v>2416</v>
      </c>
      <c r="BE187" s="158">
        <v>-6340</v>
      </c>
      <c r="BF187" s="158">
        <v>-926121</v>
      </c>
      <c r="BG187" s="158">
        <v>0</v>
      </c>
      <c r="BH187" s="158">
        <v>0</v>
      </c>
      <c r="BI187" s="158">
        <v>-406600</v>
      </c>
      <c r="BJ187" s="158">
        <v>-134064</v>
      </c>
      <c r="BK187" s="158">
        <v>-1669941</v>
      </c>
      <c r="BL187" s="1438">
        <v>27639475</v>
      </c>
      <c r="BM187" s="1439">
        <v>0</v>
      </c>
      <c r="BN187" s="784" t="s">
        <v>2349</v>
      </c>
      <c r="BO187" s="784" t="s">
        <v>2350</v>
      </c>
      <c r="BP187" s="1400" t="s">
        <v>2541</v>
      </c>
      <c r="BQ187" s="509"/>
      <c r="BR187" s="509"/>
      <c r="BS187" s="509"/>
      <c r="BT187" s="509"/>
      <c r="BU187" s="509"/>
      <c r="BV187" s="509"/>
      <c r="BW187" s="509"/>
      <c r="BX187" s="509"/>
      <c r="BY187" s="509"/>
      <c r="BZ187" s="509"/>
      <c r="CA187" s="509"/>
      <c r="CB187" s="509"/>
      <c r="CC187" s="509"/>
      <c r="CD187" s="509"/>
      <c r="CE187" s="509"/>
      <c r="CF187" s="509"/>
      <c r="CG187" s="509"/>
      <c r="CH187" s="509"/>
      <c r="CI187" s="509"/>
      <c r="CJ187" s="509"/>
      <c r="CK187" s="509"/>
      <c r="CL187" s="509"/>
      <c r="CM187" s="509"/>
      <c r="CN187" s="509"/>
      <c r="CO187" s="509"/>
      <c r="CP187" s="509"/>
      <c r="CQ187" s="509"/>
      <c r="CR187" s="509"/>
      <c r="CS187" s="509"/>
    </row>
    <row r="188" spans="1:98" s="657" customFormat="1" ht="12.75" customHeight="1" x14ac:dyDescent="0.2">
      <c r="A188" s="1421">
        <v>184</v>
      </c>
      <c r="B188" s="649" t="s">
        <v>263</v>
      </c>
      <c r="C188" s="1607" t="s">
        <v>264</v>
      </c>
      <c r="D188" s="1605">
        <v>134142</v>
      </c>
      <c r="E188" s="1405">
        <v>58727034</v>
      </c>
      <c r="F188" s="1405">
        <v>3857</v>
      </c>
      <c r="G188" s="158">
        <v>-4536598</v>
      </c>
      <c r="H188" s="158">
        <v>-2016177</v>
      </c>
      <c r="I188" s="158">
        <v>-899</v>
      </c>
      <c r="J188" s="158">
        <v>0</v>
      </c>
      <c r="K188" s="158">
        <v>-7597</v>
      </c>
      <c r="L188" s="158">
        <v>-30000</v>
      </c>
      <c r="M188" s="158">
        <v>-560570</v>
      </c>
      <c r="N188" s="158">
        <v>-190878</v>
      </c>
      <c r="O188" s="158">
        <v>-62633</v>
      </c>
      <c r="P188" s="158">
        <v>0</v>
      </c>
      <c r="Q188" s="158">
        <v>0</v>
      </c>
      <c r="R188" s="158">
        <v>0</v>
      </c>
      <c r="S188" s="158">
        <v>0</v>
      </c>
      <c r="T188" s="158">
        <v>0</v>
      </c>
      <c r="U188" s="158">
        <v>-2146640</v>
      </c>
      <c r="V188" s="158">
        <v>20595365</v>
      </c>
      <c r="W188" s="158">
        <v>0</v>
      </c>
      <c r="X188" s="158">
        <v>32550250</v>
      </c>
      <c r="Y188" s="158">
        <v>59961065</v>
      </c>
      <c r="Z188" s="158">
        <v>10736825</v>
      </c>
      <c r="AA188" s="158">
        <v>8589460</v>
      </c>
      <c r="AB188" s="158">
        <v>1932628</v>
      </c>
      <c r="AC188" s="158">
        <v>214736</v>
      </c>
      <c r="AD188" s="158">
        <v>135723</v>
      </c>
      <c r="AE188" s="158">
        <v>0</v>
      </c>
      <c r="AF188" s="158">
        <v>0</v>
      </c>
      <c r="AG188" s="158">
        <v>0</v>
      </c>
      <c r="AH188" s="158">
        <v>0</v>
      </c>
      <c r="AI188" s="158">
        <v>0</v>
      </c>
      <c r="AJ188" s="158">
        <v>0</v>
      </c>
      <c r="AK188" s="158">
        <v>2044224</v>
      </c>
      <c r="AL188" s="158">
        <v>148</v>
      </c>
      <c r="AM188" s="158">
        <v>1</v>
      </c>
      <c r="AN188" s="158">
        <v>0</v>
      </c>
      <c r="AO188" s="158">
        <v>7</v>
      </c>
      <c r="AP188" s="158">
        <v>0</v>
      </c>
      <c r="AQ188" s="158">
        <v>596</v>
      </c>
      <c r="AR188" s="158">
        <v>105</v>
      </c>
      <c r="AS188" s="158">
        <v>19</v>
      </c>
      <c r="AT188" s="158">
        <v>0</v>
      </c>
      <c r="AU188" s="158">
        <v>0</v>
      </c>
      <c r="AV188" s="158">
        <v>0</v>
      </c>
      <c r="AW188" s="158">
        <v>0</v>
      </c>
      <c r="AX188" s="158">
        <v>0</v>
      </c>
      <c r="AY188" s="158">
        <v>255</v>
      </c>
      <c r="AZ188" s="158">
        <v>896</v>
      </c>
      <c r="BA188" s="158">
        <v>2090</v>
      </c>
      <c r="BB188" s="158">
        <v>2012</v>
      </c>
      <c r="BC188" s="158">
        <v>78</v>
      </c>
      <c r="BD188" s="158">
        <v>916</v>
      </c>
      <c r="BE188" s="158">
        <v>-102938</v>
      </c>
      <c r="BF188" s="158">
        <v>-112168</v>
      </c>
      <c r="BG188" s="158">
        <v>0</v>
      </c>
      <c r="BH188" s="158">
        <v>-79552</v>
      </c>
      <c r="BI188" s="158">
        <v>-262857</v>
      </c>
      <c r="BJ188" s="158">
        <v>-3055</v>
      </c>
      <c r="BK188" s="158">
        <v>2745253</v>
      </c>
      <c r="BL188" s="1438">
        <v>7212400</v>
      </c>
      <c r="BM188" s="1439">
        <v>0</v>
      </c>
      <c r="BN188" s="784" t="s">
        <v>2349</v>
      </c>
      <c r="BO188" s="784" t="s">
        <v>2376</v>
      </c>
      <c r="BP188" s="1400" t="s">
        <v>2542</v>
      </c>
      <c r="BQ188" s="509"/>
      <c r="BR188" s="509"/>
      <c r="BS188" s="509"/>
      <c r="BT188" s="509"/>
      <c r="BU188" s="509"/>
      <c r="BV188" s="509"/>
      <c r="BW188" s="509"/>
      <c r="BX188" s="509"/>
      <c r="BY188" s="509"/>
      <c r="BZ188" s="509"/>
      <c r="CA188" s="509"/>
      <c r="CB188" s="509"/>
      <c r="CC188" s="509"/>
      <c r="CD188" s="509"/>
      <c r="CE188" s="509"/>
      <c r="CF188" s="509"/>
      <c r="CG188" s="509"/>
      <c r="CH188" s="509"/>
      <c r="CI188" s="509"/>
      <c r="CJ188" s="509"/>
      <c r="CK188" s="509"/>
      <c r="CL188" s="509"/>
      <c r="CM188" s="509"/>
      <c r="CN188" s="509"/>
      <c r="CO188" s="509"/>
      <c r="CP188" s="509"/>
      <c r="CQ188" s="509"/>
      <c r="CR188" s="509"/>
      <c r="CS188" s="509"/>
      <c r="CT188" s="137"/>
    </row>
    <row r="189" spans="1:98" s="137" customFormat="1" ht="12.75" customHeight="1" x14ac:dyDescent="0.2">
      <c r="A189" s="1421">
        <v>185</v>
      </c>
      <c r="B189" s="649" t="s">
        <v>530</v>
      </c>
      <c r="C189" s="1607" t="s">
        <v>266</v>
      </c>
      <c r="D189" s="1605">
        <v>276344</v>
      </c>
      <c r="E189" s="1405">
        <v>271354165</v>
      </c>
      <c r="F189" s="1405">
        <v>6304</v>
      </c>
      <c r="G189" s="158">
        <v>-6640600</v>
      </c>
      <c r="H189" s="158">
        <v>-8759237</v>
      </c>
      <c r="I189" s="158">
        <v>-71806</v>
      </c>
      <c r="J189" s="158">
        <v>-7585</v>
      </c>
      <c r="K189" s="158">
        <v>-10883</v>
      </c>
      <c r="L189" s="158">
        <v>0</v>
      </c>
      <c r="M189" s="158">
        <v>-2647976</v>
      </c>
      <c r="N189" s="158">
        <v>-78506</v>
      </c>
      <c r="O189" s="158">
        <v>0</v>
      </c>
      <c r="P189" s="158">
        <v>-671</v>
      </c>
      <c r="Q189" s="158">
        <v>0</v>
      </c>
      <c r="R189" s="158">
        <v>0</v>
      </c>
      <c r="S189" s="158">
        <v>0</v>
      </c>
      <c r="T189" s="158">
        <v>0</v>
      </c>
      <c r="U189" s="158">
        <v>-6683605</v>
      </c>
      <c r="V189" s="158">
        <v>122991661</v>
      </c>
      <c r="W189" s="158">
        <v>-2727000</v>
      </c>
      <c r="X189" s="158">
        <v>208555000</v>
      </c>
      <c r="Y189" s="158">
        <v>273400956</v>
      </c>
      <c r="Z189" s="158">
        <v>60199249</v>
      </c>
      <c r="AA189" s="158">
        <v>58995264</v>
      </c>
      <c r="AB189" s="158">
        <v>0</v>
      </c>
      <c r="AC189" s="158">
        <v>1203985</v>
      </c>
      <c r="AD189" s="158">
        <v>275053</v>
      </c>
      <c r="AE189" s="158">
        <v>0</v>
      </c>
      <c r="AF189" s="158">
        <v>533615</v>
      </c>
      <c r="AG189" s="158">
        <v>0</v>
      </c>
      <c r="AH189" s="158">
        <v>0</v>
      </c>
      <c r="AI189" s="158">
        <v>0</v>
      </c>
      <c r="AJ189" s="158">
        <v>0</v>
      </c>
      <c r="AK189" s="158">
        <v>-1666635</v>
      </c>
      <c r="AL189" s="158">
        <v>322</v>
      </c>
      <c r="AM189" s="158">
        <v>9</v>
      </c>
      <c r="AN189" s="158">
        <v>3</v>
      </c>
      <c r="AO189" s="158">
        <v>5</v>
      </c>
      <c r="AP189" s="158">
        <v>0</v>
      </c>
      <c r="AQ189" s="158">
        <v>251</v>
      </c>
      <c r="AR189" s="158">
        <v>60</v>
      </c>
      <c r="AS189" s="158">
        <v>0</v>
      </c>
      <c r="AT189" s="158">
        <v>2</v>
      </c>
      <c r="AU189" s="158">
        <v>0</v>
      </c>
      <c r="AV189" s="158">
        <v>0</v>
      </c>
      <c r="AW189" s="158">
        <v>0</v>
      </c>
      <c r="AX189" s="158">
        <v>0</v>
      </c>
      <c r="AY189" s="158">
        <v>697</v>
      </c>
      <c r="AZ189" s="158">
        <v>923</v>
      </c>
      <c r="BA189" s="158">
        <v>2234</v>
      </c>
      <c r="BB189" s="158">
        <v>2000</v>
      </c>
      <c r="BC189" s="158">
        <v>234</v>
      </c>
      <c r="BD189" s="158">
        <v>3081</v>
      </c>
      <c r="BE189" s="158">
        <v>-176789</v>
      </c>
      <c r="BF189" s="158">
        <v>-481549</v>
      </c>
      <c r="BG189" s="158">
        <v>0</v>
      </c>
      <c r="BH189" s="158">
        <v>-12126</v>
      </c>
      <c r="BI189" s="158">
        <v>-1977512</v>
      </c>
      <c r="BJ189" s="158">
        <v>0</v>
      </c>
      <c r="BK189" s="158">
        <v>-9043302</v>
      </c>
      <c r="BL189" s="1438">
        <v>28476050</v>
      </c>
      <c r="BM189" s="1439">
        <v>0</v>
      </c>
      <c r="BN189" s="784" t="s">
        <v>509</v>
      </c>
      <c r="BO189" s="784" t="s">
        <v>2357</v>
      </c>
      <c r="BP189" s="1400" t="s">
        <v>2543</v>
      </c>
      <c r="BQ189" s="509"/>
      <c r="BR189" s="509"/>
      <c r="BS189" s="509"/>
      <c r="BT189" s="509"/>
      <c r="BU189" s="509"/>
      <c r="BV189" s="509"/>
      <c r="BW189" s="509"/>
      <c r="BX189" s="509"/>
      <c r="BY189" s="509"/>
      <c r="BZ189" s="509"/>
      <c r="CA189" s="509"/>
      <c r="CB189" s="509"/>
      <c r="CC189" s="509"/>
      <c r="CD189" s="509"/>
      <c r="CE189" s="509"/>
      <c r="CF189" s="509"/>
      <c r="CG189" s="509"/>
      <c r="CH189" s="509"/>
      <c r="CI189" s="509"/>
      <c r="CJ189" s="509"/>
      <c r="CK189" s="509"/>
      <c r="CL189" s="509"/>
      <c r="CM189" s="509"/>
      <c r="CN189" s="509"/>
      <c r="CO189" s="509"/>
      <c r="CP189" s="509"/>
      <c r="CQ189" s="509"/>
      <c r="CR189" s="509"/>
      <c r="CS189" s="509"/>
    </row>
    <row r="190" spans="1:98" s="137" customFormat="1" ht="12.75" customHeight="1" x14ac:dyDescent="0.2">
      <c r="A190" s="1421">
        <v>186</v>
      </c>
      <c r="B190" s="649" t="s">
        <v>553</v>
      </c>
      <c r="C190" s="1607" t="s">
        <v>268</v>
      </c>
      <c r="D190" s="1605">
        <v>310481</v>
      </c>
      <c r="E190" s="1405">
        <v>242448570</v>
      </c>
      <c r="F190" s="1405">
        <v>7974</v>
      </c>
      <c r="G190" s="158">
        <v>-8213083</v>
      </c>
      <c r="H190" s="158">
        <v>-12697304</v>
      </c>
      <c r="I190" s="158">
        <v>-12144</v>
      </c>
      <c r="J190" s="158">
        <v>0</v>
      </c>
      <c r="K190" s="158">
        <v>-44697</v>
      </c>
      <c r="L190" s="158">
        <v>0</v>
      </c>
      <c r="M190" s="158">
        <v>-3341544</v>
      </c>
      <c r="N190" s="158">
        <v>0</v>
      </c>
      <c r="O190" s="158">
        <v>0</v>
      </c>
      <c r="P190" s="158">
        <v>0</v>
      </c>
      <c r="Q190" s="158">
        <v>0</v>
      </c>
      <c r="R190" s="158">
        <v>-77885</v>
      </c>
      <c r="S190" s="158">
        <v>-77885</v>
      </c>
      <c r="T190" s="158">
        <v>0</v>
      </c>
      <c r="U190" s="158">
        <v>-9423127</v>
      </c>
      <c r="V190" s="158">
        <v>91032049</v>
      </c>
      <c r="W190" s="158">
        <v>-3000000</v>
      </c>
      <c r="X190" s="158">
        <v>162852350</v>
      </c>
      <c r="Y190" s="158">
        <v>241724524</v>
      </c>
      <c r="Z190" s="158">
        <v>44607571</v>
      </c>
      <c r="AA190" s="158">
        <v>43791747</v>
      </c>
      <c r="AB190" s="158">
        <v>0</v>
      </c>
      <c r="AC190" s="158">
        <v>893709</v>
      </c>
      <c r="AD190" s="158">
        <v>310315</v>
      </c>
      <c r="AE190" s="158">
        <v>35172</v>
      </c>
      <c r="AF190" s="158">
        <v>253046</v>
      </c>
      <c r="AG190" s="158">
        <v>0</v>
      </c>
      <c r="AH190" s="158">
        <v>77885</v>
      </c>
      <c r="AI190" s="158">
        <v>0</v>
      </c>
      <c r="AJ190" s="158">
        <v>0</v>
      </c>
      <c r="AK190" s="158">
        <v>-1618208</v>
      </c>
      <c r="AL190" s="158">
        <v>533</v>
      </c>
      <c r="AM190" s="158">
        <v>6</v>
      </c>
      <c r="AN190" s="158">
        <v>0</v>
      </c>
      <c r="AO190" s="158">
        <v>17</v>
      </c>
      <c r="AP190" s="158">
        <v>0</v>
      </c>
      <c r="AQ190" s="158">
        <v>328</v>
      </c>
      <c r="AR190" s="158">
        <v>0</v>
      </c>
      <c r="AS190" s="158">
        <v>0</v>
      </c>
      <c r="AT190" s="158">
        <v>0</v>
      </c>
      <c r="AU190" s="158">
        <v>0</v>
      </c>
      <c r="AV190" s="158">
        <v>0</v>
      </c>
      <c r="AW190" s="158">
        <v>13</v>
      </c>
      <c r="AX190" s="158">
        <v>9</v>
      </c>
      <c r="AY190" s="158">
        <v>1229</v>
      </c>
      <c r="AZ190" s="158">
        <v>805</v>
      </c>
      <c r="BA190" s="158">
        <v>2906</v>
      </c>
      <c r="BB190" s="158">
        <v>2651</v>
      </c>
      <c r="BC190" s="158">
        <v>255</v>
      </c>
      <c r="BD190" s="158">
        <v>4294</v>
      </c>
      <c r="BE190" s="158">
        <v>-46524</v>
      </c>
      <c r="BF190" s="158">
        <v>-1233567</v>
      </c>
      <c r="BG190" s="158">
        <v>0</v>
      </c>
      <c r="BH190" s="158">
        <v>-85363</v>
      </c>
      <c r="BI190" s="158">
        <v>-1976090</v>
      </c>
      <c r="BJ190" s="158">
        <v>0</v>
      </c>
      <c r="BK190" s="158">
        <v>-491533</v>
      </c>
      <c r="BL190" s="1438">
        <v>29135400</v>
      </c>
      <c r="BM190" s="1439">
        <v>0</v>
      </c>
      <c r="BN190" s="784" t="s">
        <v>509</v>
      </c>
      <c r="BO190" s="784" t="s">
        <v>2369</v>
      </c>
      <c r="BP190" s="1400" t="s">
        <v>2544</v>
      </c>
      <c r="BQ190" s="509"/>
      <c r="BR190" s="509"/>
      <c r="BS190" s="509"/>
      <c r="BT190" s="509"/>
      <c r="BU190" s="509"/>
      <c r="BV190" s="509"/>
      <c r="BW190" s="509"/>
      <c r="BX190" s="509"/>
      <c r="BY190" s="509"/>
      <c r="BZ190" s="509"/>
      <c r="CA190" s="509"/>
      <c r="CB190" s="509"/>
      <c r="CC190" s="509"/>
      <c r="CD190" s="509"/>
      <c r="CE190" s="509"/>
      <c r="CF190" s="509"/>
      <c r="CG190" s="509"/>
      <c r="CH190" s="509"/>
      <c r="CI190" s="509"/>
      <c r="CJ190" s="509"/>
      <c r="CK190" s="509"/>
      <c r="CL190" s="509"/>
      <c r="CM190" s="509"/>
      <c r="CN190" s="509"/>
      <c r="CO190" s="509"/>
      <c r="CP190" s="509"/>
      <c r="CQ190" s="509"/>
      <c r="CR190" s="509"/>
      <c r="CS190" s="509"/>
    </row>
    <row r="191" spans="1:98" s="137" customFormat="1" ht="12.75" customHeight="1" x14ac:dyDescent="0.2">
      <c r="A191" s="1421">
        <v>187</v>
      </c>
      <c r="B191" s="649" t="s">
        <v>579</v>
      </c>
      <c r="C191" s="1607" t="s">
        <v>270</v>
      </c>
      <c r="D191" s="1605">
        <v>276147</v>
      </c>
      <c r="E191" s="1405">
        <v>229350078</v>
      </c>
      <c r="F191" s="1405">
        <v>6656</v>
      </c>
      <c r="G191" s="158">
        <v>-6760352</v>
      </c>
      <c r="H191" s="158">
        <v>-10095171</v>
      </c>
      <c r="I191" s="158">
        <v>-37841</v>
      </c>
      <c r="J191" s="158">
        <v>0</v>
      </c>
      <c r="K191" s="158">
        <v>-46088</v>
      </c>
      <c r="L191" s="158">
        <v>-100000</v>
      </c>
      <c r="M191" s="158">
        <v>-3523195</v>
      </c>
      <c r="N191" s="158">
        <v>-233300</v>
      </c>
      <c r="O191" s="158">
        <v>0</v>
      </c>
      <c r="P191" s="158">
        <v>0</v>
      </c>
      <c r="Q191" s="158">
        <v>0</v>
      </c>
      <c r="R191" s="158">
        <v>0</v>
      </c>
      <c r="S191" s="158">
        <v>0</v>
      </c>
      <c r="T191" s="158">
        <v>0</v>
      </c>
      <c r="U191" s="158">
        <v>-8037544</v>
      </c>
      <c r="V191" s="158">
        <v>90754476</v>
      </c>
      <c r="W191" s="158">
        <v>-4370475</v>
      </c>
      <c r="X191" s="158">
        <v>168612900</v>
      </c>
      <c r="Y191" s="158">
        <v>230300577</v>
      </c>
      <c r="Z191" s="158">
        <v>42863272</v>
      </c>
      <c r="AA191" s="158">
        <v>42006006</v>
      </c>
      <c r="AB191" s="158">
        <v>0</v>
      </c>
      <c r="AC191" s="158">
        <v>857265</v>
      </c>
      <c r="AD191" s="158">
        <v>288503</v>
      </c>
      <c r="AE191" s="158">
        <v>0</v>
      </c>
      <c r="AF191" s="158">
        <v>0</v>
      </c>
      <c r="AG191" s="158">
        <v>0</v>
      </c>
      <c r="AH191" s="158">
        <v>0</v>
      </c>
      <c r="AI191" s="158">
        <v>0</v>
      </c>
      <c r="AJ191" s="158">
        <v>0</v>
      </c>
      <c r="AK191" s="158">
        <v>10247175</v>
      </c>
      <c r="AL191" s="158">
        <v>311</v>
      </c>
      <c r="AM191" s="158">
        <v>11</v>
      </c>
      <c r="AN191" s="158">
        <v>0</v>
      </c>
      <c r="AO191" s="158">
        <v>15</v>
      </c>
      <c r="AP191" s="158">
        <v>0</v>
      </c>
      <c r="AQ191" s="158">
        <v>375</v>
      </c>
      <c r="AR191" s="158">
        <v>12</v>
      </c>
      <c r="AS191" s="158">
        <v>0</v>
      </c>
      <c r="AT191" s="158">
        <v>1</v>
      </c>
      <c r="AU191" s="158">
        <v>0</v>
      </c>
      <c r="AV191" s="158">
        <v>0</v>
      </c>
      <c r="AW191" s="158">
        <v>0</v>
      </c>
      <c r="AX191" s="158">
        <v>0</v>
      </c>
      <c r="AY191" s="158">
        <v>924</v>
      </c>
      <c r="AZ191" s="158">
        <v>1461</v>
      </c>
      <c r="BA191" s="158">
        <v>2341</v>
      </c>
      <c r="BB191" s="158">
        <v>2153</v>
      </c>
      <c r="BC191" s="158">
        <v>188</v>
      </c>
      <c r="BD191" s="158">
        <v>3147</v>
      </c>
      <c r="BE191" s="158">
        <v>-928665</v>
      </c>
      <c r="BF191" s="158">
        <v>-385264</v>
      </c>
      <c r="BG191" s="158">
        <v>0</v>
      </c>
      <c r="BH191" s="158">
        <v>-29710</v>
      </c>
      <c r="BI191" s="158">
        <v>-1141159</v>
      </c>
      <c r="BJ191" s="158">
        <v>-1038397</v>
      </c>
      <c r="BK191" s="158">
        <v>10919184</v>
      </c>
      <c r="BL191" s="1438">
        <v>28109700</v>
      </c>
      <c r="BM191" s="1439">
        <v>0</v>
      </c>
      <c r="BN191" s="784" t="s">
        <v>509</v>
      </c>
      <c r="BO191" s="784" t="s">
        <v>2350</v>
      </c>
      <c r="BP191" s="1400" t="s">
        <v>2545</v>
      </c>
      <c r="BQ191" s="509"/>
      <c r="BR191" s="509"/>
      <c r="BS191" s="509"/>
      <c r="BT191" s="509"/>
      <c r="BU191" s="509"/>
      <c r="BV191" s="509"/>
      <c r="BW191" s="509"/>
      <c r="BX191" s="509"/>
      <c r="BY191" s="509"/>
      <c r="BZ191" s="509"/>
      <c r="CA191" s="509"/>
      <c r="CB191" s="509"/>
      <c r="CC191" s="509"/>
      <c r="CD191" s="509"/>
      <c r="CE191" s="509"/>
      <c r="CF191" s="509"/>
      <c r="CG191" s="509"/>
      <c r="CH191" s="509"/>
      <c r="CI191" s="509"/>
      <c r="CJ191" s="509"/>
      <c r="CK191" s="509"/>
      <c r="CL191" s="509"/>
      <c r="CM191" s="509"/>
      <c r="CN191" s="509"/>
      <c r="CO191" s="509"/>
      <c r="CP191" s="509"/>
      <c r="CQ191" s="509"/>
      <c r="CR191" s="509"/>
      <c r="CS191" s="509"/>
    </row>
    <row r="192" spans="1:98" s="137" customFormat="1" ht="12.75" customHeight="1" x14ac:dyDescent="0.2">
      <c r="A192" s="1421">
        <v>188</v>
      </c>
      <c r="B192" s="649" t="s">
        <v>271</v>
      </c>
      <c r="C192" s="1607" t="s">
        <v>272</v>
      </c>
      <c r="D192" s="1605">
        <v>236737</v>
      </c>
      <c r="E192" s="1405">
        <v>152242100</v>
      </c>
      <c r="F192" s="1405">
        <v>6372</v>
      </c>
      <c r="G192" s="158">
        <v>-6364316</v>
      </c>
      <c r="H192" s="158">
        <v>-7424246</v>
      </c>
      <c r="I192" s="158">
        <v>-58990</v>
      </c>
      <c r="J192" s="158">
        <v>-2824</v>
      </c>
      <c r="K192" s="158">
        <v>-1</v>
      </c>
      <c r="L192" s="158">
        <v>0</v>
      </c>
      <c r="M192" s="158">
        <v>-1967520</v>
      </c>
      <c r="N192" s="158">
        <v>-96414</v>
      </c>
      <c r="O192" s="158">
        <v>-52934</v>
      </c>
      <c r="P192" s="158">
        <v>0</v>
      </c>
      <c r="Q192" s="158">
        <v>0</v>
      </c>
      <c r="R192" s="158">
        <v>0</v>
      </c>
      <c r="S192" s="158">
        <v>0</v>
      </c>
      <c r="T192" s="158">
        <v>0</v>
      </c>
      <c r="U192" s="158">
        <v>-6457856</v>
      </c>
      <c r="V192" s="158">
        <v>54121749</v>
      </c>
      <c r="W192" s="158">
        <v>-2171034</v>
      </c>
      <c r="X192" s="158">
        <v>99065000</v>
      </c>
      <c r="Y192" s="158">
        <v>152409641</v>
      </c>
      <c r="Z192" s="158">
        <v>25234830</v>
      </c>
      <c r="AA192" s="158">
        <v>20187865</v>
      </c>
      <c r="AB192" s="158">
        <v>4542270</v>
      </c>
      <c r="AC192" s="158">
        <v>504697</v>
      </c>
      <c r="AD192" s="158">
        <v>236069</v>
      </c>
      <c r="AE192" s="158">
        <v>0</v>
      </c>
      <c r="AF192" s="158">
        <v>37709</v>
      </c>
      <c r="AG192" s="158">
        <v>0</v>
      </c>
      <c r="AH192" s="158">
        <v>0</v>
      </c>
      <c r="AI192" s="158">
        <v>0</v>
      </c>
      <c r="AJ192" s="158">
        <v>0</v>
      </c>
      <c r="AK192" s="158">
        <v>67876</v>
      </c>
      <c r="AL192" s="158">
        <v>251</v>
      </c>
      <c r="AM192" s="158">
        <v>10</v>
      </c>
      <c r="AN192" s="158">
        <v>1</v>
      </c>
      <c r="AO192" s="158">
        <v>2</v>
      </c>
      <c r="AP192" s="158">
        <v>0</v>
      </c>
      <c r="AQ192" s="158">
        <v>492</v>
      </c>
      <c r="AR192" s="158">
        <v>62</v>
      </c>
      <c r="AS192" s="158">
        <v>4</v>
      </c>
      <c r="AT192" s="158">
        <v>0</v>
      </c>
      <c r="AU192" s="158">
        <v>0</v>
      </c>
      <c r="AV192" s="158">
        <v>0</v>
      </c>
      <c r="AW192" s="158">
        <v>0</v>
      </c>
      <c r="AX192" s="158">
        <v>0</v>
      </c>
      <c r="AY192" s="158">
        <v>642</v>
      </c>
      <c r="AZ192" s="158">
        <v>528</v>
      </c>
      <c r="BA192" s="158">
        <v>2435</v>
      </c>
      <c r="BB192" s="158">
        <v>2266</v>
      </c>
      <c r="BC192" s="158">
        <v>169</v>
      </c>
      <c r="BD192" s="158">
        <v>3350</v>
      </c>
      <c r="BE192" s="158">
        <v>-41110</v>
      </c>
      <c r="BF192" s="158">
        <v>-890324</v>
      </c>
      <c r="BG192" s="158">
        <v>0</v>
      </c>
      <c r="BH192" s="158">
        <v>-51564</v>
      </c>
      <c r="BI192" s="158">
        <v>-984522</v>
      </c>
      <c r="BJ192" s="158">
        <v>0</v>
      </c>
      <c r="BK192" s="158">
        <v>1628365</v>
      </c>
      <c r="BL192" s="1438">
        <v>19634925</v>
      </c>
      <c r="BM192" s="1439">
        <v>0</v>
      </c>
      <c r="BN192" s="784" t="s">
        <v>2349</v>
      </c>
      <c r="BO192" s="784" t="s">
        <v>2376</v>
      </c>
      <c r="BP192" s="1400" t="s">
        <v>2546</v>
      </c>
      <c r="BQ192" s="509"/>
      <c r="BR192" s="509"/>
      <c r="BS192" s="509"/>
      <c r="BT192" s="509"/>
      <c r="BU192" s="509"/>
      <c r="BV192" s="509"/>
      <c r="BW192" s="509"/>
      <c r="BX192" s="509"/>
      <c r="BY192" s="509"/>
      <c r="BZ192" s="509"/>
      <c r="CA192" s="509"/>
      <c r="CB192" s="509"/>
      <c r="CC192" s="509"/>
      <c r="CD192" s="509"/>
      <c r="CE192" s="509"/>
      <c r="CF192" s="509"/>
      <c r="CG192" s="509"/>
      <c r="CH192" s="509"/>
      <c r="CI192" s="509"/>
      <c r="CJ192" s="509"/>
      <c r="CK192" s="509"/>
      <c r="CL192" s="509"/>
      <c r="CM192" s="509"/>
      <c r="CN192" s="509"/>
      <c r="CO192" s="509"/>
      <c r="CP192" s="509"/>
      <c r="CQ192" s="509"/>
      <c r="CR192" s="509"/>
      <c r="CS192" s="509"/>
    </row>
    <row r="193" spans="1:97" s="137" customFormat="1" ht="12.75" customHeight="1" x14ac:dyDescent="0.2">
      <c r="A193" s="1421">
        <v>189</v>
      </c>
      <c r="B193" s="649" t="s">
        <v>522</v>
      </c>
      <c r="C193" s="1607" t="s">
        <v>274</v>
      </c>
      <c r="D193" s="1605">
        <v>288938</v>
      </c>
      <c r="E193" s="1405">
        <v>341345584</v>
      </c>
      <c r="F193" s="1405">
        <v>5681</v>
      </c>
      <c r="G193" s="158">
        <v>-3506179</v>
      </c>
      <c r="H193" s="158">
        <v>-6635279</v>
      </c>
      <c r="I193" s="158">
        <v>-7331</v>
      </c>
      <c r="J193" s="158">
        <v>0</v>
      </c>
      <c r="K193" s="158">
        <v>0</v>
      </c>
      <c r="L193" s="158">
        <v>0</v>
      </c>
      <c r="M193" s="158">
        <v>-6752174</v>
      </c>
      <c r="N193" s="158">
        <v>0</v>
      </c>
      <c r="O193" s="158">
        <v>0</v>
      </c>
      <c r="P193" s="158">
        <v>0</v>
      </c>
      <c r="Q193" s="158">
        <v>0</v>
      </c>
      <c r="R193" s="158">
        <v>0</v>
      </c>
      <c r="S193" s="158">
        <v>0</v>
      </c>
      <c r="T193" s="158">
        <v>0</v>
      </c>
      <c r="U193" s="158">
        <v>-12209905</v>
      </c>
      <c r="V193" s="158">
        <v>152225824</v>
      </c>
      <c r="W193" s="158">
        <v>-4062526</v>
      </c>
      <c r="X193" s="158">
        <v>282035540</v>
      </c>
      <c r="Y193" s="158">
        <v>342262307</v>
      </c>
      <c r="Z193" s="158">
        <v>73669809</v>
      </c>
      <c r="AA193" s="158">
        <v>72196413</v>
      </c>
      <c r="AB193" s="158">
        <v>0</v>
      </c>
      <c r="AC193" s="158">
        <v>1473396</v>
      </c>
      <c r="AD193" s="158">
        <v>289718</v>
      </c>
      <c r="AE193" s="158">
        <v>0</v>
      </c>
      <c r="AF193" s="158">
        <v>0</v>
      </c>
      <c r="AG193" s="158">
        <v>0</v>
      </c>
      <c r="AH193" s="158">
        <v>0</v>
      </c>
      <c r="AI193" s="158">
        <v>0</v>
      </c>
      <c r="AJ193" s="158">
        <v>0</v>
      </c>
      <c r="AK193" s="158">
        <v>-5047382</v>
      </c>
      <c r="AL193" s="158">
        <v>237</v>
      </c>
      <c r="AM193" s="158">
        <v>5</v>
      </c>
      <c r="AN193" s="158">
        <v>0</v>
      </c>
      <c r="AO193" s="158">
        <v>0</v>
      </c>
      <c r="AP193" s="158">
        <v>0</v>
      </c>
      <c r="AQ193" s="158">
        <v>701</v>
      </c>
      <c r="AR193" s="158">
        <v>0</v>
      </c>
      <c r="AS193" s="158">
        <v>0</v>
      </c>
      <c r="AT193" s="158">
        <v>0</v>
      </c>
      <c r="AU193" s="158">
        <v>0</v>
      </c>
      <c r="AV193" s="158">
        <v>0</v>
      </c>
      <c r="AW193" s="158">
        <v>0</v>
      </c>
      <c r="AX193" s="158">
        <v>0</v>
      </c>
      <c r="AY193" s="158">
        <v>853</v>
      </c>
      <c r="AZ193" s="158">
        <v>2054</v>
      </c>
      <c r="BA193" s="158">
        <v>1042</v>
      </c>
      <c r="BB193" s="158">
        <v>879</v>
      </c>
      <c r="BC193" s="158">
        <v>163</v>
      </c>
      <c r="BD193" s="158">
        <v>2663</v>
      </c>
      <c r="BE193" s="158">
        <v>-8645</v>
      </c>
      <c r="BF193" s="158">
        <v>-1156438</v>
      </c>
      <c r="BG193" s="158">
        <v>0</v>
      </c>
      <c r="BH193" s="158">
        <v>-945772</v>
      </c>
      <c r="BI193" s="158">
        <v>-67694</v>
      </c>
      <c r="BJ193" s="158">
        <v>-4573625</v>
      </c>
      <c r="BK193" s="158">
        <v>-2965239</v>
      </c>
      <c r="BL193" s="1438">
        <v>26812300</v>
      </c>
      <c r="BM193" s="1439">
        <v>0</v>
      </c>
      <c r="BN193" s="784" t="s">
        <v>509</v>
      </c>
      <c r="BO193" s="784" t="s">
        <v>2350</v>
      </c>
      <c r="BP193" s="1400" t="s">
        <v>2547</v>
      </c>
      <c r="BQ193" s="509"/>
      <c r="BR193" s="509"/>
      <c r="BS193" s="509"/>
      <c r="BT193" s="509"/>
      <c r="BU193" s="509"/>
      <c r="BV193" s="509"/>
      <c r="BW193" s="509"/>
      <c r="BX193" s="509"/>
      <c r="BY193" s="509"/>
      <c r="BZ193" s="509"/>
      <c r="CA193" s="509"/>
      <c r="CB193" s="509"/>
      <c r="CC193" s="509"/>
      <c r="CD193" s="509"/>
      <c r="CE193" s="509"/>
      <c r="CF193" s="509"/>
      <c r="CG193" s="509"/>
      <c r="CH193" s="509"/>
      <c r="CI193" s="509"/>
      <c r="CJ193" s="509"/>
      <c r="CK193" s="509"/>
      <c r="CL193" s="509"/>
      <c r="CM193" s="509"/>
      <c r="CN193" s="509"/>
      <c r="CO193" s="509"/>
      <c r="CP193" s="509"/>
      <c r="CQ193" s="509"/>
      <c r="CR193" s="509"/>
      <c r="CS193" s="509"/>
    </row>
    <row r="194" spans="1:97" s="137" customFormat="1" ht="12.75" customHeight="1" x14ac:dyDescent="0.2">
      <c r="A194" s="1421">
        <v>190</v>
      </c>
      <c r="B194" s="649" t="s">
        <v>275</v>
      </c>
      <c r="C194" s="1607" t="s">
        <v>276</v>
      </c>
      <c r="D194" s="1605">
        <v>269347</v>
      </c>
      <c r="E194" s="1405">
        <v>171780414</v>
      </c>
      <c r="F194" s="1405">
        <v>6641</v>
      </c>
      <c r="G194" s="158">
        <v>-7259587</v>
      </c>
      <c r="H194" s="158">
        <v>-7320276</v>
      </c>
      <c r="I194" s="158">
        <v>-115134</v>
      </c>
      <c r="J194" s="158">
        <v>0</v>
      </c>
      <c r="K194" s="158">
        <v>0</v>
      </c>
      <c r="L194" s="158">
        <v>0</v>
      </c>
      <c r="M194" s="158">
        <v>-1440675</v>
      </c>
      <c r="N194" s="158">
        <v>-206753</v>
      </c>
      <c r="O194" s="158">
        <v>-6698</v>
      </c>
      <c r="P194" s="158">
        <v>0</v>
      </c>
      <c r="Q194" s="158">
        <v>0</v>
      </c>
      <c r="R194" s="158">
        <v>0</v>
      </c>
      <c r="S194" s="158">
        <v>0</v>
      </c>
      <c r="T194" s="158">
        <v>0</v>
      </c>
      <c r="U194" s="158">
        <v>-14014550</v>
      </c>
      <c r="V194" s="158">
        <v>55906538</v>
      </c>
      <c r="W194" s="158">
        <v>-3051000</v>
      </c>
      <c r="X194" s="158">
        <v>91806600</v>
      </c>
      <c r="Y194" s="158">
        <v>171073289</v>
      </c>
      <c r="Z194" s="158">
        <v>17559089</v>
      </c>
      <c r="AA194" s="158">
        <v>15962808</v>
      </c>
      <c r="AB194" s="158">
        <v>19687463</v>
      </c>
      <c r="AC194" s="158">
        <v>0</v>
      </c>
      <c r="AD194" s="158">
        <v>266673</v>
      </c>
      <c r="AE194" s="158">
        <v>0</v>
      </c>
      <c r="AF194" s="158">
        <v>0</v>
      </c>
      <c r="AG194" s="158">
        <v>0</v>
      </c>
      <c r="AH194" s="158">
        <v>0</v>
      </c>
      <c r="AI194" s="158">
        <v>0</v>
      </c>
      <c r="AJ194" s="158">
        <v>0</v>
      </c>
      <c r="AK194" s="158">
        <v>3050496</v>
      </c>
      <c r="AL194" s="158">
        <v>281</v>
      </c>
      <c r="AM194" s="158">
        <v>18</v>
      </c>
      <c r="AN194" s="158">
        <v>0</v>
      </c>
      <c r="AO194" s="158">
        <v>0</v>
      </c>
      <c r="AP194" s="158">
        <v>0</v>
      </c>
      <c r="AQ194" s="158">
        <v>623</v>
      </c>
      <c r="AR194" s="158">
        <v>56</v>
      </c>
      <c r="AS194" s="158">
        <v>4</v>
      </c>
      <c r="AT194" s="158">
        <v>0</v>
      </c>
      <c r="AU194" s="158">
        <v>0</v>
      </c>
      <c r="AV194" s="158">
        <v>0</v>
      </c>
      <c r="AW194" s="158">
        <v>0</v>
      </c>
      <c r="AX194" s="158">
        <v>0</v>
      </c>
      <c r="AY194" s="158">
        <v>1424</v>
      </c>
      <c r="AZ194" s="158">
        <v>610</v>
      </c>
      <c r="BA194" s="158">
        <v>2276</v>
      </c>
      <c r="BB194" s="158">
        <v>1859</v>
      </c>
      <c r="BC194" s="158">
        <v>417</v>
      </c>
      <c r="BD194" s="158">
        <v>3702</v>
      </c>
      <c r="BE194" s="158">
        <v>-98944</v>
      </c>
      <c r="BF194" s="158">
        <v>-45877</v>
      </c>
      <c r="BG194" s="158">
        <v>0</v>
      </c>
      <c r="BH194" s="158">
        <v>-121511</v>
      </c>
      <c r="BI194" s="158">
        <v>-1174343</v>
      </c>
      <c r="BJ194" s="158">
        <v>0</v>
      </c>
      <c r="BK194" s="158">
        <v>3222942</v>
      </c>
      <c r="BL194" s="1438">
        <v>21964850</v>
      </c>
      <c r="BM194" s="1439">
        <v>0</v>
      </c>
      <c r="BN194" s="784" t="s">
        <v>2359</v>
      </c>
      <c r="BO194" s="784" t="s">
        <v>2360</v>
      </c>
      <c r="BP194" s="1400" t="s">
        <v>2548</v>
      </c>
      <c r="BQ194" s="509"/>
      <c r="BR194" s="509"/>
      <c r="BS194" s="509"/>
      <c r="BT194" s="509"/>
      <c r="BU194" s="509"/>
      <c r="BV194" s="509"/>
      <c r="BW194" s="509"/>
      <c r="BX194" s="509"/>
      <c r="BY194" s="509"/>
      <c r="BZ194" s="509"/>
      <c r="CA194" s="509"/>
      <c r="CB194" s="509"/>
      <c r="CC194" s="509"/>
      <c r="CD194" s="509"/>
      <c r="CE194" s="509"/>
      <c r="CF194" s="509"/>
      <c r="CG194" s="509"/>
      <c r="CH194" s="509"/>
      <c r="CI194" s="509"/>
      <c r="CJ194" s="509"/>
      <c r="CK194" s="509"/>
      <c r="CL194" s="509"/>
      <c r="CM194" s="509"/>
      <c r="CN194" s="509"/>
      <c r="CO194" s="509"/>
      <c r="CP194" s="509"/>
      <c r="CQ194" s="509"/>
      <c r="CR194" s="509"/>
      <c r="CS194" s="509"/>
    </row>
    <row r="195" spans="1:97" s="137" customFormat="1" ht="12.75" customHeight="1" x14ac:dyDescent="0.2">
      <c r="A195" s="1421">
        <v>191</v>
      </c>
      <c r="B195" s="649" t="s">
        <v>962</v>
      </c>
      <c r="C195" s="1607" t="s">
        <v>278</v>
      </c>
      <c r="D195" s="1605">
        <v>164523</v>
      </c>
      <c r="E195" s="1405">
        <v>110303792</v>
      </c>
      <c r="F195" s="1405">
        <v>4388</v>
      </c>
      <c r="G195" s="158">
        <v>-4594247</v>
      </c>
      <c r="H195" s="158">
        <v>-4010934</v>
      </c>
      <c r="I195" s="158">
        <v>-66012</v>
      </c>
      <c r="J195" s="158">
        <v>-2452</v>
      </c>
      <c r="K195" s="158">
        <v>-17309</v>
      </c>
      <c r="L195" s="158">
        <v>0</v>
      </c>
      <c r="M195" s="158">
        <v>-1299458</v>
      </c>
      <c r="N195" s="158">
        <v>-128895</v>
      </c>
      <c r="O195" s="158">
        <v>-101733</v>
      </c>
      <c r="P195" s="158">
        <v>0</v>
      </c>
      <c r="Q195" s="158">
        <v>-2013</v>
      </c>
      <c r="R195" s="158">
        <v>0</v>
      </c>
      <c r="S195" s="158">
        <v>0</v>
      </c>
      <c r="T195" s="158">
        <v>0</v>
      </c>
      <c r="U195" s="158">
        <v>-2246900</v>
      </c>
      <c r="V195" s="158">
        <v>44786960</v>
      </c>
      <c r="W195" s="158">
        <v>-1477970</v>
      </c>
      <c r="X195" s="158">
        <v>79212500</v>
      </c>
      <c r="Y195" s="158">
        <v>110750046</v>
      </c>
      <c r="Z195" s="158">
        <v>20582711</v>
      </c>
      <c r="AA195" s="158">
        <v>20171057</v>
      </c>
      <c r="AB195" s="158">
        <v>0</v>
      </c>
      <c r="AC195" s="158">
        <v>411654</v>
      </c>
      <c r="AD195" s="158">
        <v>165081</v>
      </c>
      <c r="AE195" s="158">
        <v>3090132</v>
      </c>
      <c r="AF195" s="158">
        <v>286650</v>
      </c>
      <c r="AG195" s="158">
        <v>0</v>
      </c>
      <c r="AH195" s="158">
        <v>0</v>
      </c>
      <c r="AI195" s="158">
        <v>0</v>
      </c>
      <c r="AJ195" s="158">
        <v>0</v>
      </c>
      <c r="AK195" s="158">
        <v>124307</v>
      </c>
      <c r="AL195" s="158">
        <v>205</v>
      </c>
      <c r="AM195" s="158">
        <v>14</v>
      </c>
      <c r="AN195" s="158">
        <v>5</v>
      </c>
      <c r="AO195" s="158">
        <v>10</v>
      </c>
      <c r="AP195" s="158">
        <v>0</v>
      </c>
      <c r="AQ195" s="158">
        <v>428</v>
      </c>
      <c r="AR195" s="158">
        <v>50</v>
      </c>
      <c r="AS195" s="158">
        <v>12</v>
      </c>
      <c r="AT195" s="158">
        <v>0</v>
      </c>
      <c r="AU195" s="158">
        <v>0</v>
      </c>
      <c r="AV195" s="158">
        <v>0</v>
      </c>
      <c r="AW195" s="158">
        <v>0</v>
      </c>
      <c r="AX195" s="158">
        <v>0</v>
      </c>
      <c r="AY195" s="158">
        <v>357</v>
      </c>
      <c r="AZ195" s="158">
        <v>273</v>
      </c>
      <c r="BA195" s="158">
        <v>2101</v>
      </c>
      <c r="BB195" s="158">
        <v>2021</v>
      </c>
      <c r="BC195" s="158">
        <v>80</v>
      </c>
      <c r="BD195" s="158">
        <v>1997</v>
      </c>
      <c r="BE195" s="158">
        <v>-37670</v>
      </c>
      <c r="BF195" s="158">
        <v>-77003</v>
      </c>
      <c r="BG195" s="158">
        <v>0</v>
      </c>
      <c r="BH195" s="158">
        <v>-27851</v>
      </c>
      <c r="BI195" s="158">
        <v>-1156934</v>
      </c>
      <c r="BJ195" s="158">
        <v>0</v>
      </c>
      <c r="BK195" s="158">
        <v>-4446916</v>
      </c>
      <c r="BL195" s="1438">
        <v>9776750</v>
      </c>
      <c r="BM195" s="1439">
        <v>0</v>
      </c>
      <c r="BN195" s="784" t="s">
        <v>509</v>
      </c>
      <c r="BO195" s="784" t="s">
        <v>855</v>
      </c>
      <c r="BP195" s="1400" t="s">
        <v>2549</v>
      </c>
      <c r="BQ195" s="509"/>
      <c r="BR195" s="509"/>
      <c r="BS195" s="509"/>
      <c r="BT195" s="509"/>
      <c r="BU195" s="509"/>
      <c r="BV195" s="509"/>
      <c r="BW195" s="509"/>
      <c r="BX195" s="509"/>
      <c r="BY195" s="509"/>
      <c r="BZ195" s="509"/>
      <c r="CA195" s="509"/>
      <c r="CB195" s="509"/>
      <c r="CC195" s="509"/>
      <c r="CD195" s="509"/>
      <c r="CE195" s="509"/>
      <c r="CF195" s="509"/>
      <c r="CG195" s="509"/>
      <c r="CH195" s="509"/>
      <c r="CI195" s="509"/>
      <c r="CJ195" s="509"/>
      <c r="CK195" s="509"/>
      <c r="CL195" s="509"/>
      <c r="CM195" s="509"/>
      <c r="CN195" s="509"/>
      <c r="CO195" s="509"/>
      <c r="CP195" s="509"/>
      <c r="CQ195" s="509"/>
      <c r="CR195" s="509"/>
      <c r="CS195" s="509"/>
    </row>
    <row r="196" spans="1:97" s="137" customFormat="1" ht="12.75" customHeight="1" x14ac:dyDescent="0.2">
      <c r="A196" s="1421">
        <v>192</v>
      </c>
      <c r="B196" s="649" t="s">
        <v>279</v>
      </c>
      <c r="C196" s="1607" t="s">
        <v>280</v>
      </c>
      <c r="D196" s="1605">
        <v>105121</v>
      </c>
      <c r="E196" s="1405">
        <v>91785862</v>
      </c>
      <c r="F196" s="1405">
        <v>2613</v>
      </c>
      <c r="G196" s="158">
        <v>-2878172</v>
      </c>
      <c r="H196" s="158">
        <v>-1801580</v>
      </c>
      <c r="I196" s="158">
        <v>-16525</v>
      </c>
      <c r="J196" s="158">
        <v>-3444</v>
      </c>
      <c r="K196" s="158">
        <v>-2</v>
      </c>
      <c r="L196" s="158">
        <v>0</v>
      </c>
      <c r="M196" s="158">
        <v>-458214</v>
      </c>
      <c r="N196" s="158">
        <v>-34785</v>
      </c>
      <c r="O196" s="158">
        <v>-275044</v>
      </c>
      <c r="P196" s="158">
        <v>0</v>
      </c>
      <c r="Q196" s="158">
        <v>0</v>
      </c>
      <c r="R196" s="158">
        <v>0</v>
      </c>
      <c r="S196" s="158">
        <v>0</v>
      </c>
      <c r="T196" s="158">
        <v>0</v>
      </c>
      <c r="U196" s="158">
        <v>-2495780</v>
      </c>
      <c r="V196" s="158">
        <v>37585019</v>
      </c>
      <c r="W196" s="158">
        <v>-1240303</v>
      </c>
      <c r="X196" s="158">
        <v>63935250</v>
      </c>
      <c r="Y196" s="158">
        <v>91801750</v>
      </c>
      <c r="Z196" s="158">
        <v>18049491</v>
      </c>
      <c r="AA196" s="158">
        <v>14439593</v>
      </c>
      <c r="AB196" s="158">
        <v>3248908</v>
      </c>
      <c r="AC196" s="158">
        <v>360990</v>
      </c>
      <c r="AD196" s="158">
        <v>104846</v>
      </c>
      <c r="AE196" s="158">
        <v>0</v>
      </c>
      <c r="AF196" s="158">
        <v>2903</v>
      </c>
      <c r="AG196" s="158">
        <v>0</v>
      </c>
      <c r="AH196" s="158">
        <v>0</v>
      </c>
      <c r="AI196" s="158">
        <v>0</v>
      </c>
      <c r="AJ196" s="158">
        <v>0</v>
      </c>
      <c r="AK196" s="158">
        <v>-15535418</v>
      </c>
      <c r="AL196" s="158">
        <v>106</v>
      </c>
      <c r="AM196" s="158">
        <v>2</v>
      </c>
      <c r="AN196" s="158">
        <v>1</v>
      </c>
      <c r="AO196" s="158">
        <v>3</v>
      </c>
      <c r="AP196" s="158">
        <v>0</v>
      </c>
      <c r="AQ196" s="158">
        <v>157</v>
      </c>
      <c r="AR196" s="158">
        <v>36</v>
      </c>
      <c r="AS196" s="158">
        <v>13</v>
      </c>
      <c r="AT196" s="158">
        <v>0</v>
      </c>
      <c r="AU196" s="158">
        <v>1</v>
      </c>
      <c r="AV196" s="158">
        <v>0</v>
      </c>
      <c r="AW196" s="158">
        <v>0</v>
      </c>
      <c r="AX196" s="158">
        <v>4</v>
      </c>
      <c r="AY196" s="158">
        <v>241</v>
      </c>
      <c r="AZ196" s="158">
        <v>729</v>
      </c>
      <c r="BA196" s="158">
        <v>956</v>
      </c>
      <c r="BB196" s="158">
        <v>845</v>
      </c>
      <c r="BC196" s="158">
        <v>111</v>
      </c>
      <c r="BD196" s="158">
        <v>932</v>
      </c>
      <c r="BE196" s="158">
        <v>-74630</v>
      </c>
      <c r="BF196" s="158">
        <v>-18671</v>
      </c>
      <c r="BG196" s="158">
        <v>0</v>
      </c>
      <c r="BH196" s="158">
        <v>0</v>
      </c>
      <c r="BI196" s="158">
        <v>-316038</v>
      </c>
      <c r="BJ196" s="158">
        <v>-48875</v>
      </c>
      <c r="BK196" s="158">
        <v>-3678676</v>
      </c>
      <c r="BL196" s="1438">
        <v>13187666</v>
      </c>
      <c r="BM196" s="1439">
        <v>0</v>
      </c>
      <c r="BN196" s="784" t="s">
        <v>2349</v>
      </c>
      <c r="BO196" s="784" t="s">
        <v>2373</v>
      </c>
      <c r="BP196" s="1400" t="s">
        <v>2550</v>
      </c>
      <c r="BQ196" s="509"/>
      <c r="BR196" s="509"/>
      <c r="BS196" s="509"/>
      <c r="BT196" s="509"/>
      <c r="BU196" s="509"/>
      <c r="BV196" s="509"/>
      <c r="BW196" s="509"/>
      <c r="BX196" s="509"/>
      <c r="BY196" s="509"/>
      <c r="BZ196" s="509"/>
      <c r="CA196" s="509"/>
      <c r="CB196" s="509"/>
      <c r="CC196" s="509"/>
      <c r="CD196" s="509"/>
      <c r="CE196" s="509"/>
      <c r="CF196" s="509"/>
      <c r="CG196" s="509"/>
      <c r="CH196" s="509"/>
      <c r="CI196" s="509"/>
      <c r="CJ196" s="509"/>
      <c r="CK196" s="509"/>
      <c r="CL196" s="509"/>
      <c r="CM196" s="509"/>
      <c r="CN196" s="509"/>
      <c r="CO196" s="509"/>
      <c r="CP196" s="509"/>
      <c r="CQ196" s="509"/>
      <c r="CR196" s="509"/>
      <c r="CS196" s="509"/>
    </row>
    <row r="197" spans="1:97" s="137" customFormat="1" ht="12.75" customHeight="1" x14ac:dyDescent="0.2">
      <c r="A197" s="1421">
        <v>193</v>
      </c>
      <c r="B197" s="649" t="s">
        <v>281</v>
      </c>
      <c r="C197" s="1607" t="s">
        <v>282</v>
      </c>
      <c r="D197" s="1605">
        <v>166134</v>
      </c>
      <c r="E197" s="1405">
        <v>140781863</v>
      </c>
      <c r="F197" s="1405">
        <v>3657</v>
      </c>
      <c r="G197" s="158">
        <v>-3686988</v>
      </c>
      <c r="H197" s="158">
        <v>-5169848</v>
      </c>
      <c r="I197" s="158">
        <v>-60237</v>
      </c>
      <c r="J197" s="158">
        <v>0</v>
      </c>
      <c r="K197" s="158">
        <v>-8459</v>
      </c>
      <c r="L197" s="158">
        <v>0</v>
      </c>
      <c r="M197" s="158">
        <v>-3203767</v>
      </c>
      <c r="N197" s="158">
        <v>-34246</v>
      </c>
      <c r="O197" s="158">
        <v>-4740</v>
      </c>
      <c r="P197" s="158">
        <v>-760</v>
      </c>
      <c r="Q197" s="158">
        <v>0</v>
      </c>
      <c r="R197" s="158">
        <v>0</v>
      </c>
      <c r="S197" s="158">
        <v>0</v>
      </c>
      <c r="T197" s="158">
        <v>0</v>
      </c>
      <c r="U197" s="158">
        <v>-4668434</v>
      </c>
      <c r="V197" s="158">
        <v>56781450</v>
      </c>
      <c r="W197" s="158">
        <v>-1329835</v>
      </c>
      <c r="X197" s="158">
        <v>98434000</v>
      </c>
      <c r="Y197" s="158">
        <v>140253334</v>
      </c>
      <c r="Z197" s="158">
        <v>27949564</v>
      </c>
      <c r="AA197" s="158">
        <v>22359651</v>
      </c>
      <c r="AB197" s="158">
        <v>5589913</v>
      </c>
      <c r="AC197" s="158">
        <v>0</v>
      </c>
      <c r="AD197" s="158">
        <v>165404</v>
      </c>
      <c r="AE197" s="158">
        <v>0</v>
      </c>
      <c r="AF197" s="158">
        <v>0</v>
      </c>
      <c r="AG197" s="158">
        <v>0</v>
      </c>
      <c r="AH197" s="158">
        <v>0</v>
      </c>
      <c r="AI197" s="158">
        <v>0</v>
      </c>
      <c r="AJ197" s="158">
        <v>0</v>
      </c>
      <c r="AK197" s="158">
        <v>1885698</v>
      </c>
      <c r="AL197" s="158">
        <v>202</v>
      </c>
      <c r="AM197" s="158">
        <v>23</v>
      </c>
      <c r="AN197" s="158">
        <v>0</v>
      </c>
      <c r="AO197" s="158">
        <v>5</v>
      </c>
      <c r="AP197" s="158">
        <v>0</v>
      </c>
      <c r="AQ197" s="158">
        <v>362</v>
      </c>
      <c r="AR197" s="158">
        <v>5</v>
      </c>
      <c r="AS197" s="158">
        <v>0</v>
      </c>
      <c r="AT197" s="158">
        <v>0</v>
      </c>
      <c r="AU197" s="158">
        <v>0</v>
      </c>
      <c r="AV197" s="158">
        <v>0</v>
      </c>
      <c r="AW197" s="158">
        <v>0</v>
      </c>
      <c r="AX197" s="158">
        <v>0</v>
      </c>
      <c r="AY197" s="158">
        <v>597</v>
      </c>
      <c r="AZ197" s="158">
        <v>996</v>
      </c>
      <c r="BA197" s="158">
        <v>1164</v>
      </c>
      <c r="BB197" s="158">
        <v>1035</v>
      </c>
      <c r="BC197" s="158">
        <v>129</v>
      </c>
      <c r="BD197" s="158">
        <v>1496</v>
      </c>
      <c r="BE197" s="158">
        <v>-41717</v>
      </c>
      <c r="BF197" s="158">
        <v>-2193175</v>
      </c>
      <c r="BG197" s="158">
        <v>0</v>
      </c>
      <c r="BH197" s="158">
        <v>0</v>
      </c>
      <c r="BI197" s="158">
        <v>-37787</v>
      </c>
      <c r="BJ197" s="158">
        <v>-931088</v>
      </c>
      <c r="BK197" s="158">
        <v>1971007</v>
      </c>
      <c r="BL197" s="1438">
        <v>18761300</v>
      </c>
      <c r="BM197" s="1439">
        <v>0</v>
      </c>
      <c r="BN197" s="784" t="s">
        <v>2349</v>
      </c>
      <c r="BO197" s="784" t="s">
        <v>2350</v>
      </c>
      <c r="BP197" s="1400" t="s">
        <v>2551</v>
      </c>
      <c r="BQ197" s="509"/>
      <c r="BR197" s="509"/>
      <c r="BS197" s="509"/>
      <c r="BT197" s="509"/>
      <c r="BU197" s="509"/>
      <c r="BV197" s="509"/>
      <c r="BW197" s="509"/>
      <c r="BX197" s="509"/>
      <c r="BY197" s="509"/>
      <c r="BZ197" s="509"/>
      <c r="CA197" s="509"/>
      <c r="CB197" s="509"/>
      <c r="CC197" s="509"/>
      <c r="CD197" s="509"/>
      <c r="CE197" s="509"/>
      <c r="CF197" s="509"/>
      <c r="CG197" s="509"/>
      <c r="CH197" s="509"/>
      <c r="CI197" s="509"/>
      <c r="CJ197" s="509"/>
      <c r="CK197" s="509"/>
      <c r="CL197" s="509"/>
      <c r="CM197" s="509"/>
      <c r="CN197" s="509"/>
      <c r="CO197" s="509"/>
      <c r="CP197" s="509"/>
      <c r="CQ197" s="509"/>
      <c r="CR197" s="509"/>
      <c r="CS197" s="509"/>
    </row>
    <row r="198" spans="1:97" s="137" customFormat="1" ht="12.75" customHeight="1" x14ac:dyDescent="0.2">
      <c r="A198" s="1421">
        <v>194</v>
      </c>
      <c r="B198" s="649" t="s">
        <v>283</v>
      </c>
      <c r="C198" s="1607" t="s">
        <v>284</v>
      </c>
      <c r="D198" s="1605">
        <v>97047</v>
      </c>
      <c r="E198" s="1405">
        <v>49683015</v>
      </c>
      <c r="F198" s="1405">
        <v>2726</v>
      </c>
      <c r="G198" s="158">
        <v>-3592651</v>
      </c>
      <c r="H198" s="158">
        <v>-1369956</v>
      </c>
      <c r="I198" s="158">
        <v>-55235</v>
      </c>
      <c r="J198" s="158">
        <v>-43324</v>
      </c>
      <c r="K198" s="158">
        <v>-18207</v>
      </c>
      <c r="L198" s="158">
        <v>0</v>
      </c>
      <c r="M198" s="158">
        <v>-458878</v>
      </c>
      <c r="N198" s="158">
        <v>-37796</v>
      </c>
      <c r="O198" s="158">
        <v>-187</v>
      </c>
      <c r="P198" s="158">
        <v>0</v>
      </c>
      <c r="Q198" s="158">
        <v>0</v>
      </c>
      <c r="R198" s="158">
        <v>0</v>
      </c>
      <c r="S198" s="158">
        <v>0</v>
      </c>
      <c r="T198" s="158">
        <v>0</v>
      </c>
      <c r="U198" s="158">
        <v>-3045636</v>
      </c>
      <c r="V198" s="158">
        <v>16234196</v>
      </c>
      <c r="W198" s="158">
        <v>-649291</v>
      </c>
      <c r="X198" s="158">
        <v>27193250</v>
      </c>
      <c r="Y198" s="158">
        <v>49972039</v>
      </c>
      <c r="Z198" s="158">
        <v>7969550</v>
      </c>
      <c r="AA198" s="158">
        <v>6375640</v>
      </c>
      <c r="AB198" s="158">
        <v>1434519</v>
      </c>
      <c r="AC198" s="158">
        <v>159391</v>
      </c>
      <c r="AD198" s="158">
        <v>97095</v>
      </c>
      <c r="AE198" s="158">
        <v>323882</v>
      </c>
      <c r="AF198" s="158">
        <v>79791</v>
      </c>
      <c r="AG198" s="158">
        <v>0</v>
      </c>
      <c r="AH198" s="158">
        <v>0</v>
      </c>
      <c r="AI198" s="158">
        <v>0</v>
      </c>
      <c r="AJ198" s="158">
        <v>0</v>
      </c>
      <c r="AK198" s="158">
        <v>489952</v>
      </c>
      <c r="AL198" s="158">
        <v>118</v>
      </c>
      <c r="AM198" s="158">
        <v>6</v>
      </c>
      <c r="AN198" s="158">
        <v>14</v>
      </c>
      <c r="AO198" s="158">
        <v>12</v>
      </c>
      <c r="AP198" s="158">
        <v>0</v>
      </c>
      <c r="AQ198" s="158">
        <v>160</v>
      </c>
      <c r="AR198" s="158">
        <v>51</v>
      </c>
      <c r="AS198" s="158">
        <v>1</v>
      </c>
      <c r="AT198" s="158">
        <v>0</v>
      </c>
      <c r="AU198" s="158">
        <v>0</v>
      </c>
      <c r="AV198" s="158">
        <v>0</v>
      </c>
      <c r="AW198" s="158">
        <v>0</v>
      </c>
      <c r="AX198" s="158">
        <v>0</v>
      </c>
      <c r="AY198" s="158">
        <v>332</v>
      </c>
      <c r="AZ198" s="158">
        <v>526</v>
      </c>
      <c r="BA198" s="158">
        <v>1414</v>
      </c>
      <c r="BB198" s="158">
        <v>1298</v>
      </c>
      <c r="BC198" s="158">
        <v>116</v>
      </c>
      <c r="BD198" s="158">
        <v>804</v>
      </c>
      <c r="BE198" s="158">
        <v>-132040</v>
      </c>
      <c r="BF198" s="158">
        <v>-196598</v>
      </c>
      <c r="BG198" s="158">
        <v>0</v>
      </c>
      <c r="BH198" s="158">
        <v>0</v>
      </c>
      <c r="BI198" s="158">
        <v>-71697</v>
      </c>
      <c r="BJ198" s="158">
        <v>-58543</v>
      </c>
      <c r="BK198" s="158">
        <v>905659</v>
      </c>
      <c r="BL198" s="1438">
        <v>5613900</v>
      </c>
      <c r="BM198" s="1439">
        <v>0</v>
      </c>
      <c r="BN198" s="784" t="s">
        <v>2349</v>
      </c>
      <c r="BO198" s="784" t="s">
        <v>2376</v>
      </c>
      <c r="BP198" s="1400" t="s">
        <v>2552</v>
      </c>
      <c r="BQ198" s="509"/>
      <c r="BR198" s="509"/>
      <c r="BS198" s="509"/>
      <c r="BT198" s="509"/>
      <c r="BU198" s="509"/>
      <c r="BV198" s="509"/>
      <c r="BW198" s="509"/>
      <c r="BX198" s="509"/>
      <c r="BY198" s="509"/>
      <c r="BZ198" s="509"/>
      <c r="CA198" s="509"/>
      <c r="CB198" s="509"/>
      <c r="CC198" s="509"/>
      <c r="CD198" s="509"/>
      <c r="CE198" s="509"/>
      <c r="CF198" s="509"/>
      <c r="CG198" s="509"/>
      <c r="CH198" s="509"/>
      <c r="CI198" s="509"/>
      <c r="CJ198" s="509"/>
      <c r="CK198" s="509"/>
      <c r="CL198" s="509"/>
      <c r="CM198" s="509"/>
      <c r="CN198" s="509"/>
      <c r="CO198" s="509"/>
      <c r="CP198" s="509"/>
      <c r="CQ198" s="509"/>
      <c r="CR198" s="509"/>
      <c r="CS198" s="509"/>
    </row>
    <row r="199" spans="1:97" s="137" customFormat="1" ht="12.75" customHeight="1" x14ac:dyDescent="0.2">
      <c r="A199" s="1421">
        <v>195</v>
      </c>
      <c r="B199" s="649" t="s">
        <v>285</v>
      </c>
      <c r="C199" s="1607" t="s">
        <v>286</v>
      </c>
      <c r="D199" s="1605">
        <v>263609</v>
      </c>
      <c r="E199" s="1405">
        <v>227706441</v>
      </c>
      <c r="F199" s="1405">
        <v>5712</v>
      </c>
      <c r="G199" s="158">
        <v>-5027167</v>
      </c>
      <c r="H199" s="158">
        <v>-13150668</v>
      </c>
      <c r="I199" s="158">
        <v>-85270</v>
      </c>
      <c r="J199" s="158">
        <v>0</v>
      </c>
      <c r="K199" s="158">
        <v>0</v>
      </c>
      <c r="L199" s="158">
        <v>0</v>
      </c>
      <c r="M199" s="158">
        <v>-2737477</v>
      </c>
      <c r="N199" s="158">
        <v>-139610</v>
      </c>
      <c r="O199" s="158">
        <v>-43657</v>
      </c>
      <c r="P199" s="158">
        <v>-7283</v>
      </c>
      <c r="Q199" s="158">
        <v>0</v>
      </c>
      <c r="R199" s="158">
        <v>0</v>
      </c>
      <c r="S199" s="158">
        <v>0</v>
      </c>
      <c r="T199" s="158">
        <v>0</v>
      </c>
      <c r="U199" s="158">
        <v>-13916415</v>
      </c>
      <c r="V199" s="158">
        <v>83807173</v>
      </c>
      <c r="W199" s="158">
        <v>-2322000</v>
      </c>
      <c r="X199" s="158">
        <v>153347350</v>
      </c>
      <c r="Y199" s="158">
        <v>228780781</v>
      </c>
      <c r="Z199" s="158">
        <v>27116242</v>
      </c>
      <c r="AA199" s="158">
        <v>24651129</v>
      </c>
      <c r="AB199" s="158">
        <v>30403059</v>
      </c>
      <c r="AC199" s="158">
        <v>0</v>
      </c>
      <c r="AD199" s="158">
        <v>262387</v>
      </c>
      <c r="AE199" s="158">
        <v>0</v>
      </c>
      <c r="AF199" s="158">
        <v>0</v>
      </c>
      <c r="AG199" s="158">
        <v>0</v>
      </c>
      <c r="AH199" s="158">
        <v>0</v>
      </c>
      <c r="AI199" s="158">
        <v>0</v>
      </c>
      <c r="AJ199" s="158">
        <v>0</v>
      </c>
      <c r="AK199" s="158">
        <v>-9355365</v>
      </c>
      <c r="AL199" s="158">
        <v>280</v>
      </c>
      <c r="AM199" s="158">
        <v>14</v>
      </c>
      <c r="AN199" s="158">
        <v>0</v>
      </c>
      <c r="AO199" s="158">
        <v>0</v>
      </c>
      <c r="AP199" s="158">
        <v>0</v>
      </c>
      <c r="AQ199" s="158">
        <v>486</v>
      </c>
      <c r="AR199" s="158">
        <v>280</v>
      </c>
      <c r="AS199" s="158">
        <v>64</v>
      </c>
      <c r="AT199" s="158">
        <v>5</v>
      </c>
      <c r="AU199" s="158">
        <v>0</v>
      </c>
      <c r="AV199" s="158">
        <v>0</v>
      </c>
      <c r="AW199" s="158">
        <v>0</v>
      </c>
      <c r="AX199" s="158">
        <v>0</v>
      </c>
      <c r="AY199" s="158">
        <v>1436</v>
      </c>
      <c r="AZ199" s="158">
        <v>795</v>
      </c>
      <c r="BA199" s="158">
        <v>1426</v>
      </c>
      <c r="BB199" s="158">
        <v>1144</v>
      </c>
      <c r="BC199" s="158">
        <v>282</v>
      </c>
      <c r="BD199" s="158">
        <v>3453</v>
      </c>
      <c r="BE199" s="158">
        <v>0</v>
      </c>
      <c r="BF199" s="158">
        <v>-1754326</v>
      </c>
      <c r="BG199" s="158">
        <v>0</v>
      </c>
      <c r="BH199" s="158">
        <v>-15882</v>
      </c>
      <c r="BI199" s="158">
        <v>-38188</v>
      </c>
      <c r="BJ199" s="158">
        <v>-929081</v>
      </c>
      <c r="BK199" s="158">
        <v>-4791074</v>
      </c>
      <c r="BL199" s="1438">
        <v>24289700</v>
      </c>
      <c r="BM199" s="1439">
        <v>0</v>
      </c>
      <c r="BN199" s="784" t="s">
        <v>2359</v>
      </c>
      <c r="BO199" s="784" t="s">
        <v>2360</v>
      </c>
      <c r="BP199" s="1400" t="s">
        <v>2553</v>
      </c>
      <c r="BQ199" s="509"/>
      <c r="BR199" s="509"/>
      <c r="BS199" s="509"/>
      <c r="BT199" s="509"/>
      <c r="BU199" s="509"/>
      <c r="BV199" s="509"/>
      <c r="BW199" s="509"/>
      <c r="BX199" s="509"/>
      <c r="BY199" s="509"/>
      <c r="BZ199" s="509"/>
      <c r="CA199" s="509"/>
      <c r="CB199" s="509"/>
      <c r="CC199" s="509"/>
      <c r="CD199" s="509"/>
      <c r="CE199" s="509"/>
      <c r="CF199" s="509"/>
      <c r="CG199" s="509"/>
      <c r="CH199" s="509"/>
      <c r="CI199" s="509"/>
      <c r="CJ199" s="509"/>
      <c r="CK199" s="509"/>
      <c r="CL199" s="509"/>
      <c r="CM199" s="509"/>
      <c r="CN199" s="509"/>
      <c r="CO199" s="509"/>
      <c r="CP199" s="509"/>
      <c r="CQ199" s="509"/>
      <c r="CR199" s="509"/>
      <c r="CS199" s="509"/>
    </row>
    <row r="200" spans="1:97" s="137" customFormat="1" ht="12.75" customHeight="1" x14ac:dyDescent="0.2">
      <c r="A200" s="1421">
        <v>196</v>
      </c>
      <c r="B200" s="649" t="s">
        <v>287</v>
      </c>
      <c r="C200" s="1607" t="s">
        <v>288</v>
      </c>
      <c r="D200" s="1605">
        <v>338229</v>
      </c>
      <c r="E200" s="1405">
        <v>199752181</v>
      </c>
      <c r="F200" s="1405">
        <v>9079</v>
      </c>
      <c r="G200" s="158">
        <v>-9620678</v>
      </c>
      <c r="H200" s="158">
        <v>-5255365</v>
      </c>
      <c r="I200" s="158">
        <v>-59756</v>
      </c>
      <c r="J200" s="158">
        <v>0</v>
      </c>
      <c r="K200" s="158">
        <v>0</v>
      </c>
      <c r="L200" s="158">
        <v>0</v>
      </c>
      <c r="M200" s="158">
        <v>-3657500</v>
      </c>
      <c r="N200" s="158">
        <v>-38958</v>
      </c>
      <c r="O200" s="158">
        <v>-28028</v>
      </c>
      <c r="P200" s="158">
        <v>-3969</v>
      </c>
      <c r="Q200" s="158">
        <v>0</v>
      </c>
      <c r="R200" s="158">
        <v>-500000</v>
      </c>
      <c r="S200" s="158">
        <v>0</v>
      </c>
      <c r="T200" s="158">
        <v>0</v>
      </c>
      <c r="U200" s="158">
        <v>-3665120</v>
      </c>
      <c r="V200" s="158">
        <v>81080027</v>
      </c>
      <c r="W200" s="158">
        <v>-3445000</v>
      </c>
      <c r="X200" s="158">
        <v>135086450</v>
      </c>
      <c r="Y200" s="158">
        <v>199906833</v>
      </c>
      <c r="Z200" s="158">
        <v>0</v>
      </c>
      <c r="AA200" s="158">
        <v>76443358</v>
      </c>
      <c r="AB200" s="158">
        <v>0</v>
      </c>
      <c r="AC200" s="158">
        <v>772155</v>
      </c>
      <c r="AD200" s="158">
        <v>335383</v>
      </c>
      <c r="AE200" s="158">
        <v>0</v>
      </c>
      <c r="AF200" s="158">
        <v>800905</v>
      </c>
      <c r="AG200" s="158">
        <v>0</v>
      </c>
      <c r="AH200" s="158">
        <v>0</v>
      </c>
      <c r="AI200" s="158">
        <v>0</v>
      </c>
      <c r="AJ200" s="158">
        <v>0</v>
      </c>
      <c r="AK200" s="158">
        <v>4846379</v>
      </c>
      <c r="AL200" s="158">
        <v>277</v>
      </c>
      <c r="AM200" s="158">
        <v>11</v>
      </c>
      <c r="AN200" s="158">
        <v>0</v>
      </c>
      <c r="AO200" s="158">
        <v>0</v>
      </c>
      <c r="AP200" s="158">
        <v>1</v>
      </c>
      <c r="AQ200" s="158">
        <v>1114</v>
      </c>
      <c r="AR200" s="158">
        <v>56</v>
      </c>
      <c r="AS200" s="158">
        <v>7</v>
      </c>
      <c r="AT200" s="158">
        <v>7</v>
      </c>
      <c r="AU200" s="158">
        <v>0</v>
      </c>
      <c r="AV200" s="158">
        <v>0</v>
      </c>
      <c r="AW200" s="158">
        <v>0</v>
      </c>
      <c r="AX200" s="158">
        <v>22</v>
      </c>
      <c r="AY200" s="158">
        <v>501</v>
      </c>
      <c r="AZ200" s="158">
        <v>1963</v>
      </c>
      <c r="BA200" s="158">
        <v>3644</v>
      </c>
      <c r="BB200" s="158">
        <v>3444</v>
      </c>
      <c r="BC200" s="158">
        <v>200</v>
      </c>
      <c r="BD200" s="158">
        <v>3584</v>
      </c>
      <c r="BE200" s="158">
        <v>-1532500</v>
      </c>
      <c r="BF200" s="158">
        <v>-585000</v>
      </c>
      <c r="BG200" s="158">
        <v>0</v>
      </c>
      <c r="BH200" s="158">
        <v>-110000</v>
      </c>
      <c r="BI200" s="158">
        <v>-1100000</v>
      </c>
      <c r="BJ200" s="158">
        <v>-330000</v>
      </c>
      <c r="BK200" s="158">
        <v>5727195</v>
      </c>
      <c r="BL200" s="1438">
        <v>22530325</v>
      </c>
      <c r="BM200" s="1439">
        <v>0</v>
      </c>
      <c r="BN200" s="784" t="s">
        <v>2363</v>
      </c>
      <c r="BO200" s="784" t="s">
        <v>2376</v>
      </c>
      <c r="BP200" s="1400" t="s">
        <v>2554</v>
      </c>
      <c r="BQ200" s="509"/>
      <c r="BR200" s="509"/>
      <c r="BS200" s="509"/>
      <c r="BT200" s="509"/>
      <c r="BU200" s="509"/>
      <c r="BV200" s="509"/>
      <c r="BW200" s="509"/>
      <c r="BX200" s="509"/>
      <c r="BY200" s="509"/>
      <c r="BZ200" s="509"/>
      <c r="CA200" s="509"/>
      <c r="CB200" s="509"/>
      <c r="CC200" s="509"/>
      <c r="CD200" s="509"/>
      <c r="CE200" s="509"/>
      <c r="CF200" s="509"/>
      <c r="CG200" s="509"/>
      <c r="CH200" s="509"/>
      <c r="CI200" s="509"/>
      <c r="CJ200" s="509"/>
      <c r="CK200" s="509"/>
      <c r="CL200" s="509"/>
      <c r="CM200" s="509"/>
      <c r="CN200" s="509"/>
      <c r="CO200" s="509"/>
      <c r="CP200" s="509"/>
      <c r="CQ200" s="509"/>
      <c r="CR200" s="509"/>
      <c r="CS200" s="509"/>
    </row>
    <row r="201" spans="1:97" s="137" customFormat="1" ht="12.75" customHeight="1" x14ac:dyDescent="0.2">
      <c r="A201" s="1421">
        <v>197</v>
      </c>
      <c r="B201" s="649" t="s">
        <v>289</v>
      </c>
      <c r="C201" s="1607" t="s">
        <v>290</v>
      </c>
      <c r="D201" s="1605">
        <v>106281</v>
      </c>
      <c r="E201" s="1405">
        <v>57183184</v>
      </c>
      <c r="F201" s="1405">
        <v>2916</v>
      </c>
      <c r="G201" s="158">
        <v>-3856376</v>
      </c>
      <c r="H201" s="158">
        <v>-1982886</v>
      </c>
      <c r="I201" s="158">
        <v>-6717</v>
      </c>
      <c r="J201" s="158">
        <v>0</v>
      </c>
      <c r="K201" s="158">
        <v>-5065</v>
      </c>
      <c r="L201" s="158">
        <v>0</v>
      </c>
      <c r="M201" s="158">
        <v>-345228</v>
      </c>
      <c r="N201" s="158">
        <v>-3535</v>
      </c>
      <c r="O201" s="158">
        <v>0</v>
      </c>
      <c r="P201" s="158">
        <v>0</v>
      </c>
      <c r="Q201" s="158">
        <v>0</v>
      </c>
      <c r="R201" s="158">
        <v>0</v>
      </c>
      <c r="S201" s="158">
        <v>0</v>
      </c>
      <c r="T201" s="158">
        <v>0</v>
      </c>
      <c r="U201" s="158">
        <v>-2497606</v>
      </c>
      <c r="V201" s="158">
        <v>20117361</v>
      </c>
      <c r="W201" s="158">
        <v>-978032</v>
      </c>
      <c r="X201" s="158">
        <v>29205750</v>
      </c>
      <c r="Y201" s="158">
        <v>56834915</v>
      </c>
      <c r="Z201" s="158">
        <v>9952518</v>
      </c>
      <c r="AA201" s="158">
        <v>7962014</v>
      </c>
      <c r="AB201" s="158">
        <v>1791453</v>
      </c>
      <c r="AC201" s="158">
        <v>199050</v>
      </c>
      <c r="AD201" s="158">
        <v>103585</v>
      </c>
      <c r="AE201" s="158">
        <v>0</v>
      </c>
      <c r="AF201" s="158">
        <v>33261</v>
      </c>
      <c r="AG201" s="158">
        <v>0</v>
      </c>
      <c r="AH201" s="158">
        <v>0</v>
      </c>
      <c r="AI201" s="158">
        <v>0</v>
      </c>
      <c r="AJ201" s="158">
        <v>0</v>
      </c>
      <c r="AK201" s="158">
        <v>-407464</v>
      </c>
      <c r="AL201" s="158">
        <v>107</v>
      </c>
      <c r="AM201" s="158">
        <v>3</v>
      </c>
      <c r="AN201" s="158">
        <v>0</v>
      </c>
      <c r="AO201" s="158">
        <v>5</v>
      </c>
      <c r="AP201" s="158">
        <v>0</v>
      </c>
      <c r="AQ201" s="158">
        <v>94</v>
      </c>
      <c r="AR201" s="158">
        <v>12</v>
      </c>
      <c r="AS201" s="158">
        <v>12</v>
      </c>
      <c r="AT201" s="158">
        <v>0</v>
      </c>
      <c r="AU201" s="158">
        <v>0</v>
      </c>
      <c r="AV201" s="158">
        <v>0</v>
      </c>
      <c r="AW201" s="158">
        <v>0</v>
      </c>
      <c r="AX201" s="158">
        <v>274</v>
      </c>
      <c r="AY201" s="158">
        <v>262</v>
      </c>
      <c r="AZ201" s="158">
        <v>215</v>
      </c>
      <c r="BA201" s="158">
        <v>1456</v>
      </c>
      <c r="BB201" s="158">
        <v>1316</v>
      </c>
      <c r="BC201" s="158">
        <v>140</v>
      </c>
      <c r="BD201" s="158">
        <v>1214</v>
      </c>
      <c r="BE201" s="158">
        <v>-8847</v>
      </c>
      <c r="BF201" s="158">
        <v>-35080</v>
      </c>
      <c r="BG201" s="158">
        <v>0</v>
      </c>
      <c r="BH201" s="158">
        <v>0</v>
      </c>
      <c r="BI201" s="158">
        <v>-301301</v>
      </c>
      <c r="BJ201" s="158">
        <v>0</v>
      </c>
      <c r="BK201" s="158">
        <v>-554784</v>
      </c>
      <c r="BL201" s="1438">
        <v>9204250</v>
      </c>
      <c r="BM201" s="1439">
        <v>0</v>
      </c>
      <c r="BN201" s="784" t="s">
        <v>2349</v>
      </c>
      <c r="BO201" s="784" t="s">
        <v>2357</v>
      </c>
      <c r="BP201" s="1400" t="s">
        <v>2555</v>
      </c>
      <c r="BQ201" s="509"/>
      <c r="BR201" s="509"/>
      <c r="BS201" s="509"/>
      <c r="BT201" s="509"/>
      <c r="BU201" s="509"/>
      <c r="BV201" s="509"/>
      <c r="BW201" s="509"/>
      <c r="BX201" s="509"/>
      <c r="BY201" s="509"/>
      <c r="BZ201" s="509"/>
      <c r="CA201" s="509"/>
      <c r="CB201" s="509"/>
      <c r="CC201" s="509"/>
      <c r="CD201" s="509"/>
      <c r="CE201" s="509"/>
      <c r="CF201" s="509"/>
      <c r="CG201" s="509"/>
      <c r="CH201" s="509"/>
      <c r="CI201" s="509"/>
      <c r="CJ201" s="509"/>
      <c r="CK201" s="509"/>
      <c r="CL201" s="509"/>
      <c r="CM201" s="509"/>
      <c r="CN201" s="509"/>
      <c r="CO201" s="509"/>
      <c r="CP201" s="509"/>
      <c r="CQ201" s="509"/>
      <c r="CR201" s="509"/>
      <c r="CS201" s="509"/>
    </row>
    <row r="202" spans="1:97" s="137" customFormat="1" ht="12.75" customHeight="1" x14ac:dyDescent="0.2">
      <c r="A202" s="1421">
        <v>198</v>
      </c>
      <c r="B202" s="649" t="s">
        <v>291</v>
      </c>
      <c r="C202" s="1607" t="s">
        <v>292</v>
      </c>
      <c r="D202" s="1605">
        <v>97523</v>
      </c>
      <c r="E202" s="1405">
        <v>41474879</v>
      </c>
      <c r="F202" s="1405">
        <v>2815</v>
      </c>
      <c r="G202" s="158">
        <v>-3517736</v>
      </c>
      <c r="H202" s="158">
        <v>-779624</v>
      </c>
      <c r="I202" s="158">
        <v>-47367</v>
      </c>
      <c r="J202" s="158">
        <v>0</v>
      </c>
      <c r="K202" s="158">
        <v>-5235</v>
      </c>
      <c r="L202" s="158">
        <v>0</v>
      </c>
      <c r="M202" s="158">
        <v>-456700</v>
      </c>
      <c r="N202" s="158">
        <v>-74888</v>
      </c>
      <c r="O202" s="158">
        <v>-24796</v>
      </c>
      <c r="P202" s="158">
        <v>-3074</v>
      </c>
      <c r="Q202" s="158">
        <v>0</v>
      </c>
      <c r="R202" s="158">
        <v>0</v>
      </c>
      <c r="S202" s="158">
        <v>0</v>
      </c>
      <c r="T202" s="158">
        <v>0</v>
      </c>
      <c r="U202" s="158">
        <v>-916721</v>
      </c>
      <c r="V202" s="158">
        <v>14318065</v>
      </c>
      <c r="W202" s="158">
        <v>-700000</v>
      </c>
      <c r="X202" s="158">
        <v>20404500</v>
      </c>
      <c r="Y202" s="158">
        <v>41614884</v>
      </c>
      <c r="Z202" s="158">
        <v>6810036</v>
      </c>
      <c r="AA202" s="158">
        <v>5448029</v>
      </c>
      <c r="AB202" s="158">
        <v>1225807</v>
      </c>
      <c r="AC202" s="158">
        <v>136201</v>
      </c>
      <c r="AD202" s="158">
        <v>97154</v>
      </c>
      <c r="AE202" s="158">
        <v>0</v>
      </c>
      <c r="AF202" s="158">
        <v>279479</v>
      </c>
      <c r="AG202" s="158">
        <v>0</v>
      </c>
      <c r="AH202" s="158">
        <v>0</v>
      </c>
      <c r="AI202" s="158">
        <v>0</v>
      </c>
      <c r="AJ202" s="158">
        <v>0</v>
      </c>
      <c r="AK202" s="158">
        <v>55493</v>
      </c>
      <c r="AL202" s="158">
        <v>100</v>
      </c>
      <c r="AM202" s="158">
        <v>11</v>
      </c>
      <c r="AN202" s="158">
        <v>0</v>
      </c>
      <c r="AO202" s="158">
        <v>3</v>
      </c>
      <c r="AP202" s="158">
        <v>0</v>
      </c>
      <c r="AQ202" s="158">
        <v>377</v>
      </c>
      <c r="AR202" s="158">
        <v>50</v>
      </c>
      <c r="AS202" s="158">
        <v>7</v>
      </c>
      <c r="AT202" s="158">
        <v>7</v>
      </c>
      <c r="AU202" s="158">
        <v>0</v>
      </c>
      <c r="AV202" s="158">
        <v>0</v>
      </c>
      <c r="AW202" s="158">
        <v>0</v>
      </c>
      <c r="AX202" s="158">
        <v>0</v>
      </c>
      <c r="AY202" s="158">
        <v>136</v>
      </c>
      <c r="AZ202" s="158">
        <v>123</v>
      </c>
      <c r="BA202" s="158">
        <v>1522</v>
      </c>
      <c r="BB202" s="158">
        <v>1439</v>
      </c>
      <c r="BC202" s="158">
        <v>83</v>
      </c>
      <c r="BD202" s="158">
        <v>1137</v>
      </c>
      <c r="BE202" s="158">
        <v>-17384</v>
      </c>
      <c r="BF202" s="158">
        <v>-146700</v>
      </c>
      <c r="BG202" s="158">
        <v>0</v>
      </c>
      <c r="BH202" s="158">
        <v>-6103</v>
      </c>
      <c r="BI202" s="158">
        <v>-282022</v>
      </c>
      <c r="BJ202" s="158">
        <v>-4491</v>
      </c>
      <c r="BK202" s="158">
        <v>-196484</v>
      </c>
      <c r="BL202" s="1438">
        <v>4918050</v>
      </c>
      <c r="BM202" s="1439">
        <v>0</v>
      </c>
      <c r="BN202" s="784" t="s">
        <v>2349</v>
      </c>
      <c r="BO202" s="784" t="s">
        <v>2376</v>
      </c>
      <c r="BP202" s="1400" t="s">
        <v>2556</v>
      </c>
      <c r="BQ202" s="509"/>
      <c r="BR202" s="509"/>
      <c r="BS202" s="509"/>
      <c r="BT202" s="509"/>
      <c r="BU202" s="509"/>
      <c r="BV202" s="509"/>
      <c r="BW202" s="509"/>
      <c r="BX202" s="509"/>
      <c r="BY202" s="509"/>
      <c r="BZ202" s="509"/>
      <c r="CA202" s="509"/>
      <c r="CB202" s="509"/>
      <c r="CC202" s="509"/>
      <c r="CD202" s="509"/>
      <c r="CE202" s="509"/>
      <c r="CF202" s="509"/>
      <c r="CG202" s="509"/>
      <c r="CH202" s="509"/>
      <c r="CI202" s="509"/>
      <c r="CJ202" s="509"/>
      <c r="CK202" s="509"/>
      <c r="CL202" s="509"/>
      <c r="CM202" s="509"/>
      <c r="CN202" s="509"/>
      <c r="CO202" s="509"/>
      <c r="CP202" s="509"/>
      <c r="CQ202" s="509"/>
      <c r="CR202" s="509"/>
      <c r="CS202" s="509"/>
    </row>
    <row r="203" spans="1:97" s="137" customFormat="1" ht="12.75" customHeight="1" x14ac:dyDescent="0.2">
      <c r="A203" s="1421">
        <v>199</v>
      </c>
      <c r="B203" s="649" t="s">
        <v>293</v>
      </c>
      <c r="C203" s="1607" t="s">
        <v>294</v>
      </c>
      <c r="D203" s="1605">
        <v>159275</v>
      </c>
      <c r="E203" s="1405">
        <v>61041539</v>
      </c>
      <c r="F203" s="1405">
        <v>4611</v>
      </c>
      <c r="G203" s="158">
        <v>-5437385</v>
      </c>
      <c r="H203" s="158">
        <v>-2779673</v>
      </c>
      <c r="I203" s="158">
        <v>-55549</v>
      </c>
      <c r="J203" s="158">
        <v>-37591</v>
      </c>
      <c r="K203" s="158">
        <v>-37113</v>
      </c>
      <c r="L203" s="158">
        <v>0</v>
      </c>
      <c r="M203" s="158">
        <v>-433213</v>
      </c>
      <c r="N203" s="158">
        <v>-54252</v>
      </c>
      <c r="O203" s="158">
        <v>0</v>
      </c>
      <c r="P203" s="158">
        <v>0</v>
      </c>
      <c r="Q203" s="158">
        <v>0</v>
      </c>
      <c r="R203" s="158">
        <v>0</v>
      </c>
      <c r="S203" s="158">
        <v>0</v>
      </c>
      <c r="T203" s="158">
        <v>0</v>
      </c>
      <c r="U203" s="158">
        <v>-2256527</v>
      </c>
      <c r="V203" s="158">
        <v>19329861</v>
      </c>
      <c r="W203" s="158">
        <v>-318000</v>
      </c>
      <c r="X203" s="158">
        <v>28462675</v>
      </c>
      <c r="Y203" s="158">
        <v>60983100</v>
      </c>
      <c r="Z203" s="158">
        <v>9879464</v>
      </c>
      <c r="AA203" s="158">
        <v>7903570</v>
      </c>
      <c r="AB203" s="158">
        <v>1778303</v>
      </c>
      <c r="AC203" s="158">
        <v>197589</v>
      </c>
      <c r="AD203" s="158">
        <v>159828</v>
      </c>
      <c r="AE203" s="158">
        <v>0</v>
      </c>
      <c r="AF203" s="158">
        <v>0</v>
      </c>
      <c r="AG203" s="158">
        <v>0</v>
      </c>
      <c r="AH203" s="158">
        <v>0</v>
      </c>
      <c r="AI203" s="158">
        <v>0</v>
      </c>
      <c r="AJ203" s="158">
        <v>0</v>
      </c>
      <c r="AK203" s="158">
        <v>-1008812</v>
      </c>
      <c r="AL203" s="158">
        <v>212</v>
      </c>
      <c r="AM203" s="158">
        <v>18</v>
      </c>
      <c r="AN203" s="158">
        <v>14</v>
      </c>
      <c r="AO203" s="158">
        <v>23</v>
      </c>
      <c r="AP203" s="158">
        <v>1</v>
      </c>
      <c r="AQ203" s="158">
        <v>242</v>
      </c>
      <c r="AR203" s="158">
        <v>29</v>
      </c>
      <c r="AS203" s="158">
        <v>0</v>
      </c>
      <c r="AT203" s="158">
        <v>3</v>
      </c>
      <c r="AU203" s="158">
        <v>0</v>
      </c>
      <c r="AV203" s="158">
        <v>0</v>
      </c>
      <c r="AW203" s="158">
        <v>0</v>
      </c>
      <c r="AX203" s="158">
        <v>0</v>
      </c>
      <c r="AY203" s="158">
        <v>435</v>
      </c>
      <c r="AZ203" s="158">
        <v>632</v>
      </c>
      <c r="BA203" s="158">
        <v>2367</v>
      </c>
      <c r="BB203" s="158">
        <v>2266</v>
      </c>
      <c r="BC203" s="158">
        <v>101</v>
      </c>
      <c r="BD203" s="158">
        <v>1683</v>
      </c>
      <c r="BE203" s="158">
        <v>-10201</v>
      </c>
      <c r="BF203" s="158">
        <v>-218910</v>
      </c>
      <c r="BG203" s="158">
        <v>0</v>
      </c>
      <c r="BH203" s="158">
        <v>-5863</v>
      </c>
      <c r="BI203" s="158">
        <v>-198239</v>
      </c>
      <c r="BJ203" s="158">
        <v>0</v>
      </c>
      <c r="BK203" s="158">
        <v>1329347</v>
      </c>
      <c r="BL203" s="1438">
        <v>9141651</v>
      </c>
      <c r="BM203" s="1439">
        <v>0</v>
      </c>
      <c r="BN203" s="784" t="s">
        <v>2349</v>
      </c>
      <c r="BO203" s="784" t="s">
        <v>2350</v>
      </c>
      <c r="BP203" s="1400" t="s">
        <v>2557</v>
      </c>
      <c r="BQ203" s="509"/>
      <c r="BR203" s="509"/>
      <c r="BS203" s="509"/>
      <c r="BT203" s="509"/>
      <c r="BU203" s="509"/>
      <c r="BV203" s="509"/>
      <c r="BW203" s="509"/>
      <c r="BX203" s="509"/>
      <c r="BY203" s="509"/>
      <c r="BZ203" s="509"/>
      <c r="CA203" s="509"/>
      <c r="CB203" s="509"/>
      <c r="CC203" s="509"/>
      <c r="CD203" s="509"/>
      <c r="CE203" s="509"/>
      <c r="CF203" s="509"/>
      <c r="CG203" s="509"/>
      <c r="CH203" s="509"/>
      <c r="CI203" s="509"/>
      <c r="CJ203" s="509"/>
      <c r="CK203" s="509"/>
      <c r="CL203" s="509"/>
      <c r="CM203" s="509"/>
      <c r="CN203" s="509"/>
      <c r="CO203" s="509"/>
      <c r="CP203" s="509"/>
      <c r="CQ203" s="509"/>
      <c r="CR203" s="509"/>
      <c r="CS203" s="509"/>
    </row>
    <row r="204" spans="1:97" s="137" customFormat="1" ht="12.75" customHeight="1" x14ac:dyDescent="0.2">
      <c r="A204" s="1421">
        <v>200</v>
      </c>
      <c r="B204" s="649" t="s">
        <v>295</v>
      </c>
      <c r="C204" s="1607" t="s">
        <v>296</v>
      </c>
      <c r="D204" s="1605">
        <v>296806</v>
      </c>
      <c r="E204" s="1405">
        <v>209510582</v>
      </c>
      <c r="F204" s="1405">
        <v>7822</v>
      </c>
      <c r="G204" s="158">
        <v>-9837632</v>
      </c>
      <c r="H204" s="158">
        <v>-6853463</v>
      </c>
      <c r="I204" s="158">
        <v>-18503</v>
      </c>
      <c r="J204" s="158">
        <v>-12559</v>
      </c>
      <c r="K204" s="158">
        <v>-9826</v>
      </c>
      <c r="L204" s="158">
        <v>0</v>
      </c>
      <c r="M204" s="158">
        <v>-1719062</v>
      </c>
      <c r="N204" s="158">
        <v>-133179</v>
      </c>
      <c r="O204" s="158">
        <v>-786269</v>
      </c>
      <c r="P204" s="158">
        <v>-4626</v>
      </c>
      <c r="Q204" s="158">
        <v>0</v>
      </c>
      <c r="R204" s="158">
        <v>0</v>
      </c>
      <c r="S204" s="158">
        <v>0</v>
      </c>
      <c r="T204" s="158">
        <v>0</v>
      </c>
      <c r="U204" s="158">
        <v>-4738639</v>
      </c>
      <c r="V204" s="158">
        <v>85274642</v>
      </c>
      <c r="W204" s="158">
        <v>-3240436</v>
      </c>
      <c r="X204" s="158">
        <v>139080950</v>
      </c>
      <c r="Y204" s="158">
        <v>207052183</v>
      </c>
      <c r="Z204" s="158">
        <v>39272411</v>
      </c>
      <c r="AA204" s="158">
        <v>38486963</v>
      </c>
      <c r="AB204" s="158">
        <v>0</v>
      </c>
      <c r="AC204" s="158">
        <v>785448</v>
      </c>
      <c r="AD204" s="158">
        <v>293772</v>
      </c>
      <c r="AE204" s="158">
        <v>1005728</v>
      </c>
      <c r="AF204" s="158">
        <v>2525115</v>
      </c>
      <c r="AG204" s="158">
        <v>0</v>
      </c>
      <c r="AH204" s="158">
        <v>0</v>
      </c>
      <c r="AI204" s="158">
        <v>0</v>
      </c>
      <c r="AJ204" s="158">
        <v>0</v>
      </c>
      <c r="AK204" s="158">
        <v>2597328</v>
      </c>
      <c r="AL204" s="158">
        <v>346</v>
      </c>
      <c r="AM204" s="158">
        <v>8</v>
      </c>
      <c r="AN204" s="158">
        <v>5</v>
      </c>
      <c r="AO204" s="158">
        <v>3</v>
      </c>
      <c r="AP204" s="158">
        <v>0</v>
      </c>
      <c r="AQ204" s="158">
        <v>628</v>
      </c>
      <c r="AR204" s="158">
        <v>73</v>
      </c>
      <c r="AS204" s="158">
        <v>21</v>
      </c>
      <c r="AT204" s="158">
        <v>8</v>
      </c>
      <c r="AU204" s="158">
        <v>4</v>
      </c>
      <c r="AV204" s="158">
        <v>0</v>
      </c>
      <c r="AW204" s="158">
        <v>0</v>
      </c>
      <c r="AX204" s="158">
        <v>0</v>
      </c>
      <c r="AY204" s="158">
        <v>523</v>
      </c>
      <c r="AZ204" s="158">
        <v>2020</v>
      </c>
      <c r="BA204" s="158">
        <v>3777</v>
      </c>
      <c r="BB204" s="158">
        <v>3518</v>
      </c>
      <c r="BC204" s="158">
        <v>259</v>
      </c>
      <c r="BD204" s="158">
        <v>2355</v>
      </c>
      <c r="BE204" s="158">
        <v>-377862</v>
      </c>
      <c r="BF204" s="158">
        <v>-83179</v>
      </c>
      <c r="BG204" s="158">
        <v>0</v>
      </c>
      <c r="BH204" s="158">
        <v>-8495</v>
      </c>
      <c r="BI204" s="158">
        <v>-814958</v>
      </c>
      <c r="BJ204" s="158">
        <v>-434568</v>
      </c>
      <c r="BK204" s="158">
        <v>1112788</v>
      </c>
      <c r="BL204" s="1438">
        <v>19462200</v>
      </c>
      <c r="BM204" s="1439">
        <v>609750</v>
      </c>
      <c r="BN204" s="784" t="s">
        <v>2363</v>
      </c>
      <c r="BO204" s="784" t="s">
        <v>2364</v>
      </c>
      <c r="BP204" s="1400" t="s">
        <v>2558</v>
      </c>
      <c r="BQ204" s="509"/>
      <c r="BR204" s="509"/>
      <c r="BS204" s="509"/>
      <c r="BT204" s="509"/>
      <c r="BU204" s="509"/>
      <c r="BV204" s="509"/>
      <c r="BW204" s="509"/>
      <c r="BX204" s="509"/>
      <c r="BY204" s="509"/>
      <c r="BZ204" s="509"/>
      <c r="CA204" s="509"/>
      <c r="CB204" s="509"/>
      <c r="CC204" s="509"/>
      <c r="CD204" s="509"/>
      <c r="CE204" s="509"/>
      <c r="CF204" s="509"/>
      <c r="CG204" s="509"/>
      <c r="CH204" s="509"/>
      <c r="CI204" s="509"/>
      <c r="CJ204" s="509"/>
      <c r="CK204" s="509"/>
      <c r="CL204" s="509"/>
      <c r="CM204" s="509"/>
      <c r="CN204" s="509"/>
      <c r="CO204" s="509"/>
      <c r="CP204" s="509"/>
      <c r="CQ204" s="509"/>
      <c r="CR204" s="509"/>
      <c r="CS204" s="509"/>
    </row>
    <row r="205" spans="1:97" s="137" customFormat="1" ht="12.75" customHeight="1" x14ac:dyDescent="0.2">
      <c r="A205" s="1421">
        <v>201</v>
      </c>
      <c r="B205" s="649" t="s">
        <v>297</v>
      </c>
      <c r="C205" s="1607" t="s">
        <v>298</v>
      </c>
      <c r="D205" s="1605">
        <v>137413</v>
      </c>
      <c r="E205" s="1405">
        <v>151051880</v>
      </c>
      <c r="F205" s="1405">
        <v>3044</v>
      </c>
      <c r="G205" s="158">
        <v>-3221036</v>
      </c>
      <c r="H205" s="158">
        <v>-4596717</v>
      </c>
      <c r="I205" s="158">
        <v>-80858</v>
      </c>
      <c r="J205" s="158">
        <v>-5439</v>
      </c>
      <c r="K205" s="158">
        <v>-3793</v>
      </c>
      <c r="L205" s="158">
        <v>-200000</v>
      </c>
      <c r="M205" s="158">
        <v>-1241437</v>
      </c>
      <c r="N205" s="158">
        <v>-127111</v>
      </c>
      <c r="O205" s="158">
        <v>0</v>
      </c>
      <c r="P205" s="158">
        <v>0</v>
      </c>
      <c r="Q205" s="158">
        <v>-5439</v>
      </c>
      <c r="R205" s="158">
        <v>0</v>
      </c>
      <c r="S205" s="158">
        <v>0</v>
      </c>
      <c r="T205" s="158">
        <v>0</v>
      </c>
      <c r="U205" s="158">
        <v>-2483144</v>
      </c>
      <c r="V205" s="158">
        <v>67709051</v>
      </c>
      <c r="W205" s="158">
        <v>-3229735</v>
      </c>
      <c r="X205" s="158">
        <v>112013600</v>
      </c>
      <c r="Y205" s="158">
        <v>144102505</v>
      </c>
      <c r="Z205" s="158">
        <v>32407929</v>
      </c>
      <c r="AA205" s="158">
        <v>25926343</v>
      </c>
      <c r="AB205" s="158">
        <v>6481586</v>
      </c>
      <c r="AC205" s="158">
        <v>0</v>
      </c>
      <c r="AD205" s="158">
        <v>135636</v>
      </c>
      <c r="AE205" s="158">
        <v>0</v>
      </c>
      <c r="AF205" s="158">
        <v>45159</v>
      </c>
      <c r="AG205" s="158">
        <v>0</v>
      </c>
      <c r="AH205" s="158">
        <v>0</v>
      </c>
      <c r="AI205" s="158">
        <v>0</v>
      </c>
      <c r="AJ205" s="158">
        <v>0</v>
      </c>
      <c r="AK205" s="158">
        <v>-5262153</v>
      </c>
      <c r="AL205" s="158">
        <v>196</v>
      </c>
      <c r="AM205" s="158">
        <v>11</v>
      </c>
      <c r="AN205" s="158">
        <v>3</v>
      </c>
      <c r="AO205" s="158">
        <v>2</v>
      </c>
      <c r="AP205" s="158">
        <v>0</v>
      </c>
      <c r="AQ205" s="158">
        <v>181</v>
      </c>
      <c r="AR205" s="158">
        <v>62</v>
      </c>
      <c r="AS205" s="158">
        <v>0</v>
      </c>
      <c r="AT205" s="158">
        <v>0</v>
      </c>
      <c r="AU205" s="158">
        <v>0</v>
      </c>
      <c r="AV205" s="158">
        <v>3</v>
      </c>
      <c r="AW205" s="158">
        <v>0</v>
      </c>
      <c r="AX205" s="158">
        <v>0</v>
      </c>
      <c r="AY205" s="158">
        <v>330</v>
      </c>
      <c r="AZ205" s="158">
        <v>366</v>
      </c>
      <c r="BA205" s="158">
        <v>1099</v>
      </c>
      <c r="BB205" s="158">
        <v>1004</v>
      </c>
      <c r="BC205" s="158">
        <v>95</v>
      </c>
      <c r="BD205" s="158">
        <v>1143</v>
      </c>
      <c r="BE205" s="158">
        <v>-859484</v>
      </c>
      <c r="BF205" s="158">
        <v>-44460</v>
      </c>
      <c r="BG205" s="158">
        <v>0</v>
      </c>
      <c r="BH205" s="158">
        <v>-10105</v>
      </c>
      <c r="BI205" s="158">
        <v>-269795</v>
      </c>
      <c r="BJ205" s="158">
        <v>-57593</v>
      </c>
      <c r="BK205" s="158">
        <v>-6344676</v>
      </c>
      <c r="BL205" s="1438">
        <v>15045600</v>
      </c>
      <c r="BM205" s="1439">
        <v>0</v>
      </c>
      <c r="BN205" s="784" t="s">
        <v>2349</v>
      </c>
      <c r="BO205" s="784" t="s">
        <v>2373</v>
      </c>
      <c r="BP205" s="1400" t="s">
        <v>2559</v>
      </c>
      <c r="BQ205" s="509"/>
      <c r="BR205" s="509"/>
      <c r="BS205" s="509"/>
      <c r="BT205" s="509"/>
      <c r="BU205" s="509"/>
      <c r="BV205" s="509"/>
      <c r="BW205" s="509"/>
      <c r="BX205" s="509"/>
      <c r="BY205" s="509"/>
      <c r="BZ205" s="509"/>
      <c r="CA205" s="509"/>
      <c r="CB205" s="509"/>
      <c r="CC205" s="509"/>
      <c r="CD205" s="509"/>
      <c r="CE205" s="509"/>
      <c r="CF205" s="509"/>
      <c r="CG205" s="509"/>
      <c r="CH205" s="509"/>
      <c r="CI205" s="509"/>
      <c r="CJ205" s="509"/>
      <c r="CK205" s="509"/>
      <c r="CL205" s="509"/>
      <c r="CM205" s="509"/>
      <c r="CN205" s="509"/>
      <c r="CO205" s="509"/>
      <c r="CP205" s="509"/>
      <c r="CQ205" s="509"/>
      <c r="CR205" s="509"/>
      <c r="CS205" s="509"/>
    </row>
    <row r="206" spans="1:97" s="137" customFormat="1" ht="12.75" customHeight="1" x14ac:dyDescent="0.2">
      <c r="A206" s="1421">
        <v>202</v>
      </c>
      <c r="B206" s="649" t="s">
        <v>299</v>
      </c>
      <c r="C206" s="1607" t="s">
        <v>300</v>
      </c>
      <c r="D206" s="1605">
        <v>134868</v>
      </c>
      <c r="E206" s="1405">
        <v>140966278</v>
      </c>
      <c r="F206" s="1405">
        <v>2730</v>
      </c>
      <c r="G206" s="158">
        <v>-2564652</v>
      </c>
      <c r="H206" s="158">
        <v>-5716926</v>
      </c>
      <c r="I206" s="158">
        <v>-50704</v>
      </c>
      <c r="J206" s="158">
        <v>0</v>
      </c>
      <c r="K206" s="158">
        <v>0</v>
      </c>
      <c r="L206" s="158">
        <v>0</v>
      </c>
      <c r="M206" s="158">
        <v>-1575019</v>
      </c>
      <c r="N206" s="158">
        <v>-26839</v>
      </c>
      <c r="O206" s="158">
        <v>0</v>
      </c>
      <c r="P206" s="158">
        <v>0</v>
      </c>
      <c r="Q206" s="158">
        <v>0</v>
      </c>
      <c r="R206" s="158">
        <v>0</v>
      </c>
      <c r="S206" s="158">
        <v>0</v>
      </c>
      <c r="T206" s="158">
        <v>0</v>
      </c>
      <c r="U206" s="158">
        <v>-3330494</v>
      </c>
      <c r="V206" s="158">
        <v>66088789</v>
      </c>
      <c r="W206" s="158">
        <v>-500000</v>
      </c>
      <c r="X206" s="158">
        <v>121330250</v>
      </c>
      <c r="Y206" s="158">
        <v>149078445</v>
      </c>
      <c r="Z206" s="158">
        <v>32788811</v>
      </c>
      <c r="AA206" s="158">
        <v>26231048</v>
      </c>
      <c r="AB206" s="158">
        <v>6557762</v>
      </c>
      <c r="AC206" s="158">
        <v>0</v>
      </c>
      <c r="AD206" s="158">
        <v>137111</v>
      </c>
      <c r="AE206" s="158">
        <v>282306</v>
      </c>
      <c r="AF206" s="158">
        <v>0</v>
      </c>
      <c r="AG206" s="158">
        <v>0</v>
      </c>
      <c r="AH206" s="158">
        <v>0</v>
      </c>
      <c r="AI206" s="158">
        <v>0</v>
      </c>
      <c r="AJ206" s="158">
        <v>0</v>
      </c>
      <c r="AK206" s="158">
        <v>-10241635</v>
      </c>
      <c r="AL206" s="158">
        <v>110</v>
      </c>
      <c r="AM206" s="158">
        <v>12</v>
      </c>
      <c r="AN206" s="158">
        <v>0</v>
      </c>
      <c r="AO206" s="158">
        <v>0</v>
      </c>
      <c r="AP206" s="158">
        <v>0</v>
      </c>
      <c r="AQ206" s="158">
        <v>289</v>
      </c>
      <c r="AR206" s="158">
        <v>30</v>
      </c>
      <c r="AS206" s="158">
        <v>0</v>
      </c>
      <c r="AT206" s="158">
        <v>0</v>
      </c>
      <c r="AU206" s="158">
        <v>0</v>
      </c>
      <c r="AV206" s="158">
        <v>0</v>
      </c>
      <c r="AW206" s="158">
        <v>0</v>
      </c>
      <c r="AX206" s="158">
        <v>0</v>
      </c>
      <c r="AY206" s="158">
        <v>310</v>
      </c>
      <c r="AZ206" s="158">
        <v>953</v>
      </c>
      <c r="BA206" s="158">
        <v>813</v>
      </c>
      <c r="BB206" s="158">
        <v>707</v>
      </c>
      <c r="BC206" s="158">
        <v>106</v>
      </c>
      <c r="BD206" s="158">
        <v>960</v>
      </c>
      <c r="BE206" s="158">
        <v>-28660</v>
      </c>
      <c r="BF206" s="158">
        <v>-1123214</v>
      </c>
      <c r="BG206" s="158">
        <v>0</v>
      </c>
      <c r="BH206" s="158">
        <v>-36676</v>
      </c>
      <c r="BI206" s="158">
        <v>-386469</v>
      </c>
      <c r="BJ206" s="158">
        <v>0</v>
      </c>
      <c r="BK206" s="158">
        <v>-15445817</v>
      </c>
      <c r="BL206" s="1438">
        <v>12524550</v>
      </c>
      <c r="BM206" s="1439">
        <v>176000</v>
      </c>
      <c r="BN206" s="784" t="s">
        <v>2349</v>
      </c>
      <c r="BO206" s="784" t="s">
        <v>2350</v>
      </c>
      <c r="BP206" s="1400" t="s">
        <v>2560</v>
      </c>
      <c r="BQ206" s="509"/>
      <c r="BR206" s="509"/>
      <c r="BS206" s="509"/>
      <c r="BT206" s="509"/>
      <c r="BU206" s="509"/>
      <c r="BV206" s="509"/>
      <c r="BW206" s="509"/>
      <c r="BX206" s="509"/>
      <c r="BY206" s="509"/>
      <c r="BZ206" s="509"/>
      <c r="CA206" s="509"/>
      <c r="CB206" s="509"/>
      <c r="CC206" s="509"/>
      <c r="CD206" s="509"/>
      <c r="CE206" s="509"/>
      <c r="CF206" s="509"/>
      <c r="CG206" s="509"/>
      <c r="CH206" s="509"/>
      <c r="CI206" s="509"/>
      <c r="CJ206" s="509"/>
      <c r="CK206" s="509"/>
      <c r="CL206" s="509"/>
      <c r="CM206" s="509"/>
      <c r="CN206" s="509"/>
      <c r="CO206" s="509"/>
      <c r="CP206" s="509"/>
      <c r="CQ206" s="509"/>
      <c r="CR206" s="509"/>
      <c r="CS206" s="509"/>
    </row>
    <row r="207" spans="1:97" s="137" customFormat="1" ht="12.75" customHeight="1" x14ac:dyDescent="0.2">
      <c r="A207" s="1421">
        <v>203</v>
      </c>
      <c r="B207" s="649" t="s">
        <v>301</v>
      </c>
      <c r="C207" s="1607" t="s">
        <v>302</v>
      </c>
      <c r="D207" s="1605">
        <v>121223</v>
      </c>
      <c r="E207" s="1405">
        <v>85943902</v>
      </c>
      <c r="F207" s="1405">
        <v>3144</v>
      </c>
      <c r="G207" s="158">
        <v>-3593560</v>
      </c>
      <c r="H207" s="158">
        <v>-3836910</v>
      </c>
      <c r="I207" s="158">
        <v>-82255</v>
      </c>
      <c r="J207" s="158">
        <v>-18682</v>
      </c>
      <c r="K207" s="158">
        <v>-4466</v>
      </c>
      <c r="L207" s="158">
        <v>0</v>
      </c>
      <c r="M207" s="158">
        <v>-155794</v>
      </c>
      <c r="N207" s="158">
        <v>-16186</v>
      </c>
      <c r="O207" s="158">
        <v>-490088</v>
      </c>
      <c r="P207" s="158">
        <v>-155</v>
      </c>
      <c r="Q207" s="158">
        <v>0</v>
      </c>
      <c r="R207" s="158">
        <v>0</v>
      </c>
      <c r="S207" s="158">
        <v>0</v>
      </c>
      <c r="T207" s="158">
        <v>0</v>
      </c>
      <c r="U207" s="158">
        <v>-2583304</v>
      </c>
      <c r="V207" s="158">
        <v>29840491</v>
      </c>
      <c r="W207" s="158">
        <v>-954896</v>
      </c>
      <c r="X207" s="158">
        <v>51157000</v>
      </c>
      <c r="Y207" s="158">
        <v>81564527</v>
      </c>
      <c r="Z207" s="158">
        <v>14510302</v>
      </c>
      <c r="AA207" s="158">
        <v>11608241</v>
      </c>
      <c r="AB207" s="158">
        <v>2611854</v>
      </c>
      <c r="AC207" s="158">
        <v>290206</v>
      </c>
      <c r="AD207" s="158">
        <v>117637</v>
      </c>
      <c r="AE207" s="158">
        <v>0</v>
      </c>
      <c r="AF207" s="158">
        <v>874961</v>
      </c>
      <c r="AG207" s="158">
        <v>0</v>
      </c>
      <c r="AH207" s="158">
        <v>0</v>
      </c>
      <c r="AI207" s="158">
        <v>0</v>
      </c>
      <c r="AJ207" s="158">
        <v>0</v>
      </c>
      <c r="AK207" s="158">
        <v>57170</v>
      </c>
      <c r="AL207" s="158">
        <v>162</v>
      </c>
      <c r="AM207" s="158">
        <v>21</v>
      </c>
      <c r="AN207" s="158">
        <v>7</v>
      </c>
      <c r="AO207" s="158">
        <v>4</v>
      </c>
      <c r="AP207" s="158">
        <v>0</v>
      </c>
      <c r="AQ207" s="158">
        <v>62</v>
      </c>
      <c r="AR207" s="158">
        <v>47</v>
      </c>
      <c r="AS207" s="158">
        <v>0</v>
      </c>
      <c r="AT207" s="158">
        <v>1</v>
      </c>
      <c r="AU207" s="158">
        <v>7</v>
      </c>
      <c r="AV207" s="158">
        <v>0</v>
      </c>
      <c r="AW207" s="158">
        <v>0</v>
      </c>
      <c r="AX207" s="158">
        <v>0</v>
      </c>
      <c r="AY207" s="158">
        <v>370</v>
      </c>
      <c r="AZ207" s="158">
        <v>552</v>
      </c>
      <c r="BA207" s="158">
        <v>1379</v>
      </c>
      <c r="BB207" s="158">
        <v>1256</v>
      </c>
      <c r="BC207" s="158">
        <v>123</v>
      </c>
      <c r="BD207" s="158">
        <v>1162</v>
      </c>
      <c r="BE207" s="158">
        <v>0</v>
      </c>
      <c r="BF207" s="158">
        <v>-28819</v>
      </c>
      <c r="BG207" s="158">
        <v>0</v>
      </c>
      <c r="BH207" s="158">
        <v>0</v>
      </c>
      <c r="BI207" s="158">
        <v>-126975</v>
      </c>
      <c r="BJ207" s="158">
        <v>0</v>
      </c>
      <c r="BK207" s="158">
        <v>356563</v>
      </c>
      <c r="BL207" s="1438">
        <v>10486500</v>
      </c>
      <c r="BM207" s="1439">
        <v>0</v>
      </c>
      <c r="BN207" s="784" t="s">
        <v>2349</v>
      </c>
      <c r="BO207" s="784" t="s">
        <v>2352</v>
      </c>
      <c r="BP207" s="1400" t="s">
        <v>2561</v>
      </c>
      <c r="BQ207" s="509"/>
      <c r="BR207" s="509"/>
      <c r="BS207" s="509"/>
      <c r="BT207" s="509"/>
      <c r="BU207" s="509"/>
      <c r="BV207" s="509"/>
      <c r="BW207" s="509"/>
      <c r="BX207" s="509"/>
      <c r="BY207" s="509"/>
      <c r="BZ207" s="509"/>
      <c r="CA207" s="509"/>
      <c r="CB207" s="509"/>
      <c r="CC207" s="509"/>
      <c r="CD207" s="509"/>
      <c r="CE207" s="509"/>
      <c r="CF207" s="509"/>
      <c r="CG207" s="509"/>
      <c r="CH207" s="509"/>
      <c r="CI207" s="509"/>
      <c r="CJ207" s="509"/>
      <c r="CK207" s="509"/>
      <c r="CL207" s="509"/>
      <c r="CM207" s="509"/>
      <c r="CN207" s="509"/>
      <c r="CO207" s="509"/>
      <c r="CP207" s="509"/>
      <c r="CQ207" s="509"/>
      <c r="CR207" s="509"/>
      <c r="CS207" s="509"/>
    </row>
    <row r="208" spans="1:97" s="137" customFormat="1" ht="12.75" customHeight="1" x14ac:dyDescent="0.2">
      <c r="A208" s="1421">
        <v>204</v>
      </c>
      <c r="B208" s="649" t="s">
        <v>303</v>
      </c>
      <c r="C208" s="1607" t="s">
        <v>304</v>
      </c>
      <c r="D208" s="1605">
        <v>124744</v>
      </c>
      <c r="E208" s="1405">
        <v>142123892</v>
      </c>
      <c r="F208" s="1405">
        <v>2662</v>
      </c>
      <c r="G208" s="158">
        <v>-2469917</v>
      </c>
      <c r="H208" s="158">
        <v>-2071205</v>
      </c>
      <c r="I208" s="158">
        <v>-22175</v>
      </c>
      <c r="J208" s="158">
        <v>0</v>
      </c>
      <c r="K208" s="158">
        <v>-5027</v>
      </c>
      <c r="L208" s="158">
        <v>-62875</v>
      </c>
      <c r="M208" s="158">
        <v>-584690</v>
      </c>
      <c r="N208" s="158">
        <v>-79315</v>
      </c>
      <c r="O208" s="158">
        <v>-202605</v>
      </c>
      <c r="P208" s="158">
        <v>-5544</v>
      </c>
      <c r="Q208" s="158">
        <v>0</v>
      </c>
      <c r="R208" s="158">
        <v>-310000</v>
      </c>
      <c r="S208" s="158">
        <v>0</v>
      </c>
      <c r="T208" s="158">
        <v>0</v>
      </c>
      <c r="U208" s="158">
        <v>-4829274</v>
      </c>
      <c r="V208" s="158">
        <v>62496866</v>
      </c>
      <c r="W208" s="158">
        <v>-4582436</v>
      </c>
      <c r="X208" s="158">
        <v>115762250</v>
      </c>
      <c r="Y208" s="158">
        <v>144901960</v>
      </c>
      <c r="Z208" s="158">
        <v>30134721</v>
      </c>
      <c r="AA208" s="158">
        <v>24107777</v>
      </c>
      <c r="AB208" s="158">
        <v>5424250</v>
      </c>
      <c r="AC208" s="158">
        <v>602694</v>
      </c>
      <c r="AD208" s="158">
        <v>125263</v>
      </c>
      <c r="AE208" s="158">
        <v>0</v>
      </c>
      <c r="AF208" s="158">
        <v>0</v>
      </c>
      <c r="AG208" s="158">
        <v>0</v>
      </c>
      <c r="AH208" s="158">
        <v>0</v>
      </c>
      <c r="AI208" s="158">
        <v>0</v>
      </c>
      <c r="AJ208" s="158">
        <v>0</v>
      </c>
      <c r="AK208" s="158">
        <v>814863</v>
      </c>
      <c r="AL208" s="158">
        <v>101</v>
      </c>
      <c r="AM208" s="158">
        <v>6</v>
      </c>
      <c r="AN208" s="158">
        <v>0</v>
      </c>
      <c r="AO208" s="158">
        <v>3</v>
      </c>
      <c r="AP208" s="158">
        <v>2</v>
      </c>
      <c r="AQ208" s="158">
        <v>517</v>
      </c>
      <c r="AR208" s="158">
        <v>53</v>
      </c>
      <c r="AS208" s="158">
        <v>5</v>
      </c>
      <c r="AT208" s="158">
        <v>6</v>
      </c>
      <c r="AU208" s="158">
        <v>0</v>
      </c>
      <c r="AV208" s="158">
        <v>0</v>
      </c>
      <c r="AW208" s="158">
        <v>0</v>
      </c>
      <c r="AX208" s="158">
        <v>2</v>
      </c>
      <c r="AY208" s="158">
        <v>429</v>
      </c>
      <c r="AZ208" s="158">
        <v>1066</v>
      </c>
      <c r="BA208" s="158">
        <v>852</v>
      </c>
      <c r="BB208" s="158">
        <v>757</v>
      </c>
      <c r="BC208" s="158">
        <v>95</v>
      </c>
      <c r="BD208" s="158">
        <v>831</v>
      </c>
      <c r="BE208" s="158">
        <v>-134617</v>
      </c>
      <c r="BF208" s="158">
        <v>-185337</v>
      </c>
      <c r="BG208" s="158">
        <v>0</v>
      </c>
      <c r="BH208" s="158">
        <v>-196296</v>
      </c>
      <c r="BI208" s="158">
        <v>-68440</v>
      </c>
      <c r="BJ208" s="158">
        <v>0</v>
      </c>
      <c r="BK208" s="158">
        <v>-24974</v>
      </c>
      <c r="BL208" s="1438">
        <v>12858300</v>
      </c>
      <c r="BM208" s="1439">
        <v>0</v>
      </c>
      <c r="BN208" s="784" t="s">
        <v>2349</v>
      </c>
      <c r="BO208" s="784" t="s">
        <v>2350</v>
      </c>
      <c r="BP208" s="1400" t="s">
        <v>2562</v>
      </c>
      <c r="BQ208" s="509"/>
      <c r="BR208" s="509"/>
      <c r="BS208" s="509"/>
      <c r="BT208" s="509"/>
      <c r="BU208" s="509"/>
      <c r="BV208" s="509"/>
      <c r="BW208" s="509"/>
      <c r="BX208" s="509"/>
      <c r="BY208" s="509"/>
      <c r="BZ208" s="509"/>
      <c r="CA208" s="509"/>
      <c r="CB208" s="509"/>
      <c r="CC208" s="509"/>
      <c r="CD208" s="509"/>
      <c r="CE208" s="509"/>
      <c r="CF208" s="509"/>
      <c r="CG208" s="509"/>
      <c r="CH208" s="509"/>
      <c r="CI208" s="509"/>
      <c r="CJ208" s="509"/>
      <c r="CK208" s="509"/>
      <c r="CL208" s="509"/>
      <c r="CM208" s="509"/>
      <c r="CN208" s="509"/>
      <c r="CO208" s="509"/>
      <c r="CP208" s="509"/>
      <c r="CQ208" s="509"/>
      <c r="CR208" s="509"/>
      <c r="CS208" s="509"/>
    </row>
    <row r="209" spans="1:97" s="137" customFormat="1" ht="12.75" customHeight="1" x14ac:dyDescent="0.2">
      <c r="A209" s="1421">
        <v>205</v>
      </c>
      <c r="B209" s="649" t="s">
        <v>614</v>
      </c>
      <c r="C209" s="1607" t="s">
        <v>306</v>
      </c>
      <c r="D209" s="1605">
        <v>62981</v>
      </c>
      <c r="E209" s="1405">
        <v>36949297</v>
      </c>
      <c r="F209" s="1405">
        <v>1727</v>
      </c>
      <c r="G209" s="158">
        <v>-2110863</v>
      </c>
      <c r="H209" s="158">
        <v>-1946691</v>
      </c>
      <c r="I209" s="158">
        <v>-17225</v>
      </c>
      <c r="J209" s="158">
        <v>-14606</v>
      </c>
      <c r="K209" s="158">
        <v>-4279</v>
      </c>
      <c r="L209" s="158">
        <v>0</v>
      </c>
      <c r="M209" s="158">
        <v>-330573</v>
      </c>
      <c r="N209" s="158">
        <v>-24817</v>
      </c>
      <c r="O209" s="158">
        <v>-45006</v>
      </c>
      <c r="P209" s="158">
        <v>-804</v>
      </c>
      <c r="Q209" s="158">
        <v>0</v>
      </c>
      <c r="R209" s="158">
        <v>0</v>
      </c>
      <c r="S209" s="158">
        <v>0</v>
      </c>
      <c r="T209" s="158">
        <v>0</v>
      </c>
      <c r="U209" s="158">
        <v>-2138560</v>
      </c>
      <c r="V209" s="158">
        <v>12289321</v>
      </c>
      <c r="W209" s="158">
        <v>-1183300</v>
      </c>
      <c r="X209" s="158">
        <v>21608400</v>
      </c>
      <c r="Y209" s="158">
        <v>36655593</v>
      </c>
      <c r="Z209" s="158">
        <v>5601022</v>
      </c>
      <c r="AA209" s="158">
        <v>5489002</v>
      </c>
      <c r="AB209" s="158">
        <v>0</v>
      </c>
      <c r="AC209" s="158">
        <v>112020</v>
      </c>
      <c r="AD209" s="158">
        <v>63196</v>
      </c>
      <c r="AE209" s="158">
        <v>0</v>
      </c>
      <c r="AF209" s="158">
        <v>50391</v>
      </c>
      <c r="AG209" s="158">
        <v>0</v>
      </c>
      <c r="AH209" s="158">
        <v>0</v>
      </c>
      <c r="AI209" s="158">
        <v>0</v>
      </c>
      <c r="AJ209" s="158">
        <v>0</v>
      </c>
      <c r="AK209" s="158">
        <v>731465</v>
      </c>
      <c r="AL209" s="158">
        <v>101</v>
      </c>
      <c r="AM209" s="158">
        <v>5</v>
      </c>
      <c r="AN209" s="158">
        <v>6</v>
      </c>
      <c r="AO209" s="158">
        <v>2</v>
      </c>
      <c r="AP209" s="158">
        <v>0</v>
      </c>
      <c r="AQ209" s="158">
        <v>187</v>
      </c>
      <c r="AR209" s="158">
        <v>50</v>
      </c>
      <c r="AS209" s="158">
        <v>5</v>
      </c>
      <c r="AT209" s="158">
        <v>2</v>
      </c>
      <c r="AU209" s="158">
        <v>7</v>
      </c>
      <c r="AV209" s="158">
        <v>0</v>
      </c>
      <c r="AW209" s="158">
        <v>0</v>
      </c>
      <c r="AX209" s="158">
        <v>0</v>
      </c>
      <c r="AY209" s="158">
        <v>239</v>
      </c>
      <c r="AZ209" s="158">
        <v>300</v>
      </c>
      <c r="BA209" s="158">
        <v>798</v>
      </c>
      <c r="BB209" s="158">
        <v>747</v>
      </c>
      <c r="BC209" s="158">
        <v>51</v>
      </c>
      <c r="BD209" s="158">
        <v>608</v>
      </c>
      <c r="BE209" s="158">
        <v>-42914</v>
      </c>
      <c r="BF209" s="158">
        <v>-73442</v>
      </c>
      <c r="BG209" s="158">
        <v>0</v>
      </c>
      <c r="BH209" s="158">
        <v>0</v>
      </c>
      <c r="BI209" s="158">
        <v>-214217</v>
      </c>
      <c r="BJ209" s="158">
        <v>0</v>
      </c>
      <c r="BK209" s="158">
        <v>1355075</v>
      </c>
      <c r="BL209" s="1438">
        <v>4192500</v>
      </c>
      <c r="BM209" s="1439">
        <v>0</v>
      </c>
      <c r="BN209" s="784" t="s">
        <v>509</v>
      </c>
      <c r="BO209" s="784" t="s">
        <v>2352</v>
      </c>
      <c r="BP209" s="1400" t="s">
        <v>2563</v>
      </c>
      <c r="BQ209" s="509"/>
      <c r="BR209" s="509"/>
      <c r="BS209" s="509"/>
      <c r="BT209" s="509"/>
      <c r="BU209" s="509"/>
      <c r="BV209" s="509"/>
      <c r="BW209" s="509"/>
      <c r="BX209" s="509"/>
      <c r="BY209" s="509"/>
      <c r="BZ209" s="509"/>
      <c r="CA209" s="509"/>
      <c r="CB209" s="509"/>
      <c r="CC209" s="509"/>
      <c r="CD209" s="509"/>
      <c r="CE209" s="509"/>
      <c r="CF209" s="509"/>
      <c r="CG209" s="509"/>
      <c r="CH209" s="509"/>
      <c r="CI209" s="509"/>
      <c r="CJ209" s="509"/>
      <c r="CK209" s="509"/>
      <c r="CL209" s="509"/>
      <c r="CM209" s="509"/>
      <c r="CN209" s="509"/>
      <c r="CO209" s="509"/>
      <c r="CP209" s="509"/>
      <c r="CQ209" s="509"/>
      <c r="CR209" s="509"/>
      <c r="CS209" s="509"/>
    </row>
    <row r="210" spans="1:97" s="137" customFormat="1" ht="12.75" customHeight="1" x14ac:dyDescent="0.2">
      <c r="A210" s="1421">
        <v>206</v>
      </c>
      <c r="B210" s="649" t="s">
        <v>307</v>
      </c>
      <c r="C210" s="1607" t="s">
        <v>308</v>
      </c>
      <c r="D210" s="1605">
        <v>450706</v>
      </c>
      <c r="E210" s="1405">
        <v>288886824</v>
      </c>
      <c r="F210" s="1405">
        <v>11895</v>
      </c>
      <c r="G210" s="158">
        <v>-9219712</v>
      </c>
      <c r="H210" s="158">
        <v>-10438560</v>
      </c>
      <c r="I210" s="158">
        <v>-127450</v>
      </c>
      <c r="J210" s="158">
        <v>0</v>
      </c>
      <c r="K210" s="158">
        <v>-7685</v>
      </c>
      <c r="L210" s="158">
        <v>0</v>
      </c>
      <c r="M210" s="158">
        <v>-6981410</v>
      </c>
      <c r="N210" s="158">
        <v>-162918</v>
      </c>
      <c r="O210" s="158">
        <v>0</v>
      </c>
      <c r="P210" s="158">
        <v>0</v>
      </c>
      <c r="Q210" s="158">
        <v>0</v>
      </c>
      <c r="R210" s="158">
        <v>0</v>
      </c>
      <c r="S210" s="158">
        <v>0</v>
      </c>
      <c r="T210" s="158">
        <v>0</v>
      </c>
      <c r="U210" s="158">
        <v>-7288163</v>
      </c>
      <c r="V210" s="158">
        <v>117715282</v>
      </c>
      <c r="W210" s="158">
        <v>-5173360</v>
      </c>
      <c r="X210" s="158">
        <v>201608350</v>
      </c>
      <c r="Y210" s="158">
        <v>290112060</v>
      </c>
      <c r="Z210" s="158">
        <v>0</v>
      </c>
      <c r="AA210" s="158">
        <v>108193405</v>
      </c>
      <c r="AB210" s="158">
        <v>0</v>
      </c>
      <c r="AC210" s="158">
        <v>1092863</v>
      </c>
      <c r="AD210" s="158">
        <v>449391</v>
      </c>
      <c r="AE210" s="158">
        <v>1132714</v>
      </c>
      <c r="AF210" s="158">
        <v>164657</v>
      </c>
      <c r="AG210" s="158">
        <v>0</v>
      </c>
      <c r="AH210" s="158">
        <v>0</v>
      </c>
      <c r="AI210" s="158">
        <v>0</v>
      </c>
      <c r="AJ210" s="158">
        <v>0</v>
      </c>
      <c r="AK210" s="158">
        <v>1825585</v>
      </c>
      <c r="AL210" s="158">
        <v>390</v>
      </c>
      <c r="AM210" s="158">
        <v>15</v>
      </c>
      <c r="AN210" s="158">
        <v>0</v>
      </c>
      <c r="AO210" s="158">
        <v>3</v>
      </c>
      <c r="AP210" s="158">
        <v>0</v>
      </c>
      <c r="AQ210" s="158">
        <v>2048</v>
      </c>
      <c r="AR210" s="158">
        <v>56</v>
      </c>
      <c r="AS210" s="158">
        <v>8</v>
      </c>
      <c r="AT210" s="158">
        <v>0</v>
      </c>
      <c r="AU210" s="158">
        <v>0</v>
      </c>
      <c r="AV210" s="158">
        <v>0</v>
      </c>
      <c r="AW210" s="158">
        <v>0</v>
      </c>
      <c r="AX210" s="158">
        <v>0</v>
      </c>
      <c r="AY210" s="158">
        <v>888</v>
      </c>
      <c r="AZ210" s="158">
        <v>4539</v>
      </c>
      <c r="BA210" s="158">
        <v>3441</v>
      </c>
      <c r="BB210" s="158">
        <v>3176</v>
      </c>
      <c r="BC210" s="158">
        <v>265</v>
      </c>
      <c r="BD210" s="158">
        <v>3953</v>
      </c>
      <c r="BE210" s="158">
        <v>-334699</v>
      </c>
      <c r="BF210" s="158">
        <v>-342938</v>
      </c>
      <c r="BG210" s="158">
        <v>0</v>
      </c>
      <c r="BH210" s="158">
        <v>-66259</v>
      </c>
      <c r="BI210" s="158">
        <v>-2789842</v>
      </c>
      <c r="BJ210" s="158">
        <v>-3447672</v>
      </c>
      <c r="BK210" s="158">
        <v>3622630</v>
      </c>
      <c r="BL210" s="1438">
        <v>30310400</v>
      </c>
      <c r="BM210" s="1439">
        <v>0</v>
      </c>
      <c r="BN210" s="784" t="s">
        <v>2363</v>
      </c>
      <c r="BO210" s="784" t="s">
        <v>2376</v>
      </c>
      <c r="BP210" s="1400" t="s">
        <v>2564</v>
      </c>
      <c r="BQ210" s="509"/>
      <c r="BR210" s="509"/>
      <c r="BS210" s="509"/>
      <c r="BT210" s="509"/>
      <c r="BU210" s="509"/>
      <c r="BV210" s="509"/>
      <c r="BW210" s="509"/>
      <c r="BX210" s="509"/>
      <c r="BY210" s="509"/>
      <c r="BZ210" s="509"/>
      <c r="CA210" s="509"/>
      <c r="CB210" s="509"/>
      <c r="CC210" s="509"/>
      <c r="CD210" s="509"/>
      <c r="CE210" s="509"/>
      <c r="CF210" s="509"/>
      <c r="CG210" s="509"/>
      <c r="CH210" s="509"/>
      <c r="CI210" s="509"/>
      <c r="CJ210" s="509"/>
      <c r="CK210" s="509"/>
      <c r="CL210" s="509"/>
      <c r="CM210" s="509"/>
      <c r="CN210" s="509"/>
      <c r="CO210" s="509"/>
      <c r="CP210" s="509"/>
      <c r="CQ210" s="509"/>
      <c r="CR210" s="509"/>
      <c r="CS210" s="509"/>
    </row>
    <row r="211" spans="1:97" s="137" customFormat="1" ht="12.75" customHeight="1" x14ac:dyDescent="0.2">
      <c r="A211" s="1421">
        <v>207</v>
      </c>
      <c r="B211" s="649" t="s">
        <v>309</v>
      </c>
      <c r="C211" s="1607" t="s">
        <v>310</v>
      </c>
      <c r="D211" s="1605">
        <v>422938</v>
      </c>
      <c r="E211" s="1405">
        <v>297466909</v>
      </c>
      <c r="F211" s="1405">
        <v>10973</v>
      </c>
      <c r="G211" s="158">
        <v>-14500000</v>
      </c>
      <c r="H211" s="158">
        <v>-8600000</v>
      </c>
      <c r="I211" s="158">
        <v>-85559</v>
      </c>
      <c r="J211" s="158">
        <v>0</v>
      </c>
      <c r="K211" s="158">
        <v>-7775</v>
      </c>
      <c r="L211" s="158">
        <v>-50000</v>
      </c>
      <c r="M211" s="158">
        <v>-3315000</v>
      </c>
      <c r="N211" s="158">
        <v>-500000</v>
      </c>
      <c r="O211" s="158">
        <v>-18000</v>
      </c>
      <c r="P211" s="158">
        <v>-500</v>
      </c>
      <c r="Q211" s="158">
        <v>0</v>
      </c>
      <c r="R211" s="158">
        <v>0</v>
      </c>
      <c r="S211" s="158">
        <v>0</v>
      </c>
      <c r="T211" s="158">
        <v>0</v>
      </c>
      <c r="U211" s="158">
        <v>-5400000</v>
      </c>
      <c r="V211" s="158">
        <v>116678154</v>
      </c>
      <c r="W211" s="158">
        <v>-3520000</v>
      </c>
      <c r="X211" s="158">
        <v>193697500</v>
      </c>
      <c r="Y211" s="158">
        <v>296434358</v>
      </c>
      <c r="Z211" s="158">
        <v>0</v>
      </c>
      <c r="AA211" s="158">
        <v>114106198</v>
      </c>
      <c r="AB211" s="158">
        <v>0</v>
      </c>
      <c r="AC211" s="158">
        <v>1152588</v>
      </c>
      <c r="AD211" s="158">
        <v>419991</v>
      </c>
      <c r="AE211" s="158">
        <v>3916</v>
      </c>
      <c r="AF211" s="158">
        <v>0</v>
      </c>
      <c r="AG211" s="158">
        <v>0</v>
      </c>
      <c r="AH211" s="158">
        <v>0</v>
      </c>
      <c r="AI211" s="158">
        <v>0</v>
      </c>
      <c r="AJ211" s="158">
        <v>0</v>
      </c>
      <c r="AK211" s="158">
        <v>1623232</v>
      </c>
      <c r="AL211" s="158">
        <v>315</v>
      </c>
      <c r="AM211" s="158">
        <v>7</v>
      </c>
      <c r="AN211" s="158">
        <v>0</v>
      </c>
      <c r="AO211" s="158">
        <v>5</v>
      </c>
      <c r="AP211" s="158">
        <v>0</v>
      </c>
      <c r="AQ211" s="158">
        <v>1007</v>
      </c>
      <c r="AR211" s="158">
        <v>148</v>
      </c>
      <c r="AS211" s="158">
        <v>3</v>
      </c>
      <c r="AT211" s="158">
        <v>1</v>
      </c>
      <c r="AU211" s="158">
        <v>0</v>
      </c>
      <c r="AV211" s="158">
        <v>0</v>
      </c>
      <c r="AW211" s="158">
        <v>0</v>
      </c>
      <c r="AX211" s="158">
        <v>0</v>
      </c>
      <c r="AY211" s="158">
        <v>522</v>
      </c>
      <c r="AZ211" s="158">
        <v>1116</v>
      </c>
      <c r="BA211" s="158">
        <v>4782</v>
      </c>
      <c r="BB211" s="158">
        <v>4048</v>
      </c>
      <c r="BC211" s="158">
        <v>734</v>
      </c>
      <c r="BD211" s="158">
        <v>5012</v>
      </c>
      <c r="BE211" s="158">
        <v>-877185</v>
      </c>
      <c r="BF211" s="158">
        <v>-110838</v>
      </c>
      <c r="BG211" s="158">
        <v>0</v>
      </c>
      <c r="BH211" s="158">
        <v>-52022</v>
      </c>
      <c r="BI211" s="158">
        <v>-2274955</v>
      </c>
      <c r="BJ211" s="158">
        <v>0</v>
      </c>
      <c r="BK211" s="158">
        <v>2531509</v>
      </c>
      <c r="BL211" s="1438">
        <v>37380324</v>
      </c>
      <c r="BM211" s="1439">
        <v>0</v>
      </c>
      <c r="BN211" s="784" t="s">
        <v>2363</v>
      </c>
      <c r="BO211" s="784" t="s">
        <v>2373</v>
      </c>
      <c r="BP211" s="1400" t="s">
        <v>2565</v>
      </c>
      <c r="BQ211" s="509"/>
      <c r="BR211" s="509"/>
      <c r="BS211" s="509"/>
      <c r="BT211" s="509"/>
      <c r="BU211" s="509"/>
      <c r="BV211" s="509"/>
      <c r="BW211" s="509"/>
      <c r="BX211" s="509"/>
      <c r="BY211" s="509"/>
      <c r="BZ211" s="509"/>
      <c r="CA211" s="509"/>
      <c r="CB211" s="509"/>
      <c r="CC211" s="509"/>
      <c r="CD211" s="509"/>
      <c r="CE211" s="509"/>
      <c r="CF211" s="509"/>
      <c r="CG211" s="509"/>
      <c r="CH211" s="509"/>
      <c r="CI211" s="509"/>
      <c r="CJ211" s="509"/>
      <c r="CK211" s="509"/>
      <c r="CL211" s="509"/>
      <c r="CM211" s="509"/>
      <c r="CN211" s="509"/>
      <c r="CO211" s="509"/>
      <c r="CP211" s="509"/>
      <c r="CQ211" s="509"/>
      <c r="CR211" s="509"/>
      <c r="CS211" s="509"/>
    </row>
    <row r="212" spans="1:97" s="137" customFormat="1" ht="12.75" customHeight="1" x14ac:dyDescent="0.2">
      <c r="A212" s="1421">
        <v>208</v>
      </c>
      <c r="B212" s="649" t="s">
        <v>311</v>
      </c>
      <c r="C212" s="1607" t="s">
        <v>312</v>
      </c>
      <c r="D212" s="1605">
        <v>298311</v>
      </c>
      <c r="E212" s="1405">
        <v>188347203</v>
      </c>
      <c r="F212" s="1405">
        <v>7988</v>
      </c>
      <c r="G212" s="158">
        <v>-9929158</v>
      </c>
      <c r="H212" s="158">
        <v>-5743445</v>
      </c>
      <c r="I212" s="158">
        <v>-35846</v>
      </c>
      <c r="J212" s="158">
        <v>0</v>
      </c>
      <c r="K212" s="158">
        <v>-16981</v>
      </c>
      <c r="L212" s="158">
        <v>0</v>
      </c>
      <c r="M212" s="158">
        <v>-2586752</v>
      </c>
      <c r="N212" s="158">
        <v>-251877</v>
      </c>
      <c r="O212" s="158">
        <v>-10836</v>
      </c>
      <c r="P212" s="158">
        <v>0</v>
      </c>
      <c r="Q212" s="158">
        <v>0</v>
      </c>
      <c r="R212" s="158">
        <v>0</v>
      </c>
      <c r="S212" s="158">
        <v>0</v>
      </c>
      <c r="T212" s="158">
        <v>0</v>
      </c>
      <c r="U212" s="158">
        <v>-6764293</v>
      </c>
      <c r="V212" s="158">
        <v>70040710</v>
      </c>
      <c r="W212" s="158">
        <v>-3690000</v>
      </c>
      <c r="X212" s="158">
        <v>114152300</v>
      </c>
      <c r="Y212" s="158">
        <v>185758718</v>
      </c>
      <c r="Z212" s="158">
        <v>0</v>
      </c>
      <c r="AA212" s="158">
        <v>65692148</v>
      </c>
      <c r="AB212" s="158">
        <v>0</v>
      </c>
      <c r="AC212" s="158">
        <v>663557</v>
      </c>
      <c r="AD212" s="158">
        <v>295618</v>
      </c>
      <c r="AE212" s="158">
        <v>0</v>
      </c>
      <c r="AF212" s="158">
        <v>0</v>
      </c>
      <c r="AG212" s="158">
        <v>0</v>
      </c>
      <c r="AH212" s="158">
        <v>0</v>
      </c>
      <c r="AI212" s="158">
        <v>0</v>
      </c>
      <c r="AJ212" s="158">
        <v>0</v>
      </c>
      <c r="AK212" s="158">
        <v>11119318</v>
      </c>
      <c r="AL212" s="158">
        <v>300</v>
      </c>
      <c r="AM212" s="158">
        <v>14</v>
      </c>
      <c r="AN212" s="158">
        <v>0</v>
      </c>
      <c r="AO212" s="158">
        <v>10</v>
      </c>
      <c r="AP212" s="158">
        <v>0</v>
      </c>
      <c r="AQ212" s="158">
        <v>620</v>
      </c>
      <c r="AR212" s="158">
        <v>41</v>
      </c>
      <c r="AS212" s="158">
        <v>2</v>
      </c>
      <c r="AT212" s="158">
        <v>0</v>
      </c>
      <c r="AU212" s="158">
        <v>0</v>
      </c>
      <c r="AV212" s="158">
        <v>0</v>
      </c>
      <c r="AW212" s="158">
        <v>0</v>
      </c>
      <c r="AX212" s="158">
        <v>0</v>
      </c>
      <c r="AY212" s="158">
        <v>1213</v>
      </c>
      <c r="AZ212" s="158">
        <v>2857</v>
      </c>
      <c r="BA212" s="158">
        <v>3673</v>
      </c>
      <c r="BB212" s="158">
        <v>3474</v>
      </c>
      <c r="BC212" s="158">
        <v>199</v>
      </c>
      <c r="BD212" s="158">
        <v>1407</v>
      </c>
      <c r="BE212" s="158">
        <v>-264758</v>
      </c>
      <c r="BF212" s="158">
        <v>-543283</v>
      </c>
      <c r="BG212" s="158">
        <v>0</v>
      </c>
      <c r="BH212" s="158">
        <v>0</v>
      </c>
      <c r="BI212" s="158">
        <v>-1778711</v>
      </c>
      <c r="BJ212" s="158">
        <v>0</v>
      </c>
      <c r="BK212" s="158">
        <v>8472793</v>
      </c>
      <c r="BL212" s="1438">
        <v>24682920</v>
      </c>
      <c r="BM212" s="1439">
        <v>0</v>
      </c>
      <c r="BN212" s="784" t="s">
        <v>2363</v>
      </c>
      <c r="BO212" s="784" t="s">
        <v>2376</v>
      </c>
      <c r="BP212" s="1400" t="s">
        <v>2566</v>
      </c>
      <c r="BQ212" s="509"/>
      <c r="BR212" s="509"/>
      <c r="BS212" s="509"/>
      <c r="BT212" s="509"/>
      <c r="BU212" s="509"/>
      <c r="BV212" s="509"/>
      <c r="BW212" s="509"/>
      <c r="BX212" s="509"/>
      <c r="BY212" s="509"/>
      <c r="BZ212" s="509"/>
      <c r="CA212" s="509"/>
      <c r="CB212" s="509"/>
      <c r="CC212" s="509"/>
      <c r="CD212" s="509"/>
      <c r="CE212" s="509"/>
      <c r="CF212" s="509"/>
      <c r="CG212" s="509"/>
      <c r="CH212" s="509"/>
      <c r="CI212" s="509"/>
      <c r="CJ212" s="509"/>
      <c r="CK212" s="509"/>
      <c r="CL212" s="509"/>
      <c r="CM212" s="509"/>
      <c r="CN212" s="509"/>
      <c r="CO212" s="509"/>
      <c r="CP212" s="509"/>
      <c r="CQ212" s="509"/>
      <c r="CR212" s="509"/>
      <c r="CS212" s="509"/>
    </row>
    <row r="213" spans="1:97" s="137" customFormat="1" ht="12.75" customHeight="1" x14ac:dyDescent="0.2">
      <c r="A213" s="1421">
        <v>209</v>
      </c>
      <c r="B213" s="649" t="s">
        <v>313</v>
      </c>
      <c r="C213" s="1607" t="s">
        <v>314</v>
      </c>
      <c r="D213" s="1605">
        <v>171377</v>
      </c>
      <c r="E213" s="1405">
        <v>109749879</v>
      </c>
      <c r="F213" s="1405">
        <v>4291</v>
      </c>
      <c r="G213" s="158">
        <v>-4553258</v>
      </c>
      <c r="H213" s="158">
        <v>-4216155</v>
      </c>
      <c r="I213" s="158">
        <v>-98551</v>
      </c>
      <c r="J213" s="158">
        <v>-20243</v>
      </c>
      <c r="K213" s="158">
        <v>-6974</v>
      </c>
      <c r="L213" s="158">
        <v>0</v>
      </c>
      <c r="M213" s="158">
        <v>-1468728</v>
      </c>
      <c r="N213" s="158">
        <v>-157179</v>
      </c>
      <c r="O213" s="158">
        <v>-55036</v>
      </c>
      <c r="P213" s="158">
        <v>0</v>
      </c>
      <c r="Q213" s="158">
        <v>0</v>
      </c>
      <c r="R213" s="158">
        <v>0</v>
      </c>
      <c r="S213" s="158">
        <v>0</v>
      </c>
      <c r="T213" s="158">
        <v>0</v>
      </c>
      <c r="U213" s="158">
        <v>-3982525</v>
      </c>
      <c r="V213" s="158">
        <v>39671816</v>
      </c>
      <c r="W213" s="158">
        <v>-378000</v>
      </c>
      <c r="X213" s="158">
        <v>62469800</v>
      </c>
      <c r="Y213" s="158">
        <v>108123047</v>
      </c>
      <c r="Z213" s="158">
        <v>20209279</v>
      </c>
      <c r="AA213" s="158">
        <v>16167423</v>
      </c>
      <c r="AB213" s="158">
        <v>3637670</v>
      </c>
      <c r="AC213" s="158">
        <v>404186</v>
      </c>
      <c r="AD213" s="158">
        <v>168730</v>
      </c>
      <c r="AE213" s="158">
        <v>0</v>
      </c>
      <c r="AF213" s="158">
        <v>0</v>
      </c>
      <c r="AG213" s="158">
        <v>0</v>
      </c>
      <c r="AH213" s="158">
        <v>0</v>
      </c>
      <c r="AI213" s="158">
        <v>0</v>
      </c>
      <c r="AJ213" s="158">
        <v>0</v>
      </c>
      <c r="AK213" s="158">
        <v>564880</v>
      </c>
      <c r="AL213" s="158">
        <v>190</v>
      </c>
      <c r="AM213" s="158">
        <v>33</v>
      </c>
      <c r="AN213" s="158">
        <v>4</v>
      </c>
      <c r="AO213" s="158">
        <v>5</v>
      </c>
      <c r="AP213" s="158">
        <v>0</v>
      </c>
      <c r="AQ213" s="158">
        <v>301</v>
      </c>
      <c r="AR213" s="158">
        <v>49</v>
      </c>
      <c r="AS213" s="158">
        <v>7</v>
      </c>
      <c r="AT213" s="158">
        <v>0</v>
      </c>
      <c r="AU213" s="158">
        <v>0</v>
      </c>
      <c r="AV213" s="158">
        <v>0</v>
      </c>
      <c r="AW213" s="158">
        <v>0</v>
      </c>
      <c r="AX213" s="158">
        <v>0</v>
      </c>
      <c r="AY213" s="158">
        <v>437</v>
      </c>
      <c r="AZ213" s="158">
        <v>871</v>
      </c>
      <c r="BA213" s="158">
        <v>1583</v>
      </c>
      <c r="BB213" s="158">
        <v>1402</v>
      </c>
      <c r="BC213" s="158">
        <v>181</v>
      </c>
      <c r="BD213" s="158">
        <v>1786</v>
      </c>
      <c r="BE213" s="158">
        <v>-291313</v>
      </c>
      <c r="BF213" s="158">
        <v>-491982</v>
      </c>
      <c r="BG213" s="158">
        <v>0</v>
      </c>
      <c r="BH213" s="158">
        <v>0</v>
      </c>
      <c r="BI213" s="158">
        <v>-50080</v>
      </c>
      <c r="BJ213" s="158">
        <v>-635353</v>
      </c>
      <c r="BK213" s="158">
        <v>2085697</v>
      </c>
      <c r="BL213" s="1438">
        <v>16812500</v>
      </c>
      <c r="BM213" s="1439">
        <v>0</v>
      </c>
      <c r="BN213" s="784" t="s">
        <v>2349</v>
      </c>
      <c r="BO213" s="784" t="s">
        <v>2350</v>
      </c>
      <c r="BP213" s="1400" t="s">
        <v>2567</v>
      </c>
      <c r="BQ213" s="509"/>
      <c r="BR213" s="509"/>
      <c r="BS213" s="509"/>
      <c r="BT213" s="509"/>
      <c r="BU213" s="509"/>
      <c r="BV213" s="509"/>
      <c r="BW213" s="509"/>
      <c r="BX213" s="509"/>
      <c r="BY213" s="509"/>
      <c r="BZ213" s="509"/>
      <c r="CA213" s="509"/>
      <c r="CB213" s="509"/>
      <c r="CC213" s="509"/>
      <c r="CD213" s="509"/>
      <c r="CE213" s="509"/>
      <c r="CF213" s="509"/>
      <c r="CG213" s="509"/>
      <c r="CH213" s="509"/>
      <c r="CI213" s="509"/>
      <c r="CJ213" s="509"/>
      <c r="CK213" s="509"/>
      <c r="CL213" s="509"/>
      <c r="CM213" s="509"/>
      <c r="CN213" s="509"/>
      <c r="CO213" s="509"/>
      <c r="CP213" s="509"/>
      <c r="CQ213" s="509"/>
      <c r="CR213" s="509"/>
      <c r="CS213" s="509"/>
    </row>
    <row r="214" spans="1:97" s="137" customFormat="1" ht="12.75" customHeight="1" x14ac:dyDescent="0.2">
      <c r="A214" s="1421">
        <v>210</v>
      </c>
      <c r="B214" s="649" t="s">
        <v>315</v>
      </c>
      <c r="C214" s="1607" t="s">
        <v>316</v>
      </c>
      <c r="D214" s="1605">
        <v>729138</v>
      </c>
      <c r="E214" s="1405">
        <v>537106007</v>
      </c>
      <c r="F214" s="1405">
        <v>19015</v>
      </c>
      <c r="G214" s="158">
        <v>-22224153</v>
      </c>
      <c r="H214" s="158">
        <v>-27572281</v>
      </c>
      <c r="I214" s="158">
        <v>-32854</v>
      </c>
      <c r="J214" s="158">
        <v>0</v>
      </c>
      <c r="K214" s="158">
        <v>0</v>
      </c>
      <c r="L214" s="158">
        <v>-120000</v>
      </c>
      <c r="M214" s="158">
        <v>-9550397</v>
      </c>
      <c r="N214" s="158">
        <v>-3393</v>
      </c>
      <c r="O214" s="158">
        <v>-341056</v>
      </c>
      <c r="P214" s="158">
        <v>0</v>
      </c>
      <c r="Q214" s="158">
        <v>0</v>
      </c>
      <c r="R214" s="158">
        <v>-1000000</v>
      </c>
      <c r="S214" s="158">
        <v>0</v>
      </c>
      <c r="T214" s="158">
        <v>0</v>
      </c>
      <c r="U214" s="158">
        <v>-12518385</v>
      </c>
      <c r="V214" s="158">
        <v>202019192</v>
      </c>
      <c r="W214" s="158">
        <v>-6600000</v>
      </c>
      <c r="X214" s="158">
        <v>366259950</v>
      </c>
      <c r="Y214" s="158">
        <v>537905216</v>
      </c>
      <c r="Z214" s="158">
        <v>96342294</v>
      </c>
      <c r="AA214" s="158">
        <v>94415448</v>
      </c>
      <c r="AB214" s="158">
        <v>0</v>
      </c>
      <c r="AC214" s="158">
        <v>1926846</v>
      </c>
      <c r="AD214" s="158">
        <v>726727</v>
      </c>
      <c r="AE214" s="158">
        <v>2888006</v>
      </c>
      <c r="AF214" s="158">
        <v>1809544</v>
      </c>
      <c r="AG214" s="158">
        <v>0</v>
      </c>
      <c r="AH214" s="158">
        <v>0</v>
      </c>
      <c r="AI214" s="158">
        <v>0</v>
      </c>
      <c r="AJ214" s="158">
        <v>0</v>
      </c>
      <c r="AK214" s="158">
        <v>15972391</v>
      </c>
      <c r="AL214" s="158">
        <v>948</v>
      </c>
      <c r="AM214" s="158">
        <v>15</v>
      </c>
      <c r="AN214" s="158">
        <v>0</v>
      </c>
      <c r="AO214" s="158">
        <v>10</v>
      </c>
      <c r="AP214" s="158">
        <v>0</v>
      </c>
      <c r="AQ214" s="158">
        <v>2520</v>
      </c>
      <c r="AR214" s="158">
        <v>2</v>
      </c>
      <c r="AS214" s="158">
        <v>34</v>
      </c>
      <c r="AT214" s="158">
        <v>0</v>
      </c>
      <c r="AU214" s="158">
        <v>0</v>
      </c>
      <c r="AV214" s="158">
        <v>0</v>
      </c>
      <c r="AW214" s="158">
        <v>0</v>
      </c>
      <c r="AX214" s="158">
        <v>0</v>
      </c>
      <c r="AY214" s="158">
        <v>1418</v>
      </c>
      <c r="AZ214" s="158">
        <v>5158</v>
      </c>
      <c r="BA214" s="158">
        <v>7365</v>
      </c>
      <c r="BB214" s="158">
        <v>6792</v>
      </c>
      <c r="BC214" s="158">
        <v>573</v>
      </c>
      <c r="BD214" s="158">
        <v>6452</v>
      </c>
      <c r="BE214" s="158">
        <v>-266491</v>
      </c>
      <c r="BF214" s="158">
        <v>-2543120</v>
      </c>
      <c r="BG214" s="158">
        <v>0</v>
      </c>
      <c r="BH214" s="158">
        <v>-82482</v>
      </c>
      <c r="BI214" s="158">
        <v>-5638336</v>
      </c>
      <c r="BJ214" s="158">
        <v>-1019968</v>
      </c>
      <c r="BK214" s="158">
        <v>15114242</v>
      </c>
      <c r="BL214" s="1438">
        <v>59741350</v>
      </c>
      <c r="BM214" s="1439">
        <v>118500</v>
      </c>
      <c r="BN214" s="784" t="s">
        <v>2363</v>
      </c>
      <c r="BO214" s="784" t="s">
        <v>2364</v>
      </c>
      <c r="BP214" s="1400" t="s">
        <v>2568</v>
      </c>
      <c r="BQ214" s="509"/>
      <c r="BR214" s="509"/>
      <c r="BS214" s="509"/>
      <c r="BT214" s="509"/>
      <c r="BU214" s="509"/>
      <c r="BV214" s="509"/>
      <c r="BW214" s="509"/>
      <c r="BX214" s="509"/>
      <c r="BY214" s="509"/>
      <c r="BZ214" s="509"/>
      <c r="CA214" s="509"/>
      <c r="CB214" s="509"/>
      <c r="CC214" s="509"/>
      <c r="CD214" s="509"/>
      <c r="CE214" s="509"/>
      <c r="CF214" s="509"/>
      <c r="CG214" s="509"/>
      <c r="CH214" s="509"/>
      <c r="CI214" s="509"/>
      <c r="CJ214" s="509"/>
      <c r="CK214" s="509"/>
      <c r="CL214" s="509"/>
      <c r="CM214" s="509"/>
      <c r="CN214" s="509"/>
      <c r="CO214" s="509"/>
      <c r="CP214" s="509"/>
      <c r="CQ214" s="509"/>
      <c r="CR214" s="509"/>
      <c r="CS214" s="509"/>
    </row>
    <row r="215" spans="1:97" s="137" customFormat="1" ht="12.75" customHeight="1" x14ac:dyDescent="0.2">
      <c r="A215" s="1421">
        <v>211</v>
      </c>
      <c r="B215" s="649" t="s">
        <v>319</v>
      </c>
      <c r="C215" s="1607" t="s">
        <v>320</v>
      </c>
      <c r="D215" s="1605">
        <v>461139</v>
      </c>
      <c r="E215" s="1405">
        <v>251070405</v>
      </c>
      <c r="F215" s="1405">
        <v>12819</v>
      </c>
      <c r="G215" s="158">
        <v>-15037544</v>
      </c>
      <c r="H215" s="158">
        <v>-10275449</v>
      </c>
      <c r="I215" s="158">
        <v>-243710</v>
      </c>
      <c r="J215" s="158">
        <v>-36146</v>
      </c>
      <c r="K215" s="158">
        <v>-35056</v>
      </c>
      <c r="L215" s="158">
        <v>0</v>
      </c>
      <c r="M215" s="158">
        <v>-1998414</v>
      </c>
      <c r="N215" s="158">
        <v>-728953</v>
      </c>
      <c r="O215" s="158">
        <v>-64788</v>
      </c>
      <c r="P215" s="158">
        <v>-36485</v>
      </c>
      <c r="Q215" s="158">
        <v>0</v>
      </c>
      <c r="R215" s="158">
        <v>0</v>
      </c>
      <c r="S215" s="158">
        <v>0</v>
      </c>
      <c r="T215" s="158">
        <v>0</v>
      </c>
      <c r="U215" s="158">
        <v>-14064332</v>
      </c>
      <c r="V215" s="158">
        <v>84308747</v>
      </c>
      <c r="W215" s="158">
        <v>-3708629</v>
      </c>
      <c r="X215" s="158">
        <v>134853650</v>
      </c>
      <c r="Y215" s="158">
        <v>250851684</v>
      </c>
      <c r="Z215" s="158">
        <v>40577634</v>
      </c>
      <c r="AA215" s="158">
        <v>39766081</v>
      </c>
      <c r="AB215" s="158">
        <v>0</v>
      </c>
      <c r="AC215" s="158">
        <v>811553</v>
      </c>
      <c r="AD215" s="158">
        <v>459852</v>
      </c>
      <c r="AE215" s="158">
        <v>0</v>
      </c>
      <c r="AF215" s="158">
        <v>1540262</v>
      </c>
      <c r="AG215" s="158">
        <v>0</v>
      </c>
      <c r="AH215" s="158">
        <v>0</v>
      </c>
      <c r="AI215" s="158">
        <v>0</v>
      </c>
      <c r="AJ215" s="158">
        <v>0</v>
      </c>
      <c r="AK215" s="158">
        <v>-4886053</v>
      </c>
      <c r="AL215" s="158">
        <v>741</v>
      </c>
      <c r="AM215" s="158">
        <v>89</v>
      </c>
      <c r="AN215" s="158">
        <v>21</v>
      </c>
      <c r="AO215" s="158">
        <v>27</v>
      </c>
      <c r="AP215" s="158">
        <v>0</v>
      </c>
      <c r="AQ215" s="158">
        <v>663</v>
      </c>
      <c r="AR215" s="158">
        <v>423</v>
      </c>
      <c r="AS215" s="158">
        <v>9</v>
      </c>
      <c r="AT215" s="158">
        <v>27</v>
      </c>
      <c r="AU215" s="158">
        <v>0</v>
      </c>
      <c r="AV215" s="158">
        <v>0</v>
      </c>
      <c r="AW215" s="158">
        <v>0</v>
      </c>
      <c r="AX215" s="158">
        <v>0</v>
      </c>
      <c r="AY215" s="158">
        <v>2021</v>
      </c>
      <c r="AZ215" s="158">
        <v>819</v>
      </c>
      <c r="BA215" s="158">
        <v>6058</v>
      </c>
      <c r="BB215" s="158">
        <v>5648</v>
      </c>
      <c r="BC215" s="158">
        <v>410</v>
      </c>
      <c r="BD215" s="158">
        <v>6805</v>
      </c>
      <c r="BE215" s="158">
        <v>-121778</v>
      </c>
      <c r="BF215" s="158">
        <v>-1155889</v>
      </c>
      <c r="BG215" s="158">
        <v>0</v>
      </c>
      <c r="BH215" s="158">
        <v>-17521</v>
      </c>
      <c r="BI215" s="158">
        <v>-671589</v>
      </c>
      <c r="BJ215" s="158">
        <v>-31637</v>
      </c>
      <c r="BK215" s="158">
        <v>-2897069</v>
      </c>
      <c r="BL215" s="1438">
        <v>37956850</v>
      </c>
      <c r="BM215" s="1439">
        <v>0</v>
      </c>
      <c r="BN215" s="784" t="s">
        <v>509</v>
      </c>
      <c r="BO215" s="784" t="s">
        <v>2373</v>
      </c>
      <c r="BP215" s="1400" t="s">
        <v>2569</v>
      </c>
      <c r="BQ215" s="509"/>
      <c r="BR215" s="509"/>
      <c r="BS215" s="509"/>
      <c r="BT215" s="509"/>
      <c r="BU215" s="509"/>
      <c r="BV215" s="509"/>
      <c r="BW215" s="509"/>
      <c r="BX215" s="509"/>
      <c r="BY215" s="509"/>
      <c r="BZ215" s="509"/>
      <c r="CA215" s="509"/>
      <c r="CB215" s="509"/>
      <c r="CC215" s="509"/>
      <c r="CD215" s="509"/>
      <c r="CE215" s="509"/>
      <c r="CF215" s="509"/>
      <c r="CG215" s="509"/>
      <c r="CH215" s="509"/>
      <c r="CI215" s="509"/>
      <c r="CJ215" s="509"/>
      <c r="CK215" s="509"/>
      <c r="CL215" s="509"/>
      <c r="CM215" s="509"/>
      <c r="CN215" s="509"/>
      <c r="CO215" s="509"/>
      <c r="CP215" s="509"/>
      <c r="CQ215" s="509"/>
      <c r="CR215" s="509"/>
      <c r="CS215" s="509"/>
    </row>
    <row r="216" spans="1:97" s="137" customFormat="1" ht="12.75" customHeight="1" x14ac:dyDescent="0.2">
      <c r="A216" s="1421">
        <v>212</v>
      </c>
      <c r="B216" s="649" t="s">
        <v>523</v>
      </c>
      <c r="C216" s="1607" t="s">
        <v>322</v>
      </c>
      <c r="D216" s="1605">
        <v>195396</v>
      </c>
      <c r="E216" s="1405">
        <v>261241217</v>
      </c>
      <c r="F216" s="1405">
        <v>3445</v>
      </c>
      <c r="G216" s="158">
        <v>-2544086</v>
      </c>
      <c r="H216" s="158">
        <v>-7261920</v>
      </c>
      <c r="I216" s="158">
        <v>0</v>
      </c>
      <c r="J216" s="158">
        <v>0</v>
      </c>
      <c r="K216" s="158">
        <v>0</v>
      </c>
      <c r="L216" s="158">
        <v>0</v>
      </c>
      <c r="M216" s="158">
        <v>-822248</v>
      </c>
      <c r="N216" s="158">
        <v>-185802</v>
      </c>
      <c r="O216" s="158">
        <v>-169329</v>
      </c>
      <c r="P216" s="158">
        <v>0</v>
      </c>
      <c r="Q216" s="158">
        <v>0</v>
      </c>
      <c r="R216" s="158">
        <v>0</v>
      </c>
      <c r="S216" s="158">
        <v>0</v>
      </c>
      <c r="T216" s="158">
        <v>0</v>
      </c>
      <c r="U216" s="158">
        <v>-7738179</v>
      </c>
      <c r="V216" s="158">
        <v>121602697</v>
      </c>
      <c r="W216" s="158">
        <v>-4000000</v>
      </c>
      <c r="X216" s="158">
        <v>223871000</v>
      </c>
      <c r="Y216" s="158">
        <v>262656157</v>
      </c>
      <c r="Z216" s="158">
        <v>58511301</v>
      </c>
      <c r="AA216" s="158">
        <v>57341075</v>
      </c>
      <c r="AB216" s="158">
        <v>0</v>
      </c>
      <c r="AC216" s="158">
        <v>1170226</v>
      </c>
      <c r="AD216" s="158">
        <v>204166</v>
      </c>
      <c r="AE216" s="158">
        <v>0</v>
      </c>
      <c r="AF216" s="158">
        <v>0</v>
      </c>
      <c r="AG216" s="158">
        <v>0</v>
      </c>
      <c r="AH216" s="158">
        <v>0</v>
      </c>
      <c r="AI216" s="158">
        <v>0</v>
      </c>
      <c r="AJ216" s="158">
        <v>0</v>
      </c>
      <c r="AK216" s="158">
        <v>-7813354</v>
      </c>
      <c r="AL216" s="158">
        <v>141</v>
      </c>
      <c r="AM216" s="158">
        <v>0</v>
      </c>
      <c r="AN216" s="158">
        <v>0</v>
      </c>
      <c r="AO216" s="158">
        <v>0</v>
      </c>
      <c r="AP216" s="158">
        <v>0</v>
      </c>
      <c r="AQ216" s="158">
        <v>124</v>
      </c>
      <c r="AR216" s="158">
        <v>23</v>
      </c>
      <c r="AS216" s="158">
        <v>3</v>
      </c>
      <c r="AT216" s="158">
        <v>0</v>
      </c>
      <c r="AU216" s="158">
        <v>0</v>
      </c>
      <c r="AV216" s="158">
        <v>0</v>
      </c>
      <c r="AW216" s="158">
        <v>0</v>
      </c>
      <c r="AX216" s="158">
        <v>0</v>
      </c>
      <c r="AY216" s="158">
        <v>616</v>
      </c>
      <c r="AZ216" s="158">
        <v>774</v>
      </c>
      <c r="BA216" s="158">
        <v>710</v>
      </c>
      <c r="BB216" s="158">
        <v>610</v>
      </c>
      <c r="BC216" s="158">
        <v>100</v>
      </c>
      <c r="BD216" s="158">
        <v>2184</v>
      </c>
      <c r="BE216" s="158">
        <v>-124731</v>
      </c>
      <c r="BF216" s="158">
        <v>-82159</v>
      </c>
      <c r="BG216" s="158">
        <v>0</v>
      </c>
      <c r="BH216" s="158">
        <v>-98483</v>
      </c>
      <c r="BI216" s="158">
        <v>-516875</v>
      </c>
      <c r="BJ216" s="158">
        <v>0</v>
      </c>
      <c r="BK216" s="158">
        <v>3282799</v>
      </c>
      <c r="BL216" s="1438">
        <v>20617650</v>
      </c>
      <c r="BM216" s="1439">
        <v>0</v>
      </c>
      <c r="BN216" s="784" t="s">
        <v>509</v>
      </c>
      <c r="BO216" s="784" t="s">
        <v>2350</v>
      </c>
      <c r="BP216" s="1400" t="s">
        <v>2570</v>
      </c>
      <c r="BQ216" s="509"/>
      <c r="BR216" s="509"/>
      <c r="BS216" s="509"/>
      <c r="BT216" s="509"/>
      <c r="BU216" s="509"/>
      <c r="BV216" s="509"/>
      <c r="BW216" s="509"/>
      <c r="BX216" s="509"/>
      <c r="BY216" s="509"/>
      <c r="BZ216" s="509"/>
      <c r="CA216" s="509"/>
      <c r="CB216" s="509"/>
      <c r="CC216" s="509"/>
      <c r="CD216" s="509"/>
      <c r="CE216" s="509"/>
      <c r="CF216" s="509"/>
      <c r="CG216" s="509"/>
      <c r="CH216" s="509"/>
      <c r="CI216" s="509"/>
      <c r="CJ216" s="509"/>
      <c r="CK216" s="509"/>
      <c r="CL216" s="509"/>
      <c r="CM216" s="509"/>
      <c r="CN216" s="509"/>
      <c r="CO216" s="509"/>
      <c r="CP216" s="509"/>
      <c r="CQ216" s="509"/>
      <c r="CR216" s="509"/>
      <c r="CS216" s="509"/>
    </row>
    <row r="217" spans="1:97" s="137" customFormat="1" ht="12.75" customHeight="1" x14ac:dyDescent="0.2">
      <c r="A217" s="1421">
        <v>213</v>
      </c>
      <c r="B217" s="649" t="s">
        <v>323</v>
      </c>
      <c r="C217" s="1607" t="s">
        <v>324</v>
      </c>
      <c r="D217" s="1605">
        <v>243541</v>
      </c>
      <c r="E217" s="1405">
        <v>278405821</v>
      </c>
      <c r="F217" s="1405">
        <v>5360</v>
      </c>
      <c r="G217" s="158">
        <v>-4218132</v>
      </c>
      <c r="H217" s="158">
        <v>-6442947</v>
      </c>
      <c r="I217" s="158">
        <v>-113892</v>
      </c>
      <c r="J217" s="158">
        <v>0</v>
      </c>
      <c r="K217" s="158">
        <v>0</v>
      </c>
      <c r="L217" s="158">
        <v>-52091</v>
      </c>
      <c r="M217" s="158">
        <v>-2374234</v>
      </c>
      <c r="N217" s="158">
        <v>-44787</v>
      </c>
      <c r="O217" s="158">
        <v>-6213</v>
      </c>
      <c r="P217" s="158">
        <v>0</v>
      </c>
      <c r="Q217" s="158">
        <v>0</v>
      </c>
      <c r="R217" s="158">
        <v>0</v>
      </c>
      <c r="S217" s="158">
        <v>0</v>
      </c>
      <c r="T217" s="158">
        <v>0</v>
      </c>
      <c r="U217" s="158">
        <v>-6223766</v>
      </c>
      <c r="V217" s="158">
        <v>132143742</v>
      </c>
      <c r="W217" s="158">
        <v>-4096935</v>
      </c>
      <c r="X217" s="158">
        <v>223855600</v>
      </c>
      <c r="Y217" s="158">
        <v>279307323</v>
      </c>
      <c r="Z217" s="158">
        <v>0</v>
      </c>
      <c r="AA217" s="158">
        <v>126938975</v>
      </c>
      <c r="AB217" s="158">
        <v>0</v>
      </c>
      <c r="AC217" s="158">
        <v>1282212</v>
      </c>
      <c r="AD217" s="158">
        <v>243291</v>
      </c>
      <c r="AE217" s="158">
        <v>0</v>
      </c>
      <c r="AF217" s="158">
        <v>0</v>
      </c>
      <c r="AG217" s="158">
        <v>0</v>
      </c>
      <c r="AH217" s="158">
        <v>0</v>
      </c>
      <c r="AI217" s="158">
        <v>0</v>
      </c>
      <c r="AJ217" s="158">
        <v>0</v>
      </c>
      <c r="AK217" s="158">
        <v>-4716604</v>
      </c>
      <c r="AL217" s="158">
        <v>215</v>
      </c>
      <c r="AM217" s="158">
        <v>19</v>
      </c>
      <c r="AN217" s="158">
        <v>0</v>
      </c>
      <c r="AO217" s="158">
        <v>0</v>
      </c>
      <c r="AP217" s="158">
        <v>0</v>
      </c>
      <c r="AQ217" s="158">
        <v>229</v>
      </c>
      <c r="AR217" s="158">
        <v>25</v>
      </c>
      <c r="AS217" s="158">
        <v>2</v>
      </c>
      <c r="AT217" s="158">
        <v>0</v>
      </c>
      <c r="AU217" s="158">
        <v>0</v>
      </c>
      <c r="AV217" s="158">
        <v>0</v>
      </c>
      <c r="AW217" s="158">
        <v>0</v>
      </c>
      <c r="AX217" s="158">
        <v>0</v>
      </c>
      <c r="AY217" s="158">
        <v>670</v>
      </c>
      <c r="AZ217" s="158">
        <v>1930</v>
      </c>
      <c r="BA217" s="158">
        <v>1442</v>
      </c>
      <c r="BB217" s="158">
        <v>1293</v>
      </c>
      <c r="BC217" s="158">
        <v>149</v>
      </c>
      <c r="BD217" s="158">
        <v>1988</v>
      </c>
      <c r="BE217" s="158">
        <v>-189235</v>
      </c>
      <c r="BF217" s="158">
        <v>-553542</v>
      </c>
      <c r="BG217" s="158">
        <v>0</v>
      </c>
      <c r="BH217" s="158">
        <v>0</v>
      </c>
      <c r="BI217" s="158">
        <v>-110996</v>
      </c>
      <c r="BJ217" s="158">
        <v>-1599522</v>
      </c>
      <c r="BK217" s="158">
        <v>-9402504</v>
      </c>
      <c r="BL217" s="1438">
        <v>25892250</v>
      </c>
      <c r="BM217" s="1439">
        <v>0</v>
      </c>
      <c r="BN217" s="784" t="s">
        <v>2363</v>
      </c>
      <c r="BO217" s="784" t="s">
        <v>2373</v>
      </c>
      <c r="BP217" s="1400" t="s">
        <v>2571</v>
      </c>
      <c r="BQ217" s="509"/>
      <c r="BR217" s="509"/>
      <c r="BS217" s="509"/>
      <c r="BT217" s="509"/>
      <c r="BU217" s="509"/>
      <c r="BV217" s="509"/>
      <c r="BW217" s="509"/>
      <c r="BX217" s="509"/>
      <c r="BY217" s="509"/>
      <c r="BZ217" s="509"/>
      <c r="CA217" s="509"/>
      <c r="CB217" s="509"/>
      <c r="CC217" s="509"/>
      <c r="CD217" s="509"/>
      <c r="CE217" s="509"/>
      <c r="CF217" s="509"/>
      <c r="CG217" s="509"/>
      <c r="CH217" s="509"/>
      <c r="CI217" s="509"/>
      <c r="CJ217" s="509"/>
      <c r="CK217" s="509"/>
      <c r="CL217" s="509"/>
      <c r="CM217" s="509"/>
      <c r="CN217" s="509"/>
      <c r="CO217" s="509"/>
      <c r="CP217" s="509"/>
      <c r="CQ217" s="509"/>
      <c r="CR217" s="509"/>
      <c r="CS217" s="509"/>
    </row>
    <row r="218" spans="1:97" s="137" customFormat="1" ht="12.75" customHeight="1" x14ac:dyDescent="0.2">
      <c r="A218" s="1421">
        <v>214</v>
      </c>
      <c r="B218" s="649" t="s">
        <v>641</v>
      </c>
      <c r="C218" s="1607" t="s">
        <v>2335</v>
      </c>
      <c r="D218" s="1605">
        <v>833658</v>
      </c>
      <c r="E218" s="1405">
        <v>502219293</v>
      </c>
      <c r="F218" s="1405">
        <v>22742</v>
      </c>
      <c r="G218" s="158">
        <v>-25623633</v>
      </c>
      <c r="H218" s="158">
        <v>-18502257</v>
      </c>
      <c r="I218" s="158">
        <v>-243185</v>
      </c>
      <c r="J218" s="158">
        <v>-244465</v>
      </c>
      <c r="K218" s="158">
        <v>-71514</v>
      </c>
      <c r="L218" s="158">
        <v>-18495</v>
      </c>
      <c r="M218" s="158">
        <v>-4899528</v>
      </c>
      <c r="N218" s="158">
        <v>-968908</v>
      </c>
      <c r="O218" s="158">
        <v>-185111</v>
      </c>
      <c r="P218" s="158">
        <v>-23576</v>
      </c>
      <c r="Q218" s="158">
        <v>-9539</v>
      </c>
      <c r="R218" s="158">
        <v>0</v>
      </c>
      <c r="S218" s="158">
        <v>0</v>
      </c>
      <c r="T218" s="158">
        <v>0</v>
      </c>
      <c r="U218" s="158">
        <v>-22048282</v>
      </c>
      <c r="V218" s="158">
        <v>182199626</v>
      </c>
      <c r="W218" s="158">
        <v>-7574463</v>
      </c>
      <c r="X218" s="158">
        <v>242639134</v>
      </c>
      <c r="Y218" s="158">
        <v>503210672</v>
      </c>
      <c r="Z218" s="158">
        <v>87498804</v>
      </c>
      <c r="AA218" s="158">
        <v>85748827</v>
      </c>
      <c r="AB218" s="158">
        <v>0</v>
      </c>
      <c r="AC218" s="158">
        <v>1749976</v>
      </c>
      <c r="AD218" s="158">
        <v>835383</v>
      </c>
      <c r="AE218" s="158">
        <v>1784</v>
      </c>
      <c r="AF218" s="158">
        <v>1995851</v>
      </c>
      <c r="AG218" s="158">
        <v>0</v>
      </c>
      <c r="AH218" s="158">
        <v>0</v>
      </c>
      <c r="AI218" s="158">
        <v>0</v>
      </c>
      <c r="AJ218" s="158">
        <v>0</v>
      </c>
      <c r="AK218" s="158">
        <v>3025504</v>
      </c>
      <c r="AL218" s="158">
        <v>1332</v>
      </c>
      <c r="AM218" s="158">
        <v>49</v>
      </c>
      <c r="AN218" s="158">
        <v>148</v>
      </c>
      <c r="AO218" s="158">
        <v>30</v>
      </c>
      <c r="AP218" s="158">
        <v>2</v>
      </c>
      <c r="AQ218" s="158">
        <v>1719</v>
      </c>
      <c r="AR218" s="158">
        <v>562</v>
      </c>
      <c r="AS218" s="158">
        <v>36</v>
      </c>
      <c r="AT218" s="158">
        <v>16</v>
      </c>
      <c r="AU218" s="158">
        <v>3</v>
      </c>
      <c r="AV218" s="158">
        <v>1</v>
      </c>
      <c r="AW218" s="158">
        <v>0</v>
      </c>
      <c r="AX218" s="158">
        <v>1</v>
      </c>
      <c r="AY218" s="158">
        <v>2640</v>
      </c>
      <c r="AZ218" s="158">
        <v>3664</v>
      </c>
      <c r="BA218" s="158">
        <v>10467</v>
      </c>
      <c r="BB218" s="158">
        <v>9792</v>
      </c>
      <c r="BC218" s="158">
        <v>675</v>
      </c>
      <c r="BD218" s="158">
        <v>7848</v>
      </c>
      <c r="BE218" s="158">
        <v>-328271</v>
      </c>
      <c r="BF218" s="158">
        <v>-2248407</v>
      </c>
      <c r="BG218" s="158">
        <v>0</v>
      </c>
      <c r="BH218" s="158">
        <v>-133338</v>
      </c>
      <c r="BI218" s="158">
        <v>-1385592</v>
      </c>
      <c r="BJ218" s="158">
        <v>-803920</v>
      </c>
      <c r="BK218" s="158">
        <v>-714161</v>
      </c>
      <c r="BL218" s="1438">
        <v>73446539.469999999</v>
      </c>
      <c r="BM218" s="1439">
        <v>0</v>
      </c>
      <c r="BN218" s="784" t="s">
        <v>509</v>
      </c>
      <c r="BO218" s="784" t="s">
        <v>2369</v>
      </c>
      <c r="BP218" s="1400" t="s">
        <v>2656</v>
      </c>
      <c r="BQ218" s="509"/>
      <c r="BR218" s="509"/>
      <c r="BS218" s="509"/>
      <c r="BT218" s="509"/>
      <c r="BU218" s="509"/>
      <c r="BV218" s="509"/>
      <c r="BW218" s="509"/>
      <c r="BX218" s="509"/>
      <c r="BY218" s="509"/>
      <c r="BZ218" s="509"/>
      <c r="CA218" s="509"/>
      <c r="CB218" s="509"/>
      <c r="CC218" s="509"/>
      <c r="CD218" s="509"/>
      <c r="CE218" s="509"/>
      <c r="CF218" s="509"/>
      <c r="CG218" s="509"/>
      <c r="CH218" s="509"/>
      <c r="CI218" s="509"/>
      <c r="CJ218" s="509"/>
      <c r="CK218" s="509"/>
      <c r="CL218" s="509"/>
      <c r="CM218" s="509"/>
      <c r="CN218" s="509"/>
      <c r="CO218" s="509"/>
      <c r="CP218" s="509"/>
      <c r="CQ218" s="509"/>
      <c r="CR218" s="509"/>
      <c r="CS218" s="509"/>
    </row>
    <row r="219" spans="1:97" s="137" customFormat="1" ht="12.75" customHeight="1" x14ac:dyDescent="0.2">
      <c r="A219" s="1421">
        <v>215</v>
      </c>
      <c r="B219" s="649" t="s">
        <v>325</v>
      </c>
      <c r="C219" s="1607" t="s">
        <v>326</v>
      </c>
      <c r="D219" s="1605">
        <v>257051</v>
      </c>
      <c r="E219" s="1405">
        <v>285248118</v>
      </c>
      <c r="F219" s="1405">
        <v>5570</v>
      </c>
      <c r="G219" s="158">
        <v>-4647517</v>
      </c>
      <c r="H219" s="158">
        <v>-14624368</v>
      </c>
      <c r="I219" s="158">
        <v>-25287</v>
      </c>
      <c r="J219" s="158">
        <v>-54808</v>
      </c>
      <c r="K219" s="158">
        <v>-524</v>
      </c>
      <c r="L219" s="158">
        <v>0</v>
      </c>
      <c r="M219" s="158">
        <v>-1427732</v>
      </c>
      <c r="N219" s="158">
        <v>-143356</v>
      </c>
      <c r="O219" s="158">
        <v>-74657</v>
      </c>
      <c r="P219" s="158">
        <v>0</v>
      </c>
      <c r="Q219" s="158">
        <v>-32036</v>
      </c>
      <c r="R219" s="158">
        <v>-135844</v>
      </c>
      <c r="S219" s="158">
        <v>-135844</v>
      </c>
      <c r="T219" s="158">
        <v>0</v>
      </c>
      <c r="U219" s="158">
        <v>-3398106</v>
      </c>
      <c r="V219" s="158">
        <v>125017245</v>
      </c>
      <c r="W219" s="158">
        <v>-9889128</v>
      </c>
      <c r="X219" s="158">
        <v>225425000</v>
      </c>
      <c r="Y219" s="158">
        <v>284029879</v>
      </c>
      <c r="Z219" s="158">
        <v>56633920</v>
      </c>
      <c r="AA219" s="158">
        <v>45415812</v>
      </c>
      <c r="AB219" s="158">
        <v>10218558</v>
      </c>
      <c r="AC219" s="158">
        <v>1135395</v>
      </c>
      <c r="AD219" s="158">
        <v>254611</v>
      </c>
      <c r="AE219" s="158">
        <v>1499699</v>
      </c>
      <c r="AF219" s="158">
        <v>1021140</v>
      </c>
      <c r="AG219" s="158">
        <v>0</v>
      </c>
      <c r="AH219" s="158">
        <v>135844</v>
      </c>
      <c r="AI219" s="158">
        <v>0</v>
      </c>
      <c r="AJ219" s="158">
        <v>0</v>
      </c>
      <c r="AK219" s="158">
        <v>7142189</v>
      </c>
      <c r="AL219" s="158">
        <v>289</v>
      </c>
      <c r="AM219" s="158">
        <v>4</v>
      </c>
      <c r="AN219" s="158">
        <v>18</v>
      </c>
      <c r="AO219" s="158">
        <v>1</v>
      </c>
      <c r="AP219" s="158">
        <v>0</v>
      </c>
      <c r="AQ219" s="158">
        <v>289</v>
      </c>
      <c r="AR219" s="158">
        <v>142</v>
      </c>
      <c r="AS219" s="158">
        <v>13</v>
      </c>
      <c r="AT219" s="158">
        <v>5</v>
      </c>
      <c r="AU219" s="158">
        <v>0</v>
      </c>
      <c r="AV219" s="158">
        <v>0</v>
      </c>
      <c r="AW219" s="158">
        <v>3</v>
      </c>
      <c r="AX219" s="158">
        <v>0</v>
      </c>
      <c r="AY219" s="158">
        <v>307</v>
      </c>
      <c r="AZ219" s="158">
        <v>816</v>
      </c>
      <c r="BA219" s="158">
        <v>1658</v>
      </c>
      <c r="BB219" s="158">
        <v>1531</v>
      </c>
      <c r="BC219" s="158">
        <v>127</v>
      </c>
      <c r="BD219" s="158">
        <v>2265</v>
      </c>
      <c r="BE219" s="158">
        <v>-188184</v>
      </c>
      <c r="BF219" s="158">
        <v>-180525</v>
      </c>
      <c r="BG219" s="158">
        <v>0</v>
      </c>
      <c r="BH219" s="158">
        <v>0</v>
      </c>
      <c r="BI219" s="158">
        <v>-835479</v>
      </c>
      <c r="BJ219" s="158">
        <v>-223544</v>
      </c>
      <c r="BK219" s="158">
        <v>4245630</v>
      </c>
      <c r="BL219" s="1438">
        <v>25904333</v>
      </c>
      <c r="BM219" s="1439">
        <v>121250</v>
      </c>
      <c r="BN219" s="784" t="s">
        <v>2349</v>
      </c>
      <c r="BO219" s="784" t="s">
        <v>2357</v>
      </c>
      <c r="BP219" s="1400" t="s">
        <v>2572</v>
      </c>
      <c r="BQ219" s="509"/>
      <c r="BR219" s="509"/>
      <c r="BS219" s="509"/>
      <c r="BT219" s="509"/>
      <c r="BU219" s="509"/>
      <c r="BV219" s="509"/>
      <c r="BW219" s="509"/>
      <c r="BX219" s="509"/>
      <c r="BY219" s="509"/>
      <c r="BZ219" s="509"/>
      <c r="CA219" s="509"/>
      <c r="CB219" s="509"/>
      <c r="CC219" s="509"/>
      <c r="CD219" s="509"/>
      <c r="CE219" s="509"/>
      <c r="CF219" s="509"/>
      <c r="CG219" s="509"/>
      <c r="CH219" s="509"/>
      <c r="CI219" s="509"/>
      <c r="CJ219" s="509"/>
      <c r="CK219" s="509"/>
      <c r="CL219" s="509"/>
      <c r="CM219" s="509"/>
      <c r="CN219" s="509"/>
      <c r="CO219" s="509"/>
      <c r="CP219" s="509"/>
      <c r="CQ219" s="509"/>
      <c r="CR219" s="509"/>
      <c r="CS219" s="509"/>
    </row>
    <row r="220" spans="1:97" s="137" customFormat="1" ht="12.75" customHeight="1" x14ac:dyDescent="0.2">
      <c r="A220" s="1421">
        <v>216</v>
      </c>
      <c r="B220" s="649" t="s">
        <v>327</v>
      </c>
      <c r="C220" s="1607" t="s">
        <v>328</v>
      </c>
      <c r="D220" s="1605">
        <v>97311</v>
      </c>
      <c r="E220" s="1405">
        <v>77910601</v>
      </c>
      <c r="F220" s="1405">
        <v>2482</v>
      </c>
      <c r="G220" s="158">
        <v>-3060136</v>
      </c>
      <c r="H220" s="158">
        <v>-2126063</v>
      </c>
      <c r="I220" s="158">
        <v>-32043</v>
      </c>
      <c r="J220" s="158">
        <v>-41691</v>
      </c>
      <c r="K220" s="158">
        <v>-9207</v>
      </c>
      <c r="L220" s="158">
        <v>-320000</v>
      </c>
      <c r="M220" s="158">
        <v>-993780</v>
      </c>
      <c r="N220" s="158">
        <v>-12655</v>
      </c>
      <c r="O220" s="158">
        <v>0</v>
      </c>
      <c r="P220" s="158">
        <v>0</v>
      </c>
      <c r="Q220" s="158">
        <v>-842</v>
      </c>
      <c r="R220" s="158">
        <v>0</v>
      </c>
      <c r="S220" s="158">
        <v>0</v>
      </c>
      <c r="T220" s="158">
        <v>0</v>
      </c>
      <c r="U220" s="158">
        <v>-2067095</v>
      </c>
      <c r="V220" s="158">
        <v>32175134</v>
      </c>
      <c r="W220" s="158">
        <v>-1000000</v>
      </c>
      <c r="X220" s="158">
        <v>52500500</v>
      </c>
      <c r="Y220" s="158">
        <v>75210493</v>
      </c>
      <c r="Z220" s="158">
        <v>15748897</v>
      </c>
      <c r="AA220" s="158">
        <v>12599117</v>
      </c>
      <c r="AB220" s="158">
        <v>2834801</v>
      </c>
      <c r="AC220" s="158">
        <v>314978</v>
      </c>
      <c r="AD220" s="158">
        <v>96686</v>
      </c>
      <c r="AE220" s="158">
        <v>0</v>
      </c>
      <c r="AF220" s="158">
        <v>0</v>
      </c>
      <c r="AG220" s="158">
        <v>0</v>
      </c>
      <c r="AH220" s="158">
        <v>0</v>
      </c>
      <c r="AI220" s="158">
        <v>0</v>
      </c>
      <c r="AJ220" s="158">
        <v>0</v>
      </c>
      <c r="AK220" s="158">
        <v>877293</v>
      </c>
      <c r="AL220" s="158">
        <v>140</v>
      </c>
      <c r="AM220" s="158">
        <v>7</v>
      </c>
      <c r="AN220" s="158">
        <v>7</v>
      </c>
      <c r="AO220" s="158">
        <v>6</v>
      </c>
      <c r="AP220" s="158">
        <v>1</v>
      </c>
      <c r="AQ220" s="158">
        <v>158</v>
      </c>
      <c r="AR220" s="158">
        <v>14</v>
      </c>
      <c r="AS220" s="158">
        <v>0</v>
      </c>
      <c r="AT220" s="158">
        <v>0</v>
      </c>
      <c r="AU220" s="158">
        <v>0</v>
      </c>
      <c r="AV220" s="158">
        <v>1</v>
      </c>
      <c r="AW220" s="158">
        <v>0</v>
      </c>
      <c r="AX220" s="158">
        <v>0</v>
      </c>
      <c r="AY220" s="158">
        <v>296</v>
      </c>
      <c r="AZ220" s="158">
        <v>197</v>
      </c>
      <c r="BA220" s="158">
        <v>1086</v>
      </c>
      <c r="BB220" s="158">
        <v>1003</v>
      </c>
      <c r="BC220" s="158">
        <v>83</v>
      </c>
      <c r="BD220" s="158">
        <v>1185</v>
      </c>
      <c r="BE220" s="158">
        <v>-566949</v>
      </c>
      <c r="BF220" s="158">
        <v>-170936</v>
      </c>
      <c r="BG220" s="158">
        <v>0</v>
      </c>
      <c r="BH220" s="158">
        <v>-4341</v>
      </c>
      <c r="BI220" s="158">
        <v>-249832</v>
      </c>
      <c r="BJ220" s="158">
        <v>-1722</v>
      </c>
      <c r="BK220" s="158">
        <v>-1089591</v>
      </c>
      <c r="BL220" s="1438">
        <v>7453250</v>
      </c>
      <c r="BM220" s="1439">
        <v>0</v>
      </c>
      <c r="BN220" s="784" t="s">
        <v>2349</v>
      </c>
      <c r="BO220" s="784" t="s">
        <v>2352</v>
      </c>
      <c r="BP220" s="1400" t="s">
        <v>2573</v>
      </c>
      <c r="BQ220" s="509"/>
      <c r="BR220" s="509"/>
      <c r="BS220" s="509"/>
      <c r="BT220" s="509"/>
      <c r="BU220" s="509"/>
      <c r="BV220" s="509"/>
      <c r="BW220" s="509"/>
      <c r="BX220" s="509"/>
      <c r="BY220" s="509"/>
      <c r="BZ220" s="509"/>
      <c r="CA220" s="509"/>
      <c r="CB220" s="509"/>
      <c r="CC220" s="509"/>
      <c r="CD220" s="509"/>
      <c r="CE220" s="509"/>
      <c r="CF220" s="509"/>
      <c r="CG220" s="509"/>
      <c r="CH220" s="509"/>
      <c r="CI220" s="509"/>
      <c r="CJ220" s="509"/>
      <c r="CK220" s="509"/>
      <c r="CL220" s="509"/>
      <c r="CM220" s="509"/>
      <c r="CN220" s="509"/>
      <c r="CO220" s="509"/>
      <c r="CP220" s="509"/>
      <c r="CQ220" s="509"/>
      <c r="CR220" s="509"/>
      <c r="CS220" s="509"/>
    </row>
    <row r="221" spans="1:97" s="137" customFormat="1" ht="12.75" customHeight="1" x14ac:dyDescent="0.2">
      <c r="A221" s="1421">
        <v>217</v>
      </c>
      <c r="B221" s="649" t="s">
        <v>513</v>
      </c>
      <c r="C221" s="1607" t="s">
        <v>330</v>
      </c>
      <c r="D221" s="1605">
        <v>354864</v>
      </c>
      <c r="E221" s="1405">
        <v>382541587</v>
      </c>
      <c r="F221" s="1405">
        <v>7748</v>
      </c>
      <c r="G221" s="158">
        <v>-6806053</v>
      </c>
      <c r="H221" s="158">
        <v>-12013295</v>
      </c>
      <c r="I221" s="158">
        <v>-98232</v>
      </c>
      <c r="J221" s="158">
        <v>-37426</v>
      </c>
      <c r="K221" s="158">
        <v>-15070</v>
      </c>
      <c r="L221" s="158">
        <v>0</v>
      </c>
      <c r="M221" s="158">
        <v>-7000000</v>
      </c>
      <c r="N221" s="158">
        <v>-97485</v>
      </c>
      <c r="O221" s="158">
        <v>-34305</v>
      </c>
      <c r="P221" s="158">
        <v>0</v>
      </c>
      <c r="Q221" s="158">
        <v>-5334</v>
      </c>
      <c r="R221" s="158">
        <v>0</v>
      </c>
      <c r="S221" s="158">
        <v>0</v>
      </c>
      <c r="T221" s="158">
        <v>0</v>
      </c>
      <c r="U221" s="158">
        <v>-6463294</v>
      </c>
      <c r="V221" s="158">
        <v>165192833</v>
      </c>
      <c r="W221" s="158">
        <v>-3000000</v>
      </c>
      <c r="X221" s="158">
        <v>297794200</v>
      </c>
      <c r="Y221" s="158">
        <v>373115293</v>
      </c>
      <c r="Z221" s="158">
        <v>0</v>
      </c>
      <c r="AA221" s="158">
        <v>129752939</v>
      </c>
      <c r="AB221" s="158">
        <v>6901752</v>
      </c>
      <c r="AC221" s="158">
        <v>1380350</v>
      </c>
      <c r="AD221" s="158">
        <v>354119</v>
      </c>
      <c r="AE221" s="158">
        <v>25800366</v>
      </c>
      <c r="AF221" s="158">
        <v>656746</v>
      </c>
      <c r="AG221" s="158">
        <v>0</v>
      </c>
      <c r="AH221" s="158">
        <v>0</v>
      </c>
      <c r="AI221" s="158">
        <v>0</v>
      </c>
      <c r="AJ221" s="158">
        <v>0</v>
      </c>
      <c r="AK221" s="158">
        <v>8382417</v>
      </c>
      <c r="AL221" s="158">
        <v>415</v>
      </c>
      <c r="AM221" s="158">
        <v>29</v>
      </c>
      <c r="AN221" s="158">
        <v>13</v>
      </c>
      <c r="AO221" s="158">
        <v>13</v>
      </c>
      <c r="AP221" s="158">
        <v>0</v>
      </c>
      <c r="AQ221" s="158">
        <v>678</v>
      </c>
      <c r="AR221" s="158">
        <v>164</v>
      </c>
      <c r="AS221" s="158">
        <v>17</v>
      </c>
      <c r="AT221" s="158">
        <v>29</v>
      </c>
      <c r="AU221" s="158">
        <v>13</v>
      </c>
      <c r="AV221" s="158">
        <v>1</v>
      </c>
      <c r="AW221" s="158">
        <v>3</v>
      </c>
      <c r="AX221" s="158">
        <v>0</v>
      </c>
      <c r="AY221" s="158">
        <v>778</v>
      </c>
      <c r="AZ221" s="158">
        <v>1225</v>
      </c>
      <c r="BA221" s="158">
        <v>2483</v>
      </c>
      <c r="BB221" s="158">
        <v>2319</v>
      </c>
      <c r="BC221" s="158">
        <v>164</v>
      </c>
      <c r="BD221" s="158">
        <v>4104</v>
      </c>
      <c r="BE221" s="158">
        <v>-619646</v>
      </c>
      <c r="BF221" s="158">
        <v>-1039527</v>
      </c>
      <c r="BG221" s="158">
        <v>0</v>
      </c>
      <c r="BH221" s="158">
        <v>0</v>
      </c>
      <c r="BI221" s="158">
        <v>-2580602</v>
      </c>
      <c r="BJ221" s="158">
        <v>-2760225</v>
      </c>
      <c r="BK221" s="158">
        <v>6354217</v>
      </c>
      <c r="BL221" s="1438">
        <v>7515250</v>
      </c>
      <c r="BM221" s="1439">
        <v>126000</v>
      </c>
      <c r="BN221" s="784" t="s">
        <v>509</v>
      </c>
      <c r="BO221" s="784" t="s">
        <v>2369</v>
      </c>
      <c r="BP221" s="1400" t="s">
        <v>2574</v>
      </c>
      <c r="BQ221" s="509"/>
      <c r="BR221" s="509"/>
      <c r="BS221" s="509"/>
      <c r="BT221" s="509"/>
      <c r="BU221" s="509"/>
      <c r="BV221" s="509"/>
      <c r="BW221" s="509"/>
      <c r="BX221" s="509"/>
      <c r="BY221" s="509"/>
      <c r="BZ221" s="509"/>
      <c r="CA221" s="509"/>
      <c r="CB221" s="509"/>
      <c r="CC221" s="509"/>
      <c r="CD221" s="509"/>
      <c r="CE221" s="509"/>
      <c r="CF221" s="509"/>
      <c r="CG221" s="509"/>
      <c r="CH221" s="509"/>
      <c r="CI221" s="509"/>
      <c r="CJ221" s="509"/>
      <c r="CK221" s="509"/>
      <c r="CL221" s="509"/>
      <c r="CM221" s="509"/>
      <c r="CN221" s="509"/>
      <c r="CO221" s="509"/>
      <c r="CP221" s="509"/>
      <c r="CQ221" s="509"/>
      <c r="CR221" s="509"/>
      <c r="CS221" s="509"/>
    </row>
    <row r="222" spans="1:97" s="137" customFormat="1" ht="12.75" customHeight="1" x14ac:dyDescent="0.2">
      <c r="A222" s="1421">
        <v>218</v>
      </c>
      <c r="B222" s="649" t="s">
        <v>331</v>
      </c>
      <c r="C222" s="1607" t="s">
        <v>332</v>
      </c>
      <c r="D222" s="1605">
        <v>217137</v>
      </c>
      <c r="E222" s="1405">
        <v>94991237</v>
      </c>
      <c r="F222" s="1405">
        <v>6244</v>
      </c>
      <c r="G222" s="158">
        <v>-8664873</v>
      </c>
      <c r="H222" s="158">
        <v>-3150942</v>
      </c>
      <c r="I222" s="158">
        <v>-143210</v>
      </c>
      <c r="J222" s="158">
        <v>-50327</v>
      </c>
      <c r="K222" s="158">
        <v>-47352</v>
      </c>
      <c r="L222" s="158">
        <v>-500000</v>
      </c>
      <c r="M222" s="158">
        <v>-809498</v>
      </c>
      <c r="N222" s="158">
        <v>-115124</v>
      </c>
      <c r="O222" s="158">
        <v>-5000</v>
      </c>
      <c r="P222" s="158">
        <v>-12000</v>
      </c>
      <c r="Q222" s="158">
        <v>0</v>
      </c>
      <c r="R222" s="158">
        <v>0</v>
      </c>
      <c r="S222" s="158">
        <v>0</v>
      </c>
      <c r="T222" s="158">
        <v>0</v>
      </c>
      <c r="U222" s="158">
        <v>-6196824</v>
      </c>
      <c r="V222" s="158">
        <v>28220205</v>
      </c>
      <c r="W222" s="158">
        <v>-843438</v>
      </c>
      <c r="X222" s="158">
        <v>44106151</v>
      </c>
      <c r="Y222" s="158">
        <v>94773919</v>
      </c>
      <c r="Z222" s="158">
        <v>13842086</v>
      </c>
      <c r="AA222" s="158">
        <v>11073670</v>
      </c>
      <c r="AB222" s="158">
        <v>2491576</v>
      </c>
      <c r="AC222" s="158">
        <v>276842</v>
      </c>
      <c r="AD222" s="158">
        <v>222213</v>
      </c>
      <c r="AE222" s="158">
        <v>0</v>
      </c>
      <c r="AF222" s="158">
        <v>289520</v>
      </c>
      <c r="AG222" s="158">
        <v>0</v>
      </c>
      <c r="AH222" s="158">
        <v>0</v>
      </c>
      <c r="AI222" s="158">
        <v>0</v>
      </c>
      <c r="AJ222" s="158">
        <v>0</v>
      </c>
      <c r="AK222" s="158">
        <v>-455476</v>
      </c>
      <c r="AL222" s="158">
        <v>344</v>
      </c>
      <c r="AM222" s="158">
        <v>20</v>
      </c>
      <c r="AN222" s="158">
        <v>19</v>
      </c>
      <c r="AO222" s="158">
        <v>43</v>
      </c>
      <c r="AP222" s="158">
        <v>0</v>
      </c>
      <c r="AQ222" s="158">
        <v>184</v>
      </c>
      <c r="AR222" s="158">
        <v>154</v>
      </c>
      <c r="AS222" s="158">
        <v>1</v>
      </c>
      <c r="AT222" s="158">
        <v>1</v>
      </c>
      <c r="AU222" s="158">
        <v>0</v>
      </c>
      <c r="AV222" s="158">
        <v>0</v>
      </c>
      <c r="AW222" s="158">
        <v>0</v>
      </c>
      <c r="AX222" s="158">
        <v>0</v>
      </c>
      <c r="AY222" s="158">
        <v>974</v>
      </c>
      <c r="AZ222" s="158">
        <v>1136</v>
      </c>
      <c r="BA222" s="158">
        <v>3464</v>
      </c>
      <c r="BB222" s="158">
        <v>3324</v>
      </c>
      <c r="BC222" s="158">
        <v>140</v>
      </c>
      <c r="BD222" s="158">
        <v>1783</v>
      </c>
      <c r="BE222" s="158">
        <v>-260226</v>
      </c>
      <c r="BF222" s="158">
        <v>-320277</v>
      </c>
      <c r="BG222" s="158">
        <v>0</v>
      </c>
      <c r="BH222" s="158">
        <v>-13659</v>
      </c>
      <c r="BI222" s="158">
        <v>-135710</v>
      </c>
      <c r="BJ222" s="158">
        <v>-79626</v>
      </c>
      <c r="BK222" s="158">
        <v>-1200586</v>
      </c>
      <c r="BL222" s="1438">
        <v>16485425</v>
      </c>
      <c r="BM222" s="1439">
        <v>0</v>
      </c>
      <c r="BN222" s="784" t="s">
        <v>2349</v>
      </c>
      <c r="BO222" s="784" t="s">
        <v>2369</v>
      </c>
      <c r="BP222" s="1400" t="s">
        <v>2575</v>
      </c>
      <c r="BQ222" s="509"/>
      <c r="BR222" s="509"/>
      <c r="BS222" s="509"/>
      <c r="BT222" s="509"/>
      <c r="BU222" s="509"/>
      <c r="BV222" s="509"/>
      <c r="BW222" s="509"/>
      <c r="BX222" s="509"/>
      <c r="BY222" s="509"/>
      <c r="BZ222" s="509"/>
      <c r="CA222" s="509"/>
      <c r="CB222" s="509"/>
      <c r="CC222" s="509"/>
      <c r="CD222" s="509"/>
      <c r="CE222" s="509"/>
      <c r="CF222" s="509"/>
      <c r="CG222" s="509"/>
      <c r="CH222" s="509"/>
      <c r="CI222" s="509"/>
      <c r="CJ222" s="509"/>
      <c r="CK222" s="509"/>
      <c r="CL222" s="509"/>
      <c r="CM222" s="509"/>
      <c r="CN222" s="509"/>
      <c r="CO222" s="509"/>
      <c r="CP222" s="509"/>
      <c r="CQ222" s="509"/>
      <c r="CR222" s="509"/>
      <c r="CS222" s="509"/>
    </row>
    <row r="223" spans="1:97" s="137" customFormat="1" ht="12.75" customHeight="1" x14ac:dyDescent="0.2">
      <c r="A223" s="1421">
        <v>219</v>
      </c>
      <c r="B223" s="649" t="s">
        <v>333</v>
      </c>
      <c r="C223" s="1607" t="s">
        <v>334</v>
      </c>
      <c r="D223" s="1605">
        <v>108463</v>
      </c>
      <c r="E223" s="1405">
        <v>65995181</v>
      </c>
      <c r="F223" s="1405">
        <v>2953</v>
      </c>
      <c r="G223" s="158">
        <v>-3394366</v>
      </c>
      <c r="H223" s="158">
        <v>-1714656</v>
      </c>
      <c r="I223" s="158">
        <v>-57750</v>
      </c>
      <c r="J223" s="158">
        <v>-34577</v>
      </c>
      <c r="K223" s="158">
        <v>-15743</v>
      </c>
      <c r="L223" s="158">
        <v>0</v>
      </c>
      <c r="M223" s="158">
        <v>-135061</v>
      </c>
      <c r="N223" s="158">
        <v>-75170</v>
      </c>
      <c r="O223" s="158">
        <v>-210302</v>
      </c>
      <c r="P223" s="158">
        <v>-7574</v>
      </c>
      <c r="Q223" s="158">
        <v>0</v>
      </c>
      <c r="R223" s="158">
        <v>0</v>
      </c>
      <c r="S223" s="158">
        <v>0</v>
      </c>
      <c r="T223" s="158">
        <v>0</v>
      </c>
      <c r="U223" s="158">
        <v>-2028896</v>
      </c>
      <c r="V223" s="158">
        <v>26098875</v>
      </c>
      <c r="W223" s="158">
        <v>-260989</v>
      </c>
      <c r="X223" s="158">
        <v>40064000</v>
      </c>
      <c r="Y223" s="158">
        <v>65382762</v>
      </c>
      <c r="Z223" s="158">
        <v>12709846</v>
      </c>
      <c r="AA223" s="158">
        <v>10167877</v>
      </c>
      <c r="AB223" s="158">
        <v>2541969</v>
      </c>
      <c r="AC223" s="158">
        <v>0</v>
      </c>
      <c r="AD223" s="158">
        <v>107700</v>
      </c>
      <c r="AE223" s="158">
        <v>0</v>
      </c>
      <c r="AF223" s="158">
        <v>420650</v>
      </c>
      <c r="AG223" s="158">
        <v>0</v>
      </c>
      <c r="AH223" s="158">
        <v>0</v>
      </c>
      <c r="AI223" s="158">
        <v>0</v>
      </c>
      <c r="AJ223" s="158">
        <v>0</v>
      </c>
      <c r="AK223" s="158">
        <v>958723</v>
      </c>
      <c r="AL223" s="158">
        <v>136</v>
      </c>
      <c r="AM223" s="158">
        <v>17</v>
      </c>
      <c r="AN223" s="158">
        <v>17</v>
      </c>
      <c r="AO223" s="158">
        <v>7</v>
      </c>
      <c r="AP223" s="158">
        <v>0</v>
      </c>
      <c r="AQ223" s="158">
        <v>88</v>
      </c>
      <c r="AR223" s="158">
        <v>90</v>
      </c>
      <c r="AS223" s="158">
        <v>8</v>
      </c>
      <c r="AT223" s="158">
        <v>12</v>
      </c>
      <c r="AU223" s="158">
        <v>0</v>
      </c>
      <c r="AV223" s="158">
        <v>0</v>
      </c>
      <c r="AW223" s="158">
        <v>0</v>
      </c>
      <c r="AX223" s="158">
        <v>0</v>
      </c>
      <c r="AY223" s="158">
        <v>264</v>
      </c>
      <c r="AZ223" s="158">
        <v>220</v>
      </c>
      <c r="BA223" s="158">
        <v>1387</v>
      </c>
      <c r="BB223" s="158">
        <v>1304</v>
      </c>
      <c r="BC223" s="158">
        <v>83</v>
      </c>
      <c r="BD223" s="158">
        <v>1329</v>
      </c>
      <c r="BE223" s="158">
        <v>0</v>
      </c>
      <c r="BF223" s="158">
        <v>-62637</v>
      </c>
      <c r="BG223" s="158">
        <v>0</v>
      </c>
      <c r="BH223" s="158">
        <v>0</v>
      </c>
      <c r="BI223" s="158">
        <v>-72424</v>
      </c>
      <c r="BJ223" s="158">
        <v>0</v>
      </c>
      <c r="BK223" s="158">
        <v>1746974</v>
      </c>
      <c r="BL223" s="1438">
        <v>9372850</v>
      </c>
      <c r="BM223" s="1439">
        <v>0</v>
      </c>
      <c r="BN223" s="784" t="s">
        <v>2349</v>
      </c>
      <c r="BO223" s="784" t="s">
        <v>2352</v>
      </c>
      <c r="BP223" s="1400" t="s">
        <v>2576</v>
      </c>
      <c r="BQ223" s="509"/>
      <c r="BR223" s="509"/>
      <c r="BS223" s="509"/>
      <c r="BT223" s="509"/>
      <c r="BU223" s="509"/>
      <c r="BV223" s="509"/>
      <c r="BW223" s="509"/>
      <c r="BX223" s="509"/>
      <c r="BY223" s="509"/>
      <c r="BZ223" s="509"/>
      <c r="CA223" s="509"/>
      <c r="CB223" s="509"/>
      <c r="CC223" s="509"/>
      <c r="CD223" s="509"/>
      <c r="CE223" s="509"/>
      <c r="CF223" s="509"/>
      <c r="CG223" s="509"/>
      <c r="CH223" s="509"/>
      <c r="CI223" s="509"/>
      <c r="CJ223" s="509"/>
      <c r="CK223" s="509"/>
      <c r="CL223" s="509"/>
      <c r="CM223" s="509"/>
      <c r="CN223" s="509"/>
      <c r="CO223" s="509"/>
      <c r="CP223" s="509"/>
      <c r="CQ223" s="509"/>
      <c r="CR223" s="509"/>
      <c r="CS223" s="509"/>
    </row>
    <row r="224" spans="1:97" s="137" customFormat="1" ht="12.75" customHeight="1" x14ac:dyDescent="0.2">
      <c r="A224" s="1421">
        <v>220</v>
      </c>
      <c r="B224" s="649" t="s">
        <v>335</v>
      </c>
      <c r="C224" s="1607" t="s">
        <v>336</v>
      </c>
      <c r="D224" s="1605">
        <v>176033</v>
      </c>
      <c r="E224" s="1405">
        <v>114219280</v>
      </c>
      <c r="F224" s="1405">
        <v>4729</v>
      </c>
      <c r="G224" s="158">
        <v>-5067162</v>
      </c>
      <c r="H224" s="158">
        <v>-4179996</v>
      </c>
      <c r="I224" s="158">
        <v>-179940</v>
      </c>
      <c r="J224" s="158">
        <v>-72146</v>
      </c>
      <c r="K224" s="158">
        <v>-9905</v>
      </c>
      <c r="L224" s="158">
        <v>0</v>
      </c>
      <c r="M224" s="158">
        <v>-1865825</v>
      </c>
      <c r="N224" s="158">
        <v>-29363</v>
      </c>
      <c r="O224" s="158">
        <v>-1329</v>
      </c>
      <c r="P224" s="158">
        <v>-1472</v>
      </c>
      <c r="Q224" s="158">
        <v>-31273</v>
      </c>
      <c r="R224" s="158">
        <v>-100000</v>
      </c>
      <c r="S224" s="158">
        <v>0</v>
      </c>
      <c r="T224" s="158">
        <v>0</v>
      </c>
      <c r="U224" s="158">
        <v>-3401451</v>
      </c>
      <c r="V224" s="158">
        <v>43095449</v>
      </c>
      <c r="W224" s="158">
        <v>-1000000</v>
      </c>
      <c r="X224" s="158">
        <v>67297750</v>
      </c>
      <c r="Y224" s="158">
        <v>113981773</v>
      </c>
      <c r="Z224" s="158">
        <v>20996756</v>
      </c>
      <c r="AA224" s="158">
        <v>16797405</v>
      </c>
      <c r="AB224" s="158">
        <v>4199351</v>
      </c>
      <c r="AC224" s="158">
        <v>0</v>
      </c>
      <c r="AD224" s="158">
        <v>174979</v>
      </c>
      <c r="AE224" s="158">
        <v>0</v>
      </c>
      <c r="AF224" s="158">
        <v>348317</v>
      </c>
      <c r="AG224" s="158">
        <v>0</v>
      </c>
      <c r="AH224" s="158">
        <v>0</v>
      </c>
      <c r="AI224" s="158">
        <v>0</v>
      </c>
      <c r="AJ224" s="158">
        <v>0</v>
      </c>
      <c r="AK224" s="158">
        <v>-1002304</v>
      </c>
      <c r="AL224" s="158">
        <v>229</v>
      </c>
      <c r="AM224" s="158">
        <v>29</v>
      </c>
      <c r="AN224" s="158">
        <v>24</v>
      </c>
      <c r="AO224" s="158">
        <v>0</v>
      </c>
      <c r="AP224" s="158">
        <v>0</v>
      </c>
      <c r="AQ224" s="158">
        <v>439</v>
      </c>
      <c r="AR224" s="158">
        <v>67</v>
      </c>
      <c r="AS224" s="158">
        <v>2</v>
      </c>
      <c r="AT224" s="158">
        <v>1</v>
      </c>
      <c r="AU224" s="158">
        <v>0</v>
      </c>
      <c r="AV224" s="158">
        <v>8</v>
      </c>
      <c r="AW224" s="158">
        <v>0</v>
      </c>
      <c r="AX224" s="158">
        <v>0</v>
      </c>
      <c r="AY224" s="158">
        <v>401</v>
      </c>
      <c r="AZ224" s="158">
        <v>1028</v>
      </c>
      <c r="BA224" s="158">
        <v>1890</v>
      </c>
      <c r="BB224" s="158">
        <v>1781</v>
      </c>
      <c r="BC224" s="158">
        <v>109</v>
      </c>
      <c r="BD224" s="158">
        <v>5</v>
      </c>
      <c r="BE224" s="158">
        <v>-100133</v>
      </c>
      <c r="BF224" s="158">
        <v>-665656</v>
      </c>
      <c r="BG224" s="158">
        <v>0</v>
      </c>
      <c r="BH224" s="158">
        <v>0</v>
      </c>
      <c r="BI224" s="158">
        <v>-1100036</v>
      </c>
      <c r="BJ224" s="158">
        <v>0</v>
      </c>
      <c r="BK224" s="158">
        <v>2580202</v>
      </c>
      <c r="BL224" s="1438">
        <v>19705400</v>
      </c>
      <c r="BM224" s="1439">
        <v>0</v>
      </c>
      <c r="BN224" s="784" t="s">
        <v>2349</v>
      </c>
      <c r="BO224" s="784" t="s">
        <v>2352</v>
      </c>
      <c r="BP224" s="1400" t="s">
        <v>2577</v>
      </c>
      <c r="BQ224" s="509"/>
      <c r="BR224" s="509"/>
      <c r="BS224" s="509"/>
      <c r="BT224" s="509"/>
      <c r="BU224" s="509"/>
      <c r="BV224" s="509"/>
      <c r="BW224" s="509"/>
      <c r="BX224" s="509"/>
      <c r="BY224" s="509"/>
      <c r="BZ224" s="509"/>
      <c r="CA224" s="509"/>
      <c r="CB224" s="509"/>
      <c r="CC224" s="509"/>
      <c r="CD224" s="509"/>
      <c r="CE224" s="509"/>
      <c r="CF224" s="509"/>
      <c r="CG224" s="509"/>
      <c r="CH224" s="509"/>
      <c r="CI224" s="509"/>
      <c r="CJ224" s="509"/>
      <c r="CK224" s="509"/>
      <c r="CL224" s="509"/>
      <c r="CM224" s="509"/>
      <c r="CN224" s="509"/>
      <c r="CO224" s="509"/>
      <c r="CP224" s="509"/>
      <c r="CQ224" s="509"/>
      <c r="CR224" s="509"/>
      <c r="CS224" s="509"/>
    </row>
    <row r="225" spans="1:98" s="137" customFormat="1" ht="12.75" customHeight="1" x14ac:dyDescent="0.2">
      <c r="A225" s="1421">
        <v>221</v>
      </c>
      <c r="B225" s="649" t="s">
        <v>337</v>
      </c>
      <c r="C225" s="1607" t="s">
        <v>338</v>
      </c>
      <c r="D225" s="1605">
        <v>180010</v>
      </c>
      <c r="E225" s="1405">
        <v>100022678</v>
      </c>
      <c r="F225" s="1405">
        <v>4986</v>
      </c>
      <c r="G225" s="158">
        <v>-5051971</v>
      </c>
      <c r="H225" s="158">
        <v>-5704518</v>
      </c>
      <c r="I225" s="158">
        <v>-91190</v>
      </c>
      <c r="J225" s="158">
        <v>-47789</v>
      </c>
      <c r="K225" s="158">
        <v>-12639</v>
      </c>
      <c r="L225" s="158">
        <v>0</v>
      </c>
      <c r="M225" s="158">
        <v>-604371</v>
      </c>
      <c r="N225" s="158">
        <v>-122677</v>
      </c>
      <c r="O225" s="158">
        <v>-138370</v>
      </c>
      <c r="P225" s="158">
        <v>-4362</v>
      </c>
      <c r="Q225" s="158">
        <v>-65910</v>
      </c>
      <c r="R225" s="158">
        <v>-237783</v>
      </c>
      <c r="S225" s="158">
        <v>-162435</v>
      </c>
      <c r="T225" s="158">
        <v>0</v>
      </c>
      <c r="U225" s="158">
        <v>-3602406</v>
      </c>
      <c r="V225" s="158">
        <v>35284605</v>
      </c>
      <c r="W225" s="158">
        <v>-657831</v>
      </c>
      <c r="X225" s="158">
        <v>59708800</v>
      </c>
      <c r="Y225" s="158">
        <v>99380771</v>
      </c>
      <c r="Z225" s="158">
        <v>16801476</v>
      </c>
      <c r="AA225" s="158">
        <v>13571128</v>
      </c>
      <c r="AB225" s="158">
        <v>3392782</v>
      </c>
      <c r="AC225" s="158">
        <v>0</v>
      </c>
      <c r="AD225" s="158">
        <v>179556</v>
      </c>
      <c r="AE225" s="158">
        <v>571761</v>
      </c>
      <c r="AF225" s="158">
        <v>690455</v>
      </c>
      <c r="AG225" s="158">
        <v>0</v>
      </c>
      <c r="AH225" s="158">
        <v>162435</v>
      </c>
      <c r="AI225" s="158">
        <v>0</v>
      </c>
      <c r="AJ225" s="158">
        <v>0</v>
      </c>
      <c r="AK225" s="158">
        <v>287054</v>
      </c>
      <c r="AL225" s="158">
        <v>312</v>
      </c>
      <c r="AM225" s="158">
        <v>11</v>
      </c>
      <c r="AN225" s="158">
        <v>37</v>
      </c>
      <c r="AO225" s="158">
        <v>8</v>
      </c>
      <c r="AP225" s="158">
        <v>0</v>
      </c>
      <c r="AQ225" s="158">
        <v>114</v>
      </c>
      <c r="AR225" s="158">
        <v>167</v>
      </c>
      <c r="AS225" s="158">
        <v>27</v>
      </c>
      <c r="AT225" s="158">
        <v>8</v>
      </c>
      <c r="AU225" s="158">
        <v>42</v>
      </c>
      <c r="AV225" s="158">
        <v>0</v>
      </c>
      <c r="AW225" s="158">
        <v>6</v>
      </c>
      <c r="AX225" s="158">
        <v>19</v>
      </c>
      <c r="AY225" s="158">
        <v>487</v>
      </c>
      <c r="AZ225" s="158">
        <v>960</v>
      </c>
      <c r="BA225" s="158">
        <v>2336</v>
      </c>
      <c r="BB225" s="158">
        <v>2226</v>
      </c>
      <c r="BC225" s="158">
        <v>110</v>
      </c>
      <c r="BD225" s="158">
        <v>1691</v>
      </c>
      <c r="BE225" s="158">
        <v>-38806</v>
      </c>
      <c r="BF225" s="158">
        <v>-388242</v>
      </c>
      <c r="BG225" s="158">
        <v>0</v>
      </c>
      <c r="BH225" s="158">
        <v>0</v>
      </c>
      <c r="BI225" s="158">
        <v>-156185</v>
      </c>
      <c r="BJ225" s="158">
        <v>-21138</v>
      </c>
      <c r="BK225" s="158">
        <v>164092</v>
      </c>
      <c r="BL225" s="1438">
        <v>13091850</v>
      </c>
      <c r="BM225" s="1439">
        <v>70000</v>
      </c>
      <c r="BN225" s="784" t="s">
        <v>2349</v>
      </c>
      <c r="BO225" s="784" t="s">
        <v>2357</v>
      </c>
      <c r="BP225" s="1400" t="s">
        <v>2578</v>
      </c>
      <c r="BQ225" s="509"/>
      <c r="BR225" s="509"/>
      <c r="BS225" s="509"/>
      <c r="BT225" s="509"/>
      <c r="BU225" s="509"/>
      <c r="BV225" s="509"/>
      <c r="BW225" s="509"/>
      <c r="BX225" s="509"/>
      <c r="BY225" s="509"/>
      <c r="BZ225" s="509"/>
      <c r="CA225" s="509"/>
      <c r="CB225" s="509"/>
      <c r="CC225" s="509"/>
      <c r="CD225" s="509"/>
      <c r="CE225" s="509"/>
      <c r="CF225" s="509"/>
      <c r="CG225" s="509"/>
      <c r="CH225" s="509"/>
      <c r="CI225" s="509"/>
      <c r="CJ225" s="509"/>
      <c r="CK225" s="509"/>
      <c r="CL225" s="509"/>
      <c r="CM225" s="509"/>
      <c r="CN225" s="509"/>
      <c r="CO225" s="509"/>
      <c r="CP225" s="509"/>
      <c r="CQ225" s="509"/>
      <c r="CR225" s="509"/>
      <c r="CS225" s="509"/>
    </row>
    <row r="226" spans="1:98" s="137" customFormat="1" ht="12.75" customHeight="1" x14ac:dyDescent="0.2">
      <c r="A226" s="1421">
        <v>222</v>
      </c>
      <c r="B226" s="649" t="s">
        <v>339</v>
      </c>
      <c r="C226" s="1607" t="s">
        <v>340</v>
      </c>
      <c r="D226" s="1605">
        <v>187653</v>
      </c>
      <c r="E226" s="1405">
        <v>140573812</v>
      </c>
      <c r="F226" s="1405">
        <v>4562</v>
      </c>
      <c r="G226" s="158">
        <v>-4482649</v>
      </c>
      <c r="H226" s="158">
        <v>-5938985</v>
      </c>
      <c r="I226" s="158">
        <v>-70982</v>
      </c>
      <c r="J226" s="158">
        <v>-62195</v>
      </c>
      <c r="K226" s="158">
        <v>-12295</v>
      </c>
      <c r="L226" s="158">
        <v>0</v>
      </c>
      <c r="M226" s="158">
        <v>-1268202</v>
      </c>
      <c r="N226" s="158">
        <v>-210887</v>
      </c>
      <c r="O226" s="158">
        <v>-16717</v>
      </c>
      <c r="P226" s="158">
        <v>-8873</v>
      </c>
      <c r="Q226" s="158">
        <v>-1040</v>
      </c>
      <c r="R226" s="158">
        <v>0</v>
      </c>
      <c r="S226" s="158">
        <v>0</v>
      </c>
      <c r="T226" s="158">
        <v>0</v>
      </c>
      <c r="U226" s="158">
        <v>-4404448</v>
      </c>
      <c r="V226" s="158">
        <v>53184125</v>
      </c>
      <c r="W226" s="158">
        <v>-4527643</v>
      </c>
      <c r="X226" s="158">
        <v>85325300</v>
      </c>
      <c r="Y226" s="158">
        <v>135384773</v>
      </c>
      <c r="Z226" s="158">
        <v>24283501</v>
      </c>
      <c r="AA226" s="158">
        <v>19426801</v>
      </c>
      <c r="AB226" s="158">
        <v>4856700</v>
      </c>
      <c r="AC226" s="158">
        <v>0</v>
      </c>
      <c r="AD226" s="158">
        <v>184503</v>
      </c>
      <c r="AE226" s="158">
        <v>80665</v>
      </c>
      <c r="AF226" s="158">
        <v>358249</v>
      </c>
      <c r="AG226" s="158">
        <v>0</v>
      </c>
      <c r="AH226" s="158">
        <v>0</v>
      </c>
      <c r="AI226" s="158">
        <v>0</v>
      </c>
      <c r="AJ226" s="158">
        <v>0</v>
      </c>
      <c r="AK226" s="158">
        <v>560677</v>
      </c>
      <c r="AL226" s="158">
        <v>313</v>
      </c>
      <c r="AM226" s="158">
        <v>21</v>
      </c>
      <c r="AN226" s="158">
        <v>21</v>
      </c>
      <c r="AO226" s="158">
        <v>11</v>
      </c>
      <c r="AP226" s="158">
        <v>0</v>
      </c>
      <c r="AQ226" s="158">
        <v>365</v>
      </c>
      <c r="AR226" s="158">
        <v>163</v>
      </c>
      <c r="AS226" s="158">
        <v>2</v>
      </c>
      <c r="AT226" s="158">
        <v>21</v>
      </c>
      <c r="AU226" s="158">
        <v>0</v>
      </c>
      <c r="AV226" s="158">
        <v>1</v>
      </c>
      <c r="AW226" s="158">
        <v>0</v>
      </c>
      <c r="AX226" s="158">
        <v>0</v>
      </c>
      <c r="AY226" s="158">
        <v>455</v>
      </c>
      <c r="AZ226" s="158">
        <v>1149</v>
      </c>
      <c r="BA226" s="158">
        <v>1557</v>
      </c>
      <c r="BB226" s="158">
        <v>1421</v>
      </c>
      <c r="BC226" s="158">
        <v>136</v>
      </c>
      <c r="BD226" s="158">
        <v>1873</v>
      </c>
      <c r="BE226" s="158">
        <v>-22766</v>
      </c>
      <c r="BF226" s="158">
        <v>-656653</v>
      </c>
      <c r="BG226" s="158">
        <v>0</v>
      </c>
      <c r="BH226" s="158">
        <v>-3055</v>
      </c>
      <c r="BI226" s="158">
        <v>-87450</v>
      </c>
      <c r="BJ226" s="158">
        <v>-498278</v>
      </c>
      <c r="BK226" s="158">
        <v>1982981</v>
      </c>
      <c r="BL226" s="1438">
        <v>20031900</v>
      </c>
      <c r="BM226" s="1439">
        <v>0</v>
      </c>
      <c r="BN226" s="784" t="s">
        <v>2349</v>
      </c>
      <c r="BO226" s="784" t="s">
        <v>2350</v>
      </c>
      <c r="BP226" s="1400" t="s">
        <v>2579</v>
      </c>
      <c r="BQ226" s="509"/>
      <c r="BR226" s="509"/>
      <c r="BS226" s="509"/>
      <c r="BT226" s="509"/>
      <c r="BU226" s="509"/>
      <c r="BV226" s="509"/>
      <c r="BW226" s="509"/>
      <c r="BX226" s="509"/>
      <c r="BY226" s="509"/>
      <c r="BZ226" s="509"/>
      <c r="CA226" s="509"/>
      <c r="CB226" s="509"/>
      <c r="CC226" s="509"/>
      <c r="CD226" s="509"/>
      <c r="CE226" s="509"/>
      <c r="CF226" s="509"/>
      <c r="CG226" s="509"/>
      <c r="CH226" s="509"/>
      <c r="CI226" s="509"/>
      <c r="CJ226" s="509"/>
      <c r="CK226" s="509"/>
      <c r="CL226" s="509"/>
      <c r="CM226" s="509"/>
      <c r="CN226" s="509"/>
      <c r="CO226" s="509"/>
      <c r="CP226" s="509"/>
      <c r="CQ226" s="509"/>
      <c r="CR226" s="509"/>
      <c r="CS226" s="509"/>
    </row>
    <row r="227" spans="1:98" s="137" customFormat="1" ht="12.75" customHeight="1" x14ac:dyDescent="0.2">
      <c r="A227" s="1421">
        <v>223</v>
      </c>
      <c r="B227" s="649" t="s">
        <v>341</v>
      </c>
      <c r="C227" s="1607" t="s">
        <v>342</v>
      </c>
      <c r="D227" s="1605">
        <v>132001</v>
      </c>
      <c r="E227" s="1405">
        <v>104433902</v>
      </c>
      <c r="F227" s="1405">
        <v>3378</v>
      </c>
      <c r="G227" s="158">
        <v>-4127933</v>
      </c>
      <c r="H227" s="158">
        <v>-2795815</v>
      </c>
      <c r="I227" s="158">
        <v>0</v>
      </c>
      <c r="J227" s="158">
        <v>0</v>
      </c>
      <c r="K227" s="158">
        <v>0</v>
      </c>
      <c r="L227" s="158">
        <v>0</v>
      </c>
      <c r="M227" s="158">
        <v>-271526</v>
      </c>
      <c r="N227" s="158">
        <v>-141441</v>
      </c>
      <c r="O227" s="158">
        <v>-30509</v>
      </c>
      <c r="P227" s="158">
        <v>-1210</v>
      </c>
      <c r="Q227" s="158">
        <v>0</v>
      </c>
      <c r="R227" s="158">
        <v>0</v>
      </c>
      <c r="S227" s="158">
        <v>0</v>
      </c>
      <c r="T227" s="158">
        <v>0</v>
      </c>
      <c r="U227" s="158">
        <v>-2869112</v>
      </c>
      <c r="V227" s="158">
        <v>43565851</v>
      </c>
      <c r="W227" s="158">
        <v>-1600000</v>
      </c>
      <c r="X227" s="158">
        <v>71320975</v>
      </c>
      <c r="Y227" s="158">
        <v>104291296</v>
      </c>
      <c r="Z227" s="158">
        <v>20966891</v>
      </c>
      <c r="AA227" s="158">
        <v>16773514</v>
      </c>
      <c r="AB227" s="158">
        <v>3774041</v>
      </c>
      <c r="AC227" s="158">
        <v>419338</v>
      </c>
      <c r="AD227" s="158">
        <v>131016</v>
      </c>
      <c r="AE227" s="158">
        <v>115520</v>
      </c>
      <c r="AF227" s="158">
        <v>2919</v>
      </c>
      <c r="AG227" s="158">
        <v>0</v>
      </c>
      <c r="AH227" s="158">
        <v>0</v>
      </c>
      <c r="AI227" s="158">
        <v>0</v>
      </c>
      <c r="AJ227" s="158">
        <v>0</v>
      </c>
      <c r="AK227" s="158">
        <v>-462923</v>
      </c>
      <c r="AL227" s="158">
        <v>135</v>
      </c>
      <c r="AM227" s="158">
        <v>4</v>
      </c>
      <c r="AN227" s="158">
        <v>0</v>
      </c>
      <c r="AO227" s="158">
        <v>0</v>
      </c>
      <c r="AP227" s="158">
        <v>0</v>
      </c>
      <c r="AQ227" s="158">
        <v>100</v>
      </c>
      <c r="AR227" s="158">
        <v>56</v>
      </c>
      <c r="AS227" s="158">
        <v>12</v>
      </c>
      <c r="AT227" s="158">
        <v>1</v>
      </c>
      <c r="AU227" s="158">
        <v>0</v>
      </c>
      <c r="AV227" s="158">
        <v>0</v>
      </c>
      <c r="AW227" s="158">
        <v>0</v>
      </c>
      <c r="AX227" s="158">
        <v>0</v>
      </c>
      <c r="AY227" s="158">
        <v>318</v>
      </c>
      <c r="AZ227" s="158">
        <v>340</v>
      </c>
      <c r="BA227" s="158">
        <v>1498</v>
      </c>
      <c r="BB227" s="158">
        <v>1384</v>
      </c>
      <c r="BC227" s="158">
        <v>114</v>
      </c>
      <c r="BD227" s="158">
        <v>1516</v>
      </c>
      <c r="BE227" s="158">
        <v>-39861</v>
      </c>
      <c r="BF227" s="158">
        <v>-14927</v>
      </c>
      <c r="BG227" s="158">
        <v>0</v>
      </c>
      <c r="BH227" s="158">
        <v>0</v>
      </c>
      <c r="BI227" s="158">
        <v>-213280</v>
      </c>
      <c r="BJ227" s="158">
        <v>-3458</v>
      </c>
      <c r="BK227" s="158">
        <v>474094</v>
      </c>
      <c r="BL227" s="1438">
        <v>12826100</v>
      </c>
      <c r="BM227" s="1439">
        <v>0</v>
      </c>
      <c r="BN227" s="784" t="s">
        <v>2349</v>
      </c>
      <c r="BO227" s="784" t="s">
        <v>2376</v>
      </c>
      <c r="BP227" s="1400" t="s">
        <v>2580</v>
      </c>
      <c r="BQ227" s="509"/>
      <c r="BR227" s="509"/>
      <c r="BS227" s="509"/>
      <c r="BT227" s="509"/>
      <c r="BU227" s="509"/>
      <c r="BV227" s="509"/>
      <c r="BW227" s="509"/>
      <c r="BX227" s="509"/>
      <c r="BY227" s="509"/>
      <c r="BZ227" s="509"/>
      <c r="CA227" s="509"/>
      <c r="CB227" s="509"/>
      <c r="CC227" s="509"/>
      <c r="CD227" s="509"/>
      <c r="CE227" s="509"/>
      <c r="CF227" s="509"/>
      <c r="CG227" s="509"/>
      <c r="CH227" s="509"/>
      <c r="CI227" s="509"/>
      <c r="CJ227" s="509"/>
      <c r="CK227" s="509"/>
      <c r="CL227" s="509"/>
      <c r="CM227" s="509"/>
      <c r="CN227" s="509"/>
      <c r="CO227" s="509"/>
      <c r="CP227" s="509"/>
      <c r="CQ227" s="509"/>
      <c r="CR227" s="509"/>
      <c r="CS227" s="509"/>
    </row>
    <row r="228" spans="1:98" s="137" customFormat="1" ht="12.75" customHeight="1" x14ac:dyDescent="0.2">
      <c r="A228" s="1421">
        <v>224</v>
      </c>
      <c r="B228" s="649" t="s">
        <v>343</v>
      </c>
      <c r="C228" s="1607" t="s">
        <v>344</v>
      </c>
      <c r="D228" s="1605">
        <v>111407</v>
      </c>
      <c r="E228" s="1405">
        <v>87134814</v>
      </c>
      <c r="F228" s="1405">
        <v>2860</v>
      </c>
      <c r="G228" s="158">
        <v>-3728747</v>
      </c>
      <c r="H228" s="158">
        <v>-1748468</v>
      </c>
      <c r="I228" s="158">
        <v>-38996</v>
      </c>
      <c r="J228" s="158">
        <v>-6642</v>
      </c>
      <c r="K228" s="158">
        <v>-3755</v>
      </c>
      <c r="L228" s="158">
        <v>0</v>
      </c>
      <c r="M228" s="158">
        <v>-453344</v>
      </c>
      <c r="N228" s="158">
        <v>-50039</v>
      </c>
      <c r="O228" s="158">
        <v>-229628</v>
      </c>
      <c r="P228" s="158">
        <v>-8951</v>
      </c>
      <c r="Q228" s="158">
        <v>0</v>
      </c>
      <c r="R228" s="158">
        <v>0</v>
      </c>
      <c r="S228" s="158">
        <v>0</v>
      </c>
      <c r="T228" s="158">
        <v>0</v>
      </c>
      <c r="U228" s="158">
        <v>-2851660</v>
      </c>
      <c r="V228" s="158">
        <v>33829124</v>
      </c>
      <c r="W228" s="158">
        <v>-832813</v>
      </c>
      <c r="X228" s="158">
        <v>57066300</v>
      </c>
      <c r="Y228" s="158">
        <v>84019950</v>
      </c>
      <c r="Z228" s="158">
        <v>13523161</v>
      </c>
      <c r="AA228" s="158">
        <v>10818529</v>
      </c>
      <c r="AB228" s="158">
        <v>2434169</v>
      </c>
      <c r="AC228" s="158">
        <v>270463</v>
      </c>
      <c r="AD228" s="158">
        <v>109914</v>
      </c>
      <c r="AE228" s="158">
        <v>6635538</v>
      </c>
      <c r="AF228" s="158">
        <v>280953</v>
      </c>
      <c r="AG228" s="158">
        <v>0</v>
      </c>
      <c r="AH228" s="158">
        <v>0</v>
      </c>
      <c r="AI228" s="158">
        <v>0</v>
      </c>
      <c r="AJ228" s="158">
        <v>0</v>
      </c>
      <c r="AK228" s="158">
        <v>-787894</v>
      </c>
      <c r="AL228" s="158">
        <v>134</v>
      </c>
      <c r="AM228" s="158">
        <v>14</v>
      </c>
      <c r="AN228" s="158">
        <v>6</v>
      </c>
      <c r="AO228" s="158">
        <v>4</v>
      </c>
      <c r="AP228" s="158">
        <v>0</v>
      </c>
      <c r="AQ228" s="158">
        <v>154</v>
      </c>
      <c r="AR228" s="158">
        <v>60</v>
      </c>
      <c r="AS228" s="158">
        <v>23</v>
      </c>
      <c r="AT228" s="158">
        <v>10</v>
      </c>
      <c r="AU228" s="158">
        <v>0</v>
      </c>
      <c r="AV228" s="158">
        <v>0</v>
      </c>
      <c r="AW228" s="158">
        <v>0</v>
      </c>
      <c r="AX228" s="158">
        <v>0</v>
      </c>
      <c r="AY228" s="158">
        <v>315</v>
      </c>
      <c r="AZ228" s="158">
        <v>207</v>
      </c>
      <c r="BA228" s="158">
        <v>1337</v>
      </c>
      <c r="BB228" s="158">
        <v>1223</v>
      </c>
      <c r="BC228" s="158">
        <v>114</v>
      </c>
      <c r="BD228" s="158">
        <v>1302</v>
      </c>
      <c r="BE228" s="158">
        <v>-133961</v>
      </c>
      <c r="BF228" s="158">
        <v>-54696</v>
      </c>
      <c r="BG228" s="158">
        <v>0</v>
      </c>
      <c r="BH228" s="158">
        <v>0</v>
      </c>
      <c r="BI228" s="158">
        <v>-264687</v>
      </c>
      <c r="BJ228" s="158">
        <v>0</v>
      </c>
      <c r="BK228" s="158">
        <v>-496891</v>
      </c>
      <c r="BL228" s="1438">
        <v>8057525</v>
      </c>
      <c r="BM228" s="1439">
        <v>0</v>
      </c>
      <c r="BN228" s="784" t="s">
        <v>2349</v>
      </c>
      <c r="BO228" s="784" t="s">
        <v>2373</v>
      </c>
      <c r="BP228" s="1400" t="s">
        <v>2581</v>
      </c>
      <c r="BQ228" s="509"/>
      <c r="BR228" s="509"/>
      <c r="BS228" s="509"/>
      <c r="BT228" s="509"/>
      <c r="BU228" s="509"/>
      <c r="BV228" s="509"/>
      <c r="BW228" s="509"/>
      <c r="BX228" s="509"/>
      <c r="BY228" s="509"/>
      <c r="BZ228" s="509"/>
      <c r="CA228" s="509"/>
      <c r="CB228" s="509"/>
      <c r="CC228" s="509"/>
      <c r="CD228" s="509"/>
      <c r="CE228" s="509"/>
      <c r="CF228" s="509"/>
      <c r="CG228" s="509"/>
      <c r="CH228" s="509"/>
      <c r="CI228" s="509"/>
      <c r="CJ228" s="509"/>
      <c r="CK228" s="509"/>
      <c r="CL228" s="509"/>
      <c r="CM228" s="509"/>
      <c r="CN228" s="509"/>
      <c r="CO228" s="509"/>
      <c r="CP228" s="509"/>
      <c r="CQ228" s="509"/>
      <c r="CR228" s="509"/>
      <c r="CS228" s="509"/>
    </row>
    <row r="229" spans="1:98" s="137" customFormat="1" ht="12.75" customHeight="1" x14ac:dyDescent="0.2">
      <c r="A229" s="1421">
        <v>225</v>
      </c>
      <c r="B229" s="649" t="s">
        <v>345</v>
      </c>
      <c r="C229" s="1607" t="s">
        <v>346</v>
      </c>
      <c r="D229" s="1605">
        <v>139131</v>
      </c>
      <c r="E229" s="1405">
        <v>78615266</v>
      </c>
      <c r="F229" s="1405">
        <v>3842</v>
      </c>
      <c r="G229" s="158">
        <v>-4800000</v>
      </c>
      <c r="H229" s="158">
        <v>-1740000</v>
      </c>
      <c r="I229" s="158">
        <v>-75000</v>
      </c>
      <c r="J229" s="158">
        <v>0</v>
      </c>
      <c r="K229" s="158">
        <v>0</v>
      </c>
      <c r="L229" s="158">
        <v>0</v>
      </c>
      <c r="M229" s="158">
        <v>-700000</v>
      </c>
      <c r="N229" s="158">
        <v>-3000</v>
      </c>
      <c r="O229" s="158">
        <v>-65000</v>
      </c>
      <c r="P229" s="158">
        <v>0</v>
      </c>
      <c r="Q229" s="158">
        <v>0</v>
      </c>
      <c r="R229" s="158">
        <v>0</v>
      </c>
      <c r="S229" s="158">
        <v>0</v>
      </c>
      <c r="T229" s="158">
        <v>0</v>
      </c>
      <c r="U229" s="158">
        <v>-2200000</v>
      </c>
      <c r="V229" s="158">
        <v>31880460</v>
      </c>
      <c r="W229" s="158">
        <v>-1000000</v>
      </c>
      <c r="X229" s="158">
        <v>47327500</v>
      </c>
      <c r="Y229" s="158">
        <v>79560736</v>
      </c>
      <c r="Z229" s="158">
        <v>15331954</v>
      </c>
      <c r="AA229" s="158">
        <v>15025314</v>
      </c>
      <c r="AB229" s="158">
        <v>0</v>
      </c>
      <c r="AC229" s="158">
        <v>306639</v>
      </c>
      <c r="AD229" s="158">
        <v>139893</v>
      </c>
      <c r="AE229" s="158">
        <v>218400</v>
      </c>
      <c r="AF229" s="158">
        <v>0</v>
      </c>
      <c r="AG229" s="158">
        <v>0</v>
      </c>
      <c r="AH229" s="158">
        <v>0</v>
      </c>
      <c r="AI229" s="158">
        <v>0</v>
      </c>
      <c r="AJ229" s="158">
        <v>0</v>
      </c>
      <c r="AK229" s="158">
        <v>-276383</v>
      </c>
      <c r="AL229" s="158">
        <v>146</v>
      </c>
      <c r="AM229" s="158">
        <v>6</v>
      </c>
      <c r="AN229" s="158">
        <v>0</v>
      </c>
      <c r="AO229" s="158">
        <v>0</v>
      </c>
      <c r="AP229" s="158">
        <v>0</v>
      </c>
      <c r="AQ229" s="158">
        <v>301</v>
      </c>
      <c r="AR229" s="158">
        <v>4</v>
      </c>
      <c r="AS229" s="158">
        <v>10</v>
      </c>
      <c r="AT229" s="158">
        <v>0</v>
      </c>
      <c r="AU229" s="158">
        <v>0</v>
      </c>
      <c r="AV229" s="158">
        <v>0</v>
      </c>
      <c r="AW229" s="158">
        <v>0</v>
      </c>
      <c r="AX229" s="158">
        <v>0</v>
      </c>
      <c r="AY229" s="158">
        <v>380</v>
      </c>
      <c r="AZ229" s="158">
        <v>864</v>
      </c>
      <c r="BA229" s="158">
        <v>1824</v>
      </c>
      <c r="BB229" s="158">
        <v>1763</v>
      </c>
      <c r="BC229" s="158">
        <v>61</v>
      </c>
      <c r="BD229" s="158">
        <v>1152</v>
      </c>
      <c r="BE229" s="158">
        <v>0</v>
      </c>
      <c r="BF229" s="158">
        <v>0</v>
      </c>
      <c r="BG229" s="158">
        <v>0</v>
      </c>
      <c r="BH229" s="158">
        <v>0</v>
      </c>
      <c r="BI229" s="158">
        <v>-700000</v>
      </c>
      <c r="BJ229" s="158">
        <v>0</v>
      </c>
      <c r="BK229" s="158">
        <v>-421238</v>
      </c>
      <c r="BL229" s="1438">
        <v>12208800</v>
      </c>
      <c r="BM229" s="1439">
        <v>0</v>
      </c>
      <c r="BN229" s="784" t="s">
        <v>2363</v>
      </c>
      <c r="BO229" s="784" t="s">
        <v>855</v>
      </c>
      <c r="BP229" s="1400" t="s">
        <v>2582</v>
      </c>
      <c r="BQ229" s="509"/>
      <c r="BR229" s="509"/>
      <c r="BS229" s="509"/>
      <c r="BT229" s="509"/>
      <c r="BU229" s="509"/>
      <c r="BV229" s="509"/>
      <c r="BW229" s="509"/>
      <c r="BX229" s="509"/>
      <c r="BY229" s="509"/>
      <c r="BZ229" s="509"/>
      <c r="CA229" s="509"/>
      <c r="CB229" s="509"/>
      <c r="CC229" s="509"/>
      <c r="CD229" s="509"/>
      <c r="CE229" s="509"/>
      <c r="CF229" s="509"/>
      <c r="CG229" s="509"/>
      <c r="CH229" s="509"/>
      <c r="CI229" s="509"/>
      <c r="CJ229" s="509"/>
      <c r="CK229" s="509"/>
      <c r="CL229" s="509"/>
      <c r="CM229" s="509"/>
      <c r="CN229" s="509"/>
      <c r="CO229" s="509"/>
      <c r="CP229" s="509"/>
      <c r="CQ229" s="509"/>
      <c r="CR229" s="509"/>
      <c r="CS229" s="509"/>
    </row>
    <row r="230" spans="1:98" s="137" customFormat="1" ht="12.75" customHeight="1" x14ac:dyDescent="0.2">
      <c r="A230" s="1421">
        <v>226</v>
      </c>
      <c r="B230" s="649" t="s">
        <v>582</v>
      </c>
      <c r="C230" s="1607" t="s">
        <v>348</v>
      </c>
      <c r="D230" s="1605">
        <v>289310</v>
      </c>
      <c r="E230" s="1405">
        <v>272379178</v>
      </c>
      <c r="F230" s="1405">
        <v>6686</v>
      </c>
      <c r="G230" s="158">
        <v>-5893184</v>
      </c>
      <c r="H230" s="158">
        <v>-13439533</v>
      </c>
      <c r="I230" s="158">
        <v>-55700</v>
      </c>
      <c r="J230" s="158">
        <v>0</v>
      </c>
      <c r="K230" s="158">
        <v>-5389</v>
      </c>
      <c r="L230" s="158">
        <v>0</v>
      </c>
      <c r="M230" s="158">
        <v>-1779728</v>
      </c>
      <c r="N230" s="158">
        <v>0</v>
      </c>
      <c r="O230" s="158">
        <v>-106248</v>
      </c>
      <c r="P230" s="158">
        <v>0</v>
      </c>
      <c r="Q230" s="158">
        <v>0</v>
      </c>
      <c r="R230" s="158">
        <v>0</v>
      </c>
      <c r="S230" s="158">
        <v>0</v>
      </c>
      <c r="T230" s="158">
        <v>0</v>
      </c>
      <c r="U230" s="158">
        <v>-8527425</v>
      </c>
      <c r="V230" s="158">
        <v>110113479</v>
      </c>
      <c r="W230" s="158">
        <v>-5081300</v>
      </c>
      <c r="X230" s="158">
        <v>203170150</v>
      </c>
      <c r="Y230" s="158">
        <v>271738112</v>
      </c>
      <c r="Z230" s="158">
        <v>52253518</v>
      </c>
      <c r="AA230" s="158">
        <v>51208447</v>
      </c>
      <c r="AB230" s="158">
        <v>0</v>
      </c>
      <c r="AC230" s="158">
        <v>1045070</v>
      </c>
      <c r="AD230" s="158">
        <v>291761</v>
      </c>
      <c r="AE230" s="158">
        <v>55986</v>
      </c>
      <c r="AF230" s="158">
        <v>0</v>
      </c>
      <c r="AG230" s="158">
        <v>0</v>
      </c>
      <c r="AH230" s="158">
        <v>0</v>
      </c>
      <c r="AI230" s="158">
        <v>0</v>
      </c>
      <c r="AJ230" s="158">
        <v>0</v>
      </c>
      <c r="AK230" s="158">
        <v>6607731</v>
      </c>
      <c r="AL230" s="158">
        <v>320</v>
      </c>
      <c r="AM230" s="158">
        <v>8</v>
      </c>
      <c r="AN230" s="158">
        <v>0</v>
      </c>
      <c r="AO230" s="158">
        <v>4</v>
      </c>
      <c r="AP230" s="158">
        <v>0</v>
      </c>
      <c r="AQ230" s="158">
        <v>353</v>
      </c>
      <c r="AR230" s="158">
        <v>0</v>
      </c>
      <c r="AS230" s="158">
        <v>27</v>
      </c>
      <c r="AT230" s="158">
        <v>0</v>
      </c>
      <c r="AU230" s="158">
        <v>0</v>
      </c>
      <c r="AV230" s="158">
        <v>0</v>
      </c>
      <c r="AW230" s="158">
        <v>0</v>
      </c>
      <c r="AX230" s="158">
        <v>0</v>
      </c>
      <c r="AY230" s="158">
        <v>1030</v>
      </c>
      <c r="AZ230" s="158">
        <v>904</v>
      </c>
      <c r="BA230" s="158">
        <v>1968</v>
      </c>
      <c r="BB230" s="158">
        <v>1785</v>
      </c>
      <c r="BC230" s="158">
        <v>183</v>
      </c>
      <c r="BD230" s="158">
        <v>3908</v>
      </c>
      <c r="BE230" s="158">
        <v>-137792</v>
      </c>
      <c r="BF230" s="158">
        <v>-609588</v>
      </c>
      <c r="BG230" s="158">
        <v>0</v>
      </c>
      <c r="BH230" s="158">
        <v>-97734</v>
      </c>
      <c r="BI230" s="158">
        <v>-934614</v>
      </c>
      <c r="BJ230" s="158">
        <v>0</v>
      </c>
      <c r="BK230" s="158">
        <v>8421914</v>
      </c>
      <c r="BL230" s="1438">
        <v>30107600</v>
      </c>
      <c r="BM230" s="1439">
        <v>0</v>
      </c>
      <c r="BN230" s="784" t="s">
        <v>509</v>
      </c>
      <c r="BO230" s="784" t="s">
        <v>2350</v>
      </c>
      <c r="BP230" s="1400" t="s">
        <v>2583</v>
      </c>
      <c r="BQ230" s="509"/>
      <c r="BR230" s="509"/>
      <c r="BS230" s="509"/>
      <c r="BT230" s="509"/>
      <c r="BU230" s="509"/>
      <c r="BV230" s="509"/>
      <c r="BW230" s="509"/>
      <c r="BX230" s="509"/>
      <c r="BY230" s="509"/>
      <c r="BZ230" s="509"/>
      <c r="CA230" s="509"/>
      <c r="CB230" s="509"/>
      <c r="CC230" s="509"/>
      <c r="CD230" s="509"/>
      <c r="CE230" s="509"/>
      <c r="CF230" s="509"/>
      <c r="CG230" s="509"/>
      <c r="CH230" s="509"/>
      <c r="CI230" s="509"/>
      <c r="CJ230" s="509"/>
      <c r="CK230" s="509"/>
      <c r="CL230" s="509"/>
      <c r="CM230" s="509"/>
      <c r="CN230" s="509"/>
      <c r="CO230" s="509"/>
      <c r="CP230" s="509"/>
      <c r="CQ230" s="509"/>
      <c r="CR230" s="509"/>
      <c r="CS230" s="509"/>
    </row>
    <row r="231" spans="1:98" s="657" customFormat="1" ht="12.75" customHeight="1" x14ac:dyDescent="0.2">
      <c r="A231" s="1421">
        <v>227</v>
      </c>
      <c r="B231" s="649" t="s">
        <v>571</v>
      </c>
      <c r="C231" s="1607" t="s">
        <v>350</v>
      </c>
      <c r="D231" s="1605">
        <v>210335</v>
      </c>
      <c r="E231" s="1405">
        <v>124778430</v>
      </c>
      <c r="F231" s="1405">
        <v>5667</v>
      </c>
      <c r="G231" s="158">
        <v>-8233323</v>
      </c>
      <c r="H231" s="158">
        <v>-6414708</v>
      </c>
      <c r="I231" s="158">
        <v>-51351</v>
      </c>
      <c r="J231" s="158">
        <v>0</v>
      </c>
      <c r="K231" s="158">
        <v>-17253</v>
      </c>
      <c r="L231" s="158">
        <v>0</v>
      </c>
      <c r="M231" s="158">
        <v>-888574</v>
      </c>
      <c r="N231" s="158">
        <v>-51433</v>
      </c>
      <c r="O231" s="158">
        <v>0</v>
      </c>
      <c r="P231" s="158">
        <v>0</v>
      </c>
      <c r="Q231" s="158">
        <v>0</v>
      </c>
      <c r="R231" s="158">
        <v>0</v>
      </c>
      <c r="S231" s="158">
        <v>0</v>
      </c>
      <c r="T231" s="158">
        <v>0</v>
      </c>
      <c r="U231" s="158">
        <v>-6243324</v>
      </c>
      <c r="V231" s="158">
        <v>41482804</v>
      </c>
      <c r="W231" s="158">
        <v>-2319769</v>
      </c>
      <c r="X231" s="158">
        <v>70207150</v>
      </c>
      <c r="Y231" s="158">
        <v>126211190</v>
      </c>
      <c r="Z231" s="158">
        <v>19982330</v>
      </c>
      <c r="AA231" s="158">
        <v>19582684</v>
      </c>
      <c r="AB231" s="158">
        <v>0</v>
      </c>
      <c r="AC231" s="158">
        <v>399647</v>
      </c>
      <c r="AD231" s="158">
        <v>213693</v>
      </c>
      <c r="AE231" s="158">
        <v>0</v>
      </c>
      <c r="AF231" s="158">
        <v>0</v>
      </c>
      <c r="AG231" s="158">
        <v>0</v>
      </c>
      <c r="AH231" s="158">
        <v>0</v>
      </c>
      <c r="AI231" s="158">
        <v>0</v>
      </c>
      <c r="AJ231" s="158">
        <v>0</v>
      </c>
      <c r="AK231" s="158">
        <v>-1383057</v>
      </c>
      <c r="AL231" s="158">
        <v>226</v>
      </c>
      <c r="AM231" s="158">
        <v>15</v>
      </c>
      <c r="AN231" s="158">
        <v>0</v>
      </c>
      <c r="AO231" s="158">
        <v>9</v>
      </c>
      <c r="AP231" s="158">
        <v>0</v>
      </c>
      <c r="AQ231" s="158">
        <v>489</v>
      </c>
      <c r="AR231" s="158">
        <v>91</v>
      </c>
      <c r="AS231" s="158">
        <v>6</v>
      </c>
      <c r="AT231" s="158">
        <v>7</v>
      </c>
      <c r="AU231" s="158">
        <v>0</v>
      </c>
      <c r="AV231" s="158">
        <v>0</v>
      </c>
      <c r="AW231" s="158">
        <v>0</v>
      </c>
      <c r="AX231" s="158">
        <v>0</v>
      </c>
      <c r="AY231" s="158">
        <v>875</v>
      </c>
      <c r="AZ231" s="158">
        <v>1074</v>
      </c>
      <c r="BA231" s="158">
        <v>2907</v>
      </c>
      <c r="BB231" s="158">
        <v>2662</v>
      </c>
      <c r="BC231" s="158">
        <v>245</v>
      </c>
      <c r="BD231" s="158">
        <v>1771</v>
      </c>
      <c r="BE231" s="158">
        <v>-44748</v>
      </c>
      <c r="BF231" s="158">
        <v>-409192</v>
      </c>
      <c r="BG231" s="158">
        <v>0</v>
      </c>
      <c r="BH231" s="158">
        <v>-8878</v>
      </c>
      <c r="BI231" s="158">
        <v>-374846</v>
      </c>
      <c r="BJ231" s="158">
        <v>-50910</v>
      </c>
      <c r="BK231" s="158">
        <v>-4342605</v>
      </c>
      <c r="BL231" s="1438">
        <v>18847650</v>
      </c>
      <c r="BM231" s="1439">
        <v>0</v>
      </c>
      <c r="BN231" s="784" t="s">
        <v>509</v>
      </c>
      <c r="BO231" s="784" t="s">
        <v>2357</v>
      </c>
      <c r="BP231" s="1400" t="s">
        <v>2584</v>
      </c>
      <c r="BQ231" s="509"/>
      <c r="BR231" s="509"/>
      <c r="BS231" s="509"/>
      <c r="BT231" s="509"/>
      <c r="BU231" s="509"/>
      <c r="BV231" s="509"/>
      <c r="BW231" s="509"/>
      <c r="BX231" s="509"/>
      <c r="BY231" s="509"/>
      <c r="BZ231" s="509"/>
      <c r="CA231" s="509"/>
      <c r="CB231" s="509"/>
      <c r="CC231" s="509"/>
      <c r="CD231" s="509"/>
      <c r="CE231" s="509"/>
      <c r="CF231" s="509"/>
      <c r="CG231" s="509"/>
      <c r="CH231" s="509"/>
      <c r="CI231" s="509"/>
      <c r="CJ231" s="509"/>
      <c r="CK231" s="509"/>
      <c r="CL231" s="509"/>
      <c r="CM231" s="509"/>
      <c r="CN231" s="509"/>
      <c r="CO231" s="509"/>
      <c r="CP231" s="509"/>
      <c r="CQ231" s="509"/>
      <c r="CR231" s="509"/>
      <c r="CS231" s="509"/>
      <c r="CT231" s="137"/>
    </row>
    <row r="232" spans="1:98" s="137" customFormat="1" ht="12.75" customHeight="1" x14ac:dyDescent="0.2">
      <c r="A232" s="1421">
        <v>228</v>
      </c>
      <c r="B232" s="649" t="s">
        <v>351</v>
      </c>
      <c r="C232" s="1607" t="s">
        <v>352</v>
      </c>
      <c r="D232" s="1605">
        <v>755081</v>
      </c>
      <c r="E232" s="1405">
        <v>807376716</v>
      </c>
      <c r="F232" s="1405">
        <v>12982</v>
      </c>
      <c r="G232" s="158">
        <v>-8822012</v>
      </c>
      <c r="H232" s="158">
        <v>-39887324</v>
      </c>
      <c r="I232" s="158">
        <v>-26078</v>
      </c>
      <c r="J232" s="158">
        <v>0</v>
      </c>
      <c r="K232" s="158">
        <v>-9750</v>
      </c>
      <c r="L232" s="158">
        <v>-100000</v>
      </c>
      <c r="M232" s="158">
        <v>-14320770</v>
      </c>
      <c r="N232" s="158">
        <v>-383466</v>
      </c>
      <c r="O232" s="158">
        <v>-83956</v>
      </c>
      <c r="P232" s="158">
        <v>0</v>
      </c>
      <c r="Q232" s="158">
        <v>0</v>
      </c>
      <c r="R232" s="158">
        <v>0</v>
      </c>
      <c r="S232" s="158">
        <v>0</v>
      </c>
      <c r="T232" s="158">
        <v>0</v>
      </c>
      <c r="U232" s="158">
        <v>-17970284</v>
      </c>
      <c r="V232" s="158">
        <v>339674602</v>
      </c>
      <c r="W232" s="158">
        <v>-5095119</v>
      </c>
      <c r="X232" s="158">
        <v>655196400</v>
      </c>
      <c r="Y232" s="158">
        <v>810251461</v>
      </c>
      <c r="Z232" s="158">
        <v>113051425</v>
      </c>
      <c r="AA232" s="158">
        <v>102774022</v>
      </c>
      <c r="AB232" s="158">
        <v>126754627</v>
      </c>
      <c r="AC232" s="158">
        <v>0</v>
      </c>
      <c r="AD232" s="158">
        <v>755111</v>
      </c>
      <c r="AE232" s="158">
        <v>0</v>
      </c>
      <c r="AF232" s="158">
        <v>0</v>
      </c>
      <c r="AG232" s="158">
        <v>0</v>
      </c>
      <c r="AH232" s="158">
        <v>0</v>
      </c>
      <c r="AI232" s="158">
        <v>0</v>
      </c>
      <c r="AJ232" s="158">
        <v>0</v>
      </c>
      <c r="AK232" s="158">
        <v>-6409213</v>
      </c>
      <c r="AL232" s="158">
        <v>736</v>
      </c>
      <c r="AM232" s="158">
        <v>5</v>
      </c>
      <c r="AN232" s="158">
        <v>0</v>
      </c>
      <c r="AO232" s="158">
        <v>5</v>
      </c>
      <c r="AP232" s="158">
        <v>0</v>
      </c>
      <c r="AQ232" s="158">
        <v>1684</v>
      </c>
      <c r="AR232" s="158">
        <v>83</v>
      </c>
      <c r="AS232" s="158">
        <v>9</v>
      </c>
      <c r="AT232" s="158">
        <v>0</v>
      </c>
      <c r="AU232" s="158">
        <v>0</v>
      </c>
      <c r="AV232" s="158">
        <v>0</v>
      </c>
      <c r="AW232" s="158">
        <v>0</v>
      </c>
      <c r="AX232" s="158">
        <v>0</v>
      </c>
      <c r="AY232" s="158">
        <v>1721</v>
      </c>
      <c r="AZ232" s="158">
        <v>2516</v>
      </c>
      <c r="BA232" s="158">
        <v>2826</v>
      </c>
      <c r="BB232" s="158">
        <v>2300</v>
      </c>
      <c r="BC232" s="158">
        <v>526</v>
      </c>
      <c r="BD232" s="158">
        <v>7553</v>
      </c>
      <c r="BE232" s="158">
        <v>-1262579</v>
      </c>
      <c r="BF232" s="158">
        <v>-5394695</v>
      </c>
      <c r="BG232" s="158">
        <v>0</v>
      </c>
      <c r="BH232" s="158">
        <v>-108199</v>
      </c>
      <c r="BI232" s="158">
        <v>-2057537</v>
      </c>
      <c r="BJ232" s="158">
        <v>-5497760</v>
      </c>
      <c r="BK232" s="158">
        <v>-17258308</v>
      </c>
      <c r="BL232" s="1438">
        <v>47714900</v>
      </c>
      <c r="BM232" s="1439">
        <v>0</v>
      </c>
      <c r="BN232" s="784" t="s">
        <v>2401</v>
      </c>
      <c r="BO232" s="784" t="s">
        <v>2360</v>
      </c>
      <c r="BP232" s="1400" t="s">
        <v>2585</v>
      </c>
      <c r="BQ232" s="509"/>
      <c r="BR232" s="509"/>
      <c r="BS232" s="509"/>
      <c r="BT232" s="509"/>
      <c r="BU232" s="509"/>
      <c r="BV232" s="509"/>
      <c r="BW232" s="509"/>
      <c r="BX232" s="509"/>
      <c r="BY232" s="509"/>
      <c r="BZ232" s="509"/>
      <c r="CA232" s="509"/>
      <c r="CB232" s="509"/>
      <c r="CC232" s="509"/>
      <c r="CD232" s="509"/>
      <c r="CE232" s="509"/>
      <c r="CF232" s="509"/>
      <c r="CG232" s="509"/>
      <c r="CH232" s="509"/>
      <c r="CI232" s="509"/>
      <c r="CJ232" s="509"/>
      <c r="CK232" s="509"/>
      <c r="CL232" s="509"/>
      <c r="CM232" s="509"/>
      <c r="CN232" s="509"/>
      <c r="CO232" s="509"/>
      <c r="CP232" s="509"/>
      <c r="CQ232" s="509"/>
      <c r="CR232" s="509"/>
      <c r="CS232" s="509"/>
    </row>
    <row r="233" spans="1:98" s="137" customFormat="1" ht="12.75" customHeight="1" x14ac:dyDescent="0.2">
      <c r="A233" s="1421">
        <v>229</v>
      </c>
      <c r="B233" s="649" t="s">
        <v>353</v>
      </c>
      <c r="C233" s="1607" t="s">
        <v>354</v>
      </c>
      <c r="D233" s="1605">
        <v>121952</v>
      </c>
      <c r="E233" s="1405">
        <v>129986723</v>
      </c>
      <c r="F233" s="1405">
        <v>2446</v>
      </c>
      <c r="G233" s="158">
        <v>-2239186</v>
      </c>
      <c r="H233" s="158">
        <v>-2950682</v>
      </c>
      <c r="I233" s="158">
        <v>-19108</v>
      </c>
      <c r="J233" s="158">
        <v>0</v>
      </c>
      <c r="K233" s="158">
        <v>-2295</v>
      </c>
      <c r="L233" s="158">
        <v>0</v>
      </c>
      <c r="M233" s="158">
        <v>-653848</v>
      </c>
      <c r="N233" s="158">
        <v>-82720</v>
      </c>
      <c r="O233" s="158">
        <v>-97457</v>
      </c>
      <c r="P233" s="158">
        <v>-4138</v>
      </c>
      <c r="Q233" s="158">
        <v>0</v>
      </c>
      <c r="R233" s="158">
        <v>0</v>
      </c>
      <c r="S233" s="158">
        <v>0</v>
      </c>
      <c r="T233" s="158">
        <v>0</v>
      </c>
      <c r="U233" s="158">
        <v>-3687518</v>
      </c>
      <c r="V233" s="158">
        <v>55509058</v>
      </c>
      <c r="W233" s="158">
        <v>-1000000</v>
      </c>
      <c r="X233" s="158">
        <v>102994750</v>
      </c>
      <c r="Y233" s="158">
        <v>129674723</v>
      </c>
      <c r="Z233" s="158">
        <v>27879575</v>
      </c>
      <c r="AA233" s="158">
        <v>22303660</v>
      </c>
      <c r="AB233" s="158">
        <v>5575915</v>
      </c>
      <c r="AC233" s="158">
        <v>0</v>
      </c>
      <c r="AD233" s="158">
        <v>122036</v>
      </c>
      <c r="AE233" s="158">
        <v>0</v>
      </c>
      <c r="AF233" s="158">
        <v>0</v>
      </c>
      <c r="AG233" s="158">
        <v>0</v>
      </c>
      <c r="AH233" s="158">
        <v>0</v>
      </c>
      <c r="AI233" s="158">
        <v>0</v>
      </c>
      <c r="AJ233" s="158">
        <v>0</v>
      </c>
      <c r="AK233" s="158">
        <v>-3656050</v>
      </c>
      <c r="AL233" s="158">
        <v>93</v>
      </c>
      <c r="AM233" s="158">
        <v>4</v>
      </c>
      <c r="AN233" s="158">
        <v>0</v>
      </c>
      <c r="AO233" s="158">
        <v>0</v>
      </c>
      <c r="AP233" s="158">
        <v>0</v>
      </c>
      <c r="AQ233" s="158">
        <v>115</v>
      </c>
      <c r="AR233" s="158">
        <v>41</v>
      </c>
      <c r="AS233" s="158">
        <v>16</v>
      </c>
      <c r="AT233" s="158">
        <v>9</v>
      </c>
      <c r="AU233" s="158">
        <v>0</v>
      </c>
      <c r="AV233" s="158">
        <v>0</v>
      </c>
      <c r="AW233" s="158">
        <v>0</v>
      </c>
      <c r="AX233" s="158">
        <v>0</v>
      </c>
      <c r="AY233" s="158">
        <v>339</v>
      </c>
      <c r="AZ233" s="158">
        <v>416</v>
      </c>
      <c r="BA233" s="158">
        <v>721</v>
      </c>
      <c r="BB233" s="158">
        <v>608</v>
      </c>
      <c r="BC233" s="158">
        <v>113</v>
      </c>
      <c r="BD233" s="158">
        <v>1315</v>
      </c>
      <c r="BE233" s="158">
        <v>-38964</v>
      </c>
      <c r="BF233" s="158">
        <v>-90262</v>
      </c>
      <c r="BG233" s="158">
        <v>0</v>
      </c>
      <c r="BH233" s="158">
        <v>-5614</v>
      </c>
      <c r="BI233" s="158">
        <v>-500457</v>
      </c>
      <c r="BJ233" s="158">
        <v>-16966</v>
      </c>
      <c r="BK233" s="158">
        <v>-5717576</v>
      </c>
      <c r="BL233" s="1438">
        <v>12844400</v>
      </c>
      <c r="BM233" s="1439">
        <v>0</v>
      </c>
      <c r="BN233" s="784" t="s">
        <v>2349</v>
      </c>
      <c r="BO233" s="784" t="s">
        <v>2350</v>
      </c>
      <c r="BP233" s="1400" t="s">
        <v>2586</v>
      </c>
      <c r="BQ233" s="509"/>
      <c r="BR233" s="509"/>
      <c r="BS233" s="509"/>
      <c r="BT233" s="509"/>
      <c r="BU233" s="509"/>
      <c r="BV233" s="509"/>
      <c r="BW233" s="509"/>
      <c r="BX233" s="509"/>
      <c r="BY233" s="509"/>
      <c r="BZ233" s="509"/>
      <c r="CA233" s="509"/>
      <c r="CB233" s="509"/>
      <c r="CC233" s="509"/>
      <c r="CD233" s="509"/>
      <c r="CE233" s="509"/>
      <c r="CF233" s="509"/>
      <c r="CG233" s="509"/>
      <c r="CH233" s="509"/>
      <c r="CI233" s="509"/>
      <c r="CJ233" s="509"/>
      <c r="CK233" s="509"/>
      <c r="CL233" s="509"/>
      <c r="CM233" s="509"/>
      <c r="CN233" s="509"/>
      <c r="CO233" s="509"/>
      <c r="CP233" s="509"/>
      <c r="CQ233" s="509"/>
      <c r="CR233" s="509"/>
      <c r="CS233" s="509"/>
    </row>
    <row r="234" spans="1:98" s="137" customFormat="1" ht="12.75" customHeight="1" x14ac:dyDescent="0.2">
      <c r="A234" s="1421">
        <v>230</v>
      </c>
      <c r="B234" s="649" t="s">
        <v>355</v>
      </c>
      <c r="C234" s="1607" t="s">
        <v>356</v>
      </c>
      <c r="D234" s="1605">
        <v>183766</v>
      </c>
      <c r="E234" s="1405">
        <v>171954157</v>
      </c>
      <c r="F234" s="1405">
        <v>4012</v>
      </c>
      <c r="G234" s="158">
        <v>-2943864</v>
      </c>
      <c r="H234" s="158">
        <v>-8761638</v>
      </c>
      <c r="I234" s="158">
        <v>-97710</v>
      </c>
      <c r="J234" s="158">
        <v>0</v>
      </c>
      <c r="K234" s="158">
        <v>-12048</v>
      </c>
      <c r="L234" s="158">
        <v>0</v>
      </c>
      <c r="M234" s="158">
        <v>-1392803</v>
      </c>
      <c r="N234" s="158">
        <v>-75607</v>
      </c>
      <c r="O234" s="158">
        <v>-49333</v>
      </c>
      <c r="P234" s="158">
        <v>0</v>
      </c>
      <c r="Q234" s="158">
        <v>0</v>
      </c>
      <c r="R234" s="158">
        <v>0</v>
      </c>
      <c r="S234" s="158">
        <v>0</v>
      </c>
      <c r="T234" s="158">
        <v>0</v>
      </c>
      <c r="U234" s="158">
        <v>-9536139</v>
      </c>
      <c r="V234" s="158">
        <v>65303519</v>
      </c>
      <c r="W234" s="158">
        <v>-3000000</v>
      </c>
      <c r="X234" s="158">
        <v>122977500</v>
      </c>
      <c r="Y234" s="158">
        <v>171790074</v>
      </c>
      <c r="Z234" s="158">
        <v>32073724</v>
      </c>
      <c r="AA234" s="158">
        <v>25658979</v>
      </c>
      <c r="AB234" s="158">
        <v>6414745</v>
      </c>
      <c r="AC234" s="158">
        <v>0</v>
      </c>
      <c r="AD234" s="158">
        <v>184108</v>
      </c>
      <c r="AE234" s="158">
        <v>130024</v>
      </c>
      <c r="AF234" s="158">
        <v>0</v>
      </c>
      <c r="AG234" s="158">
        <v>0</v>
      </c>
      <c r="AH234" s="158">
        <v>0</v>
      </c>
      <c r="AI234" s="158">
        <v>0</v>
      </c>
      <c r="AJ234" s="158">
        <v>0</v>
      </c>
      <c r="AK234" s="158">
        <v>-4124347</v>
      </c>
      <c r="AL234" s="158">
        <v>208</v>
      </c>
      <c r="AM234" s="158">
        <v>9</v>
      </c>
      <c r="AN234" s="158">
        <v>0</v>
      </c>
      <c r="AO234" s="158">
        <v>9</v>
      </c>
      <c r="AP234" s="158">
        <v>0</v>
      </c>
      <c r="AQ234" s="158">
        <v>372</v>
      </c>
      <c r="AR234" s="158">
        <v>49</v>
      </c>
      <c r="AS234" s="158">
        <v>14</v>
      </c>
      <c r="AT234" s="158">
        <v>0</v>
      </c>
      <c r="AU234" s="158">
        <v>0</v>
      </c>
      <c r="AV234" s="158">
        <v>0</v>
      </c>
      <c r="AW234" s="158">
        <v>2</v>
      </c>
      <c r="AX234" s="158">
        <v>0</v>
      </c>
      <c r="AY234" s="158">
        <v>807</v>
      </c>
      <c r="AZ234" s="158">
        <v>1032</v>
      </c>
      <c r="BA234" s="158">
        <v>1127</v>
      </c>
      <c r="BB234" s="158">
        <v>969</v>
      </c>
      <c r="BC234" s="158">
        <v>158</v>
      </c>
      <c r="BD234" s="158">
        <v>1845</v>
      </c>
      <c r="BE234" s="158">
        <v>-800000</v>
      </c>
      <c r="BF234" s="158">
        <v>-309625</v>
      </c>
      <c r="BG234" s="158">
        <v>0</v>
      </c>
      <c r="BH234" s="158">
        <v>-66612</v>
      </c>
      <c r="BI234" s="158">
        <v>-216566</v>
      </c>
      <c r="BJ234" s="158">
        <v>0</v>
      </c>
      <c r="BK234" s="158">
        <v>-7629031</v>
      </c>
      <c r="BL234" s="1438">
        <v>0</v>
      </c>
      <c r="BM234" s="1439">
        <v>0</v>
      </c>
      <c r="BN234" s="784" t="s">
        <v>2349</v>
      </c>
      <c r="BO234" s="784" t="s">
        <v>2357</v>
      </c>
      <c r="BP234" s="1400" t="s">
        <v>2587</v>
      </c>
      <c r="BQ234" s="509"/>
      <c r="BR234" s="509"/>
      <c r="BS234" s="509"/>
      <c r="BT234" s="509"/>
      <c r="BU234" s="509"/>
      <c r="BV234" s="509"/>
      <c r="BW234" s="509"/>
      <c r="BX234" s="509"/>
      <c r="BY234" s="509"/>
      <c r="BZ234" s="509"/>
      <c r="CA234" s="509"/>
      <c r="CB234" s="509"/>
      <c r="CC234" s="509"/>
      <c r="CD234" s="509"/>
      <c r="CE234" s="509"/>
      <c r="CF234" s="509"/>
      <c r="CG234" s="509"/>
      <c r="CH234" s="509"/>
      <c r="CI234" s="509"/>
      <c r="CJ234" s="509"/>
      <c r="CK234" s="509"/>
      <c r="CL234" s="509"/>
      <c r="CM234" s="509"/>
      <c r="CN234" s="509"/>
      <c r="CO234" s="509"/>
      <c r="CP234" s="509"/>
      <c r="CQ234" s="509"/>
      <c r="CR234" s="509"/>
      <c r="CS234" s="509"/>
    </row>
    <row r="235" spans="1:98" s="137" customFormat="1" ht="12.75" customHeight="1" x14ac:dyDescent="0.2">
      <c r="A235" s="1421">
        <v>231</v>
      </c>
      <c r="B235" s="649" t="s">
        <v>961</v>
      </c>
      <c r="C235" s="1607" t="s">
        <v>358</v>
      </c>
      <c r="D235" s="1605">
        <v>188151</v>
      </c>
      <c r="E235" s="1405">
        <v>146528342</v>
      </c>
      <c r="F235" s="1405">
        <v>4790</v>
      </c>
      <c r="G235" s="158">
        <v>-5510984</v>
      </c>
      <c r="H235" s="158">
        <v>-4331996</v>
      </c>
      <c r="I235" s="158">
        <v>-67141</v>
      </c>
      <c r="J235" s="158">
        <v>0</v>
      </c>
      <c r="K235" s="158">
        <v>-873</v>
      </c>
      <c r="L235" s="158">
        <v>0</v>
      </c>
      <c r="M235" s="158">
        <v>-1801031</v>
      </c>
      <c r="N235" s="158">
        <v>-180067</v>
      </c>
      <c r="O235" s="158">
        <v>-85118</v>
      </c>
      <c r="P235" s="158">
        <v>-5796</v>
      </c>
      <c r="Q235" s="158">
        <v>0</v>
      </c>
      <c r="R235" s="158">
        <v>0</v>
      </c>
      <c r="S235" s="158">
        <v>0</v>
      </c>
      <c r="T235" s="158">
        <v>0</v>
      </c>
      <c r="U235" s="158">
        <v>-3731823</v>
      </c>
      <c r="V235" s="158">
        <v>61375140</v>
      </c>
      <c r="W235" s="158">
        <v>-2116917</v>
      </c>
      <c r="X235" s="158">
        <v>102846269</v>
      </c>
      <c r="Y235" s="158">
        <v>146192191</v>
      </c>
      <c r="Z235" s="158">
        <v>0</v>
      </c>
      <c r="AA235" s="158">
        <v>57384374</v>
      </c>
      <c r="AB235" s="158">
        <v>0</v>
      </c>
      <c r="AC235" s="158">
        <v>579640</v>
      </c>
      <c r="AD235" s="158">
        <v>191564</v>
      </c>
      <c r="AE235" s="158">
        <v>308067</v>
      </c>
      <c r="AF235" s="158">
        <v>0</v>
      </c>
      <c r="AG235" s="158">
        <v>0</v>
      </c>
      <c r="AH235" s="158">
        <v>0</v>
      </c>
      <c r="AI235" s="158">
        <v>0</v>
      </c>
      <c r="AJ235" s="158">
        <v>0</v>
      </c>
      <c r="AK235" s="158">
        <v>2408229</v>
      </c>
      <c r="AL235" s="158">
        <v>193</v>
      </c>
      <c r="AM235" s="158">
        <v>15</v>
      </c>
      <c r="AN235" s="158">
        <v>0</v>
      </c>
      <c r="AO235" s="158">
        <v>1</v>
      </c>
      <c r="AP235" s="158">
        <v>0</v>
      </c>
      <c r="AQ235" s="158">
        <v>310</v>
      </c>
      <c r="AR235" s="158">
        <v>63</v>
      </c>
      <c r="AS235" s="158">
        <v>4</v>
      </c>
      <c r="AT235" s="158">
        <v>6</v>
      </c>
      <c r="AU235" s="158">
        <v>0</v>
      </c>
      <c r="AV235" s="158">
        <v>0</v>
      </c>
      <c r="AW235" s="158">
        <v>0</v>
      </c>
      <c r="AX235" s="158">
        <v>0</v>
      </c>
      <c r="AY235" s="158">
        <v>442</v>
      </c>
      <c r="AZ235" s="158">
        <v>482</v>
      </c>
      <c r="BA235" s="158">
        <v>2033</v>
      </c>
      <c r="BB235" s="158">
        <v>1924</v>
      </c>
      <c r="BC235" s="158">
        <v>109</v>
      </c>
      <c r="BD235" s="158">
        <v>2195</v>
      </c>
      <c r="BE235" s="158">
        <v>-291492</v>
      </c>
      <c r="BF235" s="158">
        <v>-734079</v>
      </c>
      <c r="BG235" s="158">
        <v>0</v>
      </c>
      <c r="BH235" s="158">
        <v>-27445</v>
      </c>
      <c r="BI235" s="158">
        <v>-744173</v>
      </c>
      <c r="BJ235" s="158">
        <v>-3842</v>
      </c>
      <c r="BK235" s="158">
        <v>3685414</v>
      </c>
      <c r="BL235" s="1438">
        <v>17404500</v>
      </c>
      <c r="BM235" s="1439">
        <v>0</v>
      </c>
      <c r="BN235" s="784" t="s">
        <v>2363</v>
      </c>
      <c r="BO235" s="784" t="s">
        <v>2376</v>
      </c>
      <c r="BP235" s="1400" t="s">
        <v>2588</v>
      </c>
      <c r="BQ235" s="509"/>
      <c r="BR235" s="509"/>
      <c r="BS235" s="509"/>
      <c r="BT235" s="509"/>
      <c r="BU235" s="509"/>
      <c r="BV235" s="509"/>
      <c r="BW235" s="509"/>
      <c r="BX235" s="509"/>
      <c r="BY235" s="509"/>
      <c r="BZ235" s="509"/>
      <c r="CA235" s="509"/>
      <c r="CB235" s="509"/>
      <c r="CC235" s="509"/>
      <c r="CD235" s="509"/>
      <c r="CE235" s="509"/>
      <c r="CF235" s="509"/>
      <c r="CG235" s="509"/>
      <c r="CH235" s="509"/>
      <c r="CI235" s="509"/>
      <c r="CJ235" s="509"/>
      <c r="CK235" s="509"/>
      <c r="CL235" s="509"/>
      <c r="CM235" s="509"/>
      <c r="CN235" s="509"/>
      <c r="CO235" s="509"/>
      <c r="CP235" s="509"/>
      <c r="CQ235" s="509"/>
      <c r="CR235" s="509"/>
      <c r="CS235" s="509"/>
    </row>
    <row r="236" spans="1:98" s="137" customFormat="1" ht="12.75" customHeight="1" x14ac:dyDescent="0.2">
      <c r="A236" s="1421">
        <v>232</v>
      </c>
      <c r="B236" s="649" t="s">
        <v>359</v>
      </c>
      <c r="C236" s="1607" t="s">
        <v>360</v>
      </c>
      <c r="D236" s="1605">
        <v>174165</v>
      </c>
      <c r="E236" s="1405">
        <v>136675330</v>
      </c>
      <c r="F236" s="1405">
        <v>4467</v>
      </c>
      <c r="G236" s="158">
        <v>-4886956</v>
      </c>
      <c r="H236" s="158">
        <v>-3337060</v>
      </c>
      <c r="I236" s="158">
        <v>-89994</v>
      </c>
      <c r="J236" s="158">
        <v>-10368</v>
      </c>
      <c r="K236" s="158">
        <v>0</v>
      </c>
      <c r="L236" s="158">
        <v>0</v>
      </c>
      <c r="M236" s="158">
        <v>-3056646</v>
      </c>
      <c r="N236" s="158">
        <v>-187656</v>
      </c>
      <c r="O236" s="158">
        <v>-33943</v>
      </c>
      <c r="P236" s="158">
        <v>-8299</v>
      </c>
      <c r="Q236" s="158">
        <v>-9667</v>
      </c>
      <c r="R236" s="158">
        <v>0</v>
      </c>
      <c r="S236" s="158">
        <v>0</v>
      </c>
      <c r="T236" s="158">
        <v>0</v>
      </c>
      <c r="U236" s="158">
        <v>-3875390</v>
      </c>
      <c r="V236" s="158">
        <v>54382588</v>
      </c>
      <c r="W236" s="158">
        <v>-1337095</v>
      </c>
      <c r="X236" s="158">
        <v>87176335</v>
      </c>
      <c r="Y236" s="158">
        <v>130878274</v>
      </c>
      <c r="Z236" s="158">
        <v>26862742</v>
      </c>
      <c r="AA236" s="158">
        <v>21490194</v>
      </c>
      <c r="AB236" s="158">
        <v>4835294</v>
      </c>
      <c r="AC236" s="158">
        <v>537255</v>
      </c>
      <c r="AD236" s="158">
        <v>169749</v>
      </c>
      <c r="AE236" s="158">
        <v>0</v>
      </c>
      <c r="AF236" s="158">
        <v>0</v>
      </c>
      <c r="AG236" s="158">
        <v>0</v>
      </c>
      <c r="AH236" s="158">
        <v>0</v>
      </c>
      <c r="AI236" s="158">
        <v>0</v>
      </c>
      <c r="AJ236" s="158">
        <v>0</v>
      </c>
      <c r="AK236" s="158">
        <v>284335</v>
      </c>
      <c r="AL236" s="158">
        <v>209</v>
      </c>
      <c r="AM236" s="158">
        <v>17</v>
      </c>
      <c r="AN236" s="158">
        <v>9</v>
      </c>
      <c r="AO236" s="158">
        <v>0</v>
      </c>
      <c r="AP236" s="158">
        <v>0</v>
      </c>
      <c r="AQ236" s="158">
        <v>497</v>
      </c>
      <c r="AR236" s="158">
        <v>124</v>
      </c>
      <c r="AS236" s="158">
        <v>8</v>
      </c>
      <c r="AT236" s="158">
        <v>5</v>
      </c>
      <c r="AU236" s="158">
        <v>8</v>
      </c>
      <c r="AV236" s="158">
        <v>0</v>
      </c>
      <c r="AW236" s="158">
        <v>0</v>
      </c>
      <c r="AX236" s="158">
        <v>0</v>
      </c>
      <c r="AY236" s="158">
        <v>432</v>
      </c>
      <c r="AZ236" s="158">
        <v>456</v>
      </c>
      <c r="BA236" s="158">
        <v>1685</v>
      </c>
      <c r="BB236" s="158">
        <v>1533</v>
      </c>
      <c r="BC236" s="158">
        <v>152</v>
      </c>
      <c r="BD236" s="158">
        <v>1721</v>
      </c>
      <c r="BE236" s="158">
        <v>-1712535</v>
      </c>
      <c r="BF236" s="158">
        <v>-301780</v>
      </c>
      <c r="BG236" s="158">
        <v>0</v>
      </c>
      <c r="BH236" s="158">
        <v>-73790</v>
      </c>
      <c r="BI236" s="158">
        <v>-417278</v>
      </c>
      <c r="BJ236" s="158">
        <v>-551263</v>
      </c>
      <c r="BK236" s="158">
        <v>1922088</v>
      </c>
      <c r="BL236" s="1438">
        <v>17542000</v>
      </c>
      <c r="BM236" s="1439">
        <v>0</v>
      </c>
      <c r="BN236" s="784" t="s">
        <v>2349</v>
      </c>
      <c r="BO236" s="784" t="s">
        <v>2373</v>
      </c>
      <c r="BP236" s="1400" t="s">
        <v>2589</v>
      </c>
      <c r="BQ236" s="509"/>
      <c r="BR236" s="509"/>
      <c r="BS236" s="509"/>
      <c r="BT236" s="509"/>
      <c r="BU236" s="509"/>
      <c r="BV236" s="509"/>
      <c r="BW236" s="509"/>
      <c r="BX236" s="509"/>
      <c r="BY236" s="509"/>
      <c r="BZ236" s="509"/>
      <c r="CA236" s="509"/>
      <c r="CB236" s="509"/>
      <c r="CC236" s="509"/>
      <c r="CD236" s="509"/>
      <c r="CE236" s="509"/>
      <c r="CF236" s="509"/>
      <c r="CG236" s="509"/>
      <c r="CH236" s="509"/>
      <c r="CI236" s="509"/>
      <c r="CJ236" s="509"/>
      <c r="CK236" s="509"/>
      <c r="CL236" s="509"/>
      <c r="CM236" s="509"/>
      <c r="CN236" s="509"/>
      <c r="CO236" s="509"/>
      <c r="CP236" s="509"/>
      <c r="CQ236" s="509"/>
      <c r="CR236" s="509"/>
      <c r="CS236" s="509"/>
    </row>
    <row r="237" spans="1:98" s="137" customFormat="1" ht="12.75" customHeight="1" x14ac:dyDescent="0.2">
      <c r="A237" s="1421">
        <v>233</v>
      </c>
      <c r="B237" s="649" t="s">
        <v>361</v>
      </c>
      <c r="C237" s="1607" t="s">
        <v>362</v>
      </c>
      <c r="D237" s="1605">
        <v>112934</v>
      </c>
      <c r="E237" s="1405">
        <v>59746681</v>
      </c>
      <c r="F237" s="1405">
        <v>3155</v>
      </c>
      <c r="G237" s="158">
        <v>-4045643</v>
      </c>
      <c r="H237" s="158">
        <v>-1787934</v>
      </c>
      <c r="I237" s="158">
        <v>-46219</v>
      </c>
      <c r="J237" s="158">
        <v>-13210</v>
      </c>
      <c r="K237" s="158">
        <v>-22861</v>
      </c>
      <c r="L237" s="158">
        <v>-10000</v>
      </c>
      <c r="M237" s="158">
        <v>-617703</v>
      </c>
      <c r="N237" s="158">
        <v>-41372</v>
      </c>
      <c r="O237" s="158">
        <v>-451972</v>
      </c>
      <c r="P237" s="158">
        <v>-3376</v>
      </c>
      <c r="Q237" s="158">
        <v>0</v>
      </c>
      <c r="R237" s="158">
        <v>0</v>
      </c>
      <c r="S237" s="158">
        <v>0</v>
      </c>
      <c r="T237" s="158">
        <v>0</v>
      </c>
      <c r="U237" s="158">
        <v>-2288528</v>
      </c>
      <c r="V237" s="158">
        <v>20432346</v>
      </c>
      <c r="W237" s="158">
        <v>-102162</v>
      </c>
      <c r="X237" s="158">
        <v>32848550</v>
      </c>
      <c r="Y237" s="158">
        <v>59702521</v>
      </c>
      <c r="Z237" s="158">
        <v>10757131</v>
      </c>
      <c r="AA237" s="158">
        <v>8605705</v>
      </c>
      <c r="AB237" s="158">
        <v>1936284</v>
      </c>
      <c r="AC237" s="158">
        <v>215143</v>
      </c>
      <c r="AD237" s="158">
        <v>113759</v>
      </c>
      <c r="AE237" s="158">
        <v>0</v>
      </c>
      <c r="AF237" s="158">
        <v>0</v>
      </c>
      <c r="AG237" s="158">
        <v>0</v>
      </c>
      <c r="AH237" s="158">
        <v>0</v>
      </c>
      <c r="AI237" s="158">
        <v>0</v>
      </c>
      <c r="AJ237" s="158">
        <v>0</v>
      </c>
      <c r="AK237" s="158">
        <v>-1187963</v>
      </c>
      <c r="AL237" s="158">
        <v>196</v>
      </c>
      <c r="AM237" s="158">
        <v>8</v>
      </c>
      <c r="AN237" s="158">
        <v>7</v>
      </c>
      <c r="AO237" s="158">
        <v>13</v>
      </c>
      <c r="AP237" s="158">
        <v>0</v>
      </c>
      <c r="AQ237" s="158">
        <v>228</v>
      </c>
      <c r="AR237" s="158">
        <v>60</v>
      </c>
      <c r="AS237" s="158">
        <v>39</v>
      </c>
      <c r="AT237" s="158">
        <v>6</v>
      </c>
      <c r="AU237" s="158">
        <v>0</v>
      </c>
      <c r="AV237" s="158">
        <v>0</v>
      </c>
      <c r="AW237" s="158">
        <v>0</v>
      </c>
      <c r="AX237" s="158">
        <v>0</v>
      </c>
      <c r="AY237" s="158">
        <v>419</v>
      </c>
      <c r="AZ237" s="158">
        <v>650</v>
      </c>
      <c r="BA237" s="158">
        <v>1651</v>
      </c>
      <c r="BB237" s="158">
        <v>1555</v>
      </c>
      <c r="BC237" s="158">
        <v>96</v>
      </c>
      <c r="BD237" s="158">
        <v>867</v>
      </c>
      <c r="BE237" s="158">
        <v>-71322</v>
      </c>
      <c r="BF237" s="158">
        <v>-214897</v>
      </c>
      <c r="BG237" s="158">
        <v>0</v>
      </c>
      <c r="BH237" s="158">
        <v>-10756</v>
      </c>
      <c r="BI237" s="158">
        <v>-289955</v>
      </c>
      <c r="BJ237" s="158">
        <v>-30773</v>
      </c>
      <c r="BK237" s="158">
        <v>-1600691</v>
      </c>
      <c r="BL237" s="1438">
        <v>7411650</v>
      </c>
      <c r="BM237" s="1439">
        <v>0</v>
      </c>
      <c r="BN237" s="784" t="s">
        <v>2349</v>
      </c>
      <c r="BO237" s="784" t="s">
        <v>2373</v>
      </c>
      <c r="BP237" s="1400" t="s">
        <v>2590</v>
      </c>
      <c r="BQ237" s="509"/>
      <c r="BR237" s="509"/>
      <c r="BS237" s="509"/>
      <c r="BT237" s="509"/>
      <c r="BU237" s="509"/>
      <c r="BV237" s="509"/>
      <c r="BW237" s="509"/>
      <c r="BX237" s="509"/>
      <c r="BY237" s="509"/>
      <c r="BZ237" s="509"/>
      <c r="CA237" s="509"/>
      <c r="CB237" s="509"/>
      <c r="CC237" s="509"/>
      <c r="CD237" s="509"/>
      <c r="CE237" s="509"/>
      <c r="CF237" s="509"/>
      <c r="CG237" s="509"/>
      <c r="CH237" s="509"/>
      <c r="CI237" s="509"/>
      <c r="CJ237" s="509"/>
      <c r="CK237" s="509"/>
      <c r="CL237" s="509"/>
      <c r="CM237" s="509"/>
      <c r="CN237" s="509"/>
      <c r="CO237" s="509"/>
      <c r="CP237" s="509"/>
      <c r="CQ237" s="509"/>
      <c r="CR237" s="509"/>
      <c r="CS237" s="509"/>
    </row>
    <row r="238" spans="1:98" s="137" customFormat="1" ht="12.75" customHeight="1" x14ac:dyDescent="0.2">
      <c r="A238" s="1421">
        <v>234</v>
      </c>
      <c r="B238" s="649" t="s">
        <v>363</v>
      </c>
      <c r="C238" s="1607" t="s">
        <v>364</v>
      </c>
      <c r="D238" s="1605">
        <v>108306</v>
      </c>
      <c r="E238" s="1405">
        <v>126452181</v>
      </c>
      <c r="F238" s="1405">
        <v>2273</v>
      </c>
      <c r="G238" s="158">
        <v>-1927703</v>
      </c>
      <c r="H238" s="158">
        <v>-3514224</v>
      </c>
      <c r="I238" s="158">
        <v>-4691</v>
      </c>
      <c r="J238" s="158">
        <v>0</v>
      </c>
      <c r="K238" s="158">
        <v>-7685</v>
      </c>
      <c r="L238" s="158">
        <v>0</v>
      </c>
      <c r="M238" s="158">
        <v>-684967</v>
      </c>
      <c r="N238" s="158">
        <v>-156688</v>
      </c>
      <c r="O238" s="158">
        <v>-51821</v>
      </c>
      <c r="P238" s="158">
        <v>0</v>
      </c>
      <c r="Q238" s="158">
        <v>0</v>
      </c>
      <c r="R238" s="158">
        <v>0</v>
      </c>
      <c r="S238" s="158">
        <v>0</v>
      </c>
      <c r="T238" s="158">
        <v>0</v>
      </c>
      <c r="U238" s="158">
        <v>-2518384</v>
      </c>
      <c r="V238" s="158">
        <v>57807431</v>
      </c>
      <c r="W238" s="158">
        <v>-3700000</v>
      </c>
      <c r="X238" s="158">
        <v>100415500</v>
      </c>
      <c r="Y238" s="158">
        <v>124401744</v>
      </c>
      <c r="Z238" s="158">
        <v>27398671</v>
      </c>
      <c r="AA238" s="158">
        <v>21918936</v>
      </c>
      <c r="AB238" s="158">
        <v>5479734</v>
      </c>
      <c r="AC238" s="158">
        <v>0</v>
      </c>
      <c r="AD238" s="158">
        <v>107499</v>
      </c>
      <c r="AE238" s="158">
        <v>0</v>
      </c>
      <c r="AF238" s="158">
        <v>1518</v>
      </c>
      <c r="AG238" s="158">
        <v>0</v>
      </c>
      <c r="AH238" s="158">
        <v>0</v>
      </c>
      <c r="AI238" s="158">
        <v>0</v>
      </c>
      <c r="AJ238" s="158">
        <v>0</v>
      </c>
      <c r="AK238" s="158">
        <v>2095143</v>
      </c>
      <c r="AL238" s="158">
        <v>112</v>
      </c>
      <c r="AM238" s="158">
        <v>1</v>
      </c>
      <c r="AN238" s="158">
        <v>0</v>
      </c>
      <c r="AO238" s="158">
        <v>3</v>
      </c>
      <c r="AP238" s="158">
        <v>0</v>
      </c>
      <c r="AQ238" s="158">
        <v>239</v>
      </c>
      <c r="AR238" s="158">
        <v>50</v>
      </c>
      <c r="AS238" s="158">
        <v>6</v>
      </c>
      <c r="AT238" s="158">
        <v>0</v>
      </c>
      <c r="AU238" s="158">
        <v>0</v>
      </c>
      <c r="AV238" s="158">
        <v>0</v>
      </c>
      <c r="AW238" s="158">
        <v>0</v>
      </c>
      <c r="AX238" s="158">
        <v>0</v>
      </c>
      <c r="AY238" s="158">
        <v>210</v>
      </c>
      <c r="AZ238" s="158">
        <v>740</v>
      </c>
      <c r="BA238" s="158">
        <v>628</v>
      </c>
      <c r="BB238" s="158">
        <v>579</v>
      </c>
      <c r="BC238" s="158">
        <v>49</v>
      </c>
      <c r="BD238" s="158">
        <v>914</v>
      </c>
      <c r="BE238" s="158">
        <v>-89849</v>
      </c>
      <c r="BF238" s="158">
        <v>-62973</v>
      </c>
      <c r="BG238" s="158">
        <v>0</v>
      </c>
      <c r="BH238" s="158">
        <v>0</v>
      </c>
      <c r="BI238" s="158">
        <v>-151320</v>
      </c>
      <c r="BJ238" s="158">
        <v>-380825</v>
      </c>
      <c r="BK238" s="158">
        <v>-547267</v>
      </c>
      <c r="BL238" s="1438">
        <v>11475500</v>
      </c>
      <c r="BM238" s="1439">
        <v>0</v>
      </c>
      <c r="BN238" s="784" t="s">
        <v>2349</v>
      </c>
      <c r="BO238" s="784" t="s">
        <v>2357</v>
      </c>
      <c r="BP238" s="1400" t="s">
        <v>2591</v>
      </c>
      <c r="BQ238" s="509"/>
      <c r="BR238" s="509"/>
      <c r="BS238" s="509"/>
      <c r="BT238" s="509"/>
      <c r="BU238" s="509"/>
      <c r="BV238" s="509"/>
      <c r="BW238" s="509"/>
      <c r="BX238" s="509"/>
      <c r="BY238" s="509"/>
      <c r="BZ238" s="509"/>
      <c r="CA238" s="509"/>
      <c r="CB238" s="509"/>
      <c r="CC238" s="509"/>
      <c r="CD238" s="509"/>
      <c r="CE238" s="509"/>
      <c r="CF238" s="509"/>
      <c r="CG238" s="509"/>
      <c r="CH238" s="509"/>
      <c r="CI238" s="509"/>
      <c r="CJ238" s="509"/>
      <c r="CK238" s="509"/>
      <c r="CL238" s="509"/>
      <c r="CM238" s="509"/>
      <c r="CN238" s="509"/>
      <c r="CO238" s="509"/>
      <c r="CP238" s="509"/>
      <c r="CQ238" s="509"/>
      <c r="CR238" s="509"/>
      <c r="CS238" s="509"/>
    </row>
    <row r="239" spans="1:98" s="137" customFormat="1" ht="12.75" customHeight="1" x14ac:dyDescent="0.2">
      <c r="A239" s="1421">
        <v>235</v>
      </c>
      <c r="B239" s="649" t="s">
        <v>365</v>
      </c>
      <c r="C239" s="1607" t="s">
        <v>366</v>
      </c>
      <c r="D239" s="1605">
        <v>420862</v>
      </c>
      <c r="E239" s="1405">
        <v>240967192</v>
      </c>
      <c r="F239" s="1405">
        <v>11365</v>
      </c>
      <c r="G239" s="158">
        <v>-12753495</v>
      </c>
      <c r="H239" s="158">
        <v>-5668183</v>
      </c>
      <c r="I239" s="158">
        <v>-249041</v>
      </c>
      <c r="J239" s="158">
        <v>0</v>
      </c>
      <c r="K239" s="158">
        <v>-7829</v>
      </c>
      <c r="L239" s="158">
        <v>0</v>
      </c>
      <c r="M239" s="158">
        <v>-2811930</v>
      </c>
      <c r="N239" s="158">
        <v>0</v>
      </c>
      <c r="O239" s="158">
        <v>-575127</v>
      </c>
      <c r="P239" s="158">
        <v>-23032</v>
      </c>
      <c r="Q239" s="158">
        <v>0</v>
      </c>
      <c r="R239" s="158">
        <v>0</v>
      </c>
      <c r="S239" s="158">
        <v>0</v>
      </c>
      <c r="T239" s="158">
        <v>0</v>
      </c>
      <c r="U239" s="158">
        <v>-7495447</v>
      </c>
      <c r="V239" s="158">
        <v>90505084</v>
      </c>
      <c r="W239" s="158">
        <v>-2244000</v>
      </c>
      <c r="X239" s="158">
        <v>141050050</v>
      </c>
      <c r="Y239" s="158">
        <v>241816037</v>
      </c>
      <c r="Z239" s="158">
        <v>0</v>
      </c>
      <c r="AA239" s="158">
        <v>89511226</v>
      </c>
      <c r="AB239" s="158">
        <v>0</v>
      </c>
      <c r="AC239" s="158">
        <v>904154</v>
      </c>
      <c r="AD239" s="158">
        <v>420462</v>
      </c>
      <c r="AE239" s="158">
        <v>0</v>
      </c>
      <c r="AF239" s="158">
        <v>53039</v>
      </c>
      <c r="AG239" s="158">
        <v>0</v>
      </c>
      <c r="AH239" s="158">
        <v>0</v>
      </c>
      <c r="AI239" s="158">
        <v>0</v>
      </c>
      <c r="AJ239" s="158">
        <v>0</v>
      </c>
      <c r="AK239" s="158">
        <v>6918444</v>
      </c>
      <c r="AL239" s="158">
        <v>299</v>
      </c>
      <c r="AM239" s="158">
        <v>33</v>
      </c>
      <c r="AN239" s="158">
        <v>0</v>
      </c>
      <c r="AO239" s="158">
        <v>7</v>
      </c>
      <c r="AP239" s="158">
        <v>0</v>
      </c>
      <c r="AQ239" s="158">
        <v>1238</v>
      </c>
      <c r="AR239" s="158">
        <v>0</v>
      </c>
      <c r="AS239" s="158">
        <v>24</v>
      </c>
      <c r="AT239" s="158">
        <v>15</v>
      </c>
      <c r="AU239" s="158">
        <v>0</v>
      </c>
      <c r="AV239" s="158">
        <v>0</v>
      </c>
      <c r="AW239" s="158">
        <v>0</v>
      </c>
      <c r="AX239" s="158">
        <v>0</v>
      </c>
      <c r="AY239" s="158">
        <v>1112</v>
      </c>
      <c r="AZ239" s="158">
        <v>2872</v>
      </c>
      <c r="BA239" s="158">
        <v>4633</v>
      </c>
      <c r="BB239" s="158">
        <v>4300</v>
      </c>
      <c r="BC239" s="158">
        <v>333</v>
      </c>
      <c r="BD239" s="158">
        <v>3818</v>
      </c>
      <c r="BE239" s="158">
        <v>-112875</v>
      </c>
      <c r="BF239" s="158">
        <v>-621672</v>
      </c>
      <c r="BG239" s="158">
        <v>0</v>
      </c>
      <c r="BH239" s="158">
        <v>0</v>
      </c>
      <c r="BI239" s="158">
        <v>-1939865</v>
      </c>
      <c r="BJ239" s="158">
        <v>-137518</v>
      </c>
      <c r="BK239" s="158">
        <v>8820634</v>
      </c>
      <c r="BL239" s="1438">
        <v>34944275</v>
      </c>
      <c r="BM239" s="1439">
        <v>0</v>
      </c>
      <c r="BN239" s="784" t="s">
        <v>2363</v>
      </c>
      <c r="BO239" s="784" t="s">
        <v>2376</v>
      </c>
      <c r="BP239" s="1400" t="s">
        <v>2592</v>
      </c>
      <c r="BQ239" s="509"/>
      <c r="BR239" s="509"/>
      <c r="BS239" s="509"/>
      <c r="BT239" s="509"/>
      <c r="BU239" s="509"/>
      <c r="BV239" s="509"/>
      <c r="BW239" s="509"/>
      <c r="BX239" s="509"/>
      <c r="BY239" s="509"/>
      <c r="BZ239" s="509"/>
      <c r="CA239" s="509"/>
      <c r="CB239" s="509"/>
      <c r="CC239" s="509"/>
      <c r="CD239" s="509"/>
      <c r="CE239" s="509"/>
      <c r="CF239" s="509"/>
      <c r="CG239" s="509"/>
      <c r="CH239" s="509"/>
      <c r="CI239" s="509"/>
      <c r="CJ239" s="509"/>
      <c r="CK239" s="509"/>
      <c r="CL239" s="509"/>
      <c r="CM239" s="509"/>
      <c r="CN239" s="509"/>
      <c r="CO239" s="509"/>
      <c r="CP239" s="509"/>
      <c r="CQ239" s="509"/>
      <c r="CR239" s="509"/>
      <c r="CS239" s="509"/>
    </row>
    <row r="240" spans="1:98" s="657" customFormat="1" ht="12.75" customHeight="1" x14ac:dyDescent="0.2">
      <c r="A240" s="1421">
        <v>236</v>
      </c>
      <c r="B240" s="649" t="s">
        <v>545</v>
      </c>
      <c r="C240" s="1607" t="s">
        <v>368</v>
      </c>
      <c r="D240" s="1605">
        <v>230985</v>
      </c>
      <c r="E240" s="1405">
        <v>205997117</v>
      </c>
      <c r="F240" s="1405">
        <v>5703</v>
      </c>
      <c r="G240" s="158">
        <v>-5909144</v>
      </c>
      <c r="H240" s="158">
        <v>-6027640</v>
      </c>
      <c r="I240" s="158">
        <v>-48037</v>
      </c>
      <c r="J240" s="158">
        <v>0</v>
      </c>
      <c r="K240" s="158">
        <v>-13545</v>
      </c>
      <c r="L240" s="158">
        <v>0</v>
      </c>
      <c r="M240" s="158">
        <v>-2499889</v>
      </c>
      <c r="N240" s="158">
        <v>-259845</v>
      </c>
      <c r="O240" s="158">
        <v>-73783</v>
      </c>
      <c r="P240" s="158">
        <v>-14182</v>
      </c>
      <c r="Q240" s="158">
        <v>0</v>
      </c>
      <c r="R240" s="158">
        <v>-12545</v>
      </c>
      <c r="S240" s="158">
        <v>0</v>
      </c>
      <c r="T240" s="158">
        <v>-2545</v>
      </c>
      <c r="U240" s="158">
        <v>-4944159</v>
      </c>
      <c r="V240" s="158">
        <v>89063451</v>
      </c>
      <c r="W240" s="158">
        <v>-2850031</v>
      </c>
      <c r="X240" s="158">
        <v>148547750</v>
      </c>
      <c r="Y240" s="158">
        <v>199951318</v>
      </c>
      <c r="Z240" s="158">
        <v>42779647</v>
      </c>
      <c r="AA240" s="158">
        <v>41925302</v>
      </c>
      <c r="AB240" s="158">
        <v>0</v>
      </c>
      <c r="AC240" s="158">
        <v>855618</v>
      </c>
      <c r="AD240" s="158">
        <v>230014</v>
      </c>
      <c r="AE240" s="158">
        <v>341135</v>
      </c>
      <c r="AF240" s="158">
        <v>156582</v>
      </c>
      <c r="AG240" s="158">
        <v>0</v>
      </c>
      <c r="AH240" s="158">
        <v>1273</v>
      </c>
      <c r="AI240" s="158">
        <v>0</v>
      </c>
      <c r="AJ240" s="158">
        <v>0</v>
      </c>
      <c r="AK240" s="158">
        <v>5823379</v>
      </c>
      <c r="AL240" s="158">
        <v>210</v>
      </c>
      <c r="AM240" s="158">
        <v>5</v>
      </c>
      <c r="AN240" s="158">
        <v>0</v>
      </c>
      <c r="AO240" s="158">
        <v>5</v>
      </c>
      <c r="AP240" s="158">
        <v>0</v>
      </c>
      <c r="AQ240" s="158">
        <v>403</v>
      </c>
      <c r="AR240" s="158">
        <v>78</v>
      </c>
      <c r="AS240" s="158">
        <v>8</v>
      </c>
      <c r="AT240" s="158">
        <v>5</v>
      </c>
      <c r="AU240" s="158">
        <v>0</v>
      </c>
      <c r="AV240" s="158">
        <v>0</v>
      </c>
      <c r="AW240" s="158">
        <v>2</v>
      </c>
      <c r="AX240" s="158">
        <v>0</v>
      </c>
      <c r="AY240" s="158">
        <v>591</v>
      </c>
      <c r="AZ240" s="158">
        <v>1454</v>
      </c>
      <c r="BA240" s="158">
        <v>2183</v>
      </c>
      <c r="BB240" s="158">
        <v>2064</v>
      </c>
      <c r="BC240" s="158">
        <v>119</v>
      </c>
      <c r="BD240" s="158">
        <v>2127</v>
      </c>
      <c r="BE240" s="158">
        <v>-188096</v>
      </c>
      <c r="BF240" s="158">
        <v>-217010</v>
      </c>
      <c r="BG240" s="158">
        <v>0</v>
      </c>
      <c r="BH240" s="158">
        <v>0</v>
      </c>
      <c r="BI240" s="158">
        <v>-1958990</v>
      </c>
      <c r="BJ240" s="158">
        <v>-135793</v>
      </c>
      <c r="BK240" s="158">
        <v>6084654</v>
      </c>
      <c r="BL240" s="1438">
        <v>22250100</v>
      </c>
      <c r="BM240" s="1439">
        <v>116250</v>
      </c>
      <c r="BN240" s="784" t="s">
        <v>509</v>
      </c>
      <c r="BO240" s="784" t="s">
        <v>855</v>
      </c>
      <c r="BP240" s="1400" t="s">
        <v>2593</v>
      </c>
      <c r="BQ240" s="509"/>
      <c r="BR240" s="509"/>
      <c r="BS240" s="509"/>
      <c r="BT240" s="509"/>
      <c r="BU240" s="509"/>
      <c r="BV240" s="509"/>
      <c r="BW240" s="509"/>
      <c r="BX240" s="509"/>
      <c r="BY240" s="509"/>
      <c r="BZ240" s="509"/>
      <c r="CA240" s="509"/>
      <c r="CB240" s="509"/>
      <c r="CC240" s="509"/>
      <c r="CD240" s="509"/>
      <c r="CE240" s="509"/>
      <c r="CF240" s="509"/>
      <c r="CG240" s="509"/>
      <c r="CH240" s="509"/>
      <c r="CI240" s="509"/>
      <c r="CJ240" s="509"/>
      <c r="CK240" s="509"/>
      <c r="CL240" s="509"/>
      <c r="CM240" s="509"/>
      <c r="CN240" s="509"/>
      <c r="CO240" s="509"/>
      <c r="CP240" s="509"/>
      <c r="CQ240" s="509"/>
      <c r="CR240" s="509"/>
      <c r="CS240" s="509"/>
      <c r="CT240" s="137"/>
    </row>
    <row r="241" spans="1:98" s="137" customFormat="1" ht="12.75" customHeight="1" x14ac:dyDescent="0.2">
      <c r="A241" s="1421">
        <v>237</v>
      </c>
      <c r="B241" s="649" t="s">
        <v>642</v>
      </c>
      <c r="C241" s="1607" t="s">
        <v>370</v>
      </c>
      <c r="D241" s="1605">
        <v>354452</v>
      </c>
      <c r="E241" s="1405">
        <v>243853884</v>
      </c>
      <c r="F241" s="1405">
        <v>9398</v>
      </c>
      <c r="G241" s="158">
        <v>-10999723</v>
      </c>
      <c r="H241" s="158">
        <v>-7920866</v>
      </c>
      <c r="I241" s="158">
        <v>-68278</v>
      </c>
      <c r="J241" s="158">
        <v>0</v>
      </c>
      <c r="K241" s="158">
        <v>-11683</v>
      </c>
      <c r="L241" s="158">
        <v>0</v>
      </c>
      <c r="M241" s="158">
        <v>-2657750</v>
      </c>
      <c r="N241" s="158">
        <v>-2990</v>
      </c>
      <c r="O241" s="158">
        <v>-83038</v>
      </c>
      <c r="P241" s="158">
        <v>-29414</v>
      </c>
      <c r="Q241" s="158">
        <v>0</v>
      </c>
      <c r="R241" s="158">
        <v>-196292</v>
      </c>
      <c r="S241" s="158">
        <v>-196292</v>
      </c>
      <c r="T241" s="158">
        <v>0</v>
      </c>
      <c r="U241" s="158">
        <v>-8842425</v>
      </c>
      <c r="V241" s="158">
        <v>95742479</v>
      </c>
      <c r="W241" s="158">
        <v>-3000000</v>
      </c>
      <c r="X241" s="158">
        <v>163737900</v>
      </c>
      <c r="Y241" s="158">
        <v>244218259</v>
      </c>
      <c r="Z241" s="158">
        <v>44935764</v>
      </c>
      <c r="AA241" s="158">
        <v>44229414</v>
      </c>
      <c r="AB241" s="158">
        <v>0</v>
      </c>
      <c r="AC241" s="158">
        <v>902641</v>
      </c>
      <c r="AD241" s="158">
        <v>353613</v>
      </c>
      <c r="AE241" s="158">
        <v>2928662</v>
      </c>
      <c r="AF241" s="158">
        <v>0</v>
      </c>
      <c r="AG241" s="158">
        <v>0</v>
      </c>
      <c r="AH241" s="158">
        <v>196292</v>
      </c>
      <c r="AI241" s="158">
        <v>0</v>
      </c>
      <c r="AJ241" s="158">
        <v>0</v>
      </c>
      <c r="AK241" s="158">
        <v>-16221039</v>
      </c>
      <c r="AL241" s="158">
        <v>383</v>
      </c>
      <c r="AM241" s="158">
        <v>15</v>
      </c>
      <c r="AN241" s="158">
        <v>0</v>
      </c>
      <c r="AO241" s="158">
        <v>9</v>
      </c>
      <c r="AP241" s="158">
        <v>0</v>
      </c>
      <c r="AQ241" s="158">
        <v>1232</v>
      </c>
      <c r="AR241" s="158">
        <v>12</v>
      </c>
      <c r="AS241" s="158">
        <v>12</v>
      </c>
      <c r="AT241" s="158">
        <v>7</v>
      </c>
      <c r="AU241" s="158">
        <v>0</v>
      </c>
      <c r="AV241" s="158">
        <v>0</v>
      </c>
      <c r="AW241" s="158">
        <v>12</v>
      </c>
      <c r="AX241" s="158">
        <v>0</v>
      </c>
      <c r="AY241" s="158">
        <v>738</v>
      </c>
      <c r="AZ241" s="158">
        <v>742</v>
      </c>
      <c r="BA241" s="158">
        <v>4135</v>
      </c>
      <c r="BB241" s="158">
        <v>3919</v>
      </c>
      <c r="BC241" s="158">
        <v>216</v>
      </c>
      <c r="BD241" s="158">
        <v>4441</v>
      </c>
      <c r="BE241" s="158">
        <v>-908462</v>
      </c>
      <c r="BF241" s="158">
        <v>-532335</v>
      </c>
      <c r="BG241" s="158">
        <v>0</v>
      </c>
      <c r="BH241" s="158">
        <v>-70780</v>
      </c>
      <c r="BI241" s="158">
        <v>-1146173</v>
      </c>
      <c r="BJ241" s="158">
        <v>0</v>
      </c>
      <c r="BK241" s="158">
        <v>-16588274</v>
      </c>
      <c r="BL241" s="1438">
        <v>25814350</v>
      </c>
      <c r="BM241" s="1439">
        <v>0</v>
      </c>
      <c r="BN241" s="784" t="s">
        <v>509</v>
      </c>
      <c r="BO241" s="784" t="s">
        <v>2373</v>
      </c>
      <c r="BP241" s="1400" t="s">
        <v>2594</v>
      </c>
      <c r="BQ241" s="509"/>
      <c r="BR241" s="509"/>
      <c r="BS241" s="509"/>
      <c r="BT241" s="509"/>
      <c r="BU241" s="509"/>
      <c r="BV241" s="509"/>
      <c r="BW241" s="509"/>
      <c r="BX241" s="509"/>
      <c r="BY241" s="509"/>
      <c r="BZ241" s="509"/>
      <c r="CA241" s="509"/>
      <c r="CB241" s="509"/>
      <c r="CC241" s="509"/>
      <c r="CD241" s="509"/>
      <c r="CE241" s="509"/>
      <c r="CF241" s="509"/>
      <c r="CG241" s="509"/>
      <c r="CH241" s="509"/>
      <c r="CI241" s="509"/>
      <c r="CJ241" s="509"/>
      <c r="CK241" s="509"/>
      <c r="CL241" s="509"/>
      <c r="CM241" s="509"/>
      <c r="CN241" s="509"/>
      <c r="CO241" s="509"/>
      <c r="CP241" s="509"/>
      <c r="CQ241" s="509"/>
      <c r="CR241" s="509"/>
      <c r="CS241" s="509"/>
    </row>
    <row r="242" spans="1:98" s="137" customFormat="1" ht="12.75" customHeight="1" x14ac:dyDescent="0.2">
      <c r="A242" s="1421">
        <v>238</v>
      </c>
      <c r="B242" s="649" t="s">
        <v>371</v>
      </c>
      <c r="C242" s="1607" t="s">
        <v>372</v>
      </c>
      <c r="D242" s="1605">
        <v>235082</v>
      </c>
      <c r="E242" s="1405">
        <v>160706530</v>
      </c>
      <c r="F242" s="1405">
        <v>6082</v>
      </c>
      <c r="G242" s="158">
        <v>-6085296</v>
      </c>
      <c r="H242" s="158">
        <v>-4958665</v>
      </c>
      <c r="I242" s="158">
        <v>-138088</v>
      </c>
      <c r="J242" s="158">
        <v>-23987</v>
      </c>
      <c r="K242" s="158">
        <v>-19159</v>
      </c>
      <c r="L242" s="158">
        <v>0</v>
      </c>
      <c r="M242" s="158">
        <v>-2055357</v>
      </c>
      <c r="N242" s="158">
        <v>-8118</v>
      </c>
      <c r="O242" s="158">
        <v>-79872</v>
      </c>
      <c r="P242" s="158">
        <v>0</v>
      </c>
      <c r="Q242" s="158">
        <v>-20057</v>
      </c>
      <c r="R242" s="158">
        <v>0</v>
      </c>
      <c r="S242" s="158">
        <v>0</v>
      </c>
      <c r="T242" s="158">
        <v>0</v>
      </c>
      <c r="U242" s="158">
        <v>-7367822</v>
      </c>
      <c r="V242" s="158">
        <v>60891953</v>
      </c>
      <c r="W242" s="158">
        <v>-3736000</v>
      </c>
      <c r="X242" s="158">
        <v>99531650</v>
      </c>
      <c r="Y242" s="158">
        <v>159300172</v>
      </c>
      <c r="Z242" s="158">
        <v>28094973</v>
      </c>
      <c r="AA242" s="158">
        <v>22475979</v>
      </c>
      <c r="AB242" s="158">
        <v>5618995</v>
      </c>
      <c r="AC242" s="158">
        <v>0</v>
      </c>
      <c r="AD242" s="158">
        <v>234861</v>
      </c>
      <c r="AE242" s="158">
        <v>0</v>
      </c>
      <c r="AF242" s="158">
        <v>627035</v>
      </c>
      <c r="AG242" s="158">
        <v>0</v>
      </c>
      <c r="AH242" s="158">
        <v>0</v>
      </c>
      <c r="AI242" s="158">
        <v>0</v>
      </c>
      <c r="AJ242" s="158">
        <v>0</v>
      </c>
      <c r="AK242" s="158">
        <v>870754</v>
      </c>
      <c r="AL242" s="158">
        <v>305</v>
      </c>
      <c r="AM242" s="158">
        <v>27</v>
      </c>
      <c r="AN242" s="158">
        <v>12</v>
      </c>
      <c r="AO242" s="158">
        <v>10</v>
      </c>
      <c r="AP242" s="158">
        <v>2</v>
      </c>
      <c r="AQ242" s="158">
        <v>412</v>
      </c>
      <c r="AR242" s="158">
        <v>7</v>
      </c>
      <c r="AS242" s="158">
        <v>18</v>
      </c>
      <c r="AT242" s="158">
        <v>0</v>
      </c>
      <c r="AU242" s="158">
        <v>11</v>
      </c>
      <c r="AV242" s="158">
        <v>0</v>
      </c>
      <c r="AW242" s="158">
        <v>0</v>
      </c>
      <c r="AX242" s="158">
        <v>0</v>
      </c>
      <c r="AY242" s="158">
        <v>801</v>
      </c>
      <c r="AZ242" s="158">
        <v>1411</v>
      </c>
      <c r="BA242" s="158">
        <v>2264</v>
      </c>
      <c r="BB242" s="158">
        <v>2064</v>
      </c>
      <c r="BC242" s="158">
        <v>200</v>
      </c>
      <c r="BD242" s="158">
        <v>2445</v>
      </c>
      <c r="BE242" s="158">
        <v>-225795</v>
      </c>
      <c r="BF242" s="158">
        <v>-933008</v>
      </c>
      <c r="BG242" s="158">
        <v>0</v>
      </c>
      <c r="BH242" s="158">
        <v>0</v>
      </c>
      <c r="BI242" s="158">
        <v>-879408</v>
      </c>
      <c r="BJ242" s="158">
        <v>-17147</v>
      </c>
      <c r="BK242" s="158">
        <v>6190761</v>
      </c>
      <c r="BL242" s="1438">
        <v>23896450</v>
      </c>
      <c r="BM242" s="1439">
        <v>0</v>
      </c>
      <c r="BN242" s="784" t="s">
        <v>2349</v>
      </c>
      <c r="BO242" s="784" t="s">
        <v>2373</v>
      </c>
      <c r="BP242" s="1400" t="s">
        <v>2595</v>
      </c>
      <c r="BQ242" s="509"/>
      <c r="BR242" s="509"/>
      <c r="BS242" s="509"/>
      <c r="BT242" s="509"/>
      <c r="BU242" s="509"/>
      <c r="BV242" s="509"/>
      <c r="BW242" s="509"/>
      <c r="BX242" s="509"/>
      <c r="BY242" s="509"/>
      <c r="BZ242" s="509"/>
      <c r="CA242" s="509"/>
      <c r="CB242" s="509"/>
      <c r="CC242" s="509"/>
      <c r="CD242" s="509"/>
      <c r="CE242" s="509"/>
      <c r="CF242" s="509"/>
      <c r="CG242" s="509"/>
      <c r="CH242" s="509"/>
      <c r="CI242" s="509"/>
      <c r="CJ242" s="509"/>
      <c r="CK242" s="509"/>
      <c r="CL242" s="509"/>
      <c r="CM242" s="509"/>
      <c r="CN242" s="509"/>
      <c r="CO242" s="509"/>
      <c r="CP242" s="509"/>
      <c r="CQ242" s="509"/>
      <c r="CR242" s="509"/>
      <c r="CS242" s="509"/>
    </row>
    <row r="243" spans="1:98" s="137" customFormat="1" ht="12.75" customHeight="1" x14ac:dyDescent="0.2">
      <c r="A243" s="1421">
        <v>239</v>
      </c>
      <c r="B243" s="649" t="s">
        <v>373</v>
      </c>
      <c r="C243" s="1607" t="s">
        <v>374</v>
      </c>
      <c r="D243" s="1605">
        <v>164444</v>
      </c>
      <c r="E243" s="1405">
        <v>103558634</v>
      </c>
      <c r="F243" s="1405">
        <v>4342</v>
      </c>
      <c r="G243" s="158">
        <v>-4322690</v>
      </c>
      <c r="H243" s="158">
        <v>-3359941</v>
      </c>
      <c r="I243" s="158">
        <v>-38428</v>
      </c>
      <c r="J243" s="158">
        <v>-33854</v>
      </c>
      <c r="K243" s="158">
        <v>-10851</v>
      </c>
      <c r="L243" s="158">
        <v>0</v>
      </c>
      <c r="M243" s="158">
        <v>-1482617</v>
      </c>
      <c r="N243" s="158">
        <v>-120677</v>
      </c>
      <c r="O243" s="158">
        <v>-30040</v>
      </c>
      <c r="P243" s="158">
        <v>0</v>
      </c>
      <c r="Q243" s="158">
        <v>0</v>
      </c>
      <c r="R243" s="158">
        <v>0</v>
      </c>
      <c r="S243" s="158">
        <v>0</v>
      </c>
      <c r="T243" s="158">
        <v>0</v>
      </c>
      <c r="U243" s="158">
        <v>-2894846</v>
      </c>
      <c r="V243" s="158">
        <v>38577109</v>
      </c>
      <c r="W243" s="158">
        <v>-1000000</v>
      </c>
      <c r="X243" s="158">
        <v>62014375</v>
      </c>
      <c r="Y243" s="158">
        <v>103037668</v>
      </c>
      <c r="Z243" s="158">
        <v>19039369</v>
      </c>
      <c r="AA243" s="158">
        <v>15231496</v>
      </c>
      <c r="AB243" s="158">
        <v>3807874</v>
      </c>
      <c r="AC243" s="158">
        <v>0</v>
      </c>
      <c r="AD243" s="158">
        <v>163642</v>
      </c>
      <c r="AE243" s="158">
        <v>0</v>
      </c>
      <c r="AF243" s="158">
        <v>1457712</v>
      </c>
      <c r="AG243" s="158">
        <v>0</v>
      </c>
      <c r="AH243" s="158">
        <v>0</v>
      </c>
      <c r="AI243" s="158">
        <v>0</v>
      </c>
      <c r="AJ243" s="158">
        <v>0</v>
      </c>
      <c r="AK243" s="158">
        <v>-279002</v>
      </c>
      <c r="AL243" s="158">
        <v>326</v>
      </c>
      <c r="AM243" s="158">
        <v>13</v>
      </c>
      <c r="AN243" s="158">
        <v>16</v>
      </c>
      <c r="AO243" s="158">
        <v>9</v>
      </c>
      <c r="AP243" s="158">
        <v>0</v>
      </c>
      <c r="AQ243" s="158">
        <v>356</v>
      </c>
      <c r="AR243" s="158">
        <v>168</v>
      </c>
      <c r="AS243" s="158">
        <v>5</v>
      </c>
      <c r="AT243" s="158">
        <v>0</v>
      </c>
      <c r="AU243" s="158">
        <v>0</v>
      </c>
      <c r="AV243" s="158">
        <v>0</v>
      </c>
      <c r="AW243" s="158">
        <v>0</v>
      </c>
      <c r="AX243" s="158">
        <v>0</v>
      </c>
      <c r="AY243" s="158">
        <v>386</v>
      </c>
      <c r="AZ243" s="158">
        <v>1114</v>
      </c>
      <c r="BA243" s="158">
        <v>1811</v>
      </c>
      <c r="BB243" s="158">
        <v>1655</v>
      </c>
      <c r="BC243" s="158">
        <v>156</v>
      </c>
      <c r="BD243" s="158">
        <v>1396</v>
      </c>
      <c r="BE243" s="158">
        <v>-86242</v>
      </c>
      <c r="BF243" s="158">
        <v>-480084</v>
      </c>
      <c r="BG243" s="158">
        <v>0</v>
      </c>
      <c r="BH243" s="158">
        <v>0</v>
      </c>
      <c r="BI243" s="158">
        <v>-883185</v>
      </c>
      <c r="BJ243" s="158">
        <v>-33106</v>
      </c>
      <c r="BK243" s="158">
        <v>403921</v>
      </c>
      <c r="BL243" s="1438">
        <v>8984000</v>
      </c>
      <c r="BM243" s="1439">
        <v>0</v>
      </c>
      <c r="BN243" s="784" t="s">
        <v>2349</v>
      </c>
      <c r="BO243" s="784" t="s">
        <v>2369</v>
      </c>
      <c r="BP243" s="1400" t="s">
        <v>2596</v>
      </c>
      <c r="BQ243" s="509"/>
      <c r="BR243" s="509"/>
      <c r="BS243" s="509"/>
      <c r="BT243" s="509"/>
      <c r="BU243" s="509"/>
      <c r="BV243" s="509"/>
      <c r="BW243" s="509"/>
      <c r="BX243" s="509"/>
      <c r="BY243" s="509"/>
      <c r="BZ243" s="509"/>
      <c r="CA243" s="509"/>
      <c r="CB243" s="509"/>
      <c r="CC243" s="509"/>
      <c r="CD243" s="509"/>
      <c r="CE243" s="509"/>
      <c r="CF243" s="509"/>
      <c r="CG243" s="509"/>
      <c r="CH243" s="509"/>
      <c r="CI243" s="509"/>
      <c r="CJ243" s="509"/>
      <c r="CK243" s="509"/>
      <c r="CL243" s="509"/>
      <c r="CM243" s="509"/>
      <c r="CN243" s="509"/>
      <c r="CO243" s="509"/>
      <c r="CP243" s="509"/>
      <c r="CQ243" s="509"/>
      <c r="CR243" s="509"/>
      <c r="CS243" s="509"/>
    </row>
    <row r="244" spans="1:98" s="137" customFormat="1" ht="12.75" customHeight="1" x14ac:dyDescent="0.2">
      <c r="A244" s="1421">
        <v>240</v>
      </c>
      <c r="B244" s="649" t="s">
        <v>375</v>
      </c>
      <c r="C244" s="1607" t="s">
        <v>376</v>
      </c>
      <c r="D244" s="1605">
        <v>321311</v>
      </c>
      <c r="E244" s="1405">
        <v>230806458</v>
      </c>
      <c r="F244" s="1405">
        <v>8432</v>
      </c>
      <c r="G244" s="158">
        <v>-9003649</v>
      </c>
      <c r="H244" s="158">
        <v>-9233271</v>
      </c>
      <c r="I244" s="158">
        <v>-39098</v>
      </c>
      <c r="J244" s="158">
        <v>-3592</v>
      </c>
      <c r="K244" s="158">
        <v>-17538</v>
      </c>
      <c r="L244" s="158">
        <v>-100000</v>
      </c>
      <c r="M244" s="158">
        <v>-2030518</v>
      </c>
      <c r="N244" s="158">
        <v>-60606</v>
      </c>
      <c r="O244" s="158">
        <v>-61996</v>
      </c>
      <c r="P244" s="158">
        <v>-449</v>
      </c>
      <c r="Q244" s="158">
        <v>0</v>
      </c>
      <c r="R244" s="158">
        <v>0</v>
      </c>
      <c r="S244" s="158">
        <v>0</v>
      </c>
      <c r="T244" s="158">
        <v>0</v>
      </c>
      <c r="U244" s="158">
        <v>-6245360</v>
      </c>
      <c r="V244" s="158">
        <v>93516363</v>
      </c>
      <c r="W244" s="158">
        <v>-2289208</v>
      </c>
      <c r="X244" s="158">
        <v>159527900</v>
      </c>
      <c r="Y244" s="158">
        <v>231059438</v>
      </c>
      <c r="Z244" s="158">
        <v>44996578</v>
      </c>
      <c r="AA244" s="158">
        <v>44096647</v>
      </c>
      <c r="AB244" s="158">
        <v>0</v>
      </c>
      <c r="AC244" s="158">
        <v>899932</v>
      </c>
      <c r="AD244" s="158">
        <v>322728</v>
      </c>
      <c r="AE244" s="158">
        <v>1821535</v>
      </c>
      <c r="AF244" s="158">
        <v>0</v>
      </c>
      <c r="AG244" s="158">
        <v>0</v>
      </c>
      <c r="AH244" s="158">
        <v>0</v>
      </c>
      <c r="AI244" s="158">
        <v>0</v>
      </c>
      <c r="AJ244" s="158">
        <v>0</v>
      </c>
      <c r="AK244" s="158">
        <v>322844</v>
      </c>
      <c r="AL244" s="158">
        <v>374</v>
      </c>
      <c r="AM244" s="158">
        <v>5</v>
      </c>
      <c r="AN244" s="158">
        <v>2</v>
      </c>
      <c r="AO244" s="158">
        <v>9</v>
      </c>
      <c r="AP244" s="158">
        <v>0</v>
      </c>
      <c r="AQ244" s="158">
        <v>527</v>
      </c>
      <c r="AR244" s="158">
        <v>72</v>
      </c>
      <c r="AS244" s="158">
        <v>14</v>
      </c>
      <c r="AT244" s="158">
        <v>1</v>
      </c>
      <c r="AU244" s="158">
        <v>2</v>
      </c>
      <c r="AV244" s="158">
        <v>0</v>
      </c>
      <c r="AW244" s="158">
        <v>0</v>
      </c>
      <c r="AX244" s="158">
        <v>0</v>
      </c>
      <c r="AY244" s="158">
        <v>975</v>
      </c>
      <c r="AZ244" s="158">
        <v>762</v>
      </c>
      <c r="BA244" s="158">
        <v>3517</v>
      </c>
      <c r="BB244" s="158">
        <v>3284</v>
      </c>
      <c r="BC244" s="158">
        <v>233</v>
      </c>
      <c r="BD244" s="158">
        <v>4226</v>
      </c>
      <c r="BE244" s="158">
        <v>-131658</v>
      </c>
      <c r="BF244" s="158">
        <v>-412515</v>
      </c>
      <c r="BG244" s="158">
        <v>0</v>
      </c>
      <c r="BH244" s="158">
        <v>0</v>
      </c>
      <c r="BI244" s="158">
        <v>-1257980</v>
      </c>
      <c r="BJ244" s="158">
        <v>-228365</v>
      </c>
      <c r="BK244" s="158">
        <v>1250124</v>
      </c>
      <c r="BL244" s="1438">
        <v>23386950</v>
      </c>
      <c r="BM244" s="1439">
        <v>54750</v>
      </c>
      <c r="BN244" s="784" t="s">
        <v>2363</v>
      </c>
      <c r="BO244" s="784" t="s">
        <v>855</v>
      </c>
      <c r="BP244" s="1400" t="s">
        <v>2597</v>
      </c>
      <c r="BQ244" s="509"/>
      <c r="BR244" s="509"/>
      <c r="BS244" s="509"/>
      <c r="BT244" s="509"/>
      <c r="BU244" s="509"/>
      <c r="BV244" s="509"/>
      <c r="BW244" s="509"/>
      <c r="BX244" s="509"/>
      <c r="BY244" s="509"/>
      <c r="BZ244" s="509"/>
      <c r="CA244" s="509"/>
      <c r="CB244" s="509"/>
      <c r="CC244" s="509"/>
      <c r="CD244" s="509"/>
      <c r="CE244" s="509"/>
      <c r="CF244" s="509"/>
      <c r="CG244" s="509"/>
      <c r="CH244" s="509"/>
      <c r="CI244" s="509"/>
      <c r="CJ244" s="509"/>
      <c r="CK244" s="509"/>
      <c r="CL244" s="509"/>
      <c r="CM244" s="509"/>
      <c r="CN244" s="509"/>
      <c r="CO244" s="509"/>
      <c r="CP244" s="509"/>
      <c r="CQ244" s="509"/>
      <c r="CR244" s="509"/>
      <c r="CS244" s="509"/>
    </row>
    <row r="245" spans="1:98" s="137" customFormat="1" ht="12.75" customHeight="1" x14ac:dyDescent="0.2">
      <c r="A245" s="1421">
        <v>241</v>
      </c>
      <c r="B245" s="649" t="s">
        <v>377</v>
      </c>
      <c r="C245" s="1607" t="s">
        <v>378</v>
      </c>
      <c r="D245" s="1605">
        <v>129056</v>
      </c>
      <c r="E245" s="1405">
        <v>94258832</v>
      </c>
      <c r="F245" s="1405">
        <v>2976</v>
      </c>
      <c r="G245" s="158">
        <v>-3000000</v>
      </c>
      <c r="H245" s="158">
        <v>-2066183</v>
      </c>
      <c r="I245" s="158">
        <v>-6657</v>
      </c>
      <c r="J245" s="158">
        <v>0</v>
      </c>
      <c r="K245" s="158">
        <v>-3243</v>
      </c>
      <c r="L245" s="158">
        <v>0</v>
      </c>
      <c r="M245" s="158">
        <v>-1650370</v>
      </c>
      <c r="N245" s="158">
        <v>-107188</v>
      </c>
      <c r="O245" s="158">
        <v>-333580</v>
      </c>
      <c r="P245" s="158">
        <v>-1664</v>
      </c>
      <c r="Q245" s="158">
        <v>0</v>
      </c>
      <c r="R245" s="158">
        <v>0</v>
      </c>
      <c r="S245" s="158">
        <v>0</v>
      </c>
      <c r="T245" s="158">
        <v>0</v>
      </c>
      <c r="U245" s="158">
        <v>-5094419</v>
      </c>
      <c r="V245" s="158">
        <v>38458571</v>
      </c>
      <c r="W245" s="158">
        <v>-2000000</v>
      </c>
      <c r="X245" s="158">
        <v>65288950</v>
      </c>
      <c r="Y245" s="158">
        <v>94710140</v>
      </c>
      <c r="Z245" s="158">
        <v>18173561</v>
      </c>
      <c r="AA245" s="158">
        <v>14538848</v>
      </c>
      <c r="AB245" s="158">
        <v>3634712</v>
      </c>
      <c r="AC245" s="158">
        <v>0</v>
      </c>
      <c r="AD245" s="158">
        <v>128323</v>
      </c>
      <c r="AE245" s="158">
        <v>0</v>
      </c>
      <c r="AF245" s="158">
        <v>0</v>
      </c>
      <c r="AG245" s="158">
        <v>0</v>
      </c>
      <c r="AH245" s="158">
        <v>0</v>
      </c>
      <c r="AI245" s="158">
        <v>0</v>
      </c>
      <c r="AJ245" s="158">
        <v>0</v>
      </c>
      <c r="AK245" s="158">
        <v>-4139538</v>
      </c>
      <c r="AL245" s="158">
        <v>106</v>
      </c>
      <c r="AM245" s="158">
        <v>4</v>
      </c>
      <c r="AN245" s="158">
        <v>0</v>
      </c>
      <c r="AO245" s="158">
        <v>5</v>
      </c>
      <c r="AP245" s="158">
        <v>0</v>
      </c>
      <c r="AQ245" s="158">
        <v>366</v>
      </c>
      <c r="AR245" s="158">
        <v>61</v>
      </c>
      <c r="AS245" s="158">
        <v>11</v>
      </c>
      <c r="AT245" s="158">
        <v>4</v>
      </c>
      <c r="AU245" s="158">
        <v>0</v>
      </c>
      <c r="AV245" s="158">
        <v>0</v>
      </c>
      <c r="AW245" s="158">
        <v>0</v>
      </c>
      <c r="AX245" s="158">
        <v>0</v>
      </c>
      <c r="AY245" s="158">
        <v>384</v>
      </c>
      <c r="AZ245" s="158">
        <v>356</v>
      </c>
      <c r="BA245" s="158">
        <v>901</v>
      </c>
      <c r="BB245" s="158">
        <v>787</v>
      </c>
      <c r="BC245" s="158">
        <v>114</v>
      </c>
      <c r="BD245" s="158">
        <v>674</v>
      </c>
      <c r="BE245" s="158">
        <v>0</v>
      </c>
      <c r="BF245" s="158">
        <v>-62145</v>
      </c>
      <c r="BG245" s="158">
        <v>0</v>
      </c>
      <c r="BH245" s="158">
        <v>0</v>
      </c>
      <c r="BI245" s="158">
        <v>-222711</v>
      </c>
      <c r="BJ245" s="158">
        <v>-1365514</v>
      </c>
      <c r="BK245" s="158">
        <v>-5566241</v>
      </c>
      <c r="BL245" s="1438">
        <v>0</v>
      </c>
      <c r="BM245" s="1439">
        <v>0</v>
      </c>
      <c r="BN245" s="784" t="s">
        <v>2349</v>
      </c>
      <c r="BO245" s="784" t="s">
        <v>2350</v>
      </c>
      <c r="BP245" s="1400" t="s">
        <v>2598</v>
      </c>
      <c r="BQ245" s="509"/>
      <c r="BR245" s="509"/>
      <c r="BS245" s="509"/>
      <c r="BT245" s="509"/>
      <c r="BU245" s="509"/>
      <c r="BV245" s="509"/>
      <c r="BW245" s="509"/>
      <c r="BX245" s="509"/>
      <c r="BY245" s="509"/>
      <c r="BZ245" s="509"/>
      <c r="CA245" s="509"/>
      <c r="CB245" s="509"/>
      <c r="CC245" s="509"/>
      <c r="CD245" s="509"/>
      <c r="CE245" s="509"/>
      <c r="CF245" s="509"/>
      <c r="CG245" s="509"/>
      <c r="CH245" s="509"/>
      <c r="CI245" s="509"/>
      <c r="CJ245" s="509"/>
      <c r="CK245" s="509"/>
      <c r="CL245" s="509"/>
      <c r="CM245" s="509"/>
      <c r="CN245" s="509"/>
      <c r="CO245" s="509"/>
      <c r="CP245" s="509"/>
      <c r="CQ245" s="509"/>
      <c r="CR245" s="509"/>
      <c r="CS245" s="509"/>
    </row>
    <row r="246" spans="1:98" s="137" customFormat="1" ht="12.75" customHeight="1" x14ac:dyDescent="0.2">
      <c r="A246" s="1421">
        <v>242</v>
      </c>
      <c r="B246" s="649" t="s">
        <v>379</v>
      </c>
      <c r="C246" s="1607" t="s">
        <v>380</v>
      </c>
      <c r="D246" s="1605">
        <v>188111</v>
      </c>
      <c r="E246" s="1405">
        <v>173897353</v>
      </c>
      <c r="F246" s="1405">
        <v>3974</v>
      </c>
      <c r="G246" s="158">
        <v>-4895366</v>
      </c>
      <c r="H246" s="158">
        <v>-9435239</v>
      </c>
      <c r="I246" s="158">
        <v>-33174</v>
      </c>
      <c r="J246" s="158">
        <v>0</v>
      </c>
      <c r="K246" s="158">
        <v>0</v>
      </c>
      <c r="L246" s="158">
        <v>0</v>
      </c>
      <c r="M246" s="158">
        <v>-498658</v>
      </c>
      <c r="N246" s="158">
        <v>0</v>
      </c>
      <c r="O246" s="158">
        <v>-54188</v>
      </c>
      <c r="P246" s="158">
        <v>0</v>
      </c>
      <c r="Q246" s="158">
        <v>0</v>
      </c>
      <c r="R246" s="158">
        <v>0</v>
      </c>
      <c r="S246" s="158">
        <v>0</v>
      </c>
      <c r="T246" s="158">
        <v>0</v>
      </c>
      <c r="U246" s="158">
        <v>-6089944</v>
      </c>
      <c r="V246" s="158">
        <v>68329206</v>
      </c>
      <c r="W246" s="158">
        <v>-2400000</v>
      </c>
      <c r="X246" s="158">
        <v>127087232</v>
      </c>
      <c r="Y246" s="158">
        <v>171742793</v>
      </c>
      <c r="Z246" s="158">
        <v>21849183</v>
      </c>
      <c r="AA246" s="158">
        <v>19862893</v>
      </c>
      <c r="AB246" s="158">
        <v>24497568</v>
      </c>
      <c r="AC246" s="158">
        <v>0</v>
      </c>
      <c r="AD246" s="158">
        <v>187127</v>
      </c>
      <c r="AE246" s="158">
        <v>0</v>
      </c>
      <c r="AF246" s="158">
        <v>281190</v>
      </c>
      <c r="AG246" s="158">
        <v>0</v>
      </c>
      <c r="AH246" s="158">
        <v>0</v>
      </c>
      <c r="AI246" s="158">
        <v>0</v>
      </c>
      <c r="AJ246" s="158">
        <v>0</v>
      </c>
      <c r="AK246" s="158">
        <v>-4494122</v>
      </c>
      <c r="AL246" s="158">
        <v>214</v>
      </c>
      <c r="AM246" s="158">
        <v>3</v>
      </c>
      <c r="AN246" s="158">
        <v>0</v>
      </c>
      <c r="AO246" s="158">
        <v>0</v>
      </c>
      <c r="AP246" s="158">
        <v>0</v>
      </c>
      <c r="AQ246" s="158">
        <v>254</v>
      </c>
      <c r="AR246" s="158">
        <v>0</v>
      </c>
      <c r="AS246" s="158">
        <v>17</v>
      </c>
      <c r="AT246" s="158">
        <v>0</v>
      </c>
      <c r="AU246" s="158">
        <v>0</v>
      </c>
      <c r="AV246" s="158">
        <v>0</v>
      </c>
      <c r="AW246" s="158">
        <v>0</v>
      </c>
      <c r="AX246" s="158">
        <v>1</v>
      </c>
      <c r="AY246" s="158">
        <v>643</v>
      </c>
      <c r="AZ246" s="158">
        <v>595</v>
      </c>
      <c r="BA246" s="158">
        <v>1367</v>
      </c>
      <c r="BB246" s="158">
        <v>1181</v>
      </c>
      <c r="BC246" s="158">
        <v>186</v>
      </c>
      <c r="BD246" s="158">
        <v>2021</v>
      </c>
      <c r="BE246" s="158">
        <v>-15344</v>
      </c>
      <c r="BF246" s="158">
        <v>-10094</v>
      </c>
      <c r="BG246" s="158">
        <v>0</v>
      </c>
      <c r="BH246" s="158">
        <v>-52284</v>
      </c>
      <c r="BI246" s="158">
        <v>-227922</v>
      </c>
      <c r="BJ246" s="158">
        <v>-193014</v>
      </c>
      <c r="BK246" s="158">
        <v>-2446859</v>
      </c>
      <c r="BL246" s="1438">
        <v>13066000</v>
      </c>
      <c r="BM246" s="1439">
        <v>0</v>
      </c>
      <c r="BN246" s="784" t="s">
        <v>2359</v>
      </c>
      <c r="BO246" s="784" t="s">
        <v>2360</v>
      </c>
      <c r="BP246" s="1400" t="s">
        <v>2599</v>
      </c>
      <c r="BQ246" s="509"/>
      <c r="BR246" s="509"/>
      <c r="BS246" s="509"/>
      <c r="BT246" s="509"/>
      <c r="BU246" s="509"/>
      <c r="BV246" s="509"/>
      <c r="BW246" s="509"/>
      <c r="BX246" s="509"/>
      <c r="BY246" s="509"/>
      <c r="BZ246" s="509"/>
      <c r="CA246" s="509"/>
      <c r="CB246" s="509"/>
      <c r="CC246" s="509"/>
      <c r="CD246" s="509"/>
      <c r="CE246" s="509"/>
      <c r="CF246" s="509"/>
      <c r="CG246" s="509"/>
      <c r="CH246" s="509"/>
      <c r="CI246" s="509"/>
      <c r="CJ246" s="509"/>
      <c r="CK246" s="509"/>
      <c r="CL246" s="509"/>
      <c r="CM246" s="509"/>
      <c r="CN246" s="509"/>
      <c r="CO246" s="509"/>
      <c r="CP246" s="509"/>
      <c r="CQ246" s="509"/>
      <c r="CR246" s="509"/>
      <c r="CS246" s="509"/>
    </row>
    <row r="247" spans="1:98" s="137" customFormat="1" ht="12.75" customHeight="1" x14ac:dyDescent="0.2">
      <c r="A247" s="1421">
        <v>243</v>
      </c>
      <c r="B247" s="649" t="s">
        <v>381</v>
      </c>
      <c r="C247" s="1607" t="s">
        <v>382</v>
      </c>
      <c r="D247" s="1605">
        <v>195878</v>
      </c>
      <c r="E247" s="1405">
        <v>165634200</v>
      </c>
      <c r="F247" s="1405">
        <v>4874</v>
      </c>
      <c r="G247" s="158">
        <v>-5946627</v>
      </c>
      <c r="H247" s="158">
        <v>-4323547</v>
      </c>
      <c r="I247" s="158">
        <v>-99395</v>
      </c>
      <c r="J247" s="158">
        <v>-27016</v>
      </c>
      <c r="K247" s="158">
        <v>-18186</v>
      </c>
      <c r="L247" s="158">
        <v>-50000</v>
      </c>
      <c r="M247" s="158">
        <v>-1702053</v>
      </c>
      <c r="N247" s="158">
        <v>-231786</v>
      </c>
      <c r="O247" s="158">
        <v>-168107</v>
      </c>
      <c r="P247" s="158">
        <v>-24849</v>
      </c>
      <c r="Q247" s="158">
        <v>-13423</v>
      </c>
      <c r="R247" s="158">
        <v>0</v>
      </c>
      <c r="S247" s="158">
        <v>0</v>
      </c>
      <c r="T247" s="158">
        <v>0</v>
      </c>
      <c r="U247" s="158">
        <v>-4971828</v>
      </c>
      <c r="V247" s="158">
        <v>65698197</v>
      </c>
      <c r="W247" s="158">
        <v>-2038303</v>
      </c>
      <c r="X247" s="158">
        <v>114979550</v>
      </c>
      <c r="Y247" s="158">
        <v>161808464</v>
      </c>
      <c r="Z247" s="158">
        <v>30040539</v>
      </c>
      <c r="AA247" s="158">
        <v>24032432</v>
      </c>
      <c r="AB247" s="158">
        <v>5407297</v>
      </c>
      <c r="AC247" s="158">
        <v>600811</v>
      </c>
      <c r="AD247" s="158">
        <v>192703</v>
      </c>
      <c r="AE247" s="158">
        <v>0</v>
      </c>
      <c r="AF247" s="158">
        <v>4447370</v>
      </c>
      <c r="AG247" s="158">
        <v>0</v>
      </c>
      <c r="AH247" s="158">
        <v>0</v>
      </c>
      <c r="AI247" s="158">
        <v>0</v>
      </c>
      <c r="AJ247" s="158">
        <v>0</v>
      </c>
      <c r="AK247" s="158">
        <v>343023</v>
      </c>
      <c r="AL247" s="158">
        <v>230</v>
      </c>
      <c r="AM247" s="158">
        <v>20</v>
      </c>
      <c r="AN247" s="158">
        <v>9</v>
      </c>
      <c r="AO247" s="158">
        <v>9</v>
      </c>
      <c r="AP247" s="158">
        <v>0</v>
      </c>
      <c r="AQ247" s="158">
        <v>281</v>
      </c>
      <c r="AR247" s="158">
        <v>139</v>
      </c>
      <c r="AS247" s="158">
        <v>30</v>
      </c>
      <c r="AT247" s="158">
        <v>20</v>
      </c>
      <c r="AU247" s="158">
        <v>0</v>
      </c>
      <c r="AV247" s="158">
        <v>2</v>
      </c>
      <c r="AW247" s="158">
        <v>0</v>
      </c>
      <c r="AX247" s="158">
        <v>0</v>
      </c>
      <c r="AY247" s="158">
        <v>535</v>
      </c>
      <c r="AZ247" s="158">
        <v>488</v>
      </c>
      <c r="BA247" s="158">
        <v>2142</v>
      </c>
      <c r="BB247" s="158">
        <v>1957</v>
      </c>
      <c r="BC247" s="158">
        <v>185</v>
      </c>
      <c r="BD247" s="158">
        <v>2173</v>
      </c>
      <c r="BE247" s="158">
        <v>-453152</v>
      </c>
      <c r="BF247" s="158">
        <v>-319387</v>
      </c>
      <c r="BG247" s="158">
        <v>0</v>
      </c>
      <c r="BH247" s="158">
        <v>0</v>
      </c>
      <c r="BI247" s="158">
        <v>-929514</v>
      </c>
      <c r="BJ247" s="158">
        <v>0</v>
      </c>
      <c r="BK247" s="158">
        <v>109618</v>
      </c>
      <c r="BL247" s="1438">
        <v>16425000</v>
      </c>
      <c r="BM247" s="1439">
        <v>0</v>
      </c>
      <c r="BN247" s="784" t="s">
        <v>2349</v>
      </c>
      <c r="BO247" s="784" t="s">
        <v>2350</v>
      </c>
      <c r="BP247" s="1400" t="s">
        <v>2600</v>
      </c>
      <c r="BQ247" s="509"/>
      <c r="BR247" s="509"/>
      <c r="BS247" s="509"/>
      <c r="BT247" s="509"/>
      <c r="BU247" s="509"/>
      <c r="BV247" s="509"/>
      <c r="BW247" s="509"/>
      <c r="BX247" s="509"/>
      <c r="BY247" s="509"/>
      <c r="BZ247" s="509"/>
      <c r="CA247" s="509"/>
      <c r="CB247" s="509"/>
      <c r="CC247" s="509"/>
      <c r="CD247" s="509"/>
      <c r="CE247" s="509"/>
      <c r="CF247" s="509"/>
      <c r="CG247" s="509"/>
      <c r="CH247" s="509"/>
      <c r="CI247" s="509"/>
      <c r="CJ247" s="509"/>
      <c r="CK247" s="509"/>
      <c r="CL247" s="509"/>
      <c r="CM247" s="509"/>
      <c r="CN247" s="509"/>
      <c r="CO247" s="509"/>
      <c r="CP247" s="509"/>
      <c r="CQ247" s="509"/>
      <c r="CR247" s="509"/>
      <c r="CS247" s="509"/>
    </row>
    <row r="248" spans="1:98" s="657" customFormat="1" ht="12.75" customHeight="1" x14ac:dyDescent="0.2">
      <c r="A248" s="1421">
        <v>244</v>
      </c>
      <c r="B248" s="649" t="s">
        <v>657</v>
      </c>
      <c r="C248" s="1607" t="s">
        <v>384</v>
      </c>
      <c r="D248" s="1605">
        <v>260104</v>
      </c>
      <c r="E248" s="1405">
        <v>286637663</v>
      </c>
      <c r="F248" s="1405">
        <v>5753</v>
      </c>
      <c r="G248" s="158">
        <v>-5355488</v>
      </c>
      <c r="H248" s="158">
        <v>-8700788</v>
      </c>
      <c r="I248" s="158">
        <v>-101212</v>
      </c>
      <c r="J248" s="158">
        <v>-9551</v>
      </c>
      <c r="K248" s="158">
        <v>-13500</v>
      </c>
      <c r="L248" s="158">
        <v>-60000</v>
      </c>
      <c r="M248" s="158">
        <v>-3492983</v>
      </c>
      <c r="N248" s="158">
        <v>-413545</v>
      </c>
      <c r="O248" s="158">
        <v>-63186</v>
      </c>
      <c r="P248" s="158">
        <v>-25302</v>
      </c>
      <c r="Q248" s="158">
        <v>0</v>
      </c>
      <c r="R248" s="158">
        <v>0</v>
      </c>
      <c r="S248" s="158">
        <v>0</v>
      </c>
      <c r="T248" s="158">
        <v>0</v>
      </c>
      <c r="U248" s="158">
        <v>-8573046</v>
      </c>
      <c r="V248" s="158">
        <v>122368687</v>
      </c>
      <c r="W248" s="158">
        <v>-3915797</v>
      </c>
      <c r="X248" s="158">
        <v>227349600</v>
      </c>
      <c r="Y248" s="158">
        <v>285829978</v>
      </c>
      <c r="Z248" s="158">
        <v>58918225</v>
      </c>
      <c r="AA248" s="158">
        <v>57739861</v>
      </c>
      <c r="AB248" s="158">
        <v>0</v>
      </c>
      <c r="AC248" s="158">
        <v>1178365</v>
      </c>
      <c r="AD248" s="158">
        <v>263152</v>
      </c>
      <c r="AE248" s="158">
        <v>0</v>
      </c>
      <c r="AF248" s="158">
        <v>864235</v>
      </c>
      <c r="AG248" s="158">
        <v>0</v>
      </c>
      <c r="AH248" s="158">
        <v>0</v>
      </c>
      <c r="AI248" s="158">
        <v>0</v>
      </c>
      <c r="AJ248" s="158">
        <v>0</v>
      </c>
      <c r="AK248" s="158">
        <v>10394263</v>
      </c>
      <c r="AL248" s="158">
        <v>326</v>
      </c>
      <c r="AM248" s="158">
        <v>4</v>
      </c>
      <c r="AN248" s="158">
        <v>2</v>
      </c>
      <c r="AO248" s="158">
        <v>7</v>
      </c>
      <c r="AP248" s="158">
        <v>0</v>
      </c>
      <c r="AQ248" s="158">
        <v>543</v>
      </c>
      <c r="AR248" s="158">
        <v>169</v>
      </c>
      <c r="AS248" s="158">
        <v>18</v>
      </c>
      <c r="AT248" s="158">
        <v>4</v>
      </c>
      <c r="AU248" s="158">
        <v>0</v>
      </c>
      <c r="AV248" s="158">
        <v>0</v>
      </c>
      <c r="AW248" s="158">
        <v>0</v>
      </c>
      <c r="AX248" s="158">
        <v>0</v>
      </c>
      <c r="AY248" s="158">
        <v>697</v>
      </c>
      <c r="AZ248" s="158">
        <v>1826</v>
      </c>
      <c r="BA248" s="158">
        <v>1944</v>
      </c>
      <c r="BB248" s="158">
        <v>1760</v>
      </c>
      <c r="BC248" s="158">
        <v>184</v>
      </c>
      <c r="BD248" s="158">
        <v>2073</v>
      </c>
      <c r="BE248" s="158">
        <v>-488557</v>
      </c>
      <c r="BF248" s="158">
        <v>-902208</v>
      </c>
      <c r="BG248" s="158">
        <v>0</v>
      </c>
      <c r="BH248" s="158">
        <v>-492854</v>
      </c>
      <c r="BI248" s="158">
        <v>-1609364</v>
      </c>
      <c r="BJ248" s="158">
        <v>0</v>
      </c>
      <c r="BK248" s="158">
        <v>8917757</v>
      </c>
      <c r="BL248" s="1438">
        <v>25084850</v>
      </c>
      <c r="BM248" s="1439">
        <v>0</v>
      </c>
      <c r="BN248" s="784" t="s">
        <v>509</v>
      </c>
      <c r="BO248" s="784" t="s">
        <v>2369</v>
      </c>
      <c r="BP248" s="1400" t="s">
        <v>2601</v>
      </c>
      <c r="BQ248" s="509"/>
      <c r="BR248" s="509"/>
      <c r="BS248" s="509"/>
      <c r="BT248" s="509"/>
      <c r="BU248" s="509"/>
      <c r="BV248" s="509"/>
      <c r="BW248" s="509"/>
      <c r="BX248" s="509"/>
      <c r="BY248" s="509"/>
      <c r="BZ248" s="509"/>
      <c r="CA248" s="509"/>
      <c r="CB248" s="509"/>
      <c r="CC248" s="509"/>
      <c r="CD248" s="509"/>
      <c r="CE248" s="509"/>
      <c r="CF248" s="509"/>
      <c r="CG248" s="509"/>
      <c r="CH248" s="509"/>
      <c r="CI248" s="509"/>
      <c r="CJ248" s="509"/>
      <c r="CK248" s="509"/>
      <c r="CL248" s="509"/>
      <c r="CM248" s="509"/>
      <c r="CN248" s="509"/>
      <c r="CO248" s="509"/>
      <c r="CP248" s="509"/>
      <c r="CQ248" s="509"/>
      <c r="CR248" s="509"/>
      <c r="CS248" s="509"/>
      <c r="CT248" s="137"/>
    </row>
    <row r="249" spans="1:98" s="137" customFormat="1" ht="12.75" customHeight="1" x14ac:dyDescent="0.2">
      <c r="A249" s="1421">
        <v>245</v>
      </c>
      <c r="B249" s="649" t="s">
        <v>385</v>
      </c>
      <c r="C249" s="1607" t="s">
        <v>386</v>
      </c>
      <c r="D249" s="1605">
        <v>286853</v>
      </c>
      <c r="E249" s="1405">
        <v>158007597</v>
      </c>
      <c r="F249" s="1405">
        <v>7802</v>
      </c>
      <c r="G249" s="158">
        <v>-10189971</v>
      </c>
      <c r="H249" s="158">
        <v>-5882227</v>
      </c>
      <c r="I249" s="158">
        <v>-138523</v>
      </c>
      <c r="J249" s="158">
        <v>0</v>
      </c>
      <c r="K249" s="158">
        <v>-1845</v>
      </c>
      <c r="L249" s="158">
        <v>0</v>
      </c>
      <c r="M249" s="158">
        <v>-1174105</v>
      </c>
      <c r="N249" s="158">
        <v>-23222</v>
      </c>
      <c r="O249" s="158">
        <v>-35679</v>
      </c>
      <c r="P249" s="158">
        <v>-1259</v>
      </c>
      <c r="Q249" s="158">
        <v>0</v>
      </c>
      <c r="R249" s="158">
        <v>0</v>
      </c>
      <c r="S249" s="158">
        <v>0</v>
      </c>
      <c r="T249" s="158">
        <v>0</v>
      </c>
      <c r="U249" s="158">
        <v>-3514473</v>
      </c>
      <c r="V249" s="158">
        <v>60424323</v>
      </c>
      <c r="W249" s="158">
        <v>-757926</v>
      </c>
      <c r="X249" s="158">
        <v>95076500</v>
      </c>
      <c r="Y249" s="158">
        <v>159716160</v>
      </c>
      <c r="Z249" s="158">
        <v>0</v>
      </c>
      <c r="AA249" s="158">
        <v>58372486</v>
      </c>
      <c r="AB249" s="158">
        <v>0</v>
      </c>
      <c r="AC249" s="158">
        <v>589621</v>
      </c>
      <c r="AD249" s="158">
        <v>287251</v>
      </c>
      <c r="AE249" s="158">
        <v>0</v>
      </c>
      <c r="AF249" s="158">
        <v>0</v>
      </c>
      <c r="AG249" s="158">
        <v>0</v>
      </c>
      <c r="AH249" s="158">
        <v>0</v>
      </c>
      <c r="AI249" s="158">
        <v>0</v>
      </c>
      <c r="AJ249" s="158">
        <v>0</v>
      </c>
      <c r="AK249" s="158">
        <v>8915793</v>
      </c>
      <c r="AL249" s="158">
        <v>274</v>
      </c>
      <c r="AM249" s="158">
        <v>17</v>
      </c>
      <c r="AN249" s="158">
        <v>0</v>
      </c>
      <c r="AO249" s="158">
        <v>2</v>
      </c>
      <c r="AP249" s="158">
        <v>0</v>
      </c>
      <c r="AQ249" s="158">
        <v>693</v>
      </c>
      <c r="AR249" s="158">
        <v>38</v>
      </c>
      <c r="AS249" s="158">
        <v>5</v>
      </c>
      <c r="AT249" s="158">
        <v>6</v>
      </c>
      <c r="AU249" s="158">
        <v>0</v>
      </c>
      <c r="AV249" s="158">
        <v>0</v>
      </c>
      <c r="AW249" s="158">
        <v>0</v>
      </c>
      <c r="AX249" s="158">
        <v>0</v>
      </c>
      <c r="AY249" s="158">
        <v>554</v>
      </c>
      <c r="AZ249" s="158">
        <v>1522</v>
      </c>
      <c r="BA249" s="158">
        <v>3968</v>
      </c>
      <c r="BB249" s="158">
        <v>3750</v>
      </c>
      <c r="BC249" s="158">
        <v>218</v>
      </c>
      <c r="BD249" s="158">
        <v>2415</v>
      </c>
      <c r="BE249" s="158">
        <v>-71803</v>
      </c>
      <c r="BF249" s="158">
        <v>-106370</v>
      </c>
      <c r="BG249" s="158">
        <v>0</v>
      </c>
      <c r="BH249" s="158">
        <v>-77298</v>
      </c>
      <c r="BI249" s="158">
        <v>-918634</v>
      </c>
      <c r="BJ249" s="158">
        <v>0</v>
      </c>
      <c r="BK249" s="158">
        <v>9088651</v>
      </c>
      <c r="BL249" s="1438">
        <v>20699065</v>
      </c>
      <c r="BM249" s="1439">
        <v>0</v>
      </c>
      <c r="BN249" s="784" t="s">
        <v>2363</v>
      </c>
      <c r="BO249" s="784" t="s">
        <v>2376</v>
      </c>
      <c r="BP249" s="1400" t="s">
        <v>2602</v>
      </c>
      <c r="BQ249" s="509"/>
      <c r="BR249" s="509"/>
      <c r="BS249" s="509"/>
      <c r="BT249" s="509"/>
      <c r="BU249" s="509"/>
      <c r="BV249" s="509"/>
      <c r="BW249" s="509"/>
      <c r="BX249" s="509"/>
      <c r="BY249" s="509"/>
      <c r="BZ249" s="509"/>
      <c r="CA249" s="509"/>
      <c r="CB249" s="509"/>
      <c r="CC249" s="509"/>
      <c r="CD249" s="509"/>
      <c r="CE249" s="509"/>
      <c r="CF249" s="509"/>
      <c r="CG249" s="509"/>
      <c r="CH249" s="509"/>
      <c r="CI249" s="509"/>
      <c r="CJ249" s="509"/>
      <c r="CK249" s="509"/>
      <c r="CL249" s="509"/>
      <c r="CM249" s="509"/>
      <c r="CN249" s="509"/>
      <c r="CO249" s="509"/>
      <c r="CP249" s="509"/>
      <c r="CQ249" s="509"/>
      <c r="CR249" s="509"/>
      <c r="CS249" s="509"/>
    </row>
    <row r="250" spans="1:98" s="137" customFormat="1" ht="12.75" customHeight="1" x14ac:dyDescent="0.2">
      <c r="A250" s="1421">
        <v>246</v>
      </c>
      <c r="B250" s="649" t="s">
        <v>387</v>
      </c>
      <c r="C250" s="1607" t="s">
        <v>388</v>
      </c>
      <c r="D250" s="1605">
        <v>87907</v>
      </c>
      <c r="E250" s="1405">
        <v>85260902</v>
      </c>
      <c r="F250" s="1405">
        <v>2109</v>
      </c>
      <c r="G250" s="158">
        <v>-2371498</v>
      </c>
      <c r="H250" s="158">
        <v>-1669301</v>
      </c>
      <c r="I250" s="158">
        <v>-62076</v>
      </c>
      <c r="J250" s="158">
        <v>0</v>
      </c>
      <c r="K250" s="158">
        <v>-1</v>
      </c>
      <c r="L250" s="158">
        <v>-42500</v>
      </c>
      <c r="M250" s="158">
        <v>-801533</v>
      </c>
      <c r="N250" s="158">
        <v>-18329</v>
      </c>
      <c r="O250" s="158">
        <v>0</v>
      </c>
      <c r="P250" s="158">
        <v>-792</v>
      </c>
      <c r="Q250" s="158">
        <v>0</v>
      </c>
      <c r="R250" s="158">
        <v>0</v>
      </c>
      <c r="S250" s="158">
        <v>0</v>
      </c>
      <c r="T250" s="158">
        <v>0</v>
      </c>
      <c r="U250" s="158">
        <v>-1990816</v>
      </c>
      <c r="V250" s="158">
        <v>37627690</v>
      </c>
      <c r="W250" s="158">
        <v>-2291422</v>
      </c>
      <c r="X250" s="158">
        <v>63127750</v>
      </c>
      <c r="Y250" s="158">
        <v>85894652</v>
      </c>
      <c r="Z250" s="158">
        <v>17830686</v>
      </c>
      <c r="AA250" s="158">
        <v>14264548</v>
      </c>
      <c r="AB250" s="158">
        <v>3209523</v>
      </c>
      <c r="AC250" s="158">
        <v>356614</v>
      </c>
      <c r="AD250" s="158">
        <v>87429</v>
      </c>
      <c r="AE250" s="158">
        <v>0</v>
      </c>
      <c r="AF250" s="158">
        <v>2582</v>
      </c>
      <c r="AG250" s="158">
        <v>0</v>
      </c>
      <c r="AH250" s="158">
        <v>0</v>
      </c>
      <c r="AI250" s="158">
        <v>0</v>
      </c>
      <c r="AJ250" s="158">
        <v>0</v>
      </c>
      <c r="AK250" s="158">
        <v>-2879076</v>
      </c>
      <c r="AL250" s="158">
        <v>84</v>
      </c>
      <c r="AM250" s="158">
        <v>4</v>
      </c>
      <c r="AN250" s="158">
        <v>0</v>
      </c>
      <c r="AO250" s="158">
        <v>1</v>
      </c>
      <c r="AP250" s="158">
        <v>0</v>
      </c>
      <c r="AQ250" s="158">
        <v>76</v>
      </c>
      <c r="AR250" s="158">
        <v>14</v>
      </c>
      <c r="AS250" s="158">
        <v>0</v>
      </c>
      <c r="AT250" s="158">
        <v>1</v>
      </c>
      <c r="AU250" s="158">
        <v>0</v>
      </c>
      <c r="AV250" s="158">
        <v>0</v>
      </c>
      <c r="AW250" s="158">
        <v>0</v>
      </c>
      <c r="AX250" s="158">
        <v>0</v>
      </c>
      <c r="AY250" s="158">
        <v>244</v>
      </c>
      <c r="AZ250" s="158">
        <v>561</v>
      </c>
      <c r="BA250" s="158">
        <v>767</v>
      </c>
      <c r="BB250" s="158">
        <v>681</v>
      </c>
      <c r="BC250" s="158">
        <v>86</v>
      </c>
      <c r="BD250" s="158">
        <v>772</v>
      </c>
      <c r="BE250" s="158">
        <v>-172527</v>
      </c>
      <c r="BF250" s="158">
        <v>-218912</v>
      </c>
      <c r="BG250" s="158">
        <v>0</v>
      </c>
      <c r="BH250" s="158">
        <v>-9051</v>
      </c>
      <c r="BI250" s="158">
        <v>-327421</v>
      </c>
      <c r="BJ250" s="158">
        <v>-73622</v>
      </c>
      <c r="BK250" s="158">
        <v>-4791721</v>
      </c>
      <c r="BL250" s="1438">
        <v>9934250</v>
      </c>
      <c r="BM250" s="1439">
        <v>0</v>
      </c>
      <c r="BN250" s="784" t="s">
        <v>2349</v>
      </c>
      <c r="BO250" s="784" t="s">
        <v>2373</v>
      </c>
      <c r="BP250" s="1400" t="s">
        <v>2603</v>
      </c>
      <c r="BQ250" s="509"/>
      <c r="BR250" s="509"/>
      <c r="BS250" s="509"/>
      <c r="BT250" s="509"/>
      <c r="BU250" s="509"/>
      <c r="BV250" s="509"/>
      <c r="BW250" s="509"/>
      <c r="BX250" s="509"/>
      <c r="BY250" s="509"/>
      <c r="BZ250" s="509"/>
      <c r="CA250" s="509"/>
      <c r="CB250" s="509"/>
      <c r="CC250" s="509"/>
      <c r="CD250" s="509"/>
      <c r="CE250" s="509"/>
      <c r="CF250" s="509"/>
      <c r="CG250" s="509"/>
      <c r="CH250" s="509"/>
      <c r="CI250" s="509"/>
      <c r="CJ250" s="509"/>
      <c r="CK250" s="509"/>
      <c r="CL250" s="509"/>
      <c r="CM250" s="509"/>
      <c r="CN250" s="509"/>
      <c r="CO250" s="509"/>
      <c r="CP250" s="509"/>
      <c r="CQ250" s="509"/>
      <c r="CR250" s="509"/>
      <c r="CS250" s="509"/>
    </row>
    <row r="251" spans="1:98" s="137" customFormat="1" ht="12.75" customHeight="1" x14ac:dyDescent="0.2">
      <c r="A251" s="1421">
        <v>247</v>
      </c>
      <c r="B251" s="649" t="s">
        <v>389</v>
      </c>
      <c r="C251" s="1607" t="s">
        <v>390</v>
      </c>
      <c r="D251" s="1605">
        <v>117929</v>
      </c>
      <c r="E251" s="1405">
        <v>64389024</v>
      </c>
      <c r="F251" s="1405">
        <v>2914</v>
      </c>
      <c r="G251" s="158">
        <v>-3448196</v>
      </c>
      <c r="H251" s="158">
        <v>-3750106</v>
      </c>
      <c r="I251" s="158">
        <v>-40411</v>
      </c>
      <c r="J251" s="158">
        <v>-39908</v>
      </c>
      <c r="K251" s="158">
        <v>-15455</v>
      </c>
      <c r="L251" s="158">
        <v>0</v>
      </c>
      <c r="M251" s="158">
        <v>-826641</v>
      </c>
      <c r="N251" s="158">
        <v>-52636</v>
      </c>
      <c r="O251" s="158">
        <v>-12783</v>
      </c>
      <c r="P251" s="158">
        <v>0</v>
      </c>
      <c r="Q251" s="158">
        <v>0</v>
      </c>
      <c r="R251" s="158">
        <v>0</v>
      </c>
      <c r="S251" s="158">
        <v>0</v>
      </c>
      <c r="T251" s="158">
        <v>0</v>
      </c>
      <c r="U251" s="158">
        <v>-4223550</v>
      </c>
      <c r="V251" s="158">
        <v>19531955</v>
      </c>
      <c r="W251" s="158">
        <v>-1138219</v>
      </c>
      <c r="X251" s="158">
        <v>34236100</v>
      </c>
      <c r="Y251" s="158">
        <v>64776814</v>
      </c>
      <c r="Z251" s="158">
        <v>9839832</v>
      </c>
      <c r="AA251" s="158">
        <v>7871866</v>
      </c>
      <c r="AB251" s="158">
        <v>1967967</v>
      </c>
      <c r="AC251" s="158">
        <v>0</v>
      </c>
      <c r="AD251" s="158">
        <v>117563</v>
      </c>
      <c r="AE251" s="158">
        <v>0</v>
      </c>
      <c r="AF251" s="158">
        <v>0</v>
      </c>
      <c r="AG251" s="158">
        <v>0</v>
      </c>
      <c r="AH251" s="158">
        <v>0</v>
      </c>
      <c r="AI251" s="158">
        <v>0</v>
      </c>
      <c r="AJ251" s="158">
        <v>0</v>
      </c>
      <c r="AK251" s="158">
        <v>-4069228</v>
      </c>
      <c r="AL251" s="158">
        <v>160</v>
      </c>
      <c r="AM251" s="158">
        <v>12</v>
      </c>
      <c r="AN251" s="158">
        <v>12</v>
      </c>
      <c r="AO251" s="158">
        <v>10</v>
      </c>
      <c r="AP251" s="158">
        <v>0</v>
      </c>
      <c r="AQ251" s="158">
        <v>212</v>
      </c>
      <c r="AR251" s="158">
        <v>40</v>
      </c>
      <c r="AS251" s="158">
        <v>7</v>
      </c>
      <c r="AT251" s="158">
        <v>0</v>
      </c>
      <c r="AU251" s="158">
        <v>0</v>
      </c>
      <c r="AV251" s="158">
        <v>0</v>
      </c>
      <c r="AW251" s="158">
        <v>0</v>
      </c>
      <c r="AX251" s="158">
        <v>0</v>
      </c>
      <c r="AY251" s="158">
        <v>474</v>
      </c>
      <c r="AZ251" s="158">
        <v>210</v>
      </c>
      <c r="BA251" s="158">
        <v>1158</v>
      </c>
      <c r="BB251" s="158">
        <v>1033</v>
      </c>
      <c r="BC251" s="158">
        <v>125</v>
      </c>
      <c r="BD251" s="158">
        <v>1527</v>
      </c>
      <c r="BE251" s="158">
        <v>-8069</v>
      </c>
      <c r="BF251" s="158">
        <v>-128720</v>
      </c>
      <c r="BG251" s="158">
        <v>0</v>
      </c>
      <c r="BH251" s="158">
        <v>-17447</v>
      </c>
      <c r="BI251" s="158">
        <v>-672405</v>
      </c>
      <c r="BJ251" s="158">
        <v>0</v>
      </c>
      <c r="BK251" s="158">
        <v>-3520721</v>
      </c>
      <c r="BL251" s="1438">
        <v>11198350</v>
      </c>
      <c r="BM251" s="1439">
        <v>0</v>
      </c>
      <c r="BN251" s="784" t="s">
        <v>2349</v>
      </c>
      <c r="BO251" s="784" t="s">
        <v>2350</v>
      </c>
      <c r="BP251" s="1400" t="s">
        <v>2604</v>
      </c>
      <c r="BQ251" s="509"/>
      <c r="BR251" s="509"/>
      <c r="BS251" s="509"/>
      <c r="BT251" s="509"/>
      <c r="BU251" s="509"/>
      <c r="BV251" s="509"/>
      <c r="BW251" s="509"/>
      <c r="BX251" s="509"/>
      <c r="BY251" s="509"/>
      <c r="BZ251" s="509"/>
      <c r="CA251" s="509"/>
      <c r="CB251" s="509"/>
      <c r="CC251" s="509"/>
      <c r="CD251" s="509"/>
      <c r="CE251" s="509"/>
      <c r="CF251" s="509"/>
      <c r="CG251" s="509"/>
      <c r="CH251" s="509"/>
      <c r="CI251" s="509"/>
      <c r="CJ251" s="509"/>
      <c r="CK251" s="509"/>
      <c r="CL251" s="509"/>
      <c r="CM251" s="509"/>
      <c r="CN251" s="509"/>
      <c r="CO251" s="509"/>
      <c r="CP251" s="509"/>
      <c r="CQ251" s="509"/>
      <c r="CR251" s="509"/>
      <c r="CS251" s="509"/>
    </row>
    <row r="252" spans="1:98" s="137" customFormat="1" ht="12.75" customHeight="1" x14ac:dyDescent="0.2">
      <c r="A252" s="1421">
        <v>248</v>
      </c>
      <c r="B252" s="649" t="s">
        <v>391</v>
      </c>
      <c r="C252" s="1607" t="s">
        <v>392</v>
      </c>
      <c r="D252" s="1605">
        <v>197086</v>
      </c>
      <c r="E252" s="1405">
        <v>95538220</v>
      </c>
      <c r="F252" s="1405">
        <v>5584</v>
      </c>
      <c r="G252" s="158">
        <v>-7307382</v>
      </c>
      <c r="H252" s="158">
        <v>-3121892</v>
      </c>
      <c r="I252" s="158">
        <v>-73785</v>
      </c>
      <c r="J252" s="158">
        <v>-47806</v>
      </c>
      <c r="K252" s="158">
        <v>-47130</v>
      </c>
      <c r="L252" s="158">
        <v>0</v>
      </c>
      <c r="M252" s="158">
        <v>-965882</v>
      </c>
      <c r="N252" s="158">
        <v>-88547</v>
      </c>
      <c r="O252" s="158">
        <v>-14779</v>
      </c>
      <c r="P252" s="158">
        <v>-6158</v>
      </c>
      <c r="Q252" s="158">
        <v>-1477</v>
      </c>
      <c r="R252" s="158">
        <v>0</v>
      </c>
      <c r="S252" s="158">
        <v>0</v>
      </c>
      <c r="T252" s="158">
        <v>0</v>
      </c>
      <c r="U252" s="158">
        <v>-5167957</v>
      </c>
      <c r="V252" s="158">
        <v>31244690</v>
      </c>
      <c r="W252" s="158">
        <v>-635000</v>
      </c>
      <c r="X252" s="158">
        <v>45796676</v>
      </c>
      <c r="Y252" s="158">
        <v>95557939</v>
      </c>
      <c r="Z252" s="158">
        <v>15783652</v>
      </c>
      <c r="AA252" s="158">
        <v>12626922</v>
      </c>
      <c r="AB252" s="158">
        <v>2841057</v>
      </c>
      <c r="AC252" s="158">
        <v>315673</v>
      </c>
      <c r="AD252" s="158">
        <v>198959</v>
      </c>
      <c r="AE252" s="158">
        <v>0</v>
      </c>
      <c r="AF252" s="158">
        <v>91057</v>
      </c>
      <c r="AG252" s="158">
        <v>0</v>
      </c>
      <c r="AH252" s="158">
        <v>0</v>
      </c>
      <c r="AI252" s="158">
        <v>0</v>
      </c>
      <c r="AJ252" s="158">
        <v>0</v>
      </c>
      <c r="AK252" s="158">
        <v>-2111911</v>
      </c>
      <c r="AL252" s="158">
        <v>316</v>
      </c>
      <c r="AM252" s="158">
        <v>20</v>
      </c>
      <c r="AN252" s="158">
        <v>19</v>
      </c>
      <c r="AO252" s="158">
        <v>30</v>
      </c>
      <c r="AP252" s="158">
        <v>0</v>
      </c>
      <c r="AQ252" s="158">
        <v>325</v>
      </c>
      <c r="AR252" s="158">
        <v>132</v>
      </c>
      <c r="AS252" s="158">
        <v>14</v>
      </c>
      <c r="AT252" s="158">
        <v>16</v>
      </c>
      <c r="AU252" s="158">
        <v>0</v>
      </c>
      <c r="AV252" s="158">
        <v>2</v>
      </c>
      <c r="AW252" s="158">
        <v>0</v>
      </c>
      <c r="AX252" s="158">
        <v>0</v>
      </c>
      <c r="AY252" s="158">
        <v>685</v>
      </c>
      <c r="AZ252" s="158">
        <v>1104</v>
      </c>
      <c r="BA252" s="158">
        <v>2860</v>
      </c>
      <c r="BB252" s="158">
        <v>2701</v>
      </c>
      <c r="BC252" s="158">
        <v>159</v>
      </c>
      <c r="BD252" s="158">
        <v>1705</v>
      </c>
      <c r="BE252" s="158">
        <v>-84877</v>
      </c>
      <c r="BF252" s="158">
        <v>-386344</v>
      </c>
      <c r="BG252" s="158">
        <v>0</v>
      </c>
      <c r="BH252" s="158">
        <v>0</v>
      </c>
      <c r="BI252" s="158">
        <v>-480954</v>
      </c>
      <c r="BJ252" s="158">
        <v>-13707</v>
      </c>
      <c r="BK252" s="158">
        <v>-3116908</v>
      </c>
      <c r="BL252" s="1438">
        <v>16763875</v>
      </c>
      <c r="BM252" s="1439">
        <v>67750</v>
      </c>
      <c r="BN252" s="784" t="s">
        <v>2349</v>
      </c>
      <c r="BO252" s="784" t="s">
        <v>2369</v>
      </c>
      <c r="BP252" s="1400" t="s">
        <v>2605</v>
      </c>
      <c r="BQ252" s="509"/>
      <c r="BR252" s="509"/>
      <c r="BS252" s="509"/>
      <c r="BT252" s="509"/>
      <c r="BU252" s="509"/>
      <c r="BV252" s="509"/>
      <c r="BW252" s="509"/>
      <c r="BX252" s="509"/>
      <c r="BY252" s="509"/>
      <c r="BZ252" s="509"/>
      <c r="CA252" s="509"/>
      <c r="CB252" s="509"/>
      <c r="CC252" s="509"/>
      <c r="CD252" s="509"/>
      <c r="CE252" s="509"/>
      <c r="CF252" s="509"/>
      <c r="CG252" s="509"/>
      <c r="CH252" s="509"/>
      <c r="CI252" s="509"/>
      <c r="CJ252" s="509"/>
      <c r="CK252" s="509"/>
      <c r="CL252" s="509"/>
      <c r="CM252" s="509"/>
      <c r="CN252" s="509"/>
      <c r="CO252" s="509"/>
      <c r="CP252" s="509"/>
      <c r="CQ252" s="509"/>
      <c r="CR252" s="509"/>
      <c r="CS252" s="509"/>
    </row>
    <row r="253" spans="1:98" s="137" customFormat="1" ht="12.75" customHeight="1" x14ac:dyDescent="0.2">
      <c r="A253" s="1421">
        <v>249</v>
      </c>
      <c r="B253" s="649" t="s">
        <v>971</v>
      </c>
      <c r="C253" s="1607" t="s">
        <v>394</v>
      </c>
      <c r="D253" s="1605">
        <v>219391</v>
      </c>
      <c r="E253" s="1405">
        <v>194956055</v>
      </c>
      <c r="F253" s="1405">
        <v>5423</v>
      </c>
      <c r="G253" s="158">
        <v>-5749015</v>
      </c>
      <c r="H253" s="158">
        <v>-6131436</v>
      </c>
      <c r="I253" s="158">
        <v>-36129</v>
      </c>
      <c r="J253" s="158">
        <v>-2758</v>
      </c>
      <c r="K253" s="158">
        <v>-11418</v>
      </c>
      <c r="L253" s="158">
        <v>-1934</v>
      </c>
      <c r="M253" s="158">
        <v>-1650422</v>
      </c>
      <c r="N253" s="158">
        <v>-332827</v>
      </c>
      <c r="O253" s="158">
        <v>-182720</v>
      </c>
      <c r="P253" s="158">
        <v>-8362</v>
      </c>
      <c r="Q253" s="158">
        <v>0</v>
      </c>
      <c r="R253" s="158">
        <v>0</v>
      </c>
      <c r="S253" s="158">
        <v>0</v>
      </c>
      <c r="T253" s="158">
        <v>0</v>
      </c>
      <c r="U253" s="158">
        <v>-4762743</v>
      </c>
      <c r="V253" s="158">
        <v>82002010</v>
      </c>
      <c r="W253" s="158">
        <v>-2610055</v>
      </c>
      <c r="X253" s="158">
        <v>139037751</v>
      </c>
      <c r="Y253" s="158">
        <v>192946434</v>
      </c>
      <c r="Z253" s="158">
        <v>40165959</v>
      </c>
      <c r="AA253" s="158">
        <v>39362639</v>
      </c>
      <c r="AB253" s="158">
        <v>0</v>
      </c>
      <c r="AC253" s="158">
        <v>803319</v>
      </c>
      <c r="AD253" s="158">
        <v>216844</v>
      </c>
      <c r="AE253" s="158">
        <v>0</v>
      </c>
      <c r="AF253" s="158">
        <v>124524</v>
      </c>
      <c r="AG253" s="158">
        <v>0</v>
      </c>
      <c r="AH253" s="158">
        <v>0</v>
      </c>
      <c r="AI253" s="158">
        <v>0</v>
      </c>
      <c r="AJ253" s="158">
        <v>0</v>
      </c>
      <c r="AK253" s="158">
        <v>-3791502</v>
      </c>
      <c r="AL253" s="158">
        <v>243</v>
      </c>
      <c r="AM253" s="158">
        <v>8</v>
      </c>
      <c r="AN253" s="158">
        <v>2</v>
      </c>
      <c r="AO253" s="158">
        <v>11</v>
      </c>
      <c r="AP253" s="158">
        <v>0</v>
      </c>
      <c r="AQ253" s="158">
        <v>363</v>
      </c>
      <c r="AR253" s="158">
        <v>155</v>
      </c>
      <c r="AS253" s="158">
        <v>11</v>
      </c>
      <c r="AT253" s="158">
        <v>7</v>
      </c>
      <c r="AU253" s="158">
        <v>2</v>
      </c>
      <c r="AV253" s="158">
        <v>0</v>
      </c>
      <c r="AW253" s="158">
        <v>0</v>
      </c>
      <c r="AX253" s="158">
        <v>0</v>
      </c>
      <c r="AY253" s="158">
        <v>400</v>
      </c>
      <c r="AZ253" s="158">
        <v>1634</v>
      </c>
      <c r="BA253" s="158">
        <v>2049</v>
      </c>
      <c r="BB253" s="158">
        <v>1841</v>
      </c>
      <c r="BC253" s="158">
        <v>208</v>
      </c>
      <c r="BD253" s="158">
        <v>1688</v>
      </c>
      <c r="BE253" s="158">
        <v>-558440</v>
      </c>
      <c r="BF253" s="158">
        <v>-123617</v>
      </c>
      <c r="BG253" s="158">
        <v>0</v>
      </c>
      <c r="BH253" s="158">
        <v>-30261</v>
      </c>
      <c r="BI253" s="158">
        <v>-308564</v>
      </c>
      <c r="BJ253" s="158">
        <v>-629540</v>
      </c>
      <c r="BK253" s="158">
        <v>-3319745</v>
      </c>
      <c r="BL253" s="1438">
        <v>22310750</v>
      </c>
      <c r="BM253" s="1439">
        <v>0</v>
      </c>
      <c r="BN253" s="784" t="s">
        <v>509</v>
      </c>
      <c r="BO253" s="784" t="s">
        <v>2373</v>
      </c>
      <c r="BP253" s="1400" t="s">
        <v>2606</v>
      </c>
      <c r="BQ253" s="509"/>
      <c r="BR253" s="509"/>
      <c r="BS253" s="509"/>
      <c r="BT253" s="509"/>
      <c r="BU253" s="509"/>
      <c r="BV253" s="509"/>
      <c r="BW253" s="509"/>
      <c r="BX253" s="509"/>
      <c r="BY253" s="509"/>
      <c r="BZ253" s="509"/>
      <c r="CA253" s="509"/>
      <c r="CB253" s="509"/>
      <c r="CC253" s="509"/>
      <c r="CD253" s="509"/>
      <c r="CE253" s="509"/>
      <c r="CF253" s="509"/>
      <c r="CG253" s="509"/>
      <c r="CH253" s="509"/>
      <c r="CI253" s="509"/>
      <c r="CJ253" s="509"/>
      <c r="CK253" s="509"/>
      <c r="CL253" s="509"/>
      <c r="CM253" s="509"/>
      <c r="CN253" s="509"/>
      <c r="CO253" s="509"/>
      <c r="CP253" s="509"/>
      <c r="CQ253" s="509"/>
      <c r="CR253" s="509"/>
      <c r="CS253" s="509"/>
    </row>
    <row r="254" spans="1:98" s="137" customFormat="1" ht="12.75" customHeight="1" x14ac:dyDescent="0.2">
      <c r="A254" s="1421">
        <v>250</v>
      </c>
      <c r="B254" s="649" t="s">
        <v>395</v>
      </c>
      <c r="C254" s="1607" t="s">
        <v>396</v>
      </c>
      <c r="D254" s="1605">
        <v>292043</v>
      </c>
      <c r="E254" s="1405">
        <v>92511738</v>
      </c>
      <c r="F254" s="1405">
        <v>8591</v>
      </c>
      <c r="G254" s="158">
        <v>-7628390</v>
      </c>
      <c r="H254" s="158">
        <v>-2903158</v>
      </c>
      <c r="I254" s="158">
        <v>-192803</v>
      </c>
      <c r="J254" s="158">
        <v>-55377</v>
      </c>
      <c r="K254" s="158">
        <v>-73715</v>
      </c>
      <c r="L254" s="158">
        <v>0</v>
      </c>
      <c r="M254" s="158">
        <v>-1067654</v>
      </c>
      <c r="N254" s="158">
        <v>-31903</v>
      </c>
      <c r="O254" s="158">
        <v>0</v>
      </c>
      <c r="P254" s="158">
        <v>0</v>
      </c>
      <c r="Q254" s="158">
        <v>0</v>
      </c>
      <c r="R254" s="158">
        <v>0</v>
      </c>
      <c r="S254" s="158">
        <v>0</v>
      </c>
      <c r="T254" s="158">
        <v>0</v>
      </c>
      <c r="U254" s="158">
        <v>-3822086</v>
      </c>
      <c r="V254" s="158">
        <v>29953234</v>
      </c>
      <c r="W254" s="158">
        <v>-1130000</v>
      </c>
      <c r="X254" s="158">
        <v>47817950</v>
      </c>
      <c r="Y254" s="158">
        <v>90388912</v>
      </c>
      <c r="Z254" s="158">
        <v>14256791</v>
      </c>
      <c r="AA254" s="158">
        <v>11405433</v>
      </c>
      <c r="AB254" s="158">
        <v>2566222</v>
      </c>
      <c r="AC254" s="158">
        <v>285136</v>
      </c>
      <c r="AD254" s="158">
        <v>289681</v>
      </c>
      <c r="AE254" s="158">
        <v>397021</v>
      </c>
      <c r="AF254" s="158">
        <v>443700</v>
      </c>
      <c r="AG254" s="158">
        <v>0</v>
      </c>
      <c r="AH254" s="158">
        <v>0</v>
      </c>
      <c r="AI254" s="158">
        <v>0</v>
      </c>
      <c r="AJ254" s="158">
        <v>0</v>
      </c>
      <c r="AK254" s="158">
        <v>1980765</v>
      </c>
      <c r="AL254" s="158">
        <v>258</v>
      </c>
      <c r="AM254" s="158">
        <v>35</v>
      </c>
      <c r="AN254" s="158">
        <v>20</v>
      </c>
      <c r="AO254" s="158">
        <v>30</v>
      </c>
      <c r="AP254" s="158">
        <v>0</v>
      </c>
      <c r="AQ254" s="158">
        <v>481</v>
      </c>
      <c r="AR254" s="158">
        <v>17</v>
      </c>
      <c r="AS254" s="158">
        <v>0</v>
      </c>
      <c r="AT254" s="158">
        <v>0</v>
      </c>
      <c r="AU254" s="158">
        <v>0</v>
      </c>
      <c r="AV254" s="158">
        <v>0</v>
      </c>
      <c r="AW254" s="158">
        <v>0</v>
      </c>
      <c r="AX254" s="158">
        <v>0</v>
      </c>
      <c r="AY254" s="158">
        <v>573</v>
      </c>
      <c r="AZ254" s="158">
        <v>1063</v>
      </c>
      <c r="BA254" s="158">
        <v>5678</v>
      </c>
      <c r="BB254" s="158">
        <v>5494</v>
      </c>
      <c r="BC254" s="158">
        <v>184</v>
      </c>
      <c r="BD254" s="158">
        <v>1823</v>
      </c>
      <c r="BE254" s="158">
        <v>-115752</v>
      </c>
      <c r="BF254" s="158">
        <v>-57837</v>
      </c>
      <c r="BG254" s="158">
        <v>0</v>
      </c>
      <c r="BH254" s="158">
        <v>-22630</v>
      </c>
      <c r="BI254" s="158">
        <v>-871435</v>
      </c>
      <c r="BJ254" s="158">
        <v>0</v>
      </c>
      <c r="BK254" s="158">
        <v>3698258</v>
      </c>
      <c r="BL254" s="1438">
        <v>2520175</v>
      </c>
      <c r="BM254" s="1439">
        <v>0</v>
      </c>
      <c r="BN254" s="784" t="s">
        <v>2349</v>
      </c>
      <c r="BO254" s="784" t="s">
        <v>2357</v>
      </c>
      <c r="BP254" s="1400" t="s">
        <v>2607</v>
      </c>
      <c r="BQ254" s="509"/>
      <c r="BR254" s="509"/>
      <c r="BS254" s="509"/>
      <c r="BT254" s="509"/>
      <c r="BU254" s="509"/>
      <c r="BV254" s="509"/>
      <c r="BW254" s="509"/>
      <c r="BX254" s="509"/>
      <c r="BY254" s="509"/>
      <c r="BZ254" s="509"/>
      <c r="CA254" s="509"/>
      <c r="CB254" s="509"/>
      <c r="CC254" s="509"/>
      <c r="CD254" s="509"/>
      <c r="CE254" s="509"/>
      <c r="CF254" s="509"/>
      <c r="CG254" s="509"/>
      <c r="CH254" s="509"/>
      <c r="CI254" s="509"/>
      <c r="CJ254" s="509"/>
      <c r="CK254" s="509"/>
      <c r="CL254" s="509"/>
      <c r="CM254" s="509"/>
      <c r="CN254" s="509"/>
      <c r="CO254" s="509"/>
      <c r="CP254" s="509"/>
      <c r="CQ254" s="509"/>
      <c r="CR254" s="509"/>
      <c r="CS254" s="509"/>
    </row>
    <row r="255" spans="1:98" s="137" customFormat="1" ht="12.75" customHeight="1" x14ac:dyDescent="0.2">
      <c r="A255" s="1421">
        <v>251</v>
      </c>
      <c r="B255" s="649" t="s">
        <v>397</v>
      </c>
      <c r="C255" s="1607" t="s">
        <v>398</v>
      </c>
      <c r="D255" s="1605">
        <v>202351</v>
      </c>
      <c r="E255" s="1405">
        <v>172337018</v>
      </c>
      <c r="F255" s="1405">
        <v>4839</v>
      </c>
      <c r="G255" s="158">
        <v>-4708955</v>
      </c>
      <c r="H255" s="158">
        <v>-3702225</v>
      </c>
      <c r="I255" s="158">
        <v>-48116</v>
      </c>
      <c r="J255" s="158">
        <v>-19299</v>
      </c>
      <c r="K255" s="158">
        <v>0</v>
      </c>
      <c r="L255" s="158">
        <v>-119825</v>
      </c>
      <c r="M255" s="158">
        <v>-1848080</v>
      </c>
      <c r="N255" s="158">
        <v>-217733</v>
      </c>
      <c r="O255" s="158">
        <v>-254924</v>
      </c>
      <c r="P255" s="158">
        <v>-12029</v>
      </c>
      <c r="Q255" s="158">
        <v>-20072</v>
      </c>
      <c r="R255" s="158">
        <v>0</v>
      </c>
      <c r="S255" s="158">
        <v>0</v>
      </c>
      <c r="T255" s="158">
        <v>0</v>
      </c>
      <c r="U255" s="158">
        <v>-4810196</v>
      </c>
      <c r="V255" s="158">
        <v>72935281</v>
      </c>
      <c r="W255" s="158">
        <v>-1281750</v>
      </c>
      <c r="X255" s="158">
        <v>120025000</v>
      </c>
      <c r="Y255" s="158">
        <v>170890431</v>
      </c>
      <c r="Z255" s="158">
        <v>35980801</v>
      </c>
      <c r="AA255" s="158">
        <v>28784641</v>
      </c>
      <c r="AB255" s="158">
        <v>6476544</v>
      </c>
      <c r="AC255" s="158">
        <v>719616</v>
      </c>
      <c r="AD255" s="158">
        <v>197439</v>
      </c>
      <c r="AE255" s="158">
        <v>0</v>
      </c>
      <c r="AF255" s="158">
        <v>983902</v>
      </c>
      <c r="AG255" s="158">
        <v>0</v>
      </c>
      <c r="AH255" s="158">
        <v>0</v>
      </c>
      <c r="AI255" s="158">
        <v>0</v>
      </c>
      <c r="AJ255" s="158">
        <v>0</v>
      </c>
      <c r="AK255" s="158">
        <v>8091481</v>
      </c>
      <c r="AL255" s="158">
        <v>249</v>
      </c>
      <c r="AM255" s="158">
        <v>6</v>
      </c>
      <c r="AN255" s="158">
        <v>10</v>
      </c>
      <c r="AO255" s="158">
        <v>0</v>
      </c>
      <c r="AP255" s="158">
        <v>0</v>
      </c>
      <c r="AQ255" s="158">
        <v>311</v>
      </c>
      <c r="AR255" s="158">
        <v>158</v>
      </c>
      <c r="AS255" s="158">
        <v>15</v>
      </c>
      <c r="AT255" s="158">
        <v>6</v>
      </c>
      <c r="AU255" s="158">
        <v>7</v>
      </c>
      <c r="AV255" s="158">
        <v>12</v>
      </c>
      <c r="AW255" s="158">
        <v>0</v>
      </c>
      <c r="AX255" s="158">
        <v>0</v>
      </c>
      <c r="AY255" s="158">
        <v>496</v>
      </c>
      <c r="AZ255" s="158">
        <v>1140</v>
      </c>
      <c r="BA255" s="158">
        <v>1837</v>
      </c>
      <c r="BB255" s="158">
        <v>1688</v>
      </c>
      <c r="BC255" s="158">
        <v>149</v>
      </c>
      <c r="BD255" s="158">
        <v>1737</v>
      </c>
      <c r="BE255" s="158">
        <v>-698574</v>
      </c>
      <c r="BF255" s="158">
        <v>-413970</v>
      </c>
      <c r="BG255" s="158">
        <v>0</v>
      </c>
      <c r="BH255" s="158">
        <v>-116429</v>
      </c>
      <c r="BI255" s="158">
        <v>0</v>
      </c>
      <c r="BJ255" s="158">
        <v>-619107</v>
      </c>
      <c r="BK255" s="158">
        <v>316073</v>
      </c>
      <c r="BL255" s="1438">
        <v>21920450</v>
      </c>
      <c r="BM255" s="1439">
        <v>0</v>
      </c>
      <c r="BN255" s="784" t="s">
        <v>2349</v>
      </c>
      <c r="BO255" s="784" t="s">
        <v>2350</v>
      </c>
      <c r="BP255" s="1400" t="s">
        <v>2608</v>
      </c>
      <c r="BQ255" s="509"/>
      <c r="BR255" s="509"/>
      <c r="BS255" s="509"/>
      <c r="BT255" s="509"/>
      <c r="BU255" s="509"/>
      <c r="BV255" s="509"/>
      <c r="BW255" s="509"/>
      <c r="BX255" s="509"/>
      <c r="BY255" s="509"/>
      <c r="BZ255" s="509"/>
      <c r="CA255" s="509"/>
      <c r="CB255" s="509"/>
      <c r="CC255" s="509"/>
      <c r="CD255" s="509"/>
      <c r="CE255" s="509"/>
      <c r="CF255" s="509"/>
      <c r="CG255" s="509"/>
      <c r="CH255" s="509"/>
      <c r="CI255" s="509"/>
      <c r="CJ255" s="509"/>
      <c r="CK255" s="509"/>
      <c r="CL255" s="509"/>
      <c r="CM255" s="509"/>
      <c r="CN255" s="509"/>
      <c r="CO255" s="509"/>
      <c r="CP255" s="509"/>
      <c r="CQ255" s="509"/>
      <c r="CR255" s="509"/>
      <c r="CS255" s="509"/>
    </row>
    <row r="256" spans="1:98" s="137" customFormat="1" ht="12.75" customHeight="1" x14ac:dyDescent="0.2">
      <c r="A256" s="1421">
        <v>252</v>
      </c>
      <c r="B256" s="649" t="s">
        <v>399</v>
      </c>
      <c r="C256" s="1607" t="s">
        <v>400</v>
      </c>
      <c r="D256" s="1605">
        <v>124611</v>
      </c>
      <c r="E256" s="1405">
        <v>103306301</v>
      </c>
      <c r="F256" s="1405">
        <v>3068</v>
      </c>
      <c r="G256" s="158">
        <v>-3192269</v>
      </c>
      <c r="H256" s="158">
        <v>-1683177</v>
      </c>
      <c r="I256" s="158">
        <v>-33363</v>
      </c>
      <c r="J256" s="158">
        <v>-4745</v>
      </c>
      <c r="K256" s="158">
        <v>-6437</v>
      </c>
      <c r="L256" s="158">
        <v>0</v>
      </c>
      <c r="M256" s="158">
        <v>-815758</v>
      </c>
      <c r="N256" s="158">
        <v>-89502</v>
      </c>
      <c r="O256" s="158">
        <v>-3319</v>
      </c>
      <c r="P256" s="158">
        <v>-560</v>
      </c>
      <c r="Q256" s="158">
        <v>0</v>
      </c>
      <c r="R256" s="158">
        <v>0</v>
      </c>
      <c r="S256" s="158">
        <v>0</v>
      </c>
      <c r="T256" s="158">
        <v>0</v>
      </c>
      <c r="U256" s="158">
        <v>-2659190</v>
      </c>
      <c r="V256" s="158">
        <v>45240597</v>
      </c>
      <c r="W256" s="158">
        <v>-2691882</v>
      </c>
      <c r="X256" s="158">
        <v>71893600</v>
      </c>
      <c r="Y256" s="158">
        <v>103014801</v>
      </c>
      <c r="Z256" s="158">
        <v>21322791</v>
      </c>
      <c r="AA256" s="158">
        <v>17058232</v>
      </c>
      <c r="AB256" s="158">
        <v>4264558</v>
      </c>
      <c r="AC256" s="158">
        <v>0</v>
      </c>
      <c r="AD256" s="158">
        <v>124799</v>
      </c>
      <c r="AE256" s="158">
        <v>0</v>
      </c>
      <c r="AF256" s="158">
        <v>274602</v>
      </c>
      <c r="AG256" s="158">
        <v>0</v>
      </c>
      <c r="AH256" s="158">
        <v>0</v>
      </c>
      <c r="AI256" s="158">
        <v>0</v>
      </c>
      <c r="AJ256" s="158">
        <v>0</v>
      </c>
      <c r="AK256" s="158">
        <v>3004689</v>
      </c>
      <c r="AL256" s="158">
        <v>153</v>
      </c>
      <c r="AM256" s="158">
        <v>15</v>
      </c>
      <c r="AN256" s="158">
        <v>3</v>
      </c>
      <c r="AO256" s="158">
        <v>3</v>
      </c>
      <c r="AP256" s="158">
        <v>0</v>
      </c>
      <c r="AQ256" s="158">
        <v>190</v>
      </c>
      <c r="AR256" s="158">
        <v>77</v>
      </c>
      <c r="AS256" s="158">
        <v>2</v>
      </c>
      <c r="AT256" s="158">
        <v>2</v>
      </c>
      <c r="AU256" s="158">
        <v>3</v>
      </c>
      <c r="AV256" s="158">
        <v>0</v>
      </c>
      <c r="AW256" s="158">
        <v>0</v>
      </c>
      <c r="AX256" s="158">
        <v>0</v>
      </c>
      <c r="AY256" s="158">
        <v>275</v>
      </c>
      <c r="AZ256" s="158">
        <v>767</v>
      </c>
      <c r="BA256" s="158">
        <v>1186</v>
      </c>
      <c r="BB256" s="158">
        <v>1083</v>
      </c>
      <c r="BC256" s="158">
        <v>103</v>
      </c>
      <c r="BD256" s="158">
        <v>1121</v>
      </c>
      <c r="BE256" s="158">
        <v>-263374</v>
      </c>
      <c r="BF256" s="158">
        <v>-119284</v>
      </c>
      <c r="BG256" s="158">
        <v>0</v>
      </c>
      <c r="BH256" s="158">
        <v>-37011</v>
      </c>
      <c r="BI256" s="158">
        <v>-143816</v>
      </c>
      <c r="BJ256" s="158">
        <v>-252273</v>
      </c>
      <c r="BK256" s="158">
        <v>3066696</v>
      </c>
      <c r="BL256" s="1438">
        <v>11717925</v>
      </c>
      <c r="BM256" s="1439">
        <v>0</v>
      </c>
      <c r="BN256" s="784" t="s">
        <v>2349</v>
      </c>
      <c r="BO256" s="784" t="s">
        <v>2369</v>
      </c>
      <c r="BP256" s="1400" t="s">
        <v>2609</v>
      </c>
      <c r="BQ256" s="509"/>
      <c r="BR256" s="509"/>
      <c r="BS256" s="509"/>
      <c r="BT256" s="509"/>
      <c r="BU256" s="509"/>
      <c r="BV256" s="509"/>
      <c r="BW256" s="509"/>
      <c r="BX256" s="509"/>
      <c r="BY256" s="509"/>
      <c r="BZ256" s="509"/>
      <c r="CA256" s="509"/>
      <c r="CB256" s="509"/>
      <c r="CC256" s="509"/>
      <c r="CD256" s="509"/>
      <c r="CE256" s="509"/>
      <c r="CF256" s="509"/>
      <c r="CG256" s="509"/>
      <c r="CH256" s="509"/>
      <c r="CI256" s="509"/>
      <c r="CJ256" s="509"/>
      <c r="CK256" s="509"/>
      <c r="CL256" s="509"/>
      <c r="CM256" s="509"/>
      <c r="CN256" s="509"/>
      <c r="CO256" s="509"/>
      <c r="CP256" s="509"/>
      <c r="CQ256" s="509"/>
      <c r="CR256" s="509"/>
      <c r="CS256" s="509"/>
    </row>
    <row r="257" spans="1:98" s="137" customFormat="1" ht="12.75" customHeight="1" x14ac:dyDescent="0.2">
      <c r="A257" s="1421">
        <v>253</v>
      </c>
      <c r="B257" s="649" t="s">
        <v>401</v>
      </c>
      <c r="C257" s="1607" t="s">
        <v>402</v>
      </c>
      <c r="D257" s="1605">
        <v>201904</v>
      </c>
      <c r="E257" s="1405">
        <v>107590842</v>
      </c>
      <c r="F257" s="1405">
        <v>5589</v>
      </c>
      <c r="G257" s="158">
        <v>-7277896</v>
      </c>
      <c r="H257" s="158">
        <v>-4844543</v>
      </c>
      <c r="I257" s="158">
        <v>-54277</v>
      </c>
      <c r="J257" s="158">
        <v>-4429</v>
      </c>
      <c r="K257" s="158">
        <v>-25429</v>
      </c>
      <c r="L257" s="158">
        <v>0</v>
      </c>
      <c r="M257" s="158">
        <v>-1443310</v>
      </c>
      <c r="N257" s="158">
        <v>-246473</v>
      </c>
      <c r="O257" s="158">
        <v>-88045</v>
      </c>
      <c r="P257" s="158">
        <v>-3168</v>
      </c>
      <c r="Q257" s="158">
        <v>-4429</v>
      </c>
      <c r="R257" s="158">
        <v>0</v>
      </c>
      <c r="S257" s="158">
        <v>0</v>
      </c>
      <c r="T257" s="158">
        <v>0</v>
      </c>
      <c r="U257" s="158">
        <v>-3558933</v>
      </c>
      <c r="V257" s="158">
        <v>36707758</v>
      </c>
      <c r="W257" s="158">
        <v>-1750000</v>
      </c>
      <c r="X257" s="158">
        <v>64489750</v>
      </c>
      <c r="Y257" s="158">
        <v>108048783</v>
      </c>
      <c r="Z257" s="158">
        <v>18172174</v>
      </c>
      <c r="AA257" s="158">
        <v>14537739</v>
      </c>
      <c r="AB257" s="158">
        <v>3270991</v>
      </c>
      <c r="AC257" s="158">
        <v>363443</v>
      </c>
      <c r="AD257" s="158">
        <v>202734</v>
      </c>
      <c r="AE257" s="158">
        <v>0</v>
      </c>
      <c r="AF257" s="158">
        <v>487</v>
      </c>
      <c r="AG257" s="158">
        <v>0</v>
      </c>
      <c r="AH257" s="158">
        <v>0</v>
      </c>
      <c r="AI257" s="158">
        <v>0</v>
      </c>
      <c r="AJ257" s="158">
        <v>0</v>
      </c>
      <c r="AK257" s="158">
        <v>4561071</v>
      </c>
      <c r="AL257" s="158">
        <v>242</v>
      </c>
      <c r="AM257" s="158">
        <v>14</v>
      </c>
      <c r="AN257" s="158">
        <v>2</v>
      </c>
      <c r="AO257" s="158">
        <v>14</v>
      </c>
      <c r="AP257" s="158">
        <v>0</v>
      </c>
      <c r="AQ257" s="158">
        <v>329</v>
      </c>
      <c r="AR257" s="158">
        <v>87</v>
      </c>
      <c r="AS257" s="158">
        <v>12</v>
      </c>
      <c r="AT257" s="158">
        <v>2</v>
      </c>
      <c r="AU257" s="158">
        <v>2</v>
      </c>
      <c r="AV257" s="158">
        <v>0</v>
      </c>
      <c r="AW257" s="158">
        <v>0</v>
      </c>
      <c r="AX257" s="158">
        <v>0</v>
      </c>
      <c r="AY257" s="158">
        <v>596</v>
      </c>
      <c r="AZ257" s="158">
        <v>347</v>
      </c>
      <c r="BA257" s="158">
        <v>2956</v>
      </c>
      <c r="BB257" s="158">
        <v>2825</v>
      </c>
      <c r="BC257" s="158">
        <v>131</v>
      </c>
      <c r="BD257" s="158">
        <v>2323</v>
      </c>
      <c r="BE257" s="158">
        <v>-209560</v>
      </c>
      <c r="BF257" s="158">
        <v>-328021</v>
      </c>
      <c r="BG257" s="158">
        <v>0</v>
      </c>
      <c r="BH257" s="158">
        <v>0</v>
      </c>
      <c r="BI257" s="158">
        <v>-862073</v>
      </c>
      <c r="BJ257" s="158">
        <v>-43680</v>
      </c>
      <c r="BK257" s="158">
        <v>4511903</v>
      </c>
      <c r="BL257" s="1438">
        <v>11569925</v>
      </c>
      <c r="BM257" s="1439">
        <v>0</v>
      </c>
      <c r="BN257" s="784" t="s">
        <v>2349</v>
      </c>
      <c r="BO257" s="784" t="s">
        <v>2350</v>
      </c>
      <c r="BP257" s="1400" t="s">
        <v>2610</v>
      </c>
      <c r="BQ257" s="509"/>
      <c r="BR257" s="509"/>
      <c r="BS257" s="509"/>
      <c r="BT257" s="509"/>
      <c r="BU257" s="509"/>
      <c r="BV257" s="509"/>
      <c r="BW257" s="509"/>
      <c r="BX257" s="509"/>
      <c r="BY257" s="509"/>
      <c r="BZ257" s="509"/>
      <c r="CA257" s="509"/>
      <c r="CB257" s="509"/>
      <c r="CC257" s="509"/>
      <c r="CD257" s="509"/>
      <c r="CE257" s="509"/>
      <c r="CF257" s="509"/>
      <c r="CG257" s="509"/>
      <c r="CH257" s="509"/>
      <c r="CI257" s="509"/>
      <c r="CJ257" s="509"/>
      <c r="CK257" s="509"/>
      <c r="CL257" s="509"/>
      <c r="CM257" s="509"/>
      <c r="CN257" s="509"/>
      <c r="CO257" s="509"/>
      <c r="CP257" s="509"/>
      <c r="CQ257" s="509"/>
      <c r="CR257" s="509"/>
      <c r="CS257" s="509"/>
    </row>
    <row r="258" spans="1:98" s="137" customFormat="1" ht="12.75" customHeight="1" x14ac:dyDescent="0.2">
      <c r="A258" s="1421">
        <v>254</v>
      </c>
      <c r="B258" s="649" t="s">
        <v>403</v>
      </c>
      <c r="C258" s="1607" t="s">
        <v>404</v>
      </c>
      <c r="D258" s="1605">
        <v>106024</v>
      </c>
      <c r="E258" s="1405">
        <v>121638534</v>
      </c>
      <c r="F258" s="1405">
        <v>2114</v>
      </c>
      <c r="G258" s="158">
        <v>-1305711</v>
      </c>
      <c r="H258" s="158">
        <v>-3479467</v>
      </c>
      <c r="I258" s="158">
        <v>-45072</v>
      </c>
      <c r="J258" s="158">
        <v>0</v>
      </c>
      <c r="K258" s="158">
        <v>0</v>
      </c>
      <c r="L258" s="158">
        <v>0</v>
      </c>
      <c r="M258" s="158">
        <v>-1098419</v>
      </c>
      <c r="N258" s="158">
        <v>0</v>
      </c>
      <c r="O258" s="158">
        <v>0</v>
      </c>
      <c r="P258" s="158">
        <v>0</v>
      </c>
      <c r="Q258" s="158">
        <v>0</v>
      </c>
      <c r="R258" s="158">
        <v>0</v>
      </c>
      <c r="S258" s="158">
        <v>0</v>
      </c>
      <c r="T258" s="158">
        <v>0</v>
      </c>
      <c r="U258" s="158">
        <v>-3660338</v>
      </c>
      <c r="V258" s="158">
        <v>43117127</v>
      </c>
      <c r="W258" s="158">
        <v>-1379748</v>
      </c>
      <c r="X258" s="158">
        <v>90644500</v>
      </c>
      <c r="Y258" s="158">
        <v>117075765</v>
      </c>
      <c r="Z258" s="158">
        <v>25696230</v>
      </c>
      <c r="AA258" s="158">
        <v>20556984</v>
      </c>
      <c r="AB258" s="158">
        <v>5139246</v>
      </c>
      <c r="AC258" s="158">
        <v>0</v>
      </c>
      <c r="AD258" s="158">
        <v>104297</v>
      </c>
      <c r="AE258" s="158">
        <v>0</v>
      </c>
      <c r="AF258" s="158">
        <v>0</v>
      </c>
      <c r="AG258" s="158">
        <v>0</v>
      </c>
      <c r="AH258" s="158">
        <v>0</v>
      </c>
      <c r="AI258" s="158">
        <v>0</v>
      </c>
      <c r="AJ258" s="158">
        <v>0</v>
      </c>
      <c r="AK258" s="158">
        <v>130609</v>
      </c>
      <c r="AL258" s="158">
        <v>0</v>
      </c>
      <c r="AM258" s="158">
        <v>0</v>
      </c>
      <c r="AN258" s="158">
        <v>0</v>
      </c>
      <c r="AO258" s="158">
        <v>0</v>
      </c>
      <c r="AP258" s="158">
        <v>0</v>
      </c>
      <c r="AQ258" s="158">
        <v>0</v>
      </c>
      <c r="AR258" s="158">
        <v>0</v>
      </c>
      <c r="AS258" s="158">
        <v>0</v>
      </c>
      <c r="AT258" s="158">
        <v>0</v>
      </c>
      <c r="AU258" s="158">
        <v>0</v>
      </c>
      <c r="AV258" s="158">
        <v>0</v>
      </c>
      <c r="AW258" s="158">
        <v>0</v>
      </c>
      <c r="AX258" s="158">
        <v>0</v>
      </c>
      <c r="AY258" s="158">
        <v>0</v>
      </c>
      <c r="AZ258" s="158">
        <v>0</v>
      </c>
      <c r="BA258" s="158">
        <v>0</v>
      </c>
      <c r="BB258" s="158">
        <v>0</v>
      </c>
      <c r="BC258" s="158">
        <v>0</v>
      </c>
      <c r="BD258" s="158">
        <v>0</v>
      </c>
      <c r="BE258" s="158">
        <v>0</v>
      </c>
      <c r="BF258" s="158">
        <v>0</v>
      </c>
      <c r="BG258" s="158">
        <v>0</v>
      </c>
      <c r="BH258" s="158">
        <v>0</v>
      </c>
      <c r="BI258" s="158">
        <v>0</v>
      </c>
      <c r="BJ258" s="158">
        <v>0</v>
      </c>
      <c r="BK258" s="158">
        <v>-5248684</v>
      </c>
      <c r="BL258" s="1438">
        <v>12082750</v>
      </c>
      <c r="BM258" s="1439">
        <v>0</v>
      </c>
      <c r="BN258" s="784" t="s">
        <v>2349</v>
      </c>
      <c r="BO258" s="784" t="s">
        <v>2357</v>
      </c>
      <c r="BP258" s="1400" t="s">
        <v>2611</v>
      </c>
      <c r="BQ258" s="509"/>
      <c r="BR258" s="509"/>
      <c r="BS258" s="509"/>
      <c r="BT258" s="509"/>
      <c r="BU258" s="509"/>
      <c r="BV258" s="509"/>
      <c r="BW258" s="509"/>
      <c r="BX258" s="509"/>
      <c r="BY258" s="509"/>
      <c r="BZ258" s="509"/>
      <c r="CA258" s="509"/>
      <c r="CB258" s="509"/>
      <c r="CC258" s="509"/>
      <c r="CD258" s="509"/>
      <c r="CE258" s="509"/>
      <c r="CF258" s="509"/>
      <c r="CG258" s="509"/>
      <c r="CH258" s="509"/>
      <c r="CI258" s="509"/>
      <c r="CJ258" s="509"/>
      <c r="CK258" s="509"/>
      <c r="CL258" s="509"/>
      <c r="CM258" s="509"/>
      <c r="CN258" s="509"/>
      <c r="CO258" s="509"/>
      <c r="CP258" s="509"/>
      <c r="CQ258" s="509"/>
      <c r="CR258" s="509"/>
      <c r="CS258" s="509"/>
    </row>
    <row r="259" spans="1:98" s="137" customFormat="1" ht="12.75" customHeight="1" x14ac:dyDescent="0.2">
      <c r="A259" s="1421">
        <v>255</v>
      </c>
      <c r="B259" s="649" t="s">
        <v>574</v>
      </c>
      <c r="C259" s="1607" t="s">
        <v>406</v>
      </c>
      <c r="D259" s="1605">
        <v>238996</v>
      </c>
      <c r="E259" s="1405">
        <v>331174483</v>
      </c>
      <c r="F259" s="1405">
        <v>4390</v>
      </c>
      <c r="G259" s="158">
        <v>-3966543</v>
      </c>
      <c r="H259" s="158">
        <v>-5734946</v>
      </c>
      <c r="I259" s="158">
        <v>-37224</v>
      </c>
      <c r="J259" s="158">
        <v>0</v>
      </c>
      <c r="K259" s="158">
        <v>0</v>
      </c>
      <c r="L259" s="158">
        <v>0</v>
      </c>
      <c r="M259" s="158">
        <v>-4344932</v>
      </c>
      <c r="N259" s="158">
        <v>-55718</v>
      </c>
      <c r="O259" s="158">
        <v>-23294</v>
      </c>
      <c r="P259" s="158">
        <v>-798</v>
      </c>
      <c r="Q259" s="158">
        <v>0</v>
      </c>
      <c r="R259" s="158">
        <v>-7530938</v>
      </c>
      <c r="S259" s="158">
        <v>0</v>
      </c>
      <c r="T259" s="158">
        <v>0</v>
      </c>
      <c r="U259" s="158">
        <v>-6192325</v>
      </c>
      <c r="V259" s="158">
        <v>145816249</v>
      </c>
      <c r="W259" s="158">
        <v>-7017400</v>
      </c>
      <c r="X259" s="158">
        <v>277880000</v>
      </c>
      <c r="Y259" s="158">
        <v>323668693</v>
      </c>
      <c r="Z259" s="158">
        <v>71993286</v>
      </c>
      <c r="AA259" s="158">
        <v>70553420</v>
      </c>
      <c r="AB259" s="158">
        <v>0</v>
      </c>
      <c r="AC259" s="158">
        <v>1439866</v>
      </c>
      <c r="AD259" s="158">
        <v>236516</v>
      </c>
      <c r="AE259" s="158">
        <v>221157</v>
      </c>
      <c r="AF259" s="158">
        <v>0</v>
      </c>
      <c r="AG259" s="158">
        <v>0</v>
      </c>
      <c r="AH259" s="158">
        <v>0</v>
      </c>
      <c r="AI259" s="158">
        <v>0</v>
      </c>
      <c r="AJ259" s="158">
        <v>0</v>
      </c>
      <c r="AK259" s="158">
        <v>7272612</v>
      </c>
      <c r="AL259" s="158">
        <v>173</v>
      </c>
      <c r="AM259" s="158">
        <v>8</v>
      </c>
      <c r="AN259" s="158">
        <v>0</v>
      </c>
      <c r="AO259" s="158">
        <v>1</v>
      </c>
      <c r="AP259" s="158">
        <v>0</v>
      </c>
      <c r="AQ259" s="158">
        <v>357</v>
      </c>
      <c r="AR259" s="158">
        <v>94</v>
      </c>
      <c r="AS259" s="158">
        <v>11</v>
      </c>
      <c r="AT259" s="158">
        <v>7</v>
      </c>
      <c r="AU259" s="158">
        <v>0</v>
      </c>
      <c r="AV259" s="158">
        <v>0</v>
      </c>
      <c r="AW259" s="158">
        <v>0</v>
      </c>
      <c r="AX259" s="158">
        <v>0</v>
      </c>
      <c r="AY259" s="158">
        <v>543</v>
      </c>
      <c r="AZ259" s="158">
        <v>1318</v>
      </c>
      <c r="BA259" s="158">
        <v>1325</v>
      </c>
      <c r="BB259" s="158">
        <v>1181</v>
      </c>
      <c r="BC259" s="158">
        <v>144</v>
      </c>
      <c r="BD259" s="158">
        <v>1682</v>
      </c>
      <c r="BE259" s="158">
        <v>-1349612</v>
      </c>
      <c r="BF259" s="158">
        <v>-143626</v>
      </c>
      <c r="BG259" s="158">
        <v>0</v>
      </c>
      <c r="BH259" s="158">
        <v>-1771</v>
      </c>
      <c r="BI259" s="158">
        <v>-2849923</v>
      </c>
      <c r="BJ259" s="158">
        <v>0</v>
      </c>
      <c r="BK259" s="158">
        <v>20659324</v>
      </c>
      <c r="BL259" s="1438">
        <v>18675650</v>
      </c>
      <c r="BM259" s="1439">
        <v>0</v>
      </c>
      <c r="BN259" s="784" t="s">
        <v>509</v>
      </c>
      <c r="BO259" s="784" t="s">
        <v>2357</v>
      </c>
      <c r="BP259" s="1400" t="s">
        <v>2612</v>
      </c>
      <c r="BQ259" s="509"/>
      <c r="BR259" s="509"/>
      <c r="BS259" s="509"/>
      <c r="BT259" s="509"/>
      <c r="BU259" s="509"/>
      <c r="BV259" s="509"/>
      <c r="BW259" s="509"/>
      <c r="BX259" s="509"/>
      <c r="BY259" s="509"/>
      <c r="BZ259" s="509"/>
      <c r="CA259" s="509"/>
      <c r="CB259" s="509"/>
      <c r="CC259" s="509"/>
      <c r="CD259" s="509"/>
      <c r="CE259" s="509"/>
      <c r="CF259" s="509"/>
      <c r="CG259" s="509"/>
      <c r="CH259" s="509"/>
      <c r="CI259" s="509"/>
      <c r="CJ259" s="509"/>
      <c r="CK259" s="509"/>
      <c r="CL259" s="509"/>
      <c r="CM259" s="509"/>
      <c r="CN259" s="509"/>
      <c r="CO259" s="509"/>
      <c r="CP259" s="509"/>
      <c r="CQ259" s="509"/>
      <c r="CR259" s="509"/>
      <c r="CS259" s="509"/>
    </row>
    <row r="260" spans="1:98" s="137" customFormat="1" ht="12.75" customHeight="1" x14ac:dyDescent="0.2">
      <c r="A260" s="1421">
        <v>256</v>
      </c>
      <c r="B260" s="649" t="s">
        <v>407</v>
      </c>
      <c r="C260" s="1607" t="s">
        <v>408</v>
      </c>
      <c r="D260" s="1605">
        <v>164004</v>
      </c>
      <c r="E260" s="1405">
        <v>174089342</v>
      </c>
      <c r="F260" s="1405">
        <v>3764</v>
      </c>
      <c r="G260" s="158">
        <v>-3032278</v>
      </c>
      <c r="H260" s="158">
        <v>-6209270</v>
      </c>
      <c r="I260" s="158">
        <v>-75332</v>
      </c>
      <c r="J260" s="158">
        <v>-1856</v>
      </c>
      <c r="K260" s="158">
        <v>-18097</v>
      </c>
      <c r="L260" s="158">
        <v>-25251</v>
      </c>
      <c r="M260" s="158">
        <v>-2500000</v>
      </c>
      <c r="N260" s="158">
        <v>-159282</v>
      </c>
      <c r="O260" s="158">
        <v>-45546</v>
      </c>
      <c r="P260" s="158">
        <v>-15071</v>
      </c>
      <c r="Q260" s="158">
        <v>-4950</v>
      </c>
      <c r="R260" s="158">
        <v>0</v>
      </c>
      <c r="S260" s="158">
        <v>0</v>
      </c>
      <c r="T260" s="158">
        <v>0</v>
      </c>
      <c r="U260" s="158">
        <v>-5150201</v>
      </c>
      <c r="V260" s="158">
        <v>78597519</v>
      </c>
      <c r="W260" s="158">
        <v>-2800000</v>
      </c>
      <c r="X260" s="158">
        <v>137033900</v>
      </c>
      <c r="Y260" s="158">
        <v>171686594</v>
      </c>
      <c r="Z260" s="158">
        <v>38800653</v>
      </c>
      <c r="AA260" s="158">
        <v>31040522</v>
      </c>
      <c r="AB260" s="158">
        <v>6984118</v>
      </c>
      <c r="AC260" s="158">
        <v>776013</v>
      </c>
      <c r="AD260" s="158">
        <v>161510</v>
      </c>
      <c r="AE260" s="158">
        <v>0</v>
      </c>
      <c r="AF260" s="158">
        <v>0</v>
      </c>
      <c r="AG260" s="158">
        <v>0</v>
      </c>
      <c r="AH260" s="158">
        <v>0</v>
      </c>
      <c r="AI260" s="158">
        <v>0</v>
      </c>
      <c r="AJ260" s="158">
        <v>0</v>
      </c>
      <c r="AK260" s="158">
        <v>4595216</v>
      </c>
      <c r="AL260" s="158">
        <v>203</v>
      </c>
      <c r="AM260" s="158">
        <v>20</v>
      </c>
      <c r="AN260" s="158">
        <v>1</v>
      </c>
      <c r="AO260" s="158">
        <v>10</v>
      </c>
      <c r="AP260" s="158">
        <v>0</v>
      </c>
      <c r="AQ260" s="158">
        <v>403</v>
      </c>
      <c r="AR260" s="158">
        <v>45</v>
      </c>
      <c r="AS260" s="158">
        <v>5</v>
      </c>
      <c r="AT260" s="158">
        <v>18</v>
      </c>
      <c r="AU260" s="158">
        <v>1</v>
      </c>
      <c r="AV260" s="158">
        <v>1</v>
      </c>
      <c r="AW260" s="158">
        <v>0</v>
      </c>
      <c r="AX260" s="158">
        <v>0</v>
      </c>
      <c r="AY260" s="158">
        <v>477</v>
      </c>
      <c r="AZ260" s="158">
        <v>1216</v>
      </c>
      <c r="BA260" s="158">
        <v>1001</v>
      </c>
      <c r="BB260" s="158">
        <v>890</v>
      </c>
      <c r="BC260" s="158">
        <v>111</v>
      </c>
      <c r="BD260" s="158">
        <v>1520</v>
      </c>
      <c r="BE260" s="158">
        <v>0</v>
      </c>
      <c r="BF260" s="158">
        <v>-217457</v>
      </c>
      <c r="BG260" s="158">
        <v>0</v>
      </c>
      <c r="BH260" s="158">
        <v>0</v>
      </c>
      <c r="BI260" s="158">
        <v>-2206393</v>
      </c>
      <c r="BJ260" s="158">
        <v>-76150</v>
      </c>
      <c r="BK260" s="158">
        <v>4017438</v>
      </c>
      <c r="BL260" s="1438">
        <v>18636750</v>
      </c>
      <c r="BM260" s="1439">
        <v>0</v>
      </c>
      <c r="BN260" s="784" t="s">
        <v>2349</v>
      </c>
      <c r="BO260" s="784" t="s">
        <v>2350</v>
      </c>
      <c r="BP260" s="1400" t="s">
        <v>2613</v>
      </c>
      <c r="BQ260" s="509"/>
      <c r="BR260" s="509"/>
      <c r="BS260" s="509"/>
      <c r="BT260" s="509"/>
      <c r="BU260" s="509"/>
      <c r="BV260" s="509"/>
      <c r="BW260" s="509"/>
      <c r="BX260" s="509"/>
      <c r="BY260" s="509"/>
      <c r="BZ260" s="509"/>
      <c r="CA260" s="509"/>
      <c r="CB260" s="509"/>
      <c r="CC260" s="509"/>
      <c r="CD260" s="509"/>
      <c r="CE260" s="509"/>
      <c r="CF260" s="509"/>
      <c r="CG260" s="509"/>
      <c r="CH260" s="509"/>
      <c r="CI260" s="509"/>
      <c r="CJ260" s="509"/>
      <c r="CK260" s="509"/>
      <c r="CL260" s="509"/>
      <c r="CM260" s="509"/>
      <c r="CN260" s="509"/>
      <c r="CO260" s="509"/>
      <c r="CP260" s="509"/>
      <c r="CQ260" s="509"/>
      <c r="CR260" s="509"/>
      <c r="CS260" s="509"/>
    </row>
    <row r="261" spans="1:98" s="137" customFormat="1" ht="12.75" customHeight="1" x14ac:dyDescent="0.2">
      <c r="A261" s="1421">
        <v>257</v>
      </c>
      <c r="B261" s="649" t="s">
        <v>556</v>
      </c>
      <c r="C261" s="1607" t="s">
        <v>410</v>
      </c>
      <c r="D261" s="1605">
        <v>196420</v>
      </c>
      <c r="E261" s="1405">
        <v>99477351</v>
      </c>
      <c r="F261" s="1405">
        <v>5527</v>
      </c>
      <c r="G261" s="158">
        <v>-6796159</v>
      </c>
      <c r="H261" s="158">
        <v>-4554487</v>
      </c>
      <c r="I261" s="158">
        <v>-105406</v>
      </c>
      <c r="J261" s="158">
        <v>0</v>
      </c>
      <c r="K261" s="158">
        <v>-24770</v>
      </c>
      <c r="L261" s="158">
        <v>0</v>
      </c>
      <c r="M261" s="158">
        <v>-997592</v>
      </c>
      <c r="N261" s="158">
        <v>-37036</v>
      </c>
      <c r="O261" s="158">
        <v>-122692</v>
      </c>
      <c r="P261" s="158">
        <v>-504</v>
      </c>
      <c r="Q261" s="158">
        <v>0</v>
      </c>
      <c r="R261" s="158">
        <v>0</v>
      </c>
      <c r="S261" s="158">
        <v>0</v>
      </c>
      <c r="T261" s="158">
        <v>0</v>
      </c>
      <c r="U261" s="158">
        <v>-7491578</v>
      </c>
      <c r="V261" s="158">
        <v>29733190</v>
      </c>
      <c r="W261" s="158">
        <v>-1255235</v>
      </c>
      <c r="X261" s="158">
        <v>53381000</v>
      </c>
      <c r="Y261" s="158">
        <v>99045926</v>
      </c>
      <c r="Z261" s="158">
        <v>14329493</v>
      </c>
      <c r="AA261" s="158">
        <v>14042904</v>
      </c>
      <c r="AB261" s="158">
        <v>0</v>
      </c>
      <c r="AC261" s="158">
        <v>286590</v>
      </c>
      <c r="AD261" s="158">
        <v>199474</v>
      </c>
      <c r="AE261" s="158">
        <v>0</v>
      </c>
      <c r="AF261" s="158">
        <v>0</v>
      </c>
      <c r="AG261" s="158">
        <v>0</v>
      </c>
      <c r="AH261" s="158">
        <v>0</v>
      </c>
      <c r="AI261" s="158">
        <v>0</v>
      </c>
      <c r="AJ261" s="158">
        <v>0</v>
      </c>
      <c r="AK261" s="158">
        <v>1124280</v>
      </c>
      <c r="AL261" s="158">
        <v>226</v>
      </c>
      <c r="AM261" s="158">
        <v>23</v>
      </c>
      <c r="AN261" s="158">
        <v>0</v>
      </c>
      <c r="AO261" s="158">
        <v>10</v>
      </c>
      <c r="AP261" s="158">
        <v>0</v>
      </c>
      <c r="AQ261" s="158">
        <v>322</v>
      </c>
      <c r="AR261" s="158">
        <v>34</v>
      </c>
      <c r="AS261" s="158">
        <v>3</v>
      </c>
      <c r="AT261" s="158">
        <v>2</v>
      </c>
      <c r="AU261" s="158">
        <v>0</v>
      </c>
      <c r="AV261" s="158">
        <v>0</v>
      </c>
      <c r="AW261" s="158">
        <v>0</v>
      </c>
      <c r="AX261" s="158">
        <v>0</v>
      </c>
      <c r="AY261" s="158">
        <v>1070</v>
      </c>
      <c r="AZ261" s="158">
        <v>336</v>
      </c>
      <c r="BA261" s="158">
        <v>2770</v>
      </c>
      <c r="BB261" s="158">
        <v>2642</v>
      </c>
      <c r="BC261" s="158">
        <v>128</v>
      </c>
      <c r="BD261" s="158">
        <v>2511</v>
      </c>
      <c r="BE261" s="158">
        <v>-86385</v>
      </c>
      <c r="BF261" s="158">
        <v>-506054</v>
      </c>
      <c r="BG261" s="158">
        <v>0</v>
      </c>
      <c r="BH261" s="158">
        <v>0</v>
      </c>
      <c r="BI261" s="158">
        <v>-301651</v>
      </c>
      <c r="BJ261" s="158">
        <v>-103502</v>
      </c>
      <c r="BK261" s="158">
        <v>1548640</v>
      </c>
      <c r="BL261" s="1438">
        <v>15386800</v>
      </c>
      <c r="BM261" s="1439">
        <v>0</v>
      </c>
      <c r="BN261" s="784" t="s">
        <v>509</v>
      </c>
      <c r="BO261" s="784" t="s">
        <v>2369</v>
      </c>
      <c r="BP261" s="1400" t="s">
        <v>2614</v>
      </c>
      <c r="BQ261" s="509"/>
      <c r="BR261" s="509"/>
      <c r="BS261" s="509"/>
      <c r="BT261" s="509"/>
      <c r="BU261" s="509"/>
      <c r="BV261" s="509"/>
      <c r="BW261" s="509"/>
      <c r="BX261" s="509"/>
      <c r="BY261" s="509"/>
      <c r="BZ261" s="509"/>
      <c r="CA261" s="509"/>
      <c r="CB261" s="509"/>
      <c r="CC261" s="509"/>
      <c r="CD261" s="509"/>
      <c r="CE261" s="509"/>
      <c r="CF261" s="509"/>
      <c r="CG261" s="509"/>
      <c r="CH261" s="509"/>
      <c r="CI261" s="509"/>
      <c r="CJ261" s="509"/>
      <c r="CK261" s="509"/>
      <c r="CL261" s="509"/>
      <c r="CM261" s="509"/>
      <c r="CN261" s="509"/>
      <c r="CO261" s="509"/>
      <c r="CP261" s="509"/>
      <c r="CQ261" s="509"/>
      <c r="CR261" s="509"/>
      <c r="CS261" s="509"/>
    </row>
    <row r="262" spans="1:98" s="137" customFormat="1" ht="12.75" customHeight="1" x14ac:dyDescent="0.2">
      <c r="A262" s="1421">
        <v>258</v>
      </c>
      <c r="B262" s="649" t="s">
        <v>411</v>
      </c>
      <c r="C262" s="1607" t="s">
        <v>412</v>
      </c>
      <c r="D262" s="1605">
        <v>134113</v>
      </c>
      <c r="E262" s="1405">
        <v>45548880</v>
      </c>
      <c r="F262" s="1405">
        <v>3974</v>
      </c>
      <c r="G262" s="158">
        <v>-4913053</v>
      </c>
      <c r="H262" s="158">
        <v>-1625040</v>
      </c>
      <c r="I262" s="158">
        <v>-14381</v>
      </c>
      <c r="J262" s="158">
        <v>-79316</v>
      </c>
      <c r="K262" s="158">
        <v>-17063</v>
      </c>
      <c r="L262" s="158">
        <v>0</v>
      </c>
      <c r="M262" s="158">
        <v>-390405</v>
      </c>
      <c r="N262" s="158">
        <v>-23789</v>
      </c>
      <c r="O262" s="158">
        <v>-4000</v>
      </c>
      <c r="P262" s="158">
        <v>-1299</v>
      </c>
      <c r="Q262" s="158">
        <v>0</v>
      </c>
      <c r="R262" s="158">
        <v>0</v>
      </c>
      <c r="S262" s="158">
        <v>0</v>
      </c>
      <c r="T262" s="158">
        <v>0</v>
      </c>
      <c r="U262" s="158">
        <v>-2433175</v>
      </c>
      <c r="V262" s="158">
        <v>13069771</v>
      </c>
      <c r="W262" s="158">
        <v>-720883</v>
      </c>
      <c r="X262" s="158">
        <v>18756725</v>
      </c>
      <c r="Y262" s="158">
        <v>45937631</v>
      </c>
      <c r="Z262" s="158">
        <v>6122285</v>
      </c>
      <c r="AA262" s="158">
        <v>4897828</v>
      </c>
      <c r="AB262" s="158">
        <v>1102011</v>
      </c>
      <c r="AC262" s="158">
        <v>122446</v>
      </c>
      <c r="AD262" s="158">
        <v>139654</v>
      </c>
      <c r="AE262" s="158">
        <v>0</v>
      </c>
      <c r="AF262" s="158">
        <v>822403</v>
      </c>
      <c r="AG262" s="158">
        <v>0</v>
      </c>
      <c r="AH262" s="158">
        <v>0</v>
      </c>
      <c r="AI262" s="158">
        <v>0</v>
      </c>
      <c r="AJ262" s="158">
        <v>0</v>
      </c>
      <c r="AK262" s="158">
        <v>389086</v>
      </c>
      <c r="AL262" s="158">
        <v>207</v>
      </c>
      <c r="AM262" s="158">
        <v>7</v>
      </c>
      <c r="AN262" s="158">
        <v>32</v>
      </c>
      <c r="AO262" s="158">
        <v>14</v>
      </c>
      <c r="AP262" s="158">
        <v>0</v>
      </c>
      <c r="AQ262" s="158">
        <v>160</v>
      </c>
      <c r="AR262" s="158">
        <v>53</v>
      </c>
      <c r="AS262" s="158">
        <v>2</v>
      </c>
      <c r="AT262" s="158">
        <v>7</v>
      </c>
      <c r="AU262" s="158">
        <v>0</v>
      </c>
      <c r="AV262" s="158">
        <v>2</v>
      </c>
      <c r="AW262" s="158">
        <v>0</v>
      </c>
      <c r="AX262" s="158">
        <v>0</v>
      </c>
      <c r="AY262" s="158">
        <v>437</v>
      </c>
      <c r="AZ262" s="158">
        <v>137</v>
      </c>
      <c r="BA262" s="158">
        <v>2486</v>
      </c>
      <c r="BB262" s="158">
        <v>2414</v>
      </c>
      <c r="BC262" s="158">
        <v>72</v>
      </c>
      <c r="BD262" s="158">
        <v>1458</v>
      </c>
      <c r="BE262" s="158">
        <v>-9279</v>
      </c>
      <c r="BF262" s="158">
        <v>-184769</v>
      </c>
      <c r="BG262" s="158">
        <v>0</v>
      </c>
      <c r="BH262" s="158">
        <v>-12005</v>
      </c>
      <c r="BI262" s="158">
        <v>-184352</v>
      </c>
      <c r="BJ262" s="158">
        <v>0</v>
      </c>
      <c r="BK262" s="158">
        <v>561404</v>
      </c>
      <c r="BL262" s="1438">
        <v>6937100</v>
      </c>
      <c r="BM262" s="1439">
        <v>0</v>
      </c>
      <c r="BN262" s="784" t="s">
        <v>2349</v>
      </c>
      <c r="BO262" s="784" t="s">
        <v>2369</v>
      </c>
      <c r="BP262" s="1400" t="s">
        <v>2615</v>
      </c>
      <c r="BQ262" s="509"/>
      <c r="BR262" s="509"/>
      <c r="BS262" s="509"/>
      <c r="BT262" s="509"/>
      <c r="BU262" s="509"/>
      <c r="BV262" s="509"/>
      <c r="BW262" s="509"/>
      <c r="BX262" s="509"/>
      <c r="BY262" s="509"/>
      <c r="BZ262" s="509"/>
      <c r="CA262" s="509"/>
      <c r="CB262" s="509"/>
      <c r="CC262" s="509"/>
      <c r="CD262" s="509"/>
      <c r="CE262" s="509"/>
      <c r="CF262" s="509"/>
      <c r="CG262" s="509"/>
      <c r="CH262" s="509"/>
      <c r="CI262" s="509"/>
      <c r="CJ262" s="509"/>
      <c r="CK262" s="509"/>
      <c r="CL262" s="509"/>
      <c r="CM262" s="509"/>
      <c r="CN262" s="509"/>
      <c r="CO262" s="509"/>
      <c r="CP262" s="509"/>
      <c r="CQ262" s="509"/>
      <c r="CR262" s="509"/>
      <c r="CS262" s="509"/>
    </row>
    <row r="263" spans="1:98" s="137" customFormat="1" ht="12.75" customHeight="1" x14ac:dyDescent="0.2">
      <c r="A263" s="1421">
        <v>259</v>
      </c>
      <c r="B263" s="649" t="s">
        <v>413</v>
      </c>
      <c r="C263" s="1607" t="s">
        <v>414</v>
      </c>
      <c r="D263" s="1605">
        <v>1020069</v>
      </c>
      <c r="E263" s="1405">
        <v>1027015436</v>
      </c>
      <c r="F263" s="1405">
        <v>18108</v>
      </c>
      <c r="G263" s="158">
        <v>-13145392</v>
      </c>
      <c r="H263" s="158">
        <v>-25264879</v>
      </c>
      <c r="I263" s="158">
        <v>0</v>
      </c>
      <c r="J263" s="158">
        <v>0</v>
      </c>
      <c r="K263" s="158">
        <v>-4034</v>
      </c>
      <c r="L263" s="158">
        <v>0</v>
      </c>
      <c r="M263" s="158">
        <v>-18979309</v>
      </c>
      <c r="N263" s="158">
        <v>-534440</v>
      </c>
      <c r="O263" s="158">
        <v>-140337</v>
      </c>
      <c r="P263" s="158">
        <v>0</v>
      </c>
      <c r="Q263" s="158">
        <v>0</v>
      </c>
      <c r="R263" s="158">
        <v>0</v>
      </c>
      <c r="S263" s="158">
        <v>0</v>
      </c>
      <c r="T263" s="158">
        <v>0</v>
      </c>
      <c r="U263" s="158">
        <v>-41173973</v>
      </c>
      <c r="V263" s="158">
        <v>449661163</v>
      </c>
      <c r="W263" s="158">
        <v>-18200000</v>
      </c>
      <c r="X263" s="158">
        <v>853895700</v>
      </c>
      <c r="Y263" s="158">
        <v>1031830887</v>
      </c>
      <c r="Z263" s="158">
        <v>142955412</v>
      </c>
      <c r="AA263" s="158">
        <v>129959466</v>
      </c>
      <c r="AB263" s="158">
        <v>160283341</v>
      </c>
      <c r="AC263" s="158">
        <v>0</v>
      </c>
      <c r="AD263" s="158">
        <v>1020632</v>
      </c>
      <c r="AE263" s="158">
        <v>0</v>
      </c>
      <c r="AF263" s="158">
        <v>0</v>
      </c>
      <c r="AG263" s="158">
        <v>0</v>
      </c>
      <c r="AH263" s="158">
        <v>0</v>
      </c>
      <c r="AI263" s="158">
        <v>0</v>
      </c>
      <c r="AJ263" s="158">
        <v>0</v>
      </c>
      <c r="AK263" s="158">
        <v>-32413905</v>
      </c>
      <c r="AL263" s="158">
        <v>623</v>
      </c>
      <c r="AM263" s="158">
        <v>0</v>
      </c>
      <c r="AN263" s="158">
        <v>0</v>
      </c>
      <c r="AO263" s="158">
        <v>1</v>
      </c>
      <c r="AP263" s="158">
        <v>0</v>
      </c>
      <c r="AQ263" s="158">
        <v>1816</v>
      </c>
      <c r="AR263" s="158">
        <v>159</v>
      </c>
      <c r="AS263" s="158">
        <v>5</v>
      </c>
      <c r="AT263" s="158">
        <v>0</v>
      </c>
      <c r="AU263" s="158">
        <v>0</v>
      </c>
      <c r="AV263" s="158">
        <v>0</v>
      </c>
      <c r="AW263" s="158">
        <v>0</v>
      </c>
      <c r="AX263" s="158">
        <v>0</v>
      </c>
      <c r="AY263" s="158">
        <v>2821</v>
      </c>
      <c r="AZ263" s="158">
        <v>5850</v>
      </c>
      <c r="BA263" s="158">
        <v>4319</v>
      </c>
      <c r="BB263" s="158">
        <v>3889</v>
      </c>
      <c r="BC263" s="158">
        <v>430</v>
      </c>
      <c r="BD263" s="158">
        <v>8047</v>
      </c>
      <c r="BE263" s="158">
        <v>-1729111</v>
      </c>
      <c r="BF263" s="158">
        <v>-1725316</v>
      </c>
      <c r="BG263" s="158">
        <v>0</v>
      </c>
      <c r="BH263" s="158">
        <v>0</v>
      </c>
      <c r="BI263" s="158">
        <v>-13769390</v>
      </c>
      <c r="BJ263" s="158">
        <v>-1755492</v>
      </c>
      <c r="BK263" s="158">
        <v>-64742315</v>
      </c>
      <c r="BL263" s="1438">
        <v>54127525</v>
      </c>
      <c r="BM263" s="1439">
        <v>0</v>
      </c>
      <c r="BN263" s="784" t="s">
        <v>2401</v>
      </c>
      <c r="BO263" s="784" t="s">
        <v>2360</v>
      </c>
      <c r="BP263" s="1400" t="s">
        <v>2616</v>
      </c>
      <c r="BQ263" s="509"/>
      <c r="BR263" s="509"/>
      <c r="BS263" s="509"/>
      <c r="BT263" s="509"/>
      <c r="BU263" s="509"/>
      <c r="BV263" s="509"/>
      <c r="BW263" s="509"/>
      <c r="BX263" s="509"/>
      <c r="BY263" s="509"/>
      <c r="BZ263" s="509"/>
      <c r="CA263" s="509"/>
      <c r="CB263" s="509"/>
      <c r="CC263" s="509"/>
      <c r="CD263" s="509"/>
      <c r="CE263" s="509"/>
      <c r="CF263" s="509"/>
      <c r="CG263" s="509"/>
      <c r="CH263" s="509"/>
      <c r="CI263" s="509"/>
      <c r="CJ263" s="509"/>
      <c r="CK263" s="509"/>
      <c r="CL263" s="509"/>
      <c r="CM263" s="509"/>
      <c r="CN263" s="509"/>
      <c r="CO263" s="509"/>
      <c r="CP263" s="509"/>
      <c r="CQ263" s="509"/>
      <c r="CR263" s="509"/>
      <c r="CS263" s="509"/>
    </row>
    <row r="264" spans="1:98" s="137" customFormat="1" ht="12.75" customHeight="1" x14ac:dyDescent="0.2">
      <c r="A264" s="1421">
        <v>260</v>
      </c>
      <c r="B264" s="649" t="s">
        <v>415</v>
      </c>
      <c r="C264" s="1607" t="s">
        <v>416</v>
      </c>
      <c r="D264" s="1605">
        <v>438287</v>
      </c>
      <c r="E264" s="1405">
        <v>360289083</v>
      </c>
      <c r="F264" s="1405">
        <v>10857</v>
      </c>
      <c r="G264" s="158">
        <v>-8692125</v>
      </c>
      <c r="H264" s="158">
        <v>-5674970</v>
      </c>
      <c r="I264" s="158">
        <v>-153768</v>
      </c>
      <c r="J264" s="158">
        <v>-1372</v>
      </c>
      <c r="K264" s="158">
        <v>-6662</v>
      </c>
      <c r="L264" s="158">
        <v>0</v>
      </c>
      <c r="M264" s="158">
        <v>-3785098</v>
      </c>
      <c r="N264" s="158">
        <v>-62776</v>
      </c>
      <c r="O264" s="158">
        <v>-1127063</v>
      </c>
      <c r="P264" s="158">
        <v>-34375</v>
      </c>
      <c r="Q264" s="158">
        <v>0</v>
      </c>
      <c r="R264" s="158">
        <v>0</v>
      </c>
      <c r="S264" s="158">
        <v>0</v>
      </c>
      <c r="T264" s="158">
        <v>0</v>
      </c>
      <c r="U264" s="158">
        <v>-13056510</v>
      </c>
      <c r="V264" s="158">
        <v>156124513</v>
      </c>
      <c r="W264" s="158">
        <v>-5369581</v>
      </c>
      <c r="X264" s="158">
        <v>267786100</v>
      </c>
      <c r="Y264" s="158">
        <v>357321706</v>
      </c>
      <c r="Z264" s="158">
        <v>0</v>
      </c>
      <c r="AA264" s="158">
        <v>149213734</v>
      </c>
      <c r="AB264" s="158">
        <v>0</v>
      </c>
      <c r="AC264" s="158">
        <v>1507209</v>
      </c>
      <c r="AD264" s="158">
        <v>438661</v>
      </c>
      <c r="AE264" s="158">
        <v>0</v>
      </c>
      <c r="AF264" s="158">
        <v>82944</v>
      </c>
      <c r="AG264" s="158">
        <v>0</v>
      </c>
      <c r="AH264" s="158">
        <v>0</v>
      </c>
      <c r="AI264" s="158">
        <v>0</v>
      </c>
      <c r="AJ264" s="158">
        <v>0</v>
      </c>
      <c r="AK264" s="158">
        <v>1265084</v>
      </c>
      <c r="AL264" s="158">
        <v>265</v>
      </c>
      <c r="AM264" s="158">
        <v>10</v>
      </c>
      <c r="AN264" s="158">
        <v>1</v>
      </c>
      <c r="AO264" s="158">
        <v>4</v>
      </c>
      <c r="AP264" s="158">
        <v>0</v>
      </c>
      <c r="AQ264" s="158">
        <v>2448</v>
      </c>
      <c r="AR264" s="158">
        <v>39</v>
      </c>
      <c r="AS264" s="158">
        <v>57</v>
      </c>
      <c r="AT264" s="158">
        <v>9</v>
      </c>
      <c r="AU264" s="158">
        <v>1</v>
      </c>
      <c r="AV264" s="158">
        <v>0</v>
      </c>
      <c r="AW264" s="158">
        <v>0</v>
      </c>
      <c r="AX264" s="158">
        <v>0</v>
      </c>
      <c r="AY264" s="158">
        <v>971</v>
      </c>
      <c r="AZ264" s="158">
        <v>0</v>
      </c>
      <c r="BA264" s="158">
        <v>2769</v>
      </c>
      <c r="BB264" s="158">
        <v>2487</v>
      </c>
      <c r="BC264" s="158">
        <v>282</v>
      </c>
      <c r="BD264" s="158">
        <v>3765</v>
      </c>
      <c r="BE264" s="158">
        <v>-740874</v>
      </c>
      <c r="BF264" s="158">
        <v>-239549</v>
      </c>
      <c r="BG264" s="158">
        <v>0</v>
      </c>
      <c r="BH264" s="158">
        <v>0</v>
      </c>
      <c r="BI264" s="158">
        <v>-2408801</v>
      </c>
      <c r="BJ264" s="158">
        <v>-395873</v>
      </c>
      <c r="BK264" s="158">
        <v>1245688</v>
      </c>
      <c r="BL264" s="1438">
        <v>39155250</v>
      </c>
      <c r="BM264" s="1439">
        <v>0</v>
      </c>
      <c r="BN264" s="784" t="s">
        <v>2363</v>
      </c>
      <c r="BO264" s="784" t="s">
        <v>2376</v>
      </c>
      <c r="BP264" s="1400" t="s">
        <v>2617</v>
      </c>
      <c r="BQ264" s="509"/>
      <c r="BR264" s="509"/>
      <c r="BS264" s="509"/>
      <c r="BT264" s="509"/>
      <c r="BU264" s="509"/>
      <c r="BV264" s="509"/>
      <c r="BW264" s="509"/>
      <c r="BX264" s="509"/>
      <c r="BY264" s="509"/>
      <c r="BZ264" s="509"/>
      <c r="CA264" s="509"/>
      <c r="CB264" s="509"/>
      <c r="CC264" s="509"/>
      <c r="CD264" s="509"/>
      <c r="CE264" s="509"/>
      <c r="CF264" s="509"/>
      <c r="CG264" s="509"/>
      <c r="CH264" s="509"/>
      <c r="CI264" s="509"/>
      <c r="CJ264" s="509"/>
      <c r="CK264" s="509"/>
      <c r="CL264" s="509"/>
      <c r="CM264" s="509"/>
      <c r="CN264" s="509"/>
      <c r="CO264" s="509"/>
      <c r="CP264" s="509"/>
      <c r="CQ264" s="509"/>
      <c r="CR264" s="509"/>
      <c r="CS264" s="509"/>
    </row>
    <row r="265" spans="1:98" s="137" customFormat="1" ht="12.75" customHeight="1" x14ac:dyDescent="0.2">
      <c r="A265" s="1421">
        <v>261</v>
      </c>
      <c r="B265" s="649" t="s">
        <v>417</v>
      </c>
      <c r="C265" s="1607" t="s">
        <v>418</v>
      </c>
      <c r="D265" s="1605">
        <v>164424</v>
      </c>
      <c r="E265" s="1405">
        <v>142538046</v>
      </c>
      <c r="F265" s="1405">
        <v>4060</v>
      </c>
      <c r="G265" s="158">
        <v>-4180036</v>
      </c>
      <c r="H265" s="158">
        <v>-5965473</v>
      </c>
      <c r="I265" s="158">
        <v>-25209</v>
      </c>
      <c r="J265" s="158">
        <v>-14458</v>
      </c>
      <c r="K265" s="158">
        <v>-8160</v>
      </c>
      <c r="L265" s="158">
        <v>0</v>
      </c>
      <c r="M265" s="158">
        <v>-1146240</v>
      </c>
      <c r="N265" s="158">
        <v>-65258</v>
      </c>
      <c r="O265" s="158">
        <v>-61294</v>
      </c>
      <c r="P265" s="158">
        <v>-1130</v>
      </c>
      <c r="Q265" s="158">
        <v>-7734</v>
      </c>
      <c r="R265" s="158">
        <v>0</v>
      </c>
      <c r="S265" s="158">
        <v>0</v>
      </c>
      <c r="T265" s="158">
        <v>0</v>
      </c>
      <c r="U265" s="158">
        <v>-7927155</v>
      </c>
      <c r="V265" s="158">
        <v>54095020</v>
      </c>
      <c r="W265" s="158">
        <v>-3000000</v>
      </c>
      <c r="X265" s="158">
        <v>97005000</v>
      </c>
      <c r="Y265" s="158">
        <v>143534325</v>
      </c>
      <c r="Z265" s="158">
        <v>25445564</v>
      </c>
      <c r="AA265" s="158">
        <v>20356450</v>
      </c>
      <c r="AB265" s="158">
        <v>4580201</v>
      </c>
      <c r="AC265" s="158">
        <v>508911</v>
      </c>
      <c r="AD265" s="158">
        <v>164792</v>
      </c>
      <c r="AE265" s="158">
        <v>0</v>
      </c>
      <c r="AF265" s="158">
        <v>147988</v>
      </c>
      <c r="AG265" s="158">
        <v>0</v>
      </c>
      <c r="AH265" s="158">
        <v>0</v>
      </c>
      <c r="AI265" s="158">
        <v>0</v>
      </c>
      <c r="AJ265" s="158">
        <v>0</v>
      </c>
      <c r="AK265" s="158">
        <v>-1100000</v>
      </c>
      <c r="AL265" s="158">
        <v>213</v>
      </c>
      <c r="AM265" s="158">
        <v>6</v>
      </c>
      <c r="AN265" s="158">
        <v>0</v>
      </c>
      <c r="AO265" s="158">
        <v>10</v>
      </c>
      <c r="AP265" s="158">
        <v>0</v>
      </c>
      <c r="AQ265" s="158">
        <v>149</v>
      </c>
      <c r="AR265" s="158">
        <v>50</v>
      </c>
      <c r="AS265" s="158">
        <v>3</v>
      </c>
      <c r="AT265" s="158">
        <v>2</v>
      </c>
      <c r="AU265" s="158">
        <v>0</v>
      </c>
      <c r="AV265" s="158">
        <v>1</v>
      </c>
      <c r="AW265" s="158">
        <v>0</v>
      </c>
      <c r="AX265" s="158">
        <v>0</v>
      </c>
      <c r="AY265" s="158">
        <v>758</v>
      </c>
      <c r="AZ265" s="158">
        <v>507</v>
      </c>
      <c r="BA265" s="158">
        <v>1429</v>
      </c>
      <c r="BB265" s="158">
        <v>1299</v>
      </c>
      <c r="BC265" s="158">
        <v>130</v>
      </c>
      <c r="BD265" s="158">
        <v>2141</v>
      </c>
      <c r="BE265" s="158">
        <v>-281226</v>
      </c>
      <c r="BF265" s="158">
        <v>-571793</v>
      </c>
      <c r="BG265" s="158">
        <v>0</v>
      </c>
      <c r="BH265" s="158">
        <v>-12974</v>
      </c>
      <c r="BI265" s="158">
        <v>-233316</v>
      </c>
      <c r="BJ265" s="158">
        <v>-46931</v>
      </c>
      <c r="BK265" s="158">
        <v>-1157624</v>
      </c>
      <c r="BL265" s="1438">
        <v>21503550</v>
      </c>
      <c r="BM265" s="1439">
        <v>0</v>
      </c>
      <c r="BN265" s="784" t="s">
        <v>2349</v>
      </c>
      <c r="BO265" s="784" t="s">
        <v>2350</v>
      </c>
      <c r="BP265" s="1400" t="s">
        <v>2618</v>
      </c>
      <c r="BQ265" s="509"/>
      <c r="BR265" s="509"/>
      <c r="BS265" s="509"/>
      <c r="BT265" s="509"/>
      <c r="BU265" s="509"/>
      <c r="BV265" s="509"/>
      <c r="BW265" s="509"/>
      <c r="BX265" s="509"/>
      <c r="BY265" s="509"/>
      <c r="BZ265" s="509"/>
      <c r="CA265" s="509"/>
      <c r="CB265" s="509"/>
      <c r="CC265" s="509"/>
      <c r="CD265" s="509"/>
      <c r="CE265" s="509"/>
      <c r="CF265" s="509"/>
      <c r="CG265" s="509"/>
      <c r="CH265" s="509"/>
      <c r="CI265" s="509"/>
      <c r="CJ265" s="509"/>
      <c r="CK265" s="509"/>
      <c r="CL265" s="509"/>
      <c r="CM265" s="509"/>
      <c r="CN265" s="509"/>
      <c r="CO265" s="509"/>
      <c r="CP265" s="509"/>
      <c r="CQ265" s="509"/>
      <c r="CR265" s="509"/>
      <c r="CS265" s="509"/>
    </row>
    <row r="266" spans="1:98" s="137" customFormat="1" ht="12.75" customHeight="1" x14ac:dyDescent="0.2">
      <c r="A266" s="1421">
        <v>262</v>
      </c>
      <c r="B266" s="649" t="s">
        <v>419</v>
      </c>
      <c r="C266" s="1607" t="s">
        <v>420</v>
      </c>
      <c r="D266" s="1605">
        <v>145430</v>
      </c>
      <c r="E266" s="1405">
        <v>128765939</v>
      </c>
      <c r="F266" s="1405">
        <v>3538</v>
      </c>
      <c r="G266" s="158">
        <v>-3833970</v>
      </c>
      <c r="H266" s="158">
        <v>-2558542</v>
      </c>
      <c r="I266" s="158">
        <v>-15050</v>
      </c>
      <c r="J266" s="158">
        <v>-38276</v>
      </c>
      <c r="K266" s="158">
        <v>-7161</v>
      </c>
      <c r="L266" s="158">
        <v>-100000</v>
      </c>
      <c r="M266" s="158">
        <v>-981572</v>
      </c>
      <c r="N266" s="158">
        <v>-42377</v>
      </c>
      <c r="O266" s="158">
        <v>-136241</v>
      </c>
      <c r="P266" s="158">
        <v>-175</v>
      </c>
      <c r="Q266" s="158">
        <v>-66505</v>
      </c>
      <c r="R266" s="158">
        <v>-30000</v>
      </c>
      <c r="S266" s="158">
        <v>0</v>
      </c>
      <c r="T266" s="158">
        <v>0</v>
      </c>
      <c r="U266" s="158">
        <v>-3105234</v>
      </c>
      <c r="V266" s="158">
        <v>55276300</v>
      </c>
      <c r="W266" s="158">
        <v>-575640</v>
      </c>
      <c r="X266" s="158">
        <v>93129000</v>
      </c>
      <c r="Y266" s="158">
        <v>128577350</v>
      </c>
      <c r="Z266" s="158">
        <v>27852842</v>
      </c>
      <c r="AA266" s="158">
        <v>22282273</v>
      </c>
      <c r="AB266" s="158">
        <v>5013511</v>
      </c>
      <c r="AC266" s="158">
        <v>557057</v>
      </c>
      <c r="AD266" s="158">
        <v>144475</v>
      </c>
      <c r="AE266" s="158">
        <v>0</v>
      </c>
      <c r="AF266" s="158">
        <v>171978</v>
      </c>
      <c r="AG266" s="158">
        <v>0</v>
      </c>
      <c r="AH266" s="158">
        <v>0</v>
      </c>
      <c r="AI266" s="158">
        <v>0</v>
      </c>
      <c r="AJ266" s="158">
        <v>0</v>
      </c>
      <c r="AK266" s="158">
        <v>4341018</v>
      </c>
      <c r="AL266" s="158">
        <v>168</v>
      </c>
      <c r="AM266" s="158">
        <v>4</v>
      </c>
      <c r="AN266" s="158">
        <v>27</v>
      </c>
      <c r="AO266" s="158">
        <v>3</v>
      </c>
      <c r="AP266" s="158">
        <v>0</v>
      </c>
      <c r="AQ266" s="158">
        <v>358</v>
      </c>
      <c r="AR266" s="158">
        <v>73</v>
      </c>
      <c r="AS266" s="158">
        <v>65</v>
      </c>
      <c r="AT266" s="158">
        <v>1</v>
      </c>
      <c r="AU266" s="158">
        <v>27</v>
      </c>
      <c r="AV266" s="158">
        <v>10</v>
      </c>
      <c r="AW266" s="158">
        <v>0</v>
      </c>
      <c r="AX266" s="158">
        <v>5</v>
      </c>
      <c r="AY266" s="158">
        <v>379</v>
      </c>
      <c r="AZ266" s="158">
        <v>292</v>
      </c>
      <c r="BA266" s="158">
        <v>1370</v>
      </c>
      <c r="BB266" s="158">
        <v>1239</v>
      </c>
      <c r="BC266" s="158">
        <v>131</v>
      </c>
      <c r="BD266" s="158">
        <v>1834</v>
      </c>
      <c r="BE266" s="158">
        <v>-19725</v>
      </c>
      <c r="BF266" s="158">
        <v>-486588</v>
      </c>
      <c r="BG266" s="158">
        <v>0</v>
      </c>
      <c r="BH266" s="158">
        <v>-1614</v>
      </c>
      <c r="BI266" s="158">
        <v>-473645</v>
      </c>
      <c r="BJ266" s="158">
        <v>0</v>
      </c>
      <c r="BK266" s="158">
        <v>3096786</v>
      </c>
      <c r="BL266" s="1438">
        <v>14024100</v>
      </c>
      <c r="BM266" s="1439">
        <v>0</v>
      </c>
      <c r="BN266" s="784" t="s">
        <v>2349</v>
      </c>
      <c r="BO266" s="784" t="s">
        <v>2357</v>
      </c>
      <c r="BP266" s="1400" t="s">
        <v>2619</v>
      </c>
      <c r="BQ266" s="509"/>
      <c r="BR266" s="509"/>
      <c r="BS266" s="509"/>
      <c r="BT266" s="509"/>
      <c r="BU266" s="509"/>
      <c r="BV266" s="509"/>
      <c r="BW266" s="509"/>
      <c r="BX266" s="509"/>
      <c r="BY266" s="509"/>
      <c r="BZ266" s="509"/>
      <c r="CA266" s="509"/>
      <c r="CB266" s="509"/>
      <c r="CC266" s="509"/>
      <c r="CD266" s="509"/>
      <c r="CE266" s="509"/>
      <c r="CF266" s="509"/>
      <c r="CG266" s="509"/>
      <c r="CH266" s="509"/>
      <c r="CI266" s="509"/>
      <c r="CJ266" s="509"/>
      <c r="CK266" s="509"/>
      <c r="CL266" s="509"/>
      <c r="CM266" s="509"/>
      <c r="CN266" s="509"/>
      <c r="CO266" s="509"/>
      <c r="CP266" s="509"/>
      <c r="CQ266" s="509"/>
      <c r="CR266" s="509"/>
      <c r="CS266" s="509"/>
    </row>
    <row r="267" spans="1:98" s="137" customFormat="1" ht="12.75" customHeight="1" x14ac:dyDescent="0.2">
      <c r="A267" s="1421">
        <v>263</v>
      </c>
      <c r="B267" s="649" t="s">
        <v>421</v>
      </c>
      <c r="C267" s="1607" t="s">
        <v>422</v>
      </c>
      <c r="D267" s="1605">
        <v>185301</v>
      </c>
      <c r="E267" s="1405">
        <v>193768741</v>
      </c>
      <c r="F267" s="1405">
        <v>4013</v>
      </c>
      <c r="G267" s="158">
        <v>-2613582</v>
      </c>
      <c r="H267" s="158">
        <v>-8499488</v>
      </c>
      <c r="I267" s="158">
        <v>-104879</v>
      </c>
      <c r="J267" s="158">
        <v>-41498</v>
      </c>
      <c r="K267" s="158">
        <v>-5568</v>
      </c>
      <c r="L267" s="158">
        <v>0</v>
      </c>
      <c r="M267" s="158">
        <v>-1308065</v>
      </c>
      <c r="N267" s="158">
        <v>-192131</v>
      </c>
      <c r="O267" s="158">
        <v>-6445</v>
      </c>
      <c r="P267" s="158">
        <v>-6555</v>
      </c>
      <c r="Q267" s="158">
        <v>0</v>
      </c>
      <c r="R267" s="158">
        <v>-155924</v>
      </c>
      <c r="S267" s="158">
        <v>-155924</v>
      </c>
      <c r="T267" s="158">
        <v>0</v>
      </c>
      <c r="U267" s="158">
        <v>-3478839</v>
      </c>
      <c r="V267" s="158">
        <v>84506766</v>
      </c>
      <c r="W267" s="158">
        <v>-6946430</v>
      </c>
      <c r="X267" s="158">
        <v>151568700</v>
      </c>
      <c r="Y267" s="158">
        <v>193419416</v>
      </c>
      <c r="Z267" s="158">
        <v>34443768</v>
      </c>
      <c r="AA267" s="158">
        <v>27679754</v>
      </c>
      <c r="AB267" s="158">
        <v>6919939</v>
      </c>
      <c r="AC267" s="158">
        <v>0</v>
      </c>
      <c r="AD267" s="158">
        <v>183839</v>
      </c>
      <c r="AE267" s="158">
        <v>8591843</v>
      </c>
      <c r="AF267" s="158">
        <v>695746</v>
      </c>
      <c r="AG267" s="158">
        <v>0</v>
      </c>
      <c r="AH267" s="158">
        <v>155924</v>
      </c>
      <c r="AI267" s="158">
        <v>0</v>
      </c>
      <c r="AJ267" s="158">
        <v>0</v>
      </c>
      <c r="AK267" s="158">
        <v>-4257281</v>
      </c>
      <c r="AL267" s="158">
        <v>284</v>
      </c>
      <c r="AM267" s="158">
        <v>30</v>
      </c>
      <c r="AN267" s="158">
        <v>17</v>
      </c>
      <c r="AO267" s="158">
        <v>4</v>
      </c>
      <c r="AP267" s="158">
        <v>0</v>
      </c>
      <c r="AQ267" s="158">
        <v>392</v>
      </c>
      <c r="AR267" s="158">
        <v>122</v>
      </c>
      <c r="AS267" s="158">
        <v>3</v>
      </c>
      <c r="AT267" s="158">
        <v>30</v>
      </c>
      <c r="AU267" s="158">
        <v>0</v>
      </c>
      <c r="AV267" s="158">
        <v>0</v>
      </c>
      <c r="AW267" s="158">
        <v>3</v>
      </c>
      <c r="AX267" s="158">
        <v>0</v>
      </c>
      <c r="AY267" s="158">
        <v>351</v>
      </c>
      <c r="AZ267" s="158">
        <v>1297</v>
      </c>
      <c r="BA267" s="158">
        <v>914</v>
      </c>
      <c r="BB267" s="158">
        <v>833</v>
      </c>
      <c r="BC267" s="158">
        <v>81</v>
      </c>
      <c r="BD267" s="158">
        <v>1805</v>
      </c>
      <c r="BE267" s="158">
        <v>-43697</v>
      </c>
      <c r="BF267" s="158">
        <v>-494478</v>
      </c>
      <c r="BG267" s="158">
        <v>0</v>
      </c>
      <c r="BH267" s="158">
        <v>0</v>
      </c>
      <c r="BI267" s="158">
        <v>-78266</v>
      </c>
      <c r="BJ267" s="158">
        <v>-691624</v>
      </c>
      <c r="BK267" s="158">
        <v>-3927159</v>
      </c>
      <c r="BL267" s="1438">
        <v>17062750</v>
      </c>
      <c r="BM267" s="1439">
        <v>639000</v>
      </c>
      <c r="BN267" s="784" t="s">
        <v>2349</v>
      </c>
      <c r="BO267" s="784" t="s">
        <v>2350</v>
      </c>
      <c r="BP267" s="1400" t="s">
        <v>2620</v>
      </c>
      <c r="BQ267" s="509"/>
      <c r="BR267" s="509"/>
      <c r="BS267" s="509"/>
      <c r="BT267" s="509"/>
      <c r="BU267" s="509"/>
      <c r="BV267" s="509"/>
      <c r="BW267" s="509"/>
      <c r="BX267" s="509"/>
      <c r="BY267" s="509"/>
      <c r="BZ267" s="509"/>
      <c r="CA267" s="509"/>
      <c r="CB267" s="509"/>
      <c r="CC267" s="509"/>
      <c r="CD267" s="509"/>
      <c r="CE267" s="509"/>
      <c r="CF267" s="509"/>
      <c r="CG267" s="509"/>
      <c r="CH267" s="509"/>
      <c r="CI267" s="509"/>
      <c r="CJ267" s="509"/>
      <c r="CK267" s="509"/>
      <c r="CL267" s="509"/>
      <c r="CM267" s="509"/>
      <c r="CN267" s="509"/>
      <c r="CO267" s="509"/>
      <c r="CP267" s="509"/>
      <c r="CQ267" s="509"/>
      <c r="CR267" s="509"/>
      <c r="CS267" s="509"/>
    </row>
    <row r="268" spans="1:98" s="137" customFormat="1" ht="12.75" customHeight="1" x14ac:dyDescent="0.2">
      <c r="A268" s="1421">
        <v>264</v>
      </c>
      <c r="B268" s="649" t="s">
        <v>423</v>
      </c>
      <c r="C268" s="1607" t="s">
        <v>424</v>
      </c>
      <c r="D268" s="1605">
        <v>464093</v>
      </c>
      <c r="E268" s="1405">
        <v>367568409</v>
      </c>
      <c r="F268" s="1405">
        <v>11790</v>
      </c>
      <c r="G268" s="158">
        <v>-14120653</v>
      </c>
      <c r="H268" s="158">
        <v>-9370206</v>
      </c>
      <c r="I268" s="158">
        <v>-22495</v>
      </c>
      <c r="J268" s="158">
        <v>-13321</v>
      </c>
      <c r="K268" s="158">
        <v>0</v>
      </c>
      <c r="L268" s="158">
        <v>0</v>
      </c>
      <c r="M268" s="158">
        <v>-5000000</v>
      </c>
      <c r="N268" s="158">
        <v>-680047</v>
      </c>
      <c r="O268" s="158">
        <v>-330015</v>
      </c>
      <c r="P268" s="158">
        <v>0</v>
      </c>
      <c r="Q268" s="158">
        <v>0</v>
      </c>
      <c r="R268" s="158">
        <v>-279715</v>
      </c>
      <c r="S268" s="158">
        <v>-279715</v>
      </c>
      <c r="T268" s="158">
        <v>0</v>
      </c>
      <c r="U268" s="158">
        <v>-10812928</v>
      </c>
      <c r="V268" s="158">
        <v>151581553</v>
      </c>
      <c r="W268" s="158">
        <v>-1400000</v>
      </c>
      <c r="X268" s="158">
        <v>259487050</v>
      </c>
      <c r="Y268" s="158">
        <v>363780467</v>
      </c>
      <c r="Z268" s="158">
        <v>74156138</v>
      </c>
      <c r="AA268" s="158">
        <v>72947136</v>
      </c>
      <c r="AB268" s="158">
        <v>0</v>
      </c>
      <c r="AC268" s="158">
        <v>1488717</v>
      </c>
      <c r="AD268" s="158">
        <v>463984</v>
      </c>
      <c r="AE268" s="158">
        <v>343544</v>
      </c>
      <c r="AF268" s="158">
        <v>1278654</v>
      </c>
      <c r="AG268" s="158">
        <v>0</v>
      </c>
      <c r="AH268" s="158">
        <v>279715</v>
      </c>
      <c r="AI268" s="158">
        <v>0</v>
      </c>
      <c r="AJ268" s="158">
        <v>0</v>
      </c>
      <c r="AK268" s="158">
        <v>-5310668</v>
      </c>
      <c r="AL268" s="158">
        <v>457</v>
      </c>
      <c r="AM268" s="158">
        <v>1</v>
      </c>
      <c r="AN268" s="158">
        <v>7</v>
      </c>
      <c r="AO268" s="158">
        <v>0</v>
      </c>
      <c r="AP268" s="158">
        <v>0</v>
      </c>
      <c r="AQ268" s="158">
        <v>989</v>
      </c>
      <c r="AR268" s="158">
        <v>227</v>
      </c>
      <c r="AS268" s="158">
        <v>63</v>
      </c>
      <c r="AT268" s="158">
        <v>0</v>
      </c>
      <c r="AU268" s="158">
        <v>0</v>
      </c>
      <c r="AV268" s="158">
        <v>0</v>
      </c>
      <c r="AW268" s="158">
        <v>7</v>
      </c>
      <c r="AX268" s="158">
        <v>0</v>
      </c>
      <c r="AY268" s="158">
        <v>1185</v>
      </c>
      <c r="AZ268" s="158">
        <v>1117</v>
      </c>
      <c r="BA268" s="158">
        <v>5131</v>
      </c>
      <c r="BB268" s="158">
        <v>4773</v>
      </c>
      <c r="BC268" s="158">
        <v>358</v>
      </c>
      <c r="BD268" s="158">
        <v>5518</v>
      </c>
      <c r="BE268" s="158">
        <v>-450000</v>
      </c>
      <c r="BF268" s="158">
        <v>-450000</v>
      </c>
      <c r="BG268" s="158">
        <v>0</v>
      </c>
      <c r="BH268" s="158">
        <v>-100000</v>
      </c>
      <c r="BI268" s="158">
        <v>-2250000</v>
      </c>
      <c r="BJ268" s="158">
        <v>-1750000</v>
      </c>
      <c r="BK268" s="158">
        <v>-5603585</v>
      </c>
      <c r="BL268" s="1438">
        <v>46938450</v>
      </c>
      <c r="BM268" s="1439">
        <v>33250</v>
      </c>
      <c r="BN268" s="784" t="s">
        <v>2363</v>
      </c>
      <c r="BO268" s="784" t="s">
        <v>2364</v>
      </c>
      <c r="BP268" s="1400" t="s">
        <v>2621</v>
      </c>
      <c r="BQ268" s="509"/>
      <c r="BR268" s="509"/>
      <c r="BS268" s="509"/>
      <c r="BT268" s="509"/>
      <c r="BU268" s="509"/>
      <c r="BV268" s="509"/>
      <c r="BW268" s="509"/>
      <c r="BX268" s="509"/>
      <c r="BY268" s="509"/>
      <c r="BZ268" s="509"/>
      <c r="CA268" s="509"/>
      <c r="CB268" s="509"/>
      <c r="CC268" s="509"/>
      <c r="CD268" s="509"/>
      <c r="CE268" s="509"/>
      <c r="CF268" s="509"/>
      <c r="CG268" s="509"/>
      <c r="CH268" s="509"/>
      <c r="CI268" s="509"/>
      <c r="CJ268" s="509"/>
      <c r="CK268" s="509"/>
      <c r="CL268" s="509"/>
      <c r="CM268" s="509"/>
      <c r="CN268" s="509"/>
      <c r="CO268" s="509"/>
      <c r="CP268" s="509"/>
      <c r="CQ268" s="509"/>
      <c r="CR268" s="509"/>
      <c r="CS268" s="509"/>
    </row>
    <row r="269" spans="1:98" s="137" customFormat="1" ht="12.75" customHeight="1" x14ac:dyDescent="0.2">
      <c r="A269" s="1421">
        <v>265</v>
      </c>
      <c r="B269" s="649" t="s">
        <v>425</v>
      </c>
      <c r="C269" s="1607" t="s">
        <v>426</v>
      </c>
      <c r="D269" s="1605">
        <v>318351</v>
      </c>
      <c r="E269" s="1405">
        <v>202734821</v>
      </c>
      <c r="F269" s="1405">
        <v>8449</v>
      </c>
      <c r="G269" s="158">
        <v>-9626407</v>
      </c>
      <c r="H269" s="158">
        <v>-6814560</v>
      </c>
      <c r="I269" s="158">
        <v>-56470</v>
      </c>
      <c r="J269" s="158">
        <v>0</v>
      </c>
      <c r="K269" s="158">
        <v>0</v>
      </c>
      <c r="L269" s="158">
        <v>0</v>
      </c>
      <c r="M269" s="158">
        <v>-1899850</v>
      </c>
      <c r="N269" s="158">
        <v>-130864</v>
      </c>
      <c r="O269" s="158">
        <v>-39715</v>
      </c>
      <c r="P269" s="158">
        <v>-3644</v>
      </c>
      <c r="Q269" s="158">
        <v>0</v>
      </c>
      <c r="R269" s="158">
        <v>0</v>
      </c>
      <c r="S269" s="158">
        <v>0</v>
      </c>
      <c r="T269" s="158">
        <v>0</v>
      </c>
      <c r="U269" s="158">
        <v>-3977882</v>
      </c>
      <c r="V269" s="158">
        <v>79869194</v>
      </c>
      <c r="W269" s="158">
        <v>-2000000</v>
      </c>
      <c r="X269" s="158">
        <v>124647950</v>
      </c>
      <c r="Y269" s="158">
        <v>202059495</v>
      </c>
      <c r="Z269" s="158">
        <v>0</v>
      </c>
      <c r="AA269" s="158">
        <v>78949170</v>
      </c>
      <c r="AB269" s="158">
        <v>0</v>
      </c>
      <c r="AC269" s="158">
        <v>797466</v>
      </c>
      <c r="AD269" s="158">
        <v>317567</v>
      </c>
      <c r="AE269" s="158">
        <v>184046</v>
      </c>
      <c r="AF269" s="158">
        <v>0</v>
      </c>
      <c r="AG269" s="158">
        <v>0</v>
      </c>
      <c r="AH269" s="158">
        <v>0</v>
      </c>
      <c r="AI269" s="158">
        <v>0</v>
      </c>
      <c r="AJ269" s="158">
        <v>0</v>
      </c>
      <c r="AK269" s="158">
        <v>-5270533</v>
      </c>
      <c r="AL269" s="158">
        <v>384</v>
      </c>
      <c r="AM269" s="158">
        <v>12</v>
      </c>
      <c r="AN269" s="158">
        <v>0</v>
      </c>
      <c r="AO269" s="158">
        <v>0</v>
      </c>
      <c r="AP269" s="158">
        <v>0</v>
      </c>
      <c r="AQ269" s="158">
        <v>632</v>
      </c>
      <c r="AR269" s="158">
        <v>147</v>
      </c>
      <c r="AS269" s="158">
        <v>11</v>
      </c>
      <c r="AT269" s="158">
        <v>13</v>
      </c>
      <c r="AU269" s="158">
        <v>0</v>
      </c>
      <c r="AV269" s="158">
        <v>0</v>
      </c>
      <c r="AW269" s="158">
        <v>0</v>
      </c>
      <c r="AX269" s="158">
        <v>0</v>
      </c>
      <c r="AY269" s="158">
        <v>521</v>
      </c>
      <c r="AZ269" s="158">
        <v>2218</v>
      </c>
      <c r="BA269" s="158">
        <v>3384</v>
      </c>
      <c r="BB269" s="158">
        <v>3137</v>
      </c>
      <c r="BC269" s="158">
        <v>247</v>
      </c>
      <c r="BD269" s="158">
        <v>2845</v>
      </c>
      <c r="BE269" s="158">
        <v>-164050</v>
      </c>
      <c r="BF269" s="158">
        <v>-358341</v>
      </c>
      <c r="BG269" s="158">
        <v>0</v>
      </c>
      <c r="BH269" s="158">
        <v>-24101</v>
      </c>
      <c r="BI269" s="158">
        <v>-1353358</v>
      </c>
      <c r="BJ269" s="158">
        <v>0</v>
      </c>
      <c r="BK269" s="158">
        <v>-2624311</v>
      </c>
      <c r="BL269" s="1438">
        <v>25592750</v>
      </c>
      <c r="BM269" s="1439">
        <v>78750</v>
      </c>
      <c r="BN269" s="784" t="s">
        <v>2363</v>
      </c>
      <c r="BO269" s="784" t="s">
        <v>2373</v>
      </c>
      <c r="BP269" s="1400" t="s">
        <v>2622</v>
      </c>
      <c r="BQ269" s="509"/>
      <c r="BR269" s="509"/>
      <c r="BS269" s="509"/>
      <c r="BT269" s="509"/>
      <c r="BU269" s="509"/>
      <c r="BV269" s="509"/>
      <c r="BW269" s="509"/>
      <c r="BX269" s="509"/>
      <c r="BY269" s="509"/>
      <c r="BZ269" s="509"/>
      <c r="CA269" s="509"/>
      <c r="CB269" s="509"/>
      <c r="CC269" s="509"/>
      <c r="CD269" s="509"/>
      <c r="CE269" s="509"/>
      <c r="CF269" s="509"/>
      <c r="CG269" s="509"/>
      <c r="CH269" s="509"/>
      <c r="CI269" s="509"/>
      <c r="CJ269" s="509"/>
      <c r="CK269" s="509"/>
      <c r="CL269" s="509"/>
      <c r="CM269" s="509"/>
      <c r="CN269" s="509"/>
      <c r="CO269" s="509"/>
      <c r="CP269" s="509"/>
      <c r="CQ269" s="509"/>
      <c r="CR269" s="509"/>
      <c r="CS269" s="509"/>
    </row>
    <row r="270" spans="1:98" s="137" customFormat="1" ht="12.75" customHeight="1" x14ac:dyDescent="0.2">
      <c r="A270" s="1421">
        <v>266</v>
      </c>
      <c r="B270" s="649" t="s">
        <v>427</v>
      </c>
      <c r="C270" s="1607" t="s">
        <v>428</v>
      </c>
      <c r="D270" s="1605">
        <v>279652</v>
      </c>
      <c r="E270" s="1405">
        <v>190429151</v>
      </c>
      <c r="F270" s="1405">
        <v>6787</v>
      </c>
      <c r="G270" s="158">
        <v>-9450219</v>
      </c>
      <c r="H270" s="158">
        <v>-8294912</v>
      </c>
      <c r="I270" s="158">
        <v>-40498</v>
      </c>
      <c r="J270" s="158">
        <v>0</v>
      </c>
      <c r="K270" s="158">
        <v>0</v>
      </c>
      <c r="L270" s="158">
        <v>-10000</v>
      </c>
      <c r="M270" s="158">
        <v>-2729546</v>
      </c>
      <c r="N270" s="158">
        <v>-288224</v>
      </c>
      <c r="O270" s="158">
        <v>-220000</v>
      </c>
      <c r="P270" s="158">
        <v>-699</v>
      </c>
      <c r="Q270" s="158">
        <v>0</v>
      </c>
      <c r="R270" s="158">
        <v>0</v>
      </c>
      <c r="S270" s="158">
        <v>0</v>
      </c>
      <c r="T270" s="158">
        <v>0</v>
      </c>
      <c r="U270" s="158">
        <v>-11757392</v>
      </c>
      <c r="V270" s="158">
        <v>62723417</v>
      </c>
      <c r="W270" s="158">
        <v>-2000000</v>
      </c>
      <c r="X270" s="158">
        <v>105586750</v>
      </c>
      <c r="Y270" s="158">
        <v>190606503</v>
      </c>
      <c r="Z270" s="158">
        <v>20262219</v>
      </c>
      <c r="AA270" s="158">
        <v>18420200</v>
      </c>
      <c r="AB270" s="158">
        <v>22718246</v>
      </c>
      <c r="AC270" s="158">
        <v>0</v>
      </c>
      <c r="AD270" s="158">
        <v>277379</v>
      </c>
      <c r="AE270" s="158">
        <v>0</v>
      </c>
      <c r="AF270" s="158">
        <v>0</v>
      </c>
      <c r="AG270" s="158">
        <v>0</v>
      </c>
      <c r="AH270" s="158">
        <v>0</v>
      </c>
      <c r="AI270" s="158">
        <v>0</v>
      </c>
      <c r="AJ270" s="158">
        <v>0</v>
      </c>
      <c r="AK270" s="158">
        <v>974743</v>
      </c>
      <c r="AL270" s="158">
        <v>246</v>
      </c>
      <c r="AM270" s="158">
        <v>7</v>
      </c>
      <c r="AN270" s="158">
        <v>0</v>
      </c>
      <c r="AO270" s="158">
        <v>0</v>
      </c>
      <c r="AP270" s="158">
        <v>0</v>
      </c>
      <c r="AQ270" s="158">
        <v>431</v>
      </c>
      <c r="AR270" s="158">
        <v>33</v>
      </c>
      <c r="AS270" s="158">
        <v>19</v>
      </c>
      <c r="AT270" s="158">
        <v>1</v>
      </c>
      <c r="AU270" s="158">
        <v>0</v>
      </c>
      <c r="AV270" s="158">
        <v>0</v>
      </c>
      <c r="AW270" s="158">
        <v>0</v>
      </c>
      <c r="AX270" s="158">
        <v>0</v>
      </c>
      <c r="AY270" s="158">
        <v>1401</v>
      </c>
      <c r="AZ270" s="158">
        <v>1237</v>
      </c>
      <c r="BA270" s="158">
        <v>2498</v>
      </c>
      <c r="BB270" s="158">
        <v>2073</v>
      </c>
      <c r="BC270" s="158">
        <v>425</v>
      </c>
      <c r="BD270" s="158">
        <v>3155</v>
      </c>
      <c r="BE270" s="158">
        <v>-1469104</v>
      </c>
      <c r="BF270" s="158">
        <v>-179034</v>
      </c>
      <c r="BG270" s="158">
        <v>0</v>
      </c>
      <c r="BH270" s="158">
        <v>-79985</v>
      </c>
      <c r="BI270" s="158">
        <v>-485415</v>
      </c>
      <c r="BJ270" s="158">
        <v>-516008</v>
      </c>
      <c r="BK270" s="158">
        <v>1401937</v>
      </c>
      <c r="BL270" s="1438">
        <v>19409750</v>
      </c>
      <c r="BM270" s="1439">
        <v>0</v>
      </c>
      <c r="BN270" s="784" t="s">
        <v>2359</v>
      </c>
      <c r="BO270" s="784" t="s">
        <v>2360</v>
      </c>
      <c r="BP270" s="1400" t="s">
        <v>2623</v>
      </c>
      <c r="BQ270" s="509"/>
      <c r="BR270" s="509"/>
      <c r="BS270" s="509"/>
      <c r="BT270" s="509"/>
      <c r="BU270" s="509"/>
      <c r="BV270" s="509"/>
      <c r="BW270" s="509"/>
      <c r="BX270" s="509"/>
      <c r="BY270" s="509"/>
      <c r="BZ270" s="509"/>
      <c r="CA270" s="509"/>
      <c r="CB270" s="509"/>
      <c r="CC270" s="509"/>
      <c r="CD270" s="509"/>
      <c r="CE270" s="509"/>
      <c r="CF270" s="509"/>
      <c r="CG270" s="509"/>
      <c r="CH270" s="509"/>
      <c r="CI270" s="509"/>
      <c r="CJ270" s="509"/>
      <c r="CK270" s="509"/>
      <c r="CL270" s="509"/>
      <c r="CM270" s="509"/>
      <c r="CN270" s="509"/>
      <c r="CO270" s="509"/>
      <c r="CP270" s="509"/>
      <c r="CQ270" s="509"/>
      <c r="CR270" s="509"/>
      <c r="CS270" s="509"/>
    </row>
    <row r="271" spans="1:98" s="657" customFormat="1" ht="12.75" customHeight="1" x14ac:dyDescent="0.2">
      <c r="A271" s="1421">
        <v>267</v>
      </c>
      <c r="B271" s="649" t="s">
        <v>429</v>
      </c>
      <c r="C271" s="1607" t="s">
        <v>430</v>
      </c>
      <c r="D271" s="1605">
        <v>436665</v>
      </c>
      <c r="E271" s="1405">
        <v>367071763</v>
      </c>
      <c r="F271" s="1405">
        <v>8401</v>
      </c>
      <c r="G271" s="158">
        <v>-7437650</v>
      </c>
      <c r="H271" s="158">
        <v>-15731017</v>
      </c>
      <c r="I271" s="158">
        <v>-23430</v>
      </c>
      <c r="J271" s="158">
        <v>0</v>
      </c>
      <c r="K271" s="158">
        <v>0</v>
      </c>
      <c r="L271" s="158">
        <v>0</v>
      </c>
      <c r="M271" s="158">
        <v>-2864693</v>
      </c>
      <c r="N271" s="158">
        <v>-53844</v>
      </c>
      <c r="O271" s="158">
        <v>-1463217</v>
      </c>
      <c r="P271" s="158">
        <v>-823</v>
      </c>
      <c r="Q271" s="158">
        <v>0</v>
      </c>
      <c r="R271" s="158">
        <v>0</v>
      </c>
      <c r="S271" s="158">
        <v>0</v>
      </c>
      <c r="T271" s="158">
        <v>0</v>
      </c>
      <c r="U271" s="158">
        <v>-20233808</v>
      </c>
      <c r="V271" s="158">
        <v>128559033</v>
      </c>
      <c r="W271" s="158">
        <v>-5285000</v>
      </c>
      <c r="X271" s="158">
        <v>234712900</v>
      </c>
      <c r="Y271" s="158">
        <v>341498543</v>
      </c>
      <c r="Z271" s="158">
        <v>36302915</v>
      </c>
      <c r="AA271" s="158">
        <v>33002649</v>
      </c>
      <c r="AB271" s="158">
        <v>40703267</v>
      </c>
      <c r="AC271" s="158">
        <v>0</v>
      </c>
      <c r="AD271" s="158">
        <v>426738</v>
      </c>
      <c r="AE271" s="158">
        <v>14015824</v>
      </c>
      <c r="AF271" s="158">
        <v>0</v>
      </c>
      <c r="AG271" s="158">
        <v>0</v>
      </c>
      <c r="AH271" s="158">
        <v>0</v>
      </c>
      <c r="AI271" s="158">
        <v>0</v>
      </c>
      <c r="AJ271" s="158">
        <v>0</v>
      </c>
      <c r="AK271" s="158">
        <v>-19560416</v>
      </c>
      <c r="AL271" s="158">
        <v>347</v>
      </c>
      <c r="AM271" s="158">
        <v>2</v>
      </c>
      <c r="AN271" s="158">
        <v>0</v>
      </c>
      <c r="AO271" s="158">
        <v>0</v>
      </c>
      <c r="AP271" s="158">
        <v>0</v>
      </c>
      <c r="AQ271" s="158">
        <v>458</v>
      </c>
      <c r="AR271" s="158">
        <v>18</v>
      </c>
      <c r="AS271" s="158">
        <v>18</v>
      </c>
      <c r="AT271" s="158">
        <v>20</v>
      </c>
      <c r="AU271" s="158">
        <v>0</v>
      </c>
      <c r="AV271" s="158">
        <v>0</v>
      </c>
      <c r="AW271" s="158">
        <v>0</v>
      </c>
      <c r="AX271" s="158">
        <v>0</v>
      </c>
      <c r="AY271" s="158">
        <v>1840</v>
      </c>
      <c r="AZ271" s="158">
        <v>1385</v>
      </c>
      <c r="BA271" s="158">
        <v>2093</v>
      </c>
      <c r="BB271" s="158">
        <v>1716</v>
      </c>
      <c r="BC271" s="158">
        <v>377</v>
      </c>
      <c r="BD271" s="158">
        <v>4870</v>
      </c>
      <c r="BE271" s="158">
        <v>-162355</v>
      </c>
      <c r="BF271" s="158">
        <v>-810183</v>
      </c>
      <c r="BG271" s="158">
        <v>0</v>
      </c>
      <c r="BH271" s="158">
        <v>0</v>
      </c>
      <c r="BI271" s="158">
        <v>-15129</v>
      </c>
      <c r="BJ271" s="158">
        <v>-1877026</v>
      </c>
      <c r="BK271" s="158">
        <v>-15128287</v>
      </c>
      <c r="BL271" s="1438">
        <v>35833750</v>
      </c>
      <c r="BM271" s="1439">
        <v>1331350</v>
      </c>
      <c r="BN271" s="784" t="s">
        <v>2401</v>
      </c>
      <c r="BO271" s="784" t="s">
        <v>2360</v>
      </c>
      <c r="BP271" s="1400" t="s">
        <v>2624</v>
      </c>
      <c r="BQ271" s="509"/>
      <c r="BR271" s="509"/>
      <c r="BS271" s="509"/>
      <c r="BT271" s="509"/>
      <c r="BU271" s="509"/>
      <c r="BV271" s="509"/>
      <c r="BW271" s="509"/>
      <c r="BX271" s="509"/>
      <c r="BY271" s="509"/>
      <c r="BZ271" s="509"/>
      <c r="CA271" s="509"/>
      <c r="CB271" s="509"/>
      <c r="CC271" s="509"/>
      <c r="CD271" s="509"/>
      <c r="CE271" s="509"/>
      <c r="CF271" s="509"/>
      <c r="CG271" s="509"/>
      <c r="CH271" s="509"/>
      <c r="CI271" s="509"/>
      <c r="CJ271" s="509"/>
      <c r="CK271" s="509"/>
      <c r="CL271" s="509"/>
      <c r="CM271" s="509"/>
      <c r="CN271" s="509"/>
      <c r="CO271" s="509"/>
      <c r="CP271" s="509"/>
      <c r="CQ271" s="509"/>
      <c r="CR271" s="509"/>
      <c r="CS271" s="509"/>
      <c r="CT271" s="137"/>
    </row>
    <row r="272" spans="1:98" s="137" customFormat="1" ht="12.75" customHeight="1" x14ac:dyDescent="0.2">
      <c r="A272" s="1421">
        <v>268</v>
      </c>
      <c r="B272" s="649" t="s">
        <v>538</v>
      </c>
      <c r="C272" s="1607" t="s">
        <v>432</v>
      </c>
      <c r="D272" s="1605">
        <v>289863</v>
      </c>
      <c r="E272" s="1405">
        <v>265785398</v>
      </c>
      <c r="F272" s="1405">
        <v>6970</v>
      </c>
      <c r="G272" s="158">
        <v>-7108159</v>
      </c>
      <c r="H272" s="158">
        <v>-6030251</v>
      </c>
      <c r="I272" s="158">
        <v>-74510</v>
      </c>
      <c r="J272" s="158">
        <v>0</v>
      </c>
      <c r="K272" s="158">
        <v>-599</v>
      </c>
      <c r="L272" s="158">
        <v>0</v>
      </c>
      <c r="M272" s="158">
        <v>-1118606</v>
      </c>
      <c r="N272" s="158">
        <v>-212451</v>
      </c>
      <c r="O272" s="158">
        <v>-1239695</v>
      </c>
      <c r="P272" s="158">
        <v>-4666</v>
      </c>
      <c r="Q272" s="158">
        <v>-4491</v>
      </c>
      <c r="R272" s="158">
        <v>-320500</v>
      </c>
      <c r="S272" s="158">
        <v>-320500</v>
      </c>
      <c r="T272" s="158">
        <v>0</v>
      </c>
      <c r="U272" s="158">
        <v>-7894850</v>
      </c>
      <c r="V272" s="158">
        <v>112091013</v>
      </c>
      <c r="W272" s="158">
        <v>0</v>
      </c>
      <c r="X272" s="158">
        <v>187164750</v>
      </c>
      <c r="Y272" s="158">
        <v>260810828</v>
      </c>
      <c r="Z272" s="158">
        <v>56475358</v>
      </c>
      <c r="AA272" s="158">
        <v>55659941</v>
      </c>
      <c r="AB272" s="158">
        <v>0</v>
      </c>
      <c r="AC272" s="158">
        <v>1135917</v>
      </c>
      <c r="AD272" s="158">
        <v>289290</v>
      </c>
      <c r="AE272" s="158">
        <v>458598</v>
      </c>
      <c r="AF272" s="158">
        <v>0</v>
      </c>
      <c r="AG272" s="158">
        <v>0</v>
      </c>
      <c r="AH272" s="158">
        <v>320500</v>
      </c>
      <c r="AI272" s="158">
        <v>0</v>
      </c>
      <c r="AJ272" s="158">
        <v>0</v>
      </c>
      <c r="AK272" s="158">
        <v>0</v>
      </c>
      <c r="AL272" s="158">
        <v>293</v>
      </c>
      <c r="AM272" s="158">
        <v>8</v>
      </c>
      <c r="AN272" s="158">
        <v>0</v>
      </c>
      <c r="AO272" s="158">
        <v>1</v>
      </c>
      <c r="AP272" s="158">
        <v>0</v>
      </c>
      <c r="AQ272" s="158">
        <v>313</v>
      </c>
      <c r="AR272" s="158">
        <v>119</v>
      </c>
      <c r="AS272" s="158">
        <v>24</v>
      </c>
      <c r="AT272" s="158">
        <v>3</v>
      </c>
      <c r="AU272" s="158">
        <v>0</v>
      </c>
      <c r="AV272" s="158">
        <v>1</v>
      </c>
      <c r="AW272" s="158">
        <v>7</v>
      </c>
      <c r="AX272" s="158">
        <v>0</v>
      </c>
      <c r="AY272" s="158">
        <v>753</v>
      </c>
      <c r="AZ272" s="158">
        <v>879</v>
      </c>
      <c r="BA272" s="158">
        <v>2444</v>
      </c>
      <c r="BB272" s="158">
        <v>2242</v>
      </c>
      <c r="BC272" s="158">
        <v>202</v>
      </c>
      <c r="BD272" s="158">
        <v>3674</v>
      </c>
      <c r="BE272" s="158">
        <v>-136371</v>
      </c>
      <c r="BF272" s="158">
        <v>-259751</v>
      </c>
      <c r="BG272" s="158">
        <v>0</v>
      </c>
      <c r="BH272" s="158">
        <v>0</v>
      </c>
      <c r="BI272" s="158">
        <v>-722484</v>
      </c>
      <c r="BJ272" s="158">
        <v>0</v>
      </c>
      <c r="BK272" s="158">
        <v>3770801</v>
      </c>
      <c r="BL272" s="1438">
        <v>30718150</v>
      </c>
      <c r="BM272" s="1439">
        <v>275500</v>
      </c>
      <c r="BN272" s="784" t="s">
        <v>509</v>
      </c>
      <c r="BO272" s="784" t="s">
        <v>2376</v>
      </c>
      <c r="BP272" s="1400" t="s">
        <v>2625</v>
      </c>
      <c r="BQ272" s="509"/>
      <c r="BR272" s="509"/>
      <c r="BS272" s="509"/>
      <c r="BT272" s="509"/>
      <c r="BU272" s="509"/>
      <c r="BV272" s="509"/>
      <c r="BW272" s="509"/>
      <c r="BX272" s="509"/>
      <c r="BY272" s="509"/>
      <c r="BZ272" s="509"/>
      <c r="CA272" s="509"/>
      <c r="CB272" s="509"/>
      <c r="CC272" s="509"/>
      <c r="CD272" s="509"/>
      <c r="CE272" s="509"/>
      <c r="CF272" s="509"/>
      <c r="CG272" s="509"/>
      <c r="CH272" s="509"/>
      <c r="CI272" s="509"/>
      <c r="CJ272" s="509"/>
      <c r="CK272" s="509"/>
      <c r="CL272" s="509"/>
      <c r="CM272" s="509"/>
      <c r="CN272" s="509"/>
      <c r="CO272" s="509"/>
      <c r="CP272" s="509"/>
      <c r="CQ272" s="509"/>
      <c r="CR272" s="509"/>
      <c r="CS272" s="509"/>
    </row>
    <row r="273" spans="1:98" s="137" customFormat="1" ht="12.75" customHeight="1" x14ac:dyDescent="0.2">
      <c r="A273" s="1421">
        <v>269</v>
      </c>
      <c r="B273" s="649" t="s">
        <v>433</v>
      </c>
      <c r="C273" s="1607" t="s">
        <v>434</v>
      </c>
      <c r="D273" s="1605">
        <v>222644</v>
      </c>
      <c r="E273" s="1405">
        <v>197367793</v>
      </c>
      <c r="F273" s="1405">
        <v>5356</v>
      </c>
      <c r="G273" s="158">
        <v>-5220196</v>
      </c>
      <c r="H273" s="158">
        <v>-6078891</v>
      </c>
      <c r="I273" s="158">
        <v>-70459</v>
      </c>
      <c r="J273" s="158">
        <v>-20057</v>
      </c>
      <c r="K273" s="158">
        <v>-14034</v>
      </c>
      <c r="L273" s="158">
        <v>0</v>
      </c>
      <c r="M273" s="158">
        <v>-1766820</v>
      </c>
      <c r="N273" s="158">
        <v>-11260</v>
      </c>
      <c r="O273" s="158">
        <v>-37777</v>
      </c>
      <c r="P273" s="158">
        <v>0</v>
      </c>
      <c r="Q273" s="158">
        <v>0</v>
      </c>
      <c r="R273" s="158">
        <v>0</v>
      </c>
      <c r="S273" s="158">
        <v>0</v>
      </c>
      <c r="T273" s="158">
        <v>0</v>
      </c>
      <c r="U273" s="158">
        <v>-7476830</v>
      </c>
      <c r="V273" s="158">
        <v>80192287</v>
      </c>
      <c r="W273" s="158">
        <v>-2758615</v>
      </c>
      <c r="X273" s="158">
        <v>138212750</v>
      </c>
      <c r="Y273" s="158">
        <v>193870282</v>
      </c>
      <c r="Z273" s="158">
        <v>38660596</v>
      </c>
      <c r="AA273" s="158">
        <v>30928476</v>
      </c>
      <c r="AB273" s="158">
        <v>7732119</v>
      </c>
      <c r="AC273" s="158">
        <v>0</v>
      </c>
      <c r="AD273" s="158">
        <v>221067</v>
      </c>
      <c r="AE273" s="158">
        <v>65393</v>
      </c>
      <c r="AF273" s="158">
        <v>1004652</v>
      </c>
      <c r="AG273" s="158">
        <v>0</v>
      </c>
      <c r="AH273" s="158">
        <v>0</v>
      </c>
      <c r="AI273" s="158">
        <v>0</v>
      </c>
      <c r="AJ273" s="158">
        <v>0</v>
      </c>
      <c r="AK273" s="158">
        <v>-15005078</v>
      </c>
      <c r="AL273" s="158">
        <v>280</v>
      </c>
      <c r="AM273" s="158">
        <v>13</v>
      </c>
      <c r="AN273" s="158">
        <v>1</v>
      </c>
      <c r="AO273" s="158">
        <v>7</v>
      </c>
      <c r="AP273" s="158">
        <v>0</v>
      </c>
      <c r="AQ273" s="158">
        <v>326</v>
      </c>
      <c r="AR273" s="158">
        <v>31</v>
      </c>
      <c r="AS273" s="158">
        <v>14</v>
      </c>
      <c r="AT273" s="158">
        <v>0</v>
      </c>
      <c r="AU273" s="158">
        <v>7</v>
      </c>
      <c r="AV273" s="158">
        <v>0</v>
      </c>
      <c r="AW273" s="158">
        <v>0</v>
      </c>
      <c r="AX273" s="158">
        <v>0</v>
      </c>
      <c r="AY273" s="158">
        <v>861</v>
      </c>
      <c r="AZ273" s="158">
        <v>1384</v>
      </c>
      <c r="BA273" s="158">
        <v>1751</v>
      </c>
      <c r="BB273" s="158">
        <v>1606</v>
      </c>
      <c r="BC273" s="158">
        <v>145</v>
      </c>
      <c r="BD273" s="158">
        <v>2235</v>
      </c>
      <c r="BE273" s="158">
        <v>-136368</v>
      </c>
      <c r="BF273" s="158">
        <v>-946149</v>
      </c>
      <c r="BG273" s="158">
        <v>0</v>
      </c>
      <c r="BH273" s="158">
        <v>0</v>
      </c>
      <c r="BI273" s="158">
        <v>-583485</v>
      </c>
      <c r="BJ273" s="158">
        <v>-100818</v>
      </c>
      <c r="BK273" s="158">
        <v>-14719908</v>
      </c>
      <c r="BL273" s="1438">
        <v>24068167</v>
      </c>
      <c r="BM273" s="1439">
        <v>0</v>
      </c>
      <c r="BN273" s="784" t="s">
        <v>2349</v>
      </c>
      <c r="BO273" s="784" t="s">
        <v>2373</v>
      </c>
      <c r="BP273" s="1400" t="s">
        <v>2626</v>
      </c>
      <c r="BQ273" s="509"/>
      <c r="BR273" s="509"/>
      <c r="BS273" s="509"/>
      <c r="BT273" s="509"/>
      <c r="BU273" s="509"/>
      <c r="BV273" s="509"/>
      <c r="BW273" s="509"/>
      <c r="BX273" s="509"/>
      <c r="BY273" s="509"/>
      <c r="BZ273" s="509"/>
      <c r="CA273" s="509"/>
      <c r="CB273" s="509"/>
      <c r="CC273" s="509"/>
      <c r="CD273" s="509"/>
      <c r="CE273" s="509"/>
      <c r="CF273" s="509"/>
      <c r="CG273" s="509"/>
      <c r="CH273" s="509"/>
      <c r="CI273" s="509"/>
      <c r="CJ273" s="509"/>
      <c r="CK273" s="509"/>
      <c r="CL273" s="509"/>
      <c r="CM273" s="509"/>
      <c r="CN273" s="509"/>
      <c r="CO273" s="509"/>
      <c r="CP273" s="509"/>
      <c r="CQ273" s="509"/>
      <c r="CR273" s="509"/>
      <c r="CS273" s="509"/>
    </row>
    <row r="274" spans="1:98" s="137" customFormat="1" ht="12.75" customHeight="1" x14ac:dyDescent="0.2">
      <c r="A274" s="1421">
        <v>270</v>
      </c>
      <c r="B274" s="649" t="s">
        <v>435</v>
      </c>
      <c r="C274" s="1607" t="s">
        <v>436</v>
      </c>
      <c r="D274" s="1605">
        <v>142975</v>
      </c>
      <c r="E274" s="1405">
        <v>157411152</v>
      </c>
      <c r="F274" s="1405">
        <v>2910</v>
      </c>
      <c r="G274" s="158">
        <v>-2230704</v>
      </c>
      <c r="H274" s="158">
        <v>-4233826</v>
      </c>
      <c r="I274" s="158">
        <v>-88293</v>
      </c>
      <c r="J274" s="158">
        <v>0</v>
      </c>
      <c r="K274" s="158">
        <v>0</v>
      </c>
      <c r="L274" s="158">
        <v>0</v>
      </c>
      <c r="M274" s="158">
        <v>-701374</v>
      </c>
      <c r="N274" s="158">
        <v>-10257</v>
      </c>
      <c r="O274" s="158">
        <v>0</v>
      </c>
      <c r="P274" s="158">
        <v>0</v>
      </c>
      <c r="Q274" s="158">
        <v>0</v>
      </c>
      <c r="R274" s="158">
        <v>0</v>
      </c>
      <c r="S274" s="158">
        <v>0</v>
      </c>
      <c r="T274" s="158">
        <v>0</v>
      </c>
      <c r="U274" s="158">
        <v>-6509326</v>
      </c>
      <c r="V274" s="158">
        <v>66819631</v>
      </c>
      <c r="W274" s="158">
        <v>-1336393</v>
      </c>
      <c r="X274" s="158">
        <v>123127000</v>
      </c>
      <c r="Y274" s="158">
        <v>156301374</v>
      </c>
      <c r="Z274" s="158">
        <v>34264271</v>
      </c>
      <c r="AA274" s="158">
        <v>27411416</v>
      </c>
      <c r="AB274" s="158">
        <v>6852854</v>
      </c>
      <c r="AC274" s="158">
        <v>0</v>
      </c>
      <c r="AD274" s="158">
        <v>142541</v>
      </c>
      <c r="AE274" s="158">
        <v>0</v>
      </c>
      <c r="AF274" s="158">
        <v>0</v>
      </c>
      <c r="AG274" s="158">
        <v>0</v>
      </c>
      <c r="AH274" s="158">
        <v>0</v>
      </c>
      <c r="AI274" s="158">
        <v>0</v>
      </c>
      <c r="AJ274" s="158">
        <v>0</v>
      </c>
      <c r="AK274" s="158">
        <v>-2253954</v>
      </c>
      <c r="AL274" s="158">
        <v>0</v>
      </c>
      <c r="AM274" s="158">
        <v>0</v>
      </c>
      <c r="AN274" s="158">
        <v>0</v>
      </c>
      <c r="AO274" s="158">
        <v>0</v>
      </c>
      <c r="AP274" s="158">
        <v>0</v>
      </c>
      <c r="AQ274" s="158">
        <v>0</v>
      </c>
      <c r="AR274" s="158">
        <v>0</v>
      </c>
      <c r="AS274" s="158">
        <v>0</v>
      </c>
      <c r="AT274" s="158">
        <v>0</v>
      </c>
      <c r="AU274" s="158">
        <v>0</v>
      </c>
      <c r="AV274" s="158">
        <v>0</v>
      </c>
      <c r="AW274" s="158">
        <v>0</v>
      </c>
      <c r="AX274" s="158">
        <v>0</v>
      </c>
      <c r="AY274" s="158">
        <v>0</v>
      </c>
      <c r="AZ274" s="158">
        <v>0</v>
      </c>
      <c r="BA274" s="158">
        <v>0</v>
      </c>
      <c r="BB274" s="158">
        <v>0</v>
      </c>
      <c r="BC274" s="158">
        <v>0</v>
      </c>
      <c r="BD274" s="158">
        <v>0</v>
      </c>
      <c r="BE274" s="158">
        <v>0</v>
      </c>
      <c r="BF274" s="158">
        <v>0</v>
      </c>
      <c r="BG274" s="158">
        <v>0</v>
      </c>
      <c r="BH274" s="158">
        <v>0</v>
      </c>
      <c r="BI274" s="158">
        <v>0</v>
      </c>
      <c r="BJ274" s="158">
        <v>0</v>
      </c>
      <c r="BK274" s="158">
        <v>-7689530</v>
      </c>
      <c r="BL274" s="1438">
        <v>16830500</v>
      </c>
      <c r="BM274" s="1439">
        <v>0</v>
      </c>
      <c r="BN274" s="784" t="s">
        <v>2349</v>
      </c>
      <c r="BO274" s="784" t="s">
        <v>2357</v>
      </c>
      <c r="BP274" s="1400" t="s">
        <v>2627</v>
      </c>
      <c r="BQ274" s="509"/>
      <c r="BR274" s="509"/>
      <c r="BS274" s="509"/>
      <c r="BT274" s="509"/>
      <c r="BU274" s="509"/>
      <c r="BV274" s="509"/>
      <c r="BW274" s="509"/>
      <c r="BX274" s="509"/>
      <c r="BY274" s="509"/>
      <c r="BZ274" s="509"/>
      <c r="CA274" s="509"/>
      <c r="CB274" s="509"/>
      <c r="CC274" s="509"/>
      <c r="CD274" s="509"/>
      <c r="CE274" s="509"/>
      <c r="CF274" s="509"/>
      <c r="CG274" s="509"/>
      <c r="CH274" s="509"/>
      <c r="CI274" s="509"/>
      <c r="CJ274" s="509"/>
      <c r="CK274" s="509"/>
      <c r="CL274" s="509"/>
      <c r="CM274" s="509"/>
      <c r="CN274" s="509"/>
      <c r="CO274" s="509"/>
      <c r="CP274" s="509"/>
      <c r="CQ274" s="509"/>
      <c r="CR274" s="509"/>
      <c r="CS274" s="509"/>
    </row>
    <row r="275" spans="1:98" s="137" customFormat="1" ht="12.75" customHeight="1" x14ac:dyDescent="0.2">
      <c r="A275" s="1421">
        <v>271</v>
      </c>
      <c r="B275" s="649" t="s">
        <v>437</v>
      </c>
      <c r="C275" s="1607" t="s">
        <v>438</v>
      </c>
      <c r="D275" s="1605">
        <v>167869</v>
      </c>
      <c r="E275" s="1405">
        <v>109421545</v>
      </c>
      <c r="F275" s="1405">
        <v>3989</v>
      </c>
      <c r="G275" s="158">
        <v>-4132336</v>
      </c>
      <c r="H275" s="158">
        <v>-7846488</v>
      </c>
      <c r="I275" s="158">
        <v>-46857</v>
      </c>
      <c r="J275" s="158">
        <v>-3168</v>
      </c>
      <c r="K275" s="158">
        <v>-9930</v>
      </c>
      <c r="L275" s="158">
        <v>0</v>
      </c>
      <c r="M275" s="158">
        <v>-1334845</v>
      </c>
      <c r="N275" s="158">
        <v>-229017</v>
      </c>
      <c r="O275" s="158">
        <v>-19408</v>
      </c>
      <c r="P275" s="158">
        <v>0</v>
      </c>
      <c r="Q275" s="158">
        <v>-13881</v>
      </c>
      <c r="R275" s="158">
        <v>0</v>
      </c>
      <c r="S275" s="158">
        <v>0</v>
      </c>
      <c r="T275" s="158">
        <v>0</v>
      </c>
      <c r="U275" s="158">
        <v>-6537512</v>
      </c>
      <c r="V275" s="158">
        <v>35780153</v>
      </c>
      <c r="W275" s="158">
        <v>-1158000</v>
      </c>
      <c r="X275" s="158">
        <v>64407200</v>
      </c>
      <c r="Y275" s="158">
        <v>109753230</v>
      </c>
      <c r="Z275" s="158">
        <v>17448861</v>
      </c>
      <c r="AA275" s="158">
        <v>13959088</v>
      </c>
      <c r="AB275" s="158">
        <v>3489772</v>
      </c>
      <c r="AC275" s="158">
        <v>0</v>
      </c>
      <c r="AD275" s="158">
        <v>167142</v>
      </c>
      <c r="AE275" s="158">
        <v>0</v>
      </c>
      <c r="AF275" s="158">
        <v>0</v>
      </c>
      <c r="AG275" s="158">
        <v>0</v>
      </c>
      <c r="AH275" s="158">
        <v>0</v>
      </c>
      <c r="AI275" s="158">
        <v>0</v>
      </c>
      <c r="AJ275" s="158">
        <v>0</v>
      </c>
      <c r="AK275" s="158">
        <v>216239</v>
      </c>
      <c r="AL275" s="158">
        <v>273</v>
      </c>
      <c r="AM275" s="158">
        <v>26</v>
      </c>
      <c r="AN275" s="158">
        <v>2</v>
      </c>
      <c r="AO275" s="158">
        <v>6</v>
      </c>
      <c r="AP275" s="158">
        <v>0</v>
      </c>
      <c r="AQ275" s="158">
        <v>223</v>
      </c>
      <c r="AR275" s="158">
        <v>60</v>
      </c>
      <c r="AS275" s="158">
        <v>4</v>
      </c>
      <c r="AT275" s="158">
        <v>0</v>
      </c>
      <c r="AU275" s="158">
        <v>2</v>
      </c>
      <c r="AV275" s="158">
        <v>3</v>
      </c>
      <c r="AW275" s="158">
        <v>0</v>
      </c>
      <c r="AX275" s="158">
        <v>0</v>
      </c>
      <c r="AY275" s="158">
        <v>742</v>
      </c>
      <c r="AZ275" s="158">
        <v>1104</v>
      </c>
      <c r="BA275" s="158">
        <v>1305</v>
      </c>
      <c r="BB275" s="158">
        <v>1145</v>
      </c>
      <c r="BC275" s="158">
        <v>160</v>
      </c>
      <c r="BD275" s="158">
        <v>1673</v>
      </c>
      <c r="BE275" s="158">
        <v>-145244</v>
      </c>
      <c r="BF275" s="158">
        <v>-678693</v>
      </c>
      <c r="BG275" s="158">
        <v>0</v>
      </c>
      <c r="BH275" s="158">
        <v>0</v>
      </c>
      <c r="BI275" s="158">
        <v>-454840</v>
      </c>
      <c r="BJ275" s="158">
        <v>-56068</v>
      </c>
      <c r="BK275" s="158">
        <v>-936898</v>
      </c>
      <c r="BL275" s="1438">
        <v>20690800</v>
      </c>
      <c r="BM275" s="1439">
        <v>0</v>
      </c>
      <c r="BN275" s="784" t="s">
        <v>2349</v>
      </c>
      <c r="BO275" s="784" t="s">
        <v>2350</v>
      </c>
      <c r="BP275" s="1400" t="s">
        <v>2628</v>
      </c>
      <c r="BQ275" s="509"/>
      <c r="BR275" s="509"/>
      <c r="BS275" s="509"/>
      <c r="BT275" s="509"/>
      <c r="BU275" s="509"/>
      <c r="BV275" s="509"/>
      <c r="BW275" s="509"/>
      <c r="BX275" s="509"/>
      <c r="BY275" s="509"/>
      <c r="BZ275" s="509"/>
      <c r="CA275" s="509"/>
      <c r="CB275" s="509"/>
      <c r="CC275" s="509"/>
      <c r="CD275" s="509"/>
      <c r="CE275" s="509"/>
      <c r="CF275" s="509"/>
      <c r="CG275" s="509"/>
      <c r="CH275" s="509"/>
      <c r="CI275" s="509"/>
      <c r="CJ275" s="509"/>
      <c r="CK275" s="509"/>
      <c r="CL275" s="509"/>
      <c r="CM275" s="509"/>
      <c r="CN275" s="509"/>
      <c r="CO275" s="509"/>
      <c r="CP275" s="509"/>
      <c r="CQ275" s="509"/>
      <c r="CR275" s="509"/>
      <c r="CS275" s="509"/>
    </row>
    <row r="276" spans="1:98" s="137" customFormat="1" ht="12.75" customHeight="1" x14ac:dyDescent="0.2">
      <c r="A276" s="1421">
        <v>272</v>
      </c>
      <c r="B276" s="649" t="s">
        <v>439</v>
      </c>
      <c r="C276" s="1607" t="s">
        <v>440</v>
      </c>
      <c r="D276" s="1605">
        <v>237857</v>
      </c>
      <c r="E276" s="1405">
        <v>111710938</v>
      </c>
      <c r="F276" s="1405">
        <v>6702</v>
      </c>
      <c r="G276" s="158">
        <v>-8597060</v>
      </c>
      <c r="H276" s="158">
        <v>-3789678</v>
      </c>
      <c r="I276" s="158">
        <v>-100257</v>
      </c>
      <c r="J276" s="158">
        <v>-67740</v>
      </c>
      <c r="K276" s="158">
        <v>-10442</v>
      </c>
      <c r="L276" s="158">
        <v>-10000</v>
      </c>
      <c r="M276" s="158">
        <v>-494191</v>
      </c>
      <c r="N276" s="158">
        <v>-125019</v>
      </c>
      <c r="O276" s="158">
        <v>-7973</v>
      </c>
      <c r="P276" s="158">
        <v>0</v>
      </c>
      <c r="Q276" s="158">
        <v>-5000</v>
      </c>
      <c r="R276" s="158">
        <v>0</v>
      </c>
      <c r="S276" s="158">
        <v>0</v>
      </c>
      <c r="T276" s="158">
        <v>0</v>
      </c>
      <c r="U276" s="158">
        <v>-5629743</v>
      </c>
      <c r="V276" s="158">
        <v>36223459</v>
      </c>
      <c r="W276" s="158">
        <v>-1606465</v>
      </c>
      <c r="X276" s="158">
        <v>50991350</v>
      </c>
      <c r="Y276" s="158">
        <v>110487007</v>
      </c>
      <c r="Z276" s="158">
        <v>17820553</v>
      </c>
      <c r="AA276" s="158">
        <v>14256442</v>
      </c>
      <c r="AB276" s="158">
        <v>3207700</v>
      </c>
      <c r="AC276" s="158">
        <v>356411</v>
      </c>
      <c r="AD276" s="158">
        <v>235094</v>
      </c>
      <c r="AE276" s="158">
        <v>0</v>
      </c>
      <c r="AF276" s="158">
        <v>227500</v>
      </c>
      <c r="AG276" s="158">
        <v>0</v>
      </c>
      <c r="AH276" s="158">
        <v>0</v>
      </c>
      <c r="AI276" s="158">
        <v>0</v>
      </c>
      <c r="AJ276" s="158">
        <v>0</v>
      </c>
      <c r="AK276" s="158">
        <v>813851</v>
      </c>
      <c r="AL276" s="158">
        <v>312</v>
      </c>
      <c r="AM276" s="158">
        <v>41</v>
      </c>
      <c r="AN276" s="158">
        <v>15</v>
      </c>
      <c r="AO276" s="158">
        <v>8</v>
      </c>
      <c r="AP276" s="158">
        <v>0</v>
      </c>
      <c r="AQ276" s="158">
        <v>212</v>
      </c>
      <c r="AR276" s="158">
        <v>37</v>
      </c>
      <c r="AS276" s="158">
        <v>2</v>
      </c>
      <c r="AT276" s="158">
        <v>0</v>
      </c>
      <c r="AU276" s="158">
        <v>0</v>
      </c>
      <c r="AV276" s="158">
        <v>0</v>
      </c>
      <c r="AW276" s="158">
        <v>0</v>
      </c>
      <c r="AX276" s="158">
        <v>0</v>
      </c>
      <c r="AY276" s="158">
        <v>696</v>
      </c>
      <c r="AZ276" s="158">
        <v>376</v>
      </c>
      <c r="BA276" s="158">
        <v>3446</v>
      </c>
      <c r="BB276" s="158">
        <v>3209</v>
      </c>
      <c r="BC276" s="158">
        <v>237</v>
      </c>
      <c r="BD276" s="158">
        <v>2837</v>
      </c>
      <c r="BE276" s="158">
        <v>-60957</v>
      </c>
      <c r="BF276" s="158">
        <v>-156613</v>
      </c>
      <c r="BG276" s="158">
        <v>0</v>
      </c>
      <c r="BH276" s="158">
        <v>-11327</v>
      </c>
      <c r="BI276" s="158">
        <v>-265294</v>
      </c>
      <c r="BJ276" s="158">
        <v>0</v>
      </c>
      <c r="BK276" s="158">
        <v>1101962</v>
      </c>
      <c r="BL276" s="1438">
        <v>19636250</v>
      </c>
      <c r="BM276" s="1439">
        <v>0</v>
      </c>
      <c r="BN276" s="784" t="s">
        <v>2349</v>
      </c>
      <c r="BO276" s="784" t="s">
        <v>2350</v>
      </c>
      <c r="BP276" s="1400" t="s">
        <v>2629</v>
      </c>
      <c r="BQ276" s="509"/>
      <c r="BR276" s="509"/>
      <c r="BS276" s="509"/>
      <c r="BT276" s="509"/>
      <c r="BU276" s="509"/>
      <c r="BV276" s="509"/>
      <c r="BW276" s="509"/>
      <c r="BX276" s="509"/>
      <c r="BY276" s="509"/>
      <c r="BZ276" s="509"/>
      <c r="CA276" s="509"/>
      <c r="CB276" s="509"/>
      <c r="CC276" s="509"/>
      <c r="CD276" s="509"/>
      <c r="CE276" s="509"/>
      <c r="CF276" s="509"/>
      <c r="CG276" s="509"/>
      <c r="CH276" s="509"/>
      <c r="CI276" s="509"/>
      <c r="CJ276" s="509"/>
      <c r="CK276" s="509"/>
      <c r="CL276" s="509"/>
      <c r="CM276" s="509"/>
      <c r="CN276" s="509"/>
      <c r="CO276" s="509"/>
      <c r="CP276" s="509"/>
      <c r="CQ276" s="509"/>
      <c r="CR276" s="509"/>
      <c r="CS276" s="509"/>
    </row>
    <row r="277" spans="1:98" s="137" customFormat="1" ht="12.75" customHeight="1" x14ac:dyDescent="0.2">
      <c r="A277" s="1421">
        <v>273</v>
      </c>
      <c r="B277" s="649" t="s">
        <v>441</v>
      </c>
      <c r="C277" s="1607" t="s">
        <v>442</v>
      </c>
      <c r="D277" s="1605">
        <v>155609</v>
      </c>
      <c r="E277" s="1405">
        <v>193462540</v>
      </c>
      <c r="F277" s="1405">
        <v>2969</v>
      </c>
      <c r="G277" s="158">
        <v>-2056271</v>
      </c>
      <c r="H277" s="158">
        <v>-8419136</v>
      </c>
      <c r="I277" s="158">
        <v>-61656</v>
      </c>
      <c r="J277" s="158">
        <v>0</v>
      </c>
      <c r="K277" s="158">
        <v>-1896</v>
      </c>
      <c r="L277" s="158">
        <v>-224546</v>
      </c>
      <c r="M277" s="158">
        <v>-671612</v>
      </c>
      <c r="N277" s="158">
        <v>-252804</v>
      </c>
      <c r="O277" s="158">
        <v>-40875</v>
      </c>
      <c r="P277" s="158">
        <v>-9551</v>
      </c>
      <c r="Q277" s="158">
        <v>0</v>
      </c>
      <c r="R277" s="158">
        <v>0</v>
      </c>
      <c r="S277" s="158">
        <v>0</v>
      </c>
      <c r="T277" s="158">
        <v>0</v>
      </c>
      <c r="U277" s="158">
        <v>-4465819</v>
      </c>
      <c r="V277" s="158">
        <v>81834780</v>
      </c>
      <c r="W277" s="158">
        <v>-4092374</v>
      </c>
      <c r="X277" s="158">
        <v>158230650</v>
      </c>
      <c r="Y277" s="158">
        <v>193284745</v>
      </c>
      <c r="Z277" s="158">
        <v>40579799</v>
      </c>
      <c r="AA277" s="158">
        <v>32463840</v>
      </c>
      <c r="AB277" s="158">
        <v>8115960</v>
      </c>
      <c r="AC277" s="158">
        <v>0</v>
      </c>
      <c r="AD277" s="158">
        <v>155489</v>
      </c>
      <c r="AE277" s="158">
        <v>0</v>
      </c>
      <c r="AF277" s="158">
        <v>2891</v>
      </c>
      <c r="AG277" s="158">
        <v>0</v>
      </c>
      <c r="AH277" s="158">
        <v>0</v>
      </c>
      <c r="AI277" s="158">
        <v>0</v>
      </c>
      <c r="AJ277" s="158">
        <v>0</v>
      </c>
      <c r="AK277" s="158">
        <v>-4273862</v>
      </c>
      <c r="AL277" s="158">
        <v>182</v>
      </c>
      <c r="AM277" s="158">
        <v>11</v>
      </c>
      <c r="AN277" s="158">
        <v>0</v>
      </c>
      <c r="AO277" s="158">
        <v>1</v>
      </c>
      <c r="AP277" s="158">
        <v>4</v>
      </c>
      <c r="AQ277" s="158">
        <v>88</v>
      </c>
      <c r="AR277" s="158">
        <v>71</v>
      </c>
      <c r="AS277" s="158">
        <v>7</v>
      </c>
      <c r="AT277" s="158">
        <v>11</v>
      </c>
      <c r="AU277" s="158">
        <v>0</v>
      </c>
      <c r="AV277" s="158">
        <v>0</v>
      </c>
      <c r="AW277" s="158">
        <v>0</v>
      </c>
      <c r="AX277" s="158">
        <v>0</v>
      </c>
      <c r="AY277" s="158">
        <v>422</v>
      </c>
      <c r="AZ277" s="158">
        <v>558</v>
      </c>
      <c r="BA277" s="158">
        <v>706</v>
      </c>
      <c r="BB277" s="158">
        <v>607</v>
      </c>
      <c r="BC277" s="158">
        <v>99</v>
      </c>
      <c r="BD277" s="158">
        <v>1682</v>
      </c>
      <c r="BE277" s="158">
        <v>-150051</v>
      </c>
      <c r="BF277" s="158">
        <v>-177665</v>
      </c>
      <c r="BG277" s="158">
        <v>0</v>
      </c>
      <c r="BH277" s="158">
        <v>0</v>
      </c>
      <c r="BI277" s="158">
        <v>-343896</v>
      </c>
      <c r="BJ277" s="158">
        <v>0</v>
      </c>
      <c r="BK277" s="158">
        <v>-6749686</v>
      </c>
      <c r="BL277" s="1438">
        <v>15936450</v>
      </c>
      <c r="BM277" s="1439">
        <v>0</v>
      </c>
      <c r="BN277" s="784" t="s">
        <v>2349</v>
      </c>
      <c r="BO277" s="784" t="s">
        <v>2357</v>
      </c>
      <c r="BP277" s="1400" t="s">
        <v>2630</v>
      </c>
      <c r="BQ277" s="509"/>
      <c r="BR277" s="509"/>
      <c r="BS277" s="509"/>
      <c r="BT277" s="509"/>
      <c r="BU277" s="509"/>
      <c r="BV277" s="509"/>
      <c r="BW277" s="509"/>
      <c r="BX277" s="509"/>
      <c r="BY277" s="509"/>
      <c r="BZ277" s="509"/>
      <c r="CA277" s="509"/>
      <c r="CB277" s="509"/>
      <c r="CC277" s="509"/>
      <c r="CD277" s="509"/>
      <c r="CE277" s="509"/>
      <c r="CF277" s="509"/>
      <c r="CG277" s="509"/>
      <c r="CH277" s="509"/>
      <c r="CI277" s="509"/>
      <c r="CJ277" s="509"/>
      <c r="CK277" s="509"/>
      <c r="CL277" s="509"/>
      <c r="CM277" s="509"/>
      <c r="CN277" s="509"/>
      <c r="CO277" s="509"/>
      <c r="CP277" s="509"/>
      <c r="CQ277" s="509"/>
      <c r="CR277" s="509"/>
      <c r="CS277" s="509"/>
    </row>
    <row r="278" spans="1:98" s="137" customFormat="1" ht="12.75" customHeight="1" x14ac:dyDescent="0.2">
      <c r="A278" s="1421">
        <v>274</v>
      </c>
      <c r="B278" s="649" t="s">
        <v>521</v>
      </c>
      <c r="C278" s="1607" t="s">
        <v>444</v>
      </c>
      <c r="D278" s="1605">
        <v>268840</v>
      </c>
      <c r="E278" s="1405">
        <v>238584262</v>
      </c>
      <c r="F278" s="1405">
        <v>5993</v>
      </c>
      <c r="G278" s="158">
        <v>-5500000</v>
      </c>
      <c r="H278" s="158">
        <v>-5606827</v>
      </c>
      <c r="I278" s="158">
        <v>-81613</v>
      </c>
      <c r="J278" s="158">
        <v>-2591</v>
      </c>
      <c r="K278" s="158">
        <v>-15432</v>
      </c>
      <c r="L278" s="158">
        <v>0</v>
      </c>
      <c r="M278" s="158">
        <v>-1695664</v>
      </c>
      <c r="N278" s="158">
        <v>-75842</v>
      </c>
      <c r="O278" s="158">
        <v>0</v>
      </c>
      <c r="P278" s="158">
        <v>-6360</v>
      </c>
      <c r="Q278" s="158">
        <v>-2591</v>
      </c>
      <c r="R278" s="158">
        <v>0</v>
      </c>
      <c r="S278" s="158">
        <v>0</v>
      </c>
      <c r="T278" s="158">
        <v>0</v>
      </c>
      <c r="U278" s="158">
        <v>-8300000</v>
      </c>
      <c r="V278" s="158">
        <v>102185200</v>
      </c>
      <c r="W278" s="158">
        <v>-2000000</v>
      </c>
      <c r="X278" s="158">
        <v>175150000</v>
      </c>
      <c r="Y278" s="158">
        <v>241108626</v>
      </c>
      <c r="Z278" s="158">
        <v>52010477</v>
      </c>
      <c r="AA278" s="158">
        <v>50970268</v>
      </c>
      <c r="AB278" s="158">
        <v>0</v>
      </c>
      <c r="AC278" s="158">
        <v>1040210</v>
      </c>
      <c r="AD278" s="158">
        <v>268031</v>
      </c>
      <c r="AE278" s="158">
        <v>0</v>
      </c>
      <c r="AF278" s="158">
        <v>0</v>
      </c>
      <c r="AG278" s="158">
        <v>0</v>
      </c>
      <c r="AH278" s="158">
        <v>0</v>
      </c>
      <c r="AI278" s="158">
        <v>0</v>
      </c>
      <c r="AJ278" s="158">
        <v>0</v>
      </c>
      <c r="AK278" s="158">
        <v>-2238712</v>
      </c>
      <c r="AL278" s="158">
        <v>266</v>
      </c>
      <c r="AM278" s="158">
        <v>19</v>
      </c>
      <c r="AN278" s="158">
        <v>3</v>
      </c>
      <c r="AO278" s="158">
        <v>7</v>
      </c>
      <c r="AP278" s="158">
        <v>0</v>
      </c>
      <c r="AQ278" s="158">
        <v>388</v>
      </c>
      <c r="AR278" s="158">
        <v>38</v>
      </c>
      <c r="AS278" s="158">
        <v>0</v>
      </c>
      <c r="AT278" s="158">
        <v>0</v>
      </c>
      <c r="AU278" s="158">
        <v>0</v>
      </c>
      <c r="AV278" s="158">
        <v>0</v>
      </c>
      <c r="AW278" s="158">
        <v>0</v>
      </c>
      <c r="AX278" s="158">
        <v>0</v>
      </c>
      <c r="AY278" s="158">
        <v>824</v>
      </c>
      <c r="AZ278" s="158">
        <v>1393</v>
      </c>
      <c r="BA278" s="158">
        <v>1812</v>
      </c>
      <c r="BB278" s="158">
        <v>1624</v>
      </c>
      <c r="BC278" s="158">
        <v>188</v>
      </c>
      <c r="BD278" s="158">
        <v>2748</v>
      </c>
      <c r="BE278" s="158">
        <v>-68048</v>
      </c>
      <c r="BF278" s="158">
        <v>-1048367</v>
      </c>
      <c r="BG278" s="158">
        <v>0</v>
      </c>
      <c r="BH278" s="158">
        <v>-25738</v>
      </c>
      <c r="BI278" s="158">
        <v>-553511</v>
      </c>
      <c r="BJ278" s="158">
        <v>0</v>
      </c>
      <c r="BK278" s="158">
        <v>-6007443</v>
      </c>
      <c r="BL278" s="1438">
        <v>29136100</v>
      </c>
      <c r="BM278" s="1439">
        <v>0</v>
      </c>
      <c r="BN278" s="784" t="s">
        <v>509</v>
      </c>
      <c r="BO278" s="784" t="s">
        <v>2350</v>
      </c>
      <c r="BP278" s="1400" t="s">
        <v>2631</v>
      </c>
      <c r="BQ278" s="509"/>
      <c r="BR278" s="509"/>
      <c r="BS278" s="509"/>
      <c r="BT278" s="509"/>
      <c r="BU278" s="509"/>
      <c r="BV278" s="509"/>
      <c r="BW278" s="509"/>
      <c r="BX278" s="509"/>
      <c r="BY278" s="509"/>
      <c r="BZ278" s="509"/>
      <c r="CA278" s="509"/>
      <c r="CB278" s="509"/>
      <c r="CC278" s="509"/>
      <c r="CD278" s="509"/>
      <c r="CE278" s="509"/>
      <c r="CF278" s="509"/>
      <c r="CG278" s="509"/>
      <c r="CH278" s="509"/>
      <c r="CI278" s="509"/>
      <c r="CJ278" s="509"/>
      <c r="CK278" s="509"/>
      <c r="CL278" s="509"/>
      <c r="CM278" s="509"/>
      <c r="CN278" s="509"/>
      <c r="CO278" s="509"/>
      <c r="CP278" s="509"/>
      <c r="CQ278" s="509"/>
      <c r="CR278" s="509"/>
      <c r="CS278" s="509"/>
    </row>
    <row r="279" spans="1:98" s="137" customFormat="1" ht="12.75" customHeight="1" x14ac:dyDescent="0.2">
      <c r="A279" s="1421">
        <v>275</v>
      </c>
      <c r="B279" s="649" t="s">
        <v>445</v>
      </c>
      <c r="C279" s="1607" t="s">
        <v>446</v>
      </c>
      <c r="D279" s="1605">
        <v>84127</v>
      </c>
      <c r="E279" s="1405">
        <v>35143654</v>
      </c>
      <c r="F279" s="1405">
        <v>2434</v>
      </c>
      <c r="G279" s="158">
        <v>-2971647</v>
      </c>
      <c r="H279" s="158">
        <v>-1675483</v>
      </c>
      <c r="I279" s="158">
        <v>-78324</v>
      </c>
      <c r="J279" s="158">
        <v>-54187</v>
      </c>
      <c r="K279" s="158">
        <v>-25651</v>
      </c>
      <c r="L279" s="158">
        <v>-20000</v>
      </c>
      <c r="M279" s="158">
        <v>-534376</v>
      </c>
      <c r="N279" s="158">
        <v>-59500</v>
      </c>
      <c r="O279" s="158">
        <v>-18250</v>
      </c>
      <c r="P279" s="158">
        <v>-5950</v>
      </c>
      <c r="Q279" s="158">
        <v>0</v>
      </c>
      <c r="R279" s="158">
        <v>0</v>
      </c>
      <c r="S279" s="158">
        <v>0</v>
      </c>
      <c r="T279" s="158">
        <v>0</v>
      </c>
      <c r="U279" s="158">
        <v>-2214788</v>
      </c>
      <c r="V279" s="158">
        <v>9981134</v>
      </c>
      <c r="W279" s="158">
        <v>-282848</v>
      </c>
      <c r="X279" s="158">
        <v>14987075</v>
      </c>
      <c r="Y279" s="158">
        <v>35274834</v>
      </c>
      <c r="Z279" s="158">
        <v>4876721</v>
      </c>
      <c r="AA279" s="158">
        <v>3901377</v>
      </c>
      <c r="AB279" s="158">
        <v>877810</v>
      </c>
      <c r="AC279" s="158">
        <v>97534</v>
      </c>
      <c r="AD279" s="158">
        <v>84520</v>
      </c>
      <c r="AE279" s="158">
        <v>0</v>
      </c>
      <c r="AF279" s="158">
        <v>272067</v>
      </c>
      <c r="AG279" s="158">
        <v>0</v>
      </c>
      <c r="AH279" s="158">
        <v>0</v>
      </c>
      <c r="AI279" s="158">
        <v>0</v>
      </c>
      <c r="AJ279" s="158">
        <v>0</v>
      </c>
      <c r="AK279" s="158">
        <v>-910421</v>
      </c>
      <c r="AL279" s="158">
        <v>196</v>
      </c>
      <c r="AM279" s="158">
        <v>28</v>
      </c>
      <c r="AN279" s="158">
        <v>20</v>
      </c>
      <c r="AO279" s="158">
        <v>22</v>
      </c>
      <c r="AP279" s="158">
        <v>0</v>
      </c>
      <c r="AQ279" s="158">
        <v>111</v>
      </c>
      <c r="AR279" s="158">
        <v>76</v>
      </c>
      <c r="AS279" s="158">
        <v>9</v>
      </c>
      <c r="AT279" s="158">
        <v>6</v>
      </c>
      <c r="AU279" s="158">
        <v>0</v>
      </c>
      <c r="AV279" s="158">
        <v>0</v>
      </c>
      <c r="AW279" s="158">
        <v>0</v>
      </c>
      <c r="AX279" s="158">
        <v>0</v>
      </c>
      <c r="AY279" s="158">
        <v>381</v>
      </c>
      <c r="AZ279" s="158">
        <v>600</v>
      </c>
      <c r="BA279" s="158">
        <v>1149</v>
      </c>
      <c r="BB279" s="158">
        <v>1097</v>
      </c>
      <c r="BC279" s="158">
        <v>52</v>
      </c>
      <c r="BD279" s="158">
        <v>699</v>
      </c>
      <c r="BE279" s="158">
        <v>-188827</v>
      </c>
      <c r="BF279" s="158">
        <v>-148269</v>
      </c>
      <c r="BG279" s="158">
        <v>0</v>
      </c>
      <c r="BH279" s="158">
        <v>0</v>
      </c>
      <c r="BI279" s="158">
        <v>-163248</v>
      </c>
      <c r="BJ279" s="158">
        <v>-34032</v>
      </c>
      <c r="BK279" s="158">
        <v>-1046127</v>
      </c>
      <c r="BL279" s="1438">
        <v>6228950</v>
      </c>
      <c r="BM279" s="1439">
        <v>0</v>
      </c>
      <c r="BN279" s="784" t="s">
        <v>2349</v>
      </c>
      <c r="BO279" s="784" t="s">
        <v>2369</v>
      </c>
      <c r="BP279" s="1400" t="s">
        <v>2632</v>
      </c>
      <c r="BQ279" s="509"/>
      <c r="BR279" s="509"/>
      <c r="BS279" s="509"/>
      <c r="BT279" s="509"/>
      <c r="BU279" s="509"/>
      <c r="BV279" s="509"/>
      <c r="BW279" s="509"/>
      <c r="BX279" s="509"/>
      <c r="BY279" s="509"/>
      <c r="BZ279" s="509"/>
      <c r="CA279" s="509"/>
      <c r="CB279" s="509"/>
      <c r="CC279" s="509"/>
      <c r="CD279" s="509"/>
      <c r="CE279" s="509"/>
      <c r="CF279" s="509"/>
      <c r="CG279" s="509"/>
      <c r="CH279" s="509"/>
      <c r="CI279" s="509"/>
      <c r="CJ279" s="509"/>
      <c r="CK279" s="509"/>
      <c r="CL279" s="509"/>
      <c r="CM279" s="509"/>
      <c r="CN279" s="509"/>
      <c r="CO279" s="509"/>
      <c r="CP279" s="509"/>
      <c r="CQ279" s="509"/>
      <c r="CR279" s="509"/>
      <c r="CS279" s="509"/>
    </row>
    <row r="280" spans="1:98" s="137" customFormat="1" ht="12.75" customHeight="1" x14ac:dyDescent="0.2">
      <c r="A280" s="1421">
        <v>276</v>
      </c>
      <c r="B280" s="649" t="s">
        <v>447</v>
      </c>
      <c r="C280" s="1607" t="s">
        <v>448</v>
      </c>
      <c r="D280" s="1605">
        <v>132691</v>
      </c>
      <c r="E280" s="1405">
        <v>94775006</v>
      </c>
      <c r="F280" s="1405">
        <v>3487</v>
      </c>
      <c r="G280" s="158">
        <v>-4189191</v>
      </c>
      <c r="H280" s="158">
        <v>-3524361</v>
      </c>
      <c r="I280" s="158">
        <v>-2423</v>
      </c>
      <c r="J280" s="158">
        <v>-1661</v>
      </c>
      <c r="K280" s="158">
        <v>-4566</v>
      </c>
      <c r="L280" s="158">
        <v>0</v>
      </c>
      <c r="M280" s="158">
        <v>-304593</v>
      </c>
      <c r="N280" s="158">
        <v>-10775</v>
      </c>
      <c r="O280" s="158">
        <v>-20132</v>
      </c>
      <c r="P280" s="158">
        <v>0</v>
      </c>
      <c r="Q280" s="158">
        <v>0</v>
      </c>
      <c r="R280" s="158">
        <v>-2320</v>
      </c>
      <c r="S280" s="158">
        <v>0</v>
      </c>
      <c r="T280" s="158">
        <v>0</v>
      </c>
      <c r="U280" s="158">
        <v>-3276238</v>
      </c>
      <c r="V280" s="158">
        <v>36219685</v>
      </c>
      <c r="W280" s="158">
        <v>-841230</v>
      </c>
      <c r="X280" s="158">
        <v>58510151</v>
      </c>
      <c r="Y280" s="158">
        <v>92983884</v>
      </c>
      <c r="Z280" s="158">
        <v>17739141</v>
      </c>
      <c r="AA280" s="158">
        <v>14191313</v>
      </c>
      <c r="AB280" s="158">
        <v>3193045</v>
      </c>
      <c r="AC280" s="158">
        <v>354783</v>
      </c>
      <c r="AD280" s="158">
        <v>129873</v>
      </c>
      <c r="AE280" s="158">
        <v>0</v>
      </c>
      <c r="AF280" s="158">
        <v>1059</v>
      </c>
      <c r="AG280" s="158">
        <v>0</v>
      </c>
      <c r="AH280" s="158">
        <v>0</v>
      </c>
      <c r="AI280" s="158">
        <v>0</v>
      </c>
      <c r="AJ280" s="158">
        <v>0</v>
      </c>
      <c r="AK280" s="158">
        <v>1440820</v>
      </c>
      <c r="AL280" s="158">
        <v>151</v>
      </c>
      <c r="AM280" s="158">
        <v>2</v>
      </c>
      <c r="AN280" s="158">
        <v>2</v>
      </c>
      <c r="AO280" s="158">
        <v>5</v>
      </c>
      <c r="AP280" s="158">
        <v>0</v>
      </c>
      <c r="AQ280" s="158">
        <v>299</v>
      </c>
      <c r="AR280" s="158">
        <v>7</v>
      </c>
      <c r="AS280" s="158">
        <v>14</v>
      </c>
      <c r="AT280" s="158">
        <v>0</v>
      </c>
      <c r="AU280" s="158">
        <v>0</v>
      </c>
      <c r="AV280" s="158">
        <v>0</v>
      </c>
      <c r="AW280" s="158">
        <v>0</v>
      </c>
      <c r="AX280" s="158">
        <v>1</v>
      </c>
      <c r="AY280" s="158">
        <v>380</v>
      </c>
      <c r="AZ280" s="158">
        <v>278</v>
      </c>
      <c r="BA280" s="158">
        <v>1560</v>
      </c>
      <c r="BB280" s="158">
        <v>1435</v>
      </c>
      <c r="BC280" s="158">
        <v>125</v>
      </c>
      <c r="BD280" s="158">
        <v>1612</v>
      </c>
      <c r="BE280" s="158">
        <v>-34125</v>
      </c>
      <c r="BF280" s="158">
        <v>-48544</v>
      </c>
      <c r="BG280" s="158">
        <v>0</v>
      </c>
      <c r="BH280" s="158">
        <v>0</v>
      </c>
      <c r="BI280" s="158">
        <v>-221924</v>
      </c>
      <c r="BJ280" s="158">
        <v>0</v>
      </c>
      <c r="BK280" s="158">
        <v>1062801</v>
      </c>
      <c r="BL280" s="1438">
        <v>12725350</v>
      </c>
      <c r="BM280" s="1439">
        <v>0</v>
      </c>
      <c r="BN280" s="784" t="s">
        <v>2349</v>
      </c>
      <c r="BO280" s="784" t="s">
        <v>2376</v>
      </c>
      <c r="BP280" s="1400" t="s">
        <v>2633</v>
      </c>
      <c r="BQ280" s="509"/>
      <c r="BR280" s="509"/>
      <c r="BS280" s="509"/>
      <c r="BT280" s="509"/>
      <c r="BU280" s="509"/>
      <c r="BV280" s="509"/>
      <c r="BW280" s="509"/>
      <c r="BX280" s="509"/>
      <c r="BY280" s="509"/>
      <c r="BZ280" s="509"/>
      <c r="CA280" s="509"/>
      <c r="CB280" s="509"/>
      <c r="CC280" s="509"/>
      <c r="CD280" s="509"/>
      <c r="CE280" s="509"/>
      <c r="CF280" s="509"/>
      <c r="CG280" s="509"/>
      <c r="CH280" s="509"/>
      <c r="CI280" s="509"/>
      <c r="CJ280" s="509"/>
      <c r="CK280" s="509"/>
      <c r="CL280" s="509"/>
      <c r="CM280" s="509"/>
      <c r="CN280" s="509"/>
      <c r="CO280" s="509"/>
      <c r="CP280" s="509"/>
      <c r="CQ280" s="509"/>
      <c r="CR280" s="509"/>
      <c r="CS280" s="509"/>
    </row>
    <row r="281" spans="1:98" s="657" customFormat="1" ht="12.75" customHeight="1" x14ac:dyDescent="0.2">
      <c r="A281" s="1421">
        <v>277</v>
      </c>
      <c r="B281" s="649" t="s">
        <v>449</v>
      </c>
      <c r="C281" s="1607" t="s">
        <v>450</v>
      </c>
      <c r="D281" s="1605">
        <v>108267</v>
      </c>
      <c r="E281" s="1405">
        <v>54441614</v>
      </c>
      <c r="F281" s="1405">
        <v>3050</v>
      </c>
      <c r="G281" s="158">
        <v>-3211150</v>
      </c>
      <c r="H281" s="158">
        <v>-2199168</v>
      </c>
      <c r="I281" s="158">
        <v>-31273</v>
      </c>
      <c r="J281" s="158">
        <v>-56145</v>
      </c>
      <c r="K281" s="158">
        <v>-10267</v>
      </c>
      <c r="L281" s="158">
        <v>-20000</v>
      </c>
      <c r="M281" s="158">
        <v>-637587</v>
      </c>
      <c r="N281" s="158">
        <v>-67346</v>
      </c>
      <c r="O281" s="158">
        <v>-7592</v>
      </c>
      <c r="P281" s="158">
        <v>-1207</v>
      </c>
      <c r="Q281" s="158">
        <v>-1000</v>
      </c>
      <c r="R281" s="158">
        <v>0</v>
      </c>
      <c r="S281" s="158">
        <v>0</v>
      </c>
      <c r="T281" s="158">
        <v>0</v>
      </c>
      <c r="U281" s="158">
        <v>-1509921</v>
      </c>
      <c r="V281" s="158">
        <v>19060345</v>
      </c>
      <c r="W281" s="158">
        <v>-629000</v>
      </c>
      <c r="X281" s="158">
        <v>29368000</v>
      </c>
      <c r="Y281" s="158">
        <v>53586773</v>
      </c>
      <c r="Z281" s="158">
        <v>9210811</v>
      </c>
      <c r="AA281" s="158">
        <v>7368649</v>
      </c>
      <c r="AB281" s="158">
        <v>1842162</v>
      </c>
      <c r="AC281" s="158">
        <v>0</v>
      </c>
      <c r="AD281" s="158">
        <v>107860</v>
      </c>
      <c r="AE281" s="158">
        <v>0</v>
      </c>
      <c r="AF281" s="158">
        <v>290785</v>
      </c>
      <c r="AG281" s="158">
        <v>0</v>
      </c>
      <c r="AH281" s="158">
        <v>0</v>
      </c>
      <c r="AI281" s="158">
        <v>0</v>
      </c>
      <c r="AJ281" s="158">
        <v>0</v>
      </c>
      <c r="AK281" s="158">
        <v>290811</v>
      </c>
      <c r="AL281" s="158">
        <v>175</v>
      </c>
      <c r="AM281" s="158">
        <v>10</v>
      </c>
      <c r="AN281" s="158">
        <v>26</v>
      </c>
      <c r="AO281" s="158">
        <v>5</v>
      </c>
      <c r="AP281" s="158">
        <v>0</v>
      </c>
      <c r="AQ281" s="158">
        <v>203</v>
      </c>
      <c r="AR281" s="158">
        <v>101</v>
      </c>
      <c r="AS281" s="158">
        <v>10</v>
      </c>
      <c r="AT281" s="158">
        <v>7</v>
      </c>
      <c r="AU281" s="158">
        <v>0</v>
      </c>
      <c r="AV281" s="158">
        <v>0</v>
      </c>
      <c r="AW281" s="158">
        <v>0</v>
      </c>
      <c r="AX281" s="158">
        <v>0</v>
      </c>
      <c r="AY281" s="158">
        <v>174</v>
      </c>
      <c r="AZ281" s="158">
        <v>199</v>
      </c>
      <c r="BA281" s="158">
        <v>1398</v>
      </c>
      <c r="BB281" s="158">
        <v>1335</v>
      </c>
      <c r="BC281" s="158">
        <v>63</v>
      </c>
      <c r="BD281" s="158">
        <v>1411</v>
      </c>
      <c r="BE281" s="158">
        <v>-23987</v>
      </c>
      <c r="BF281" s="158">
        <v>-264420</v>
      </c>
      <c r="BG281" s="158">
        <v>0</v>
      </c>
      <c r="BH281" s="158">
        <v>-298496</v>
      </c>
      <c r="BI281" s="158">
        <v>-47407</v>
      </c>
      <c r="BJ281" s="158">
        <v>-3277</v>
      </c>
      <c r="BK281" s="158">
        <v>800617</v>
      </c>
      <c r="BL281" s="1438">
        <v>8189500</v>
      </c>
      <c r="BM281" s="1439">
        <v>0</v>
      </c>
      <c r="BN281" s="784" t="s">
        <v>2349</v>
      </c>
      <c r="BO281" s="784" t="s">
        <v>2352</v>
      </c>
      <c r="BP281" s="1400" t="s">
        <v>2634</v>
      </c>
      <c r="BQ281" s="509"/>
      <c r="BR281" s="509"/>
      <c r="BS281" s="509"/>
      <c r="BT281" s="509"/>
      <c r="BU281" s="509"/>
      <c r="BV281" s="509"/>
      <c r="BW281" s="509"/>
      <c r="BX281" s="509"/>
      <c r="BY281" s="509"/>
      <c r="BZ281" s="509"/>
      <c r="CA281" s="509"/>
      <c r="CB281" s="509"/>
      <c r="CC281" s="509"/>
      <c r="CD281" s="509"/>
      <c r="CE281" s="509"/>
      <c r="CF281" s="509"/>
      <c r="CG281" s="509"/>
      <c r="CH281" s="509"/>
      <c r="CI281" s="509"/>
      <c r="CJ281" s="509"/>
      <c r="CK281" s="509"/>
      <c r="CL281" s="509"/>
      <c r="CM281" s="509"/>
      <c r="CN281" s="509"/>
      <c r="CO281" s="509"/>
      <c r="CP281" s="509"/>
      <c r="CQ281" s="509"/>
      <c r="CR281" s="509"/>
      <c r="CS281" s="509"/>
      <c r="CT281" s="137"/>
    </row>
    <row r="282" spans="1:98" s="657" customFormat="1" ht="12.75" customHeight="1" x14ac:dyDescent="0.2">
      <c r="A282" s="1421">
        <v>278</v>
      </c>
      <c r="B282" s="649" t="s">
        <v>1289</v>
      </c>
      <c r="C282" s="1607" t="s">
        <v>1314</v>
      </c>
      <c r="D282" s="1605">
        <v>527389</v>
      </c>
      <c r="E282" s="1405">
        <v>533772099</v>
      </c>
      <c r="F282" s="1405">
        <v>12229</v>
      </c>
      <c r="G282" s="158">
        <v>-12064820</v>
      </c>
      <c r="H282" s="158">
        <v>-16643415</v>
      </c>
      <c r="I282" s="158">
        <v>-69812</v>
      </c>
      <c r="J282" s="158">
        <v>-111460</v>
      </c>
      <c r="K282" s="158">
        <v>-3666</v>
      </c>
      <c r="L282" s="158">
        <v>-473451</v>
      </c>
      <c r="M282" s="158">
        <v>-2924054</v>
      </c>
      <c r="N282" s="158">
        <v>-223053</v>
      </c>
      <c r="O282" s="158">
        <v>-29813</v>
      </c>
      <c r="P282" s="158">
        <v>-3002</v>
      </c>
      <c r="Q282" s="158">
        <v>-6446</v>
      </c>
      <c r="R282" s="158">
        <v>0</v>
      </c>
      <c r="S282" s="158">
        <v>0</v>
      </c>
      <c r="T282" s="158">
        <v>0</v>
      </c>
      <c r="U282" s="158">
        <v>-12938264</v>
      </c>
      <c r="V282" s="158">
        <v>235291248</v>
      </c>
      <c r="W282" s="158">
        <v>-72301</v>
      </c>
      <c r="X282" s="158">
        <v>401422750</v>
      </c>
      <c r="Y282" s="158">
        <v>524571948</v>
      </c>
      <c r="Z282" s="158">
        <v>117726833</v>
      </c>
      <c r="AA282" s="158">
        <v>115372297</v>
      </c>
      <c r="AB282" s="158">
        <v>0</v>
      </c>
      <c r="AC282" s="158">
        <v>2354537</v>
      </c>
      <c r="AD282" s="158">
        <v>523149</v>
      </c>
      <c r="AE282" s="158">
        <v>1939968</v>
      </c>
      <c r="AF282" s="158">
        <v>1973654</v>
      </c>
      <c r="AG282" s="158">
        <v>0</v>
      </c>
      <c r="AH282" s="158">
        <v>0</v>
      </c>
      <c r="AI282" s="158">
        <v>0</v>
      </c>
      <c r="AJ282" s="158">
        <v>0</v>
      </c>
      <c r="AK282" s="158">
        <v>14719337</v>
      </c>
      <c r="AL282" s="158">
        <v>639</v>
      </c>
      <c r="AM282" s="158">
        <v>16</v>
      </c>
      <c r="AN282" s="158">
        <v>5</v>
      </c>
      <c r="AO282" s="158">
        <v>3</v>
      </c>
      <c r="AP282" s="158">
        <v>5</v>
      </c>
      <c r="AQ282" s="158">
        <v>897</v>
      </c>
      <c r="AR282" s="158">
        <v>98</v>
      </c>
      <c r="AS282" s="158">
        <v>7</v>
      </c>
      <c r="AT282" s="158">
        <v>9</v>
      </c>
      <c r="AU282" s="158">
        <v>5</v>
      </c>
      <c r="AV282" s="158">
        <v>0</v>
      </c>
      <c r="AW282" s="158">
        <v>0</v>
      </c>
      <c r="AX282" s="158">
        <v>0</v>
      </c>
      <c r="AY282" s="158">
        <v>1518</v>
      </c>
      <c r="AZ282" s="158">
        <v>2695</v>
      </c>
      <c r="BA282" s="158">
        <v>4637</v>
      </c>
      <c r="BB282" s="158">
        <v>4292</v>
      </c>
      <c r="BC282" s="158">
        <v>345</v>
      </c>
      <c r="BD282" s="158">
        <v>5032</v>
      </c>
      <c r="BE282" s="158">
        <v>-1457980</v>
      </c>
      <c r="BF282" s="158">
        <v>-588184</v>
      </c>
      <c r="BG282" s="158">
        <v>0</v>
      </c>
      <c r="BH282" s="158">
        <v>0</v>
      </c>
      <c r="BI282" s="158">
        <v>-762476</v>
      </c>
      <c r="BJ282" s="158">
        <v>-115414</v>
      </c>
      <c r="BK282" s="158">
        <v>8953696</v>
      </c>
      <c r="BL282" s="1438">
        <v>48517375</v>
      </c>
      <c r="BM282" s="1439">
        <v>1621500</v>
      </c>
      <c r="BN282" s="784" t="s">
        <v>509</v>
      </c>
      <c r="BO282" s="784" t="s">
        <v>2352</v>
      </c>
      <c r="BP282" s="1400" t="s">
        <v>2635</v>
      </c>
      <c r="BQ282" s="509"/>
      <c r="BR282" s="509"/>
      <c r="BS282" s="509"/>
      <c r="BT282" s="509"/>
      <c r="BU282" s="509"/>
      <c r="BV282" s="509"/>
      <c r="BW282" s="509"/>
      <c r="BX282" s="509"/>
      <c r="BY282" s="509"/>
      <c r="BZ282" s="509"/>
      <c r="CA282" s="509"/>
      <c r="CB282" s="509"/>
      <c r="CC282" s="509"/>
      <c r="CD282" s="509"/>
      <c r="CE282" s="509"/>
      <c r="CF282" s="509"/>
      <c r="CG282" s="509"/>
      <c r="CH282" s="509"/>
      <c r="CI282" s="509"/>
      <c r="CJ282" s="509"/>
      <c r="CK282" s="509"/>
      <c r="CL282" s="509"/>
      <c r="CM282" s="509"/>
      <c r="CN282" s="509"/>
      <c r="CO282" s="509"/>
      <c r="CP282" s="509"/>
      <c r="CQ282" s="509"/>
      <c r="CR282" s="509"/>
      <c r="CS282" s="509"/>
      <c r="CT282" s="137"/>
    </row>
    <row r="283" spans="1:98" s="137" customFormat="1" ht="12.75" customHeight="1" x14ac:dyDescent="0.2">
      <c r="A283" s="1421">
        <v>279</v>
      </c>
      <c r="B283" s="649" t="s">
        <v>451</v>
      </c>
      <c r="C283" s="1607" t="s">
        <v>452</v>
      </c>
      <c r="D283" s="1605">
        <v>174447</v>
      </c>
      <c r="E283" s="1405">
        <v>117713559</v>
      </c>
      <c r="F283" s="1405">
        <v>4357</v>
      </c>
      <c r="G283" s="158">
        <v>-4252736</v>
      </c>
      <c r="H283" s="158">
        <v>-3867037</v>
      </c>
      <c r="I283" s="158">
        <v>-89414</v>
      </c>
      <c r="J283" s="158">
        <v>-36395</v>
      </c>
      <c r="K283" s="158">
        <v>-11816</v>
      </c>
      <c r="L283" s="158">
        <v>0</v>
      </c>
      <c r="M283" s="158">
        <v>-828153</v>
      </c>
      <c r="N283" s="158">
        <v>-41461</v>
      </c>
      <c r="O283" s="158">
        <v>0</v>
      </c>
      <c r="P283" s="158">
        <v>-9383</v>
      </c>
      <c r="Q283" s="158">
        <v>0</v>
      </c>
      <c r="R283" s="158">
        <v>0</v>
      </c>
      <c r="S283" s="158">
        <v>0</v>
      </c>
      <c r="T283" s="158">
        <v>0</v>
      </c>
      <c r="U283" s="158">
        <v>-6054734</v>
      </c>
      <c r="V283" s="158">
        <v>45202425</v>
      </c>
      <c r="W283" s="158">
        <v>-1361828</v>
      </c>
      <c r="X283" s="158">
        <v>70023275</v>
      </c>
      <c r="Y283" s="158">
        <v>118587763</v>
      </c>
      <c r="Z283" s="158">
        <v>22322844</v>
      </c>
      <c r="AA283" s="158">
        <v>17858275</v>
      </c>
      <c r="AB283" s="158">
        <v>4464569</v>
      </c>
      <c r="AC283" s="158">
        <v>0</v>
      </c>
      <c r="AD283" s="158">
        <v>174021</v>
      </c>
      <c r="AE283" s="158">
        <v>0</v>
      </c>
      <c r="AF283" s="158">
        <v>298032</v>
      </c>
      <c r="AG283" s="158">
        <v>0</v>
      </c>
      <c r="AH283" s="158">
        <v>0</v>
      </c>
      <c r="AI283" s="158">
        <v>0</v>
      </c>
      <c r="AJ283" s="158">
        <v>0</v>
      </c>
      <c r="AK283" s="158">
        <v>-1810541</v>
      </c>
      <c r="AL283" s="158">
        <v>270</v>
      </c>
      <c r="AM283" s="158">
        <v>20</v>
      </c>
      <c r="AN283" s="158">
        <v>15</v>
      </c>
      <c r="AO283" s="158">
        <v>10</v>
      </c>
      <c r="AP283" s="158">
        <v>0</v>
      </c>
      <c r="AQ283" s="158">
        <v>168</v>
      </c>
      <c r="AR283" s="158">
        <v>21</v>
      </c>
      <c r="AS283" s="158">
        <v>0</v>
      </c>
      <c r="AT283" s="158">
        <v>0</v>
      </c>
      <c r="AU283" s="158">
        <v>0</v>
      </c>
      <c r="AV283" s="158">
        <v>0</v>
      </c>
      <c r="AW283" s="158">
        <v>0</v>
      </c>
      <c r="AX283" s="158">
        <v>0</v>
      </c>
      <c r="AY283" s="158">
        <v>761</v>
      </c>
      <c r="AZ283" s="158">
        <v>965</v>
      </c>
      <c r="BA283" s="158">
        <v>1597</v>
      </c>
      <c r="BB283" s="158">
        <v>1453</v>
      </c>
      <c r="BC283" s="158">
        <v>144</v>
      </c>
      <c r="BD283" s="158">
        <v>1859</v>
      </c>
      <c r="BE283" s="158">
        <v>-105112</v>
      </c>
      <c r="BF283" s="158">
        <v>-310220</v>
      </c>
      <c r="BG283" s="158">
        <v>0</v>
      </c>
      <c r="BH283" s="158">
        <v>0</v>
      </c>
      <c r="BI283" s="158">
        <v>-373726</v>
      </c>
      <c r="BJ283" s="158">
        <v>-39095</v>
      </c>
      <c r="BK283" s="158">
        <v>-1737497</v>
      </c>
      <c r="BL283" s="1438">
        <v>19476141</v>
      </c>
      <c r="BM283" s="1439">
        <v>0</v>
      </c>
      <c r="BN283" s="784" t="s">
        <v>2349</v>
      </c>
      <c r="BO283" s="784" t="s">
        <v>2350</v>
      </c>
      <c r="BP283" s="1400" t="s">
        <v>2636</v>
      </c>
      <c r="BQ283" s="509"/>
      <c r="BR283" s="509"/>
      <c r="BS283" s="509"/>
      <c r="BT283" s="509"/>
      <c r="BU283" s="509"/>
      <c r="BV283" s="509"/>
      <c r="BW283" s="509"/>
      <c r="BX283" s="509"/>
      <c r="BY283" s="509"/>
      <c r="BZ283" s="509"/>
      <c r="CA283" s="509"/>
      <c r="CB283" s="509"/>
      <c r="CC283" s="509"/>
      <c r="CD283" s="509"/>
      <c r="CE283" s="509"/>
      <c r="CF283" s="509"/>
      <c r="CG283" s="509"/>
      <c r="CH283" s="509"/>
      <c r="CI283" s="509"/>
      <c r="CJ283" s="509"/>
      <c r="CK283" s="509"/>
      <c r="CL283" s="509"/>
      <c r="CM283" s="509"/>
      <c r="CN283" s="509"/>
      <c r="CO283" s="509"/>
      <c r="CP283" s="509"/>
      <c r="CQ283" s="509"/>
      <c r="CR283" s="509"/>
      <c r="CS283" s="509"/>
    </row>
    <row r="284" spans="1:98" s="137" customFormat="1" ht="12.75" customHeight="1" x14ac:dyDescent="0.2">
      <c r="A284" s="1421">
        <v>280</v>
      </c>
      <c r="B284" s="655" t="s">
        <v>1183</v>
      </c>
      <c r="C284" s="1608" t="s">
        <v>1184</v>
      </c>
      <c r="D284" s="1605">
        <v>253361</v>
      </c>
      <c r="E284" s="1405">
        <v>204610206</v>
      </c>
      <c r="F284" s="1405">
        <v>6402</v>
      </c>
      <c r="G284" s="158">
        <v>-5663167</v>
      </c>
      <c r="H284" s="158">
        <v>-6177898</v>
      </c>
      <c r="I284" s="158">
        <v>-37941</v>
      </c>
      <c r="J284" s="158">
        <v>-61828</v>
      </c>
      <c r="K284" s="158">
        <v>-27370</v>
      </c>
      <c r="L284" s="158">
        <v>-6492</v>
      </c>
      <c r="M284" s="158">
        <v>-2481438</v>
      </c>
      <c r="N284" s="158">
        <v>-68621</v>
      </c>
      <c r="O284" s="158">
        <v>-28787</v>
      </c>
      <c r="P284" s="158">
        <v>-4065</v>
      </c>
      <c r="Q284" s="158">
        <v>0</v>
      </c>
      <c r="R284" s="158">
        <v>-78316</v>
      </c>
      <c r="S284" s="158">
        <v>-78316</v>
      </c>
      <c r="T284" s="158">
        <v>0</v>
      </c>
      <c r="U284" s="158">
        <v>-7765460</v>
      </c>
      <c r="V284" s="158">
        <v>83492668</v>
      </c>
      <c r="W284" s="158">
        <v>-3328225</v>
      </c>
      <c r="X284" s="158">
        <v>138165484</v>
      </c>
      <c r="Y284" s="158">
        <v>205028697</v>
      </c>
      <c r="Z284" s="158">
        <v>39222575</v>
      </c>
      <c r="AA284" s="158">
        <v>31440712</v>
      </c>
      <c r="AB284" s="158">
        <v>7860178</v>
      </c>
      <c r="AC284" s="158">
        <v>0</v>
      </c>
      <c r="AD284" s="158">
        <v>253518</v>
      </c>
      <c r="AE284" s="158">
        <v>2097863</v>
      </c>
      <c r="AF284" s="158">
        <v>740100</v>
      </c>
      <c r="AG284" s="158">
        <v>0</v>
      </c>
      <c r="AH284" s="158">
        <v>78316</v>
      </c>
      <c r="AI284" s="158">
        <v>0</v>
      </c>
      <c r="AJ284" s="158">
        <v>0</v>
      </c>
      <c r="AK284" s="158">
        <v>7806675</v>
      </c>
      <c r="AL284" s="158">
        <v>394</v>
      </c>
      <c r="AM284" s="158">
        <v>11</v>
      </c>
      <c r="AN284" s="158">
        <v>28</v>
      </c>
      <c r="AO284" s="158">
        <v>8</v>
      </c>
      <c r="AP284" s="158">
        <v>2</v>
      </c>
      <c r="AQ284" s="158">
        <v>283</v>
      </c>
      <c r="AR284" s="158">
        <v>93</v>
      </c>
      <c r="AS284" s="158">
        <v>11</v>
      </c>
      <c r="AT284" s="158">
        <v>10</v>
      </c>
      <c r="AU284" s="158">
        <v>0</v>
      </c>
      <c r="AV284" s="158">
        <v>1</v>
      </c>
      <c r="AW284" s="158">
        <v>5</v>
      </c>
      <c r="AX284" s="158">
        <v>0</v>
      </c>
      <c r="AY284" s="158">
        <v>847</v>
      </c>
      <c r="AZ284" s="158">
        <v>725</v>
      </c>
      <c r="BA284" s="158">
        <v>2157</v>
      </c>
      <c r="BB284" s="158">
        <v>1952</v>
      </c>
      <c r="BC284" s="158">
        <v>205</v>
      </c>
      <c r="BD284" s="158">
        <v>3494</v>
      </c>
      <c r="BE284" s="158">
        <v>-2251</v>
      </c>
      <c r="BF284" s="158">
        <v>-1035044</v>
      </c>
      <c r="BG284" s="158">
        <v>-52517</v>
      </c>
      <c r="BH284" s="158">
        <v>0</v>
      </c>
      <c r="BI284" s="158">
        <v>-1391626</v>
      </c>
      <c r="BJ284" s="158">
        <v>0</v>
      </c>
      <c r="BK284" s="158">
        <v>7033820</v>
      </c>
      <c r="BL284" s="1438">
        <v>30082450</v>
      </c>
      <c r="BM284" s="1439">
        <v>0</v>
      </c>
      <c r="BN284" s="784" t="s">
        <v>2349</v>
      </c>
      <c r="BO284" s="784" t="s">
        <v>2357</v>
      </c>
      <c r="BP284" s="1400" t="s">
        <v>2637</v>
      </c>
      <c r="BQ284" s="509"/>
      <c r="BR284" s="509"/>
      <c r="BS284" s="509"/>
      <c r="BT284" s="509"/>
      <c r="BU284" s="509"/>
      <c r="BV284" s="509"/>
      <c r="BW284" s="509"/>
      <c r="BX284" s="509"/>
      <c r="BY284" s="509"/>
      <c r="BZ284" s="509"/>
      <c r="CA284" s="509"/>
      <c r="CB284" s="509"/>
      <c r="CC284" s="509"/>
      <c r="CD284" s="509"/>
      <c r="CE284" s="509"/>
      <c r="CF284" s="509"/>
      <c r="CG284" s="509"/>
      <c r="CH284" s="509"/>
      <c r="CI284" s="509"/>
      <c r="CJ284" s="509"/>
      <c r="CK284" s="509"/>
      <c r="CL284" s="509"/>
      <c r="CM284" s="509"/>
      <c r="CN284" s="509"/>
      <c r="CO284" s="509"/>
      <c r="CP284" s="509"/>
      <c r="CQ284" s="509"/>
      <c r="CR284" s="509"/>
      <c r="CS284" s="509"/>
      <c r="CT284" s="509"/>
    </row>
    <row r="285" spans="1:98" s="137" customFormat="1" ht="12.75" customHeight="1" x14ac:dyDescent="0.2">
      <c r="A285" s="1421">
        <v>281</v>
      </c>
      <c r="B285" s="649" t="s">
        <v>453</v>
      </c>
      <c r="C285" s="1607" t="s">
        <v>454</v>
      </c>
      <c r="D285" s="1605">
        <v>2923460</v>
      </c>
      <c r="E285" s="1405">
        <v>4707460956</v>
      </c>
      <c r="F285" s="1405">
        <v>36109</v>
      </c>
      <c r="G285" s="158">
        <v>-5912950</v>
      </c>
      <c r="H285" s="158">
        <v>-93626864</v>
      </c>
      <c r="I285" s="158">
        <v>-23369</v>
      </c>
      <c r="J285" s="158">
        <v>0</v>
      </c>
      <c r="K285" s="158">
        <v>-121308</v>
      </c>
      <c r="L285" s="158">
        <v>-2000000</v>
      </c>
      <c r="M285" s="158">
        <v>-172571948</v>
      </c>
      <c r="N285" s="158">
        <v>-345741</v>
      </c>
      <c r="O285" s="158">
        <v>-1185</v>
      </c>
      <c r="P285" s="158">
        <v>0</v>
      </c>
      <c r="Q285" s="158">
        <v>0</v>
      </c>
      <c r="R285" s="158">
        <v>0</v>
      </c>
      <c r="S285" s="158">
        <v>0</v>
      </c>
      <c r="T285" s="158">
        <v>0</v>
      </c>
      <c r="U285" s="158">
        <v>-147385120</v>
      </c>
      <c r="V285" s="158">
        <v>2114733242</v>
      </c>
      <c r="W285" s="158">
        <v>-140319500</v>
      </c>
      <c r="X285" s="158">
        <v>4307300700</v>
      </c>
      <c r="Y285" s="158">
        <v>4698066602</v>
      </c>
      <c r="Z285" s="158">
        <v>646558940</v>
      </c>
      <c r="AA285" s="158">
        <v>587780855</v>
      </c>
      <c r="AB285" s="158">
        <v>724929721</v>
      </c>
      <c r="AC285" s="158">
        <v>0</v>
      </c>
      <c r="AD285" s="158">
        <v>2954126</v>
      </c>
      <c r="AE285" s="158">
        <v>0</v>
      </c>
      <c r="AF285" s="158">
        <v>0</v>
      </c>
      <c r="AG285" s="158">
        <v>0</v>
      </c>
      <c r="AH285" s="158">
        <v>0</v>
      </c>
      <c r="AI285" s="158">
        <v>0</v>
      </c>
      <c r="AJ285" s="158">
        <v>0</v>
      </c>
      <c r="AK285" s="158">
        <v>152920937</v>
      </c>
      <c r="AL285" s="158">
        <v>1055</v>
      </c>
      <c r="AM285" s="158">
        <v>1</v>
      </c>
      <c r="AN285" s="158">
        <v>0</v>
      </c>
      <c r="AO285" s="158">
        <v>30</v>
      </c>
      <c r="AP285" s="158">
        <v>0</v>
      </c>
      <c r="AQ285" s="158">
        <v>7544</v>
      </c>
      <c r="AR285" s="158">
        <v>61</v>
      </c>
      <c r="AS285" s="158">
        <v>1</v>
      </c>
      <c r="AT285" s="158">
        <v>0</v>
      </c>
      <c r="AU285" s="158">
        <v>0</v>
      </c>
      <c r="AV285" s="158">
        <v>0</v>
      </c>
      <c r="AW285" s="158">
        <v>0</v>
      </c>
      <c r="AX285" s="158">
        <v>1</v>
      </c>
      <c r="AY285" s="158">
        <v>4782</v>
      </c>
      <c r="AZ285" s="158">
        <v>19626</v>
      </c>
      <c r="BA285" s="158">
        <v>1442</v>
      </c>
      <c r="BB285" s="158">
        <v>1167</v>
      </c>
      <c r="BC285" s="158">
        <v>275</v>
      </c>
      <c r="BD285" s="158">
        <v>15088</v>
      </c>
      <c r="BE285" s="158">
        <v>-25180</v>
      </c>
      <c r="BF285" s="158">
        <v>-144348087</v>
      </c>
      <c r="BG285" s="158">
        <v>0</v>
      </c>
      <c r="BH285" s="158">
        <v>-139778</v>
      </c>
      <c r="BI285" s="158">
        <v>-576948</v>
      </c>
      <c r="BJ285" s="158">
        <v>-27481955</v>
      </c>
      <c r="BK285" s="158">
        <v>115860744</v>
      </c>
      <c r="BL285" s="1438">
        <v>160446750</v>
      </c>
      <c r="BM285" s="1439">
        <v>0</v>
      </c>
      <c r="BN285" s="784" t="s">
        <v>2401</v>
      </c>
      <c r="BO285" s="784" t="s">
        <v>2360</v>
      </c>
      <c r="BP285" s="1400" t="s">
        <v>2638</v>
      </c>
      <c r="BQ285" s="509"/>
      <c r="BR285" s="509"/>
      <c r="BS285" s="509"/>
      <c r="BT285" s="509"/>
      <c r="BU285" s="509"/>
      <c r="BV285" s="509"/>
      <c r="BW285" s="509"/>
      <c r="BX285" s="509"/>
      <c r="BY285" s="509"/>
      <c r="BZ285" s="509"/>
      <c r="CA285" s="509"/>
      <c r="CB285" s="509"/>
      <c r="CC285" s="509"/>
      <c r="CD285" s="509"/>
      <c r="CE285" s="509"/>
      <c r="CF285" s="509"/>
      <c r="CG285" s="509"/>
      <c r="CH285" s="509"/>
      <c r="CI285" s="509"/>
      <c r="CJ285" s="509"/>
      <c r="CK285" s="509"/>
      <c r="CL285" s="509"/>
      <c r="CM285" s="509"/>
      <c r="CN285" s="509"/>
      <c r="CO285" s="509"/>
      <c r="CP285" s="509"/>
      <c r="CQ285" s="509"/>
      <c r="CR285" s="509"/>
      <c r="CS285" s="509"/>
    </row>
    <row r="286" spans="1:98" s="137" customFormat="1" ht="12.75" customHeight="1" x14ac:dyDescent="0.2">
      <c r="A286" s="1421">
        <v>282</v>
      </c>
      <c r="B286" s="655" t="s">
        <v>2337</v>
      </c>
      <c r="C286" s="1608" t="s">
        <v>2336</v>
      </c>
      <c r="D286" s="1605">
        <v>530319</v>
      </c>
      <c r="E286" s="1405">
        <v>250196764</v>
      </c>
      <c r="F286" s="1405">
        <v>15087</v>
      </c>
      <c r="G286" s="158">
        <v>-16575225</v>
      </c>
      <c r="H286" s="158">
        <v>-7092865</v>
      </c>
      <c r="I286" s="158">
        <v>-352794</v>
      </c>
      <c r="J286" s="158">
        <v>-121307</v>
      </c>
      <c r="K286" s="158">
        <v>-52214</v>
      </c>
      <c r="L286" s="158">
        <v>-4399</v>
      </c>
      <c r="M286" s="158">
        <v>-2289392</v>
      </c>
      <c r="N286" s="158">
        <v>-337241</v>
      </c>
      <c r="O286" s="158">
        <v>-59613</v>
      </c>
      <c r="P286" s="158">
        <v>-68889</v>
      </c>
      <c r="Q286" s="158">
        <v>-9458</v>
      </c>
      <c r="R286" s="158">
        <v>0</v>
      </c>
      <c r="S286" s="158">
        <v>0</v>
      </c>
      <c r="T286" s="158">
        <v>0</v>
      </c>
      <c r="U286" s="158">
        <v>-15935424</v>
      </c>
      <c r="V286" s="158">
        <v>82819640</v>
      </c>
      <c r="W286" s="158">
        <v>-1905000</v>
      </c>
      <c r="X286" s="158">
        <v>135638175</v>
      </c>
      <c r="Y286" s="158">
        <v>249873368</v>
      </c>
      <c r="Z286" s="158">
        <v>42038809</v>
      </c>
      <c r="AA286" s="158">
        <v>41198033</v>
      </c>
      <c r="AB286" s="158">
        <v>0</v>
      </c>
      <c r="AC286" s="158">
        <v>840776</v>
      </c>
      <c r="AD286" s="158">
        <v>537334</v>
      </c>
      <c r="AE286" s="158">
        <v>0</v>
      </c>
      <c r="AF286" s="158">
        <v>379356</v>
      </c>
      <c r="AG286" s="158">
        <v>0</v>
      </c>
      <c r="AH286" s="158">
        <v>0</v>
      </c>
      <c r="AI286" s="158">
        <v>0</v>
      </c>
      <c r="AJ286" s="158">
        <v>0</v>
      </c>
      <c r="AK286" s="158">
        <v>-7027467</v>
      </c>
      <c r="AL286" s="158">
        <v>795</v>
      </c>
      <c r="AM286" s="158">
        <v>64</v>
      </c>
      <c r="AN286" s="158">
        <v>50</v>
      </c>
      <c r="AO286" s="158">
        <v>39</v>
      </c>
      <c r="AP286" s="158">
        <v>1</v>
      </c>
      <c r="AQ286" s="158">
        <v>765</v>
      </c>
      <c r="AR286" s="158">
        <v>366</v>
      </c>
      <c r="AS286" s="158">
        <v>19</v>
      </c>
      <c r="AT286" s="158">
        <v>58</v>
      </c>
      <c r="AU286" s="158">
        <v>0</v>
      </c>
      <c r="AV286" s="158">
        <v>4</v>
      </c>
      <c r="AW286" s="158">
        <v>0</v>
      </c>
      <c r="AX286" s="158">
        <v>0</v>
      </c>
      <c r="AY286" s="158">
        <v>1978</v>
      </c>
      <c r="AZ286" s="158">
        <v>738</v>
      </c>
      <c r="BA286" s="158">
        <v>7781</v>
      </c>
      <c r="BB286" s="158">
        <v>7488</v>
      </c>
      <c r="BC286" s="158">
        <v>293</v>
      </c>
      <c r="BD286" s="158">
        <v>6751</v>
      </c>
      <c r="BE286" s="158">
        <v>0</v>
      </c>
      <c r="BF286" s="158">
        <v>-423166</v>
      </c>
      <c r="BG286" s="158">
        <v>0</v>
      </c>
      <c r="BH286" s="158">
        <v>-42298</v>
      </c>
      <c r="BI286" s="158">
        <v>-1823928</v>
      </c>
      <c r="BJ286" s="158">
        <v>0</v>
      </c>
      <c r="BK286" s="158">
        <v>391459</v>
      </c>
      <c r="BL286" s="1438">
        <v>38287325</v>
      </c>
      <c r="BM286" s="1439">
        <v>0</v>
      </c>
      <c r="BN286" s="784" t="s">
        <v>509</v>
      </c>
      <c r="BO286" s="784" t="s">
        <v>2376</v>
      </c>
      <c r="BP286" s="1400" t="s">
        <v>2654</v>
      </c>
      <c r="BQ286" s="509"/>
      <c r="BR286" s="509"/>
      <c r="BS286" s="509"/>
      <c r="BT286" s="509"/>
      <c r="BU286" s="509"/>
      <c r="BV286" s="509"/>
      <c r="BW286" s="509"/>
      <c r="BX286" s="509"/>
      <c r="BY286" s="509"/>
      <c r="BZ286" s="509"/>
      <c r="CA286" s="509"/>
      <c r="CB286" s="509"/>
      <c r="CC286" s="509"/>
      <c r="CD286" s="509"/>
      <c r="CE286" s="509"/>
      <c r="CF286" s="509"/>
      <c r="CG286" s="509"/>
      <c r="CH286" s="509"/>
      <c r="CI286" s="509"/>
      <c r="CJ286" s="509"/>
      <c r="CK286" s="509"/>
      <c r="CL286" s="509"/>
      <c r="CM286" s="509"/>
      <c r="CN286" s="509"/>
      <c r="CO286" s="509"/>
      <c r="CP286" s="509"/>
      <c r="CQ286" s="509"/>
      <c r="CR286" s="509"/>
      <c r="CS286" s="509"/>
      <c r="CT286" s="509"/>
    </row>
    <row r="287" spans="1:98" s="137" customFormat="1" ht="12.75" customHeight="1" x14ac:dyDescent="0.2">
      <c r="A287" s="1421">
        <v>283</v>
      </c>
      <c r="B287" s="649" t="s">
        <v>455</v>
      </c>
      <c r="C287" s="1607" t="s">
        <v>456</v>
      </c>
      <c r="D287" s="1605">
        <v>364188</v>
      </c>
      <c r="E287" s="1405">
        <v>222885516</v>
      </c>
      <c r="F287" s="1405">
        <v>9706</v>
      </c>
      <c r="G287" s="158">
        <v>-12287705</v>
      </c>
      <c r="H287" s="158">
        <v>-6921341</v>
      </c>
      <c r="I287" s="158">
        <v>-166487</v>
      </c>
      <c r="J287" s="158">
        <v>0</v>
      </c>
      <c r="K287" s="158">
        <v>-14836</v>
      </c>
      <c r="L287" s="158">
        <v>0</v>
      </c>
      <c r="M287" s="158">
        <v>-1686387</v>
      </c>
      <c r="N287" s="158">
        <v>-660760</v>
      </c>
      <c r="O287" s="158">
        <v>-328586</v>
      </c>
      <c r="P287" s="158">
        <v>-32638</v>
      </c>
      <c r="Q287" s="158">
        <v>0</v>
      </c>
      <c r="R287" s="158">
        <v>0</v>
      </c>
      <c r="S287" s="158">
        <v>0</v>
      </c>
      <c r="T287" s="158">
        <v>0</v>
      </c>
      <c r="U287" s="158">
        <v>-8100653</v>
      </c>
      <c r="V287" s="158">
        <v>84659054</v>
      </c>
      <c r="W287" s="158">
        <v>-736615</v>
      </c>
      <c r="X287" s="158">
        <v>137772300</v>
      </c>
      <c r="Y287" s="158">
        <v>223154030</v>
      </c>
      <c r="Z287" s="158">
        <v>0</v>
      </c>
      <c r="AA287" s="158">
        <v>83751694</v>
      </c>
      <c r="AB287" s="158">
        <v>0</v>
      </c>
      <c r="AC287" s="158">
        <v>845977</v>
      </c>
      <c r="AD287" s="158">
        <v>367208</v>
      </c>
      <c r="AE287" s="158">
        <v>0</v>
      </c>
      <c r="AF287" s="158">
        <v>39529</v>
      </c>
      <c r="AG287" s="158">
        <v>0</v>
      </c>
      <c r="AH287" s="158">
        <v>0</v>
      </c>
      <c r="AI287" s="158">
        <v>0</v>
      </c>
      <c r="AJ287" s="158">
        <v>0</v>
      </c>
      <c r="AK287" s="158">
        <v>-2427534</v>
      </c>
      <c r="AL287" s="158">
        <v>339</v>
      </c>
      <c r="AM287" s="158">
        <v>10</v>
      </c>
      <c r="AN287" s="158">
        <v>0</v>
      </c>
      <c r="AO287" s="158">
        <v>10</v>
      </c>
      <c r="AP287" s="158">
        <v>0</v>
      </c>
      <c r="AQ287" s="158">
        <v>1041</v>
      </c>
      <c r="AR287" s="158">
        <v>178</v>
      </c>
      <c r="AS287" s="158">
        <v>17</v>
      </c>
      <c r="AT287" s="158">
        <v>6</v>
      </c>
      <c r="AU287" s="158">
        <v>0</v>
      </c>
      <c r="AV287" s="158">
        <v>0</v>
      </c>
      <c r="AW287" s="158">
        <v>0</v>
      </c>
      <c r="AX287" s="158">
        <v>0</v>
      </c>
      <c r="AY287" s="158">
        <v>1084</v>
      </c>
      <c r="AZ287" s="158">
        <v>762</v>
      </c>
      <c r="BA287" s="158">
        <v>4491</v>
      </c>
      <c r="BB287" s="158">
        <v>4246</v>
      </c>
      <c r="BC287" s="158">
        <v>245</v>
      </c>
      <c r="BD287" s="158">
        <v>4580</v>
      </c>
      <c r="BE287" s="158">
        <v>-154136</v>
      </c>
      <c r="BF287" s="158">
        <v>-686551</v>
      </c>
      <c r="BG287" s="158">
        <v>0</v>
      </c>
      <c r="BH287" s="158">
        <v>-2270</v>
      </c>
      <c r="BI287" s="158">
        <v>-843430</v>
      </c>
      <c r="BJ287" s="158">
        <v>0</v>
      </c>
      <c r="BK287" s="158">
        <v>-4583005</v>
      </c>
      <c r="BL287" s="1438">
        <v>30397200</v>
      </c>
      <c r="BM287" s="1439">
        <v>0</v>
      </c>
      <c r="BN287" s="784" t="s">
        <v>2363</v>
      </c>
      <c r="BO287" s="784" t="s">
        <v>2376</v>
      </c>
      <c r="BP287" s="1400" t="s">
        <v>2639</v>
      </c>
      <c r="BQ287" s="509"/>
      <c r="BR287" s="509"/>
      <c r="BS287" s="509"/>
      <c r="BT287" s="509"/>
      <c r="BU287" s="509"/>
      <c r="BV287" s="509"/>
      <c r="BW287" s="509"/>
      <c r="BX287" s="509"/>
      <c r="BY287" s="509"/>
      <c r="BZ287" s="509"/>
      <c r="CA287" s="509"/>
      <c r="CB287" s="509"/>
      <c r="CC287" s="509"/>
      <c r="CD287" s="509"/>
      <c r="CE287" s="509"/>
      <c r="CF287" s="509"/>
      <c r="CG287" s="509"/>
      <c r="CH287" s="509"/>
      <c r="CI287" s="509"/>
      <c r="CJ287" s="509"/>
      <c r="CK287" s="509"/>
      <c r="CL287" s="509"/>
      <c r="CM287" s="509"/>
      <c r="CN287" s="509"/>
      <c r="CO287" s="509"/>
      <c r="CP287" s="509"/>
      <c r="CQ287" s="509"/>
      <c r="CR287" s="509"/>
      <c r="CS287" s="509"/>
    </row>
    <row r="288" spans="1:98" s="137" customFormat="1" ht="12.75" customHeight="1" x14ac:dyDescent="0.2">
      <c r="A288" s="1421">
        <v>284</v>
      </c>
      <c r="B288" s="649" t="s">
        <v>457</v>
      </c>
      <c r="C288" s="1607" t="s">
        <v>458</v>
      </c>
      <c r="D288" s="1605">
        <v>647869</v>
      </c>
      <c r="E288" s="1405">
        <v>454118010</v>
      </c>
      <c r="F288" s="1405">
        <v>16655</v>
      </c>
      <c r="G288" s="158">
        <v>-18734328</v>
      </c>
      <c r="H288" s="158">
        <v>-14492639</v>
      </c>
      <c r="I288" s="158">
        <v>-108852</v>
      </c>
      <c r="J288" s="158">
        <v>-217893</v>
      </c>
      <c r="K288" s="158">
        <v>-77691</v>
      </c>
      <c r="L288" s="158">
        <v>-46000</v>
      </c>
      <c r="M288" s="158">
        <v>-4127767</v>
      </c>
      <c r="N288" s="158">
        <v>-302773</v>
      </c>
      <c r="O288" s="158">
        <v>-48916</v>
      </c>
      <c r="P288" s="158">
        <v>-2350</v>
      </c>
      <c r="Q288" s="158">
        <v>0</v>
      </c>
      <c r="R288" s="158">
        <v>-33000</v>
      </c>
      <c r="S288" s="158">
        <v>0</v>
      </c>
      <c r="T288" s="158">
        <v>0</v>
      </c>
      <c r="U288" s="158">
        <v>-14460064</v>
      </c>
      <c r="V288" s="158">
        <v>177954443</v>
      </c>
      <c r="W288" s="158">
        <v>-8007900</v>
      </c>
      <c r="X288" s="158">
        <v>288184275</v>
      </c>
      <c r="Y288" s="158">
        <v>452097939</v>
      </c>
      <c r="Z288" s="158">
        <v>85635519</v>
      </c>
      <c r="AA288" s="158">
        <v>83922809</v>
      </c>
      <c r="AB288" s="158">
        <v>0</v>
      </c>
      <c r="AC288" s="158">
        <v>1712710</v>
      </c>
      <c r="AD288" s="158">
        <v>643769</v>
      </c>
      <c r="AE288" s="158">
        <v>0</v>
      </c>
      <c r="AF288" s="158">
        <v>2237991</v>
      </c>
      <c r="AG288" s="158">
        <v>0</v>
      </c>
      <c r="AH288" s="158">
        <v>0</v>
      </c>
      <c r="AI288" s="158">
        <v>0</v>
      </c>
      <c r="AJ288" s="158">
        <v>0</v>
      </c>
      <c r="AK288" s="158">
        <v>-7669132</v>
      </c>
      <c r="AL288" s="158">
        <v>1050</v>
      </c>
      <c r="AM288" s="158">
        <v>35</v>
      </c>
      <c r="AN288" s="158">
        <v>88</v>
      </c>
      <c r="AO288" s="158">
        <v>38</v>
      </c>
      <c r="AP288" s="158">
        <v>0</v>
      </c>
      <c r="AQ288" s="158">
        <v>1407</v>
      </c>
      <c r="AR288" s="158">
        <v>380</v>
      </c>
      <c r="AS288" s="158">
        <v>6</v>
      </c>
      <c r="AT288" s="158">
        <v>9</v>
      </c>
      <c r="AU288" s="158">
        <v>0</v>
      </c>
      <c r="AV288" s="158">
        <v>0</v>
      </c>
      <c r="AW288" s="158">
        <v>0</v>
      </c>
      <c r="AX288" s="158">
        <v>0</v>
      </c>
      <c r="AY288" s="158">
        <v>1752</v>
      </c>
      <c r="AZ288" s="158">
        <v>1465</v>
      </c>
      <c r="BA288" s="158">
        <v>7062</v>
      </c>
      <c r="BB288" s="158">
        <v>6391</v>
      </c>
      <c r="BC288" s="158">
        <v>671</v>
      </c>
      <c r="BD288" s="158">
        <v>8024</v>
      </c>
      <c r="BE288" s="158">
        <v>-309082</v>
      </c>
      <c r="BF288" s="158">
        <v>-2209788</v>
      </c>
      <c r="BG288" s="158">
        <v>0</v>
      </c>
      <c r="BH288" s="158">
        <v>-9384</v>
      </c>
      <c r="BI288" s="158">
        <v>-1599513</v>
      </c>
      <c r="BJ288" s="158">
        <v>0</v>
      </c>
      <c r="BK288" s="158">
        <v>-4209083</v>
      </c>
      <c r="BL288" s="1438">
        <v>52849025</v>
      </c>
      <c r="BM288" s="1439">
        <v>0</v>
      </c>
      <c r="BN288" s="784" t="s">
        <v>509</v>
      </c>
      <c r="BO288" s="784" t="s">
        <v>2369</v>
      </c>
      <c r="BP288" s="1400" t="s">
        <v>2640</v>
      </c>
      <c r="BQ288" s="509"/>
      <c r="BR288" s="509"/>
      <c r="BS288" s="509"/>
      <c r="BT288" s="509"/>
      <c r="BU288" s="509"/>
      <c r="BV288" s="509"/>
      <c r="BW288" s="509"/>
      <c r="BX288" s="509"/>
      <c r="BY288" s="509"/>
      <c r="BZ288" s="509"/>
      <c r="CA288" s="509"/>
      <c r="CB288" s="509"/>
      <c r="CC288" s="509"/>
      <c r="CD288" s="509"/>
      <c r="CE288" s="509"/>
      <c r="CF288" s="509"/>
      <c r="CG288" s="509"/>
      <c r="CH288" s="509"/>
      <c r="CI288" s="509"/>
      <c r="CJ288" s="509"/>
      <c r="CK288" s="509"/>
      <c r="CL288" s="509"/>
      <c r="CM288" s="509"/>
      <c r="CN288" s="509"/>
      <c r="CO288" s="509"/>
      <c r="CP288" s="509"/>
      <c r="CQ288" s="509"/>
      <c r="CR288" s="509"/>
      <c r="CS288" s="509"/>
    </row>
    <row r="289" spans="1:98" s="137" customFormat="1" ht="12.75" customHeight="1" x14ac:dyDescent="0.2">
      <c r="A289" s="1421">
        <v>285</v>
      </c>
      <c r="B289" s="649" t="s">
        <v>459</v>
      </c>
      <c r="C289" s="1607" t="s">
        <v>460</v>
      </c>
      <c r="D289" s="1605">
        <v>209938</v>
      </c>
      <c r="E289" s="1405">
        <v>167672430</v>
      </c>
      <c r="F289" s="1405">
        <v>5120</v>
      </c>
      <c r="G289" s="158">
        <v>-4557415</v>
      </c>
      <c r="H289" s="158">
        <v>-5430261</v>
      </c>
      <c r="I289" s="158">
        <v>-48460</v>
      </c>
      <c r="J289" s="158">
        <v>-12960</v>
      </c>
      <c r="K289" s="158">
        <v>-18593</v>
      </c>
      <c r="L289" s="158">
        <v>0</v>
      </c>
      <c r="M289" s="158">
        <v>-2540857</v>
      </c>
      <c r="N289" s="158">
        <v>-65408</v>
      </c>
      <c r="O289" s="158">
        <v>-646485</v>
      </c>
      <c r="P289" s="158">
        <v>-4291</v>
      </c>
      <c r="Q289" s="158">
        <v>0</v>
      </c>
      <c r="R289" s="158">
        <v>0</v>
      </c>
      <c r="S289" s="158">
        <v>0</v>
      </c>
      <c r="T289" s="158">
        <v>0</v>
      </c>
      <c r="U289" s="158">
        <v>-6296628</v>
      </c>
      <c r="V289" s="158">
        <v>66913076</v>
      </c>
      <c r="W289" s="158">
        <v>-975923</v>
      </c>
      <c r="X289" s="158">
        <v>112293950</v>
      </c>
      <c r="Y289" s="158">
        <v>168259648</v>
      </c>
      <c r="Z289" s="158">
        <v>33207104</v>
      </c>
      <c r="AA289" s="158">
        <v>26565683</v>
      </c>
      <c r="AB289" s="158">
        <v>5977279</v>
      </c>
      <c r="AC289" s="158">
        <v>664142</v>
      </c>
      <c r="AD289" s="158">
        <v>209336</v>
      </c>
      <c r="AE289" s="158">
        <v>0</v>
      </c>
      <c r="AF289" s="158">
        <v>443135</v>
      </c>
      <c r="AG289" s="158">
        <v>0</v>
      </c>
      <c r="AH289" s="158">
        <v>0</v>
      </c>
      <c r="AI289" s="158">
        <v>0</v>
      </c>
      <c r="AJ289" s="158">
        <v>0</v>
      </c>
      <c r="AK289" s="158">
        <v>2639004</v>
      </c>
      <c r="AL289" s="158">
        <v>215</v>
      </c>
      <c r="AM289" s="158">
        <v>21</v>
      </c>
      <c r="AN289" s="158">
        <v>5</v>
      </c>
      <c r="AO289" s="158">
        <v>10</v>
      </c>
      <c r="AP289" s="158">
        <v>0</v>
      </c>
      <c r="AQ289" s="158">
        <v>230</v>
      </c>
      <c r="AR289" s="158">
        <v>86</v>
      </c>
      <c r="AS289" s="158">
        <v>4</v>
      </c>
      <c r="AT289" s="158">
        <v>7</v>
      </c>
      <c r="AU289" s="158">
        <v>0</v>
      </c>
      <c r="AV289" s="158">
        <v>0</v>
      </c>
      <c r="AW289" s="158">
        <v>0</v>
      </c>
      <c r="AX289" s="158">
        <v>0</v>
      </c>
      <c r="AY289" s="158">
        <v>697</v>
      </c>
      <c r="AZ289" s="158">
        <v>1230</v>
      </c>
      <c r="BA289" s="158">
        <v>1712</v>
      </c>
      <c r="BB289" s="158">
        <v>1522</v>
      </c>
      <c r="BC289" s="158">
        <v>190</v>
      </c>
      <c r="BD289" s="158">
        <v>2168</v>
      </c>
      <c r="BE289" s="158">
        <v>-251583</v>
      </c>
      <c r="BF289" s="158">
        <v>-563655</v>
      </c>
      <c r="BG289" s="158">
        <v>0</v>
      </c>
      <c r="BH289" s="158">
        <v>-106470</v>
      </c>
      <c r="BI289" s="158">
        <v>-334356</v>
      </c>
      <c r="BJ289" s="158">
        <v>-1284793</v>
      </c>
      <c r="BK289" s="158">
        <v>3737425</v>
      </c>
      <c r="BL289" s="1438">
        <v>22255300</v>
      </c>
      <c r="BM289" s="1439">
        <v>0</v>
      </c>
      <c r="BN289" s="784" t="s">
        <v>2349</v>
      </c>
      <c r="BO289" s="784" t="s">
        <v>2350</v>
      </c>
      <c r="BP289" s="1400" t="s">
        <v>2641</v>
      </c>
      <c r="BQ289" s="509"/>
      <c r="BR289" s="509"/>
      <c r="BS289" s="509"/>
      <c r="BT289" s="509"/>
      <c r="BU289" s="509"/>
      <c r="BV289" s="509"/>
      <c r="BW289" s="509"/>
      <c r="BX289" s="509"/>
      <c r="BY289" s="509"/>
      <c r="BZ289" s="509"/>
      <c r="CA289" s="509"/>
      <c r="CB289" s="509"/>
      <c r="CC289" s="509"/>
      <c r="CD289" s="509"/>
      <c r="CE289" s="509"/>
      <c r="CF289" s="509"/>
      <c r="CG289" s="509"/>
      <c r="CH289" s="509"/>
      <c r="CI289" s="509"/>
      <c r="CJ289" s="509"/>
      <c r="CK289" s="509"/>
      <c r="CL289" s="509"/>
      <c r="CM289" s="509"/>
      <c r="CN289" s="509"/>
      <c r="CO289" s="509"/>
      <c r="CP289" s="509"/>
      <c r="CQ289" s="509"/>
      <c r="CR289" s="509"/>
      <c r="CS289" s="509"/>
    </row>
    <row r="290" spans="1:98" s="137" customFormat="1" ht="12.75" customHeight="1" x14ac:dyDescent="0.2">
      <c r="A290" s="1421">
        <v>286</v>
      </c>
      <c r="B290" s="649" t="s">
        <v>960</v>
      </c>
      <c r="C290" s="1607" t="s">
        <v>462</v>
      </c>
      <c r="D290" s="1605">
        <v>223857</v>
      </c>
      <c r="E290" s="1405">
        <v>208204081</v>
      </c>
      <c r="F290" s="1405">
        <v>4762</v>
      </c>
      <c r="G290" s="158">
        <v>-3627370</v>
      </c>
      <c r="H290" s="158">
        <v>-8473165</v>
      </c>
      <c r="I290" s="158">
        <v>0</v>
      </c>
      <c r="J290" s="158">
        <v>0</v>
      </c>
      <c r="K290" s="158">
        <v>-31868</v>
      </c>
      <c r="L290" s="158">
        <v>0</v>
      </c>
      <c r="M290" s="158">
        <v>-6111012</v>
      </c>
      <c r="N290" s="158">
        <v>-546838</v>
      </c>
      <c r="O290" s="158">
        <v>-182614</v>
      </c>
      <c r="P290" s="158">
        <v>0</v>
      </c>
      <c r="Q290" s="158">
        <v>-7834</v>
      </c>
      <c r="R290" s="158">
        <v>-8333</v>
      </c>
      <c r="S290" s="158">
        <v>0</v>
      </c>
      <c r="T290" s="158">
        <v>0</v>
      </c>
      <c r="U290" s="158">
        <v>-10125481</v>
      </c>
      <c r="V290" s="158">
        <v>80304182</v>
      </c>
      <c r="W290" s="158">
        <v>-2000000</v>
      </c>
      <c r="X290" s="158">
        <v>153839750</v>
      </c>
      <c r="Y290" s="158">
        <v>209891675</v>
      </c>
      <c r="Z290" s="158">
        <v>40083292</v>
      </c>
      <c r="AA290" s="158">
        <v>39281626</v>
      </c>
      <c r="AB290" s="158">
        <v>0</v>
      </c>
      <c r="AC290" s="158">
        <v>801666</v>
      </c>
      <c r="AD290" s="158">
        <v>225286</v>
      </c>
      <c r="AE290" s="158">
        <v>0</v>
      </c>
      <c r="AF290" s="158">
        <v>23578</v>
      </c>
      <c r="AG290" s="158">
        <v>0</v>
      </c>
      <c r="AH290" s="158">
        <v>0</v>
      </c>
      <c r="AI290" s="158">
        <v>0</v>
      </c>
      <c r="AJ290" s="158">
        <v>0</v>
      </c>
      <c r="AK290" s="158">
        <v>4913265</v>
      </c>
      <c r="AL290" s="158">
        <v>276</v>
      </c>
      <c r="AM290" s="158">
        <v>0</v>
      </c>
      <c r="AN290" s="158">
        <v>0</v>
      </c>
      <c r="AO290" s="158">
        <v>15</v>
      </c>
      <c r="AP290" s="158">
        <v>0</v>
      </c>
      <c r="AQ290" s="158">
        <v>229</v>
      </c>
      <c r="AR290" s="158">
        <v>122</v>
      </c>
      <c r="AS290" s="158">
        <v>40</v>
      </c>
      <c r="AT290" s="158">
        <v>0</v>
      </c>
      <c r="AU290" s="158">
        <v>0</v>
      </c>
      <c r="AV290" s="158">
        <v>2</v>
      </c>
      <c r="AW290" s="158">
        <v>0</v>
      </c>
      <c r="AX290" s="158">
        <v>0</v>
      </c>
      <c r="AY290" s="158">
        <v>974</v>
      </c>
      <c r="AZ290" s="158">
        <v>788</v>
      </c>
      <c r="BA290" s="158">
        <v>1098</v>
      </c>
      <c r="BB290" s="158">
        <v>972</v>
      </c>
      <c r="BC290" s="158">
        <v>126</v>
      </c>
      <c r="BD290" s="158">
        <v>2852</v>
      </c>
      <c r="BE290" s="158">
        <v>-30662</v>
      </c>
      <c r="BF290" s="158">
        <v>-1244006</v>
      </c>
      <c r="BG290" s="158">
        <v>0</v>
      </c>
      <c r="BH290" s="158">
        <v>-234780</v>
      </c>
      <c r="BI290" s="158">
        <v>-738679</v>
      </c>
      <c r="BJ290" s="158">
        <v>-212885</v>
      </c>
      <c r="BK290" s="158">
        <v>1130996</v>
      </c>
      <c r="BL290" s="1438">
        <v>28458600</v>
      </c>
      <c r="BM290" s="1439">
        <v>0</v>
      </c>
      <c r="BN290" s="784" t="s">
        <v>509</v>
      </c>
      <c r="BO290" s="784" t="s">
        <v>2350</v>
      </c>
      <c r="BP290" s="1400" t="s">
        <v>2642</v>
      </c>
      <c r="BQ290" s="509"/>
      <c r="BR290" s="509"/>
      <c r="BS290" s="509"/>
      <c r="BT290" s="509"/>
      <c r="BU290" s="509"/>
      <c r="BV290" s="509"/>
      <c r="BW290" s="509"/>
      <c r="BX290" s="509"/>
      <c r="BY290" s="509"/>
      <c r="BZ290" s="509"/>
      <c r="CA290" s="509"/>
      <c r="CB290" s="509"/>
      <c r="CC290" s="509"/>
      <c r="CD290" s="509"/>
      <c r="CE290" s="509"/>
      <c r="CF290" s="509"/>
      <c r="CG290" s="509"/>
      <c r="CH290" s="509"/>
      <c r="CI290" s="509"/>
      <c r="CJ290" s="509"/>
      <c r="CK290" s="509"/>
      <c r="CL290" s="509"/>
      <c r="CM290" s="509"/>
      <c r="CN290" s="509"/>
      <c r="CO290" s="509"/>
      <c r="CP290" s="509"/>
      <c r="CQ290" s="509"/>
      <c r="CR290" s="509"/>
      <c r="CS290" s="509"/>
    </row>
    <row r="291" spans="1:98" s="137" customFormat="1" ht="12.75" customHeight="1" x14ac:dyDescent="0.2">
      <c r="A291" s="1421">
        <v>287</v>
      </c>
      <c r="B291" s="649" t="s">
        <v>463</v>
      </c>
      <c r="C291" s="1607" t="s">
        <v>464</v>
      </c>
      <c r="D291" s="1605">
        <v>317043</v>
      </c>
      <c r="E291" s="1405">
        <v>192532360</v>
      </c>
      <c r="F291" s="1405">
        <v>8558</v>
      </c>
      <c r="G291" s="158">
        <v>-10895501</v>
      </c>
      <c r="H291" s="158">
        <v>-6992241</v>
      </c>
      <c r="I291" s="158">
        <v>-29820</v>
      </c>
      <c r="J291" s="158">
        <v>0</v>
      </c>
      <c r="K291" s="158">
        <v>-12936</v>
      </c>
      <c r="L291" s="158">
        <v>-90000</v>
      </c>
      <c r="M291" s="158">
        <v>-3876001</v>
      </c>
      <c r="N291" s="158">
        <v>-709696</v>
      </c>
      <c r="O291" s="158">
        <v>-144845</v>
      </c>
      <c r="P291" s="158">
        <v>-7455</v>
      </c>
      <c r="Q291" s="158">
        <v>0</v>
      </c>
      <c r="R291" s="158">
        <v>0</v>
      </c>
      <c r="S291" s="158">
        <v>0</v>
      </c>
      <c r="T291" s="158">
        <v>0</v>
      </c>
      <c r="U291" s="158">
        <v>-5322300</v>
      </c>
      <c r="V291" s="158">
        <v>71701829</v>
      </c>
      <c r="W291" s="158">
        <v>-2400000</v>
      </c>
      <c r="X291" s="158">
        <v>118332050</v>
      </c>
      <c r="Y291" s="158">
        <v>193449825</v>
      </c>
      <c r="Z291" s="158">
        <v>0</v>
      </c>
      <c r="AA291" s="158">
        <v>69031372</v>
      </c>
      <c r="AB291" s="158">
        <v>0</v>
      </c>
      <c r="AC291" s="158">
        <v>697287</v>
      </c>
      <c r="AD291" s="158">
        <v>316541</v>
      </c>
      <c r="AE291" s="158">
        <v>291653</v>
      </c>
      <c r="AF291" s="158">
        <v>0</v>
      </c>
      <c r="AG291" s="158">
        <v>0</v>
      </c>
      <c r="AH291" s="158">
        <v>0</v>
      </c>
      <c r="AI291" s="158">
        <v>0</v>
      </c>
      <c r="AJ291" s="158">
        <v>0</v>
      </c>
      <c r="AK291" s="158">
        <v>-3949754</v>
      </c>
      <c r="AL291" s="158">
        <v>401</v>
      </c>
      <c r="AM291" s="158">
        <v>7</v>
      </c>
      <c r="AN291" s="158">
        <v>0</v>
      </c>
      <c r="AO291" s="158">
        <v>9</v>
      </c>
      <c r="AP291" s="158">
        <v>0</v>
      </c>
      <c r="AQ291" s="158">
        <v>617</v>
      </c>
      <c r="AR291" s="158">
        <v>310</v>
      </c>
      <c r="AS291" s="158">
        <v>14</v>
      </c>
      <c r="AT291" s="158">
        <v>7</v>
      </c>
      <c r="AU291" s="158">
        <v>0</v>
      </c>
      <c r="AV291" s="158">
        <v>0</v>
      </c>
      <c r="AW291" s="158">
        <v>0</v>
      </c>
      <c r="AX291" s="158">
        <v>0</v>
      </c>
      <c r="AY291" s="158">
        <v>756</v>
      </c>
      <c r="AZ291" s="158">
        <v>633</v>
      </c>
      <c r="BA291" s="158">
        <v>4101</v>
      </c>
      <c r="BB291" s="158">
        <v>3875</v>
      </c>
      <c r="BC291" s="158">
        <v>226</v>
      </c>
      <c r="BD291" s="158">
        <v>3768</v>
      </c>
      <c r="BE291" s="158">
        <v>-339642</v>
      </c>
      <c r="BF291" s="158">
        <v>-420639</v>
      </c>
      <c r="BG291" s="158">
        <v>0</v>
      </c>
      <c r="BH291" s="158">
        <v>-223467</v>
      </c>
      <c r="BI291" s="158">
        <v>-2892253</v>
      </c>
      <c r="BJ291" s="158">
        <v>0</v>
      </c>
      <c r="BK291" s="158">
        <v>-3055293</v>
      </c>
      <c r="BL291" s="1438">
        <v>26663600</v>
      </c>
      <c r="BM291" s="1439">
        <v>107500</v>
      </c>
      <c r="BN291" s="784" t="s">
        <v>2363</v>
      </c>
      <c r="BO291" s="784" t="s">
        <v>2376</v>
      </c>
      <c r="BP291" s="1400" t="s">
        <v>2643</v>
      </c>
      <c r="BQ291" s="509"/>
      <c r="BR291" s="509"/>
      <c r="BS291" s="509"/>
      <c r="BT291" s="509"/>
      <c r="BU291" s="509"/>
      <c r="BV291" s="509"/>
      <c r="BW291" s="509"/>
      <c r="BX291" s="509"/>
      <c r="BY291" s="509"/>
      <c r="BZ291" s="509"/>
      <c r="CA291" s="509"/>
      <c r="CB291" s="509"/>
      <c r="CC291" s="509"/>
      <c r="CD291" s="509"/>
      <c r="CE291" s="509"/>
      <c r="CF291" s="509"/>
      <c r="CG291" s="509"/>
      <c r="CH291" s="509"/>
      <c r="CI291" s="509"/>
      <c r="CJ291" s="509"/>
      <c r="CK291" s="509"/>
      <c r="CL291" s="509"/>
      <c r="CM291" s="509"/>
      <c r="CN291" s="509"/>
      <c r="CO291" s="509"/>
      <c r="CP291" s="509"/>
      <c r="CQ291" s="509"/>
      <c r="CR291" s="509"/>
      <c r="CS291" s="509"/>
    </row>
    <row r="292" spans="1:98" s="137" customFormat="1" ht="12.75" customHeight="1" x14ac:dyDescent="0.2">
      <c r="A292" s="1421">
        <v>288</v>
      </c>
      <c r="B292" s="649" t="s">
        <v>465</v>
      </c>
      <c r="C292" s="1607" t="s">
        <v>466</v>
      </c>
      <c r="D292" s="1605">
        <v>134234</v>
      </c>
      <c r="E292" s="1405">
        <v>129706344</v>
      </c>
      <c r="F292" s="1405">
        <v>2812</v>
      </c>
      <c r="G292" s="158">
        <v>-2104689</v>
      </c>
      <c r="H292" s="158">
        <v>-5220999</v>
      </c>
      <c r="I292" s="158">
        <v>0</v>
      </c>
      <c r="J292" s="158">
        <v>0</v>
      </c>
      <c r="K292" s="158">
        <v>-5377</v>
      </c>
      <c r="L292" s="158">
        <v>0</v>
      </c>
      <c r="M292" s="158">
        <v>-941287</v>
      </c>
      <c r="N292" s="158">
        <v>-173483</v>
      </c>
      <c r="O292" s="158">
        <v>-14162</v>
      </c>
      <c r="P292" s="158">
        <v>0</v>
      </c>
      <c r="Q292" s="158">
        <v>0</v>
      </c>
      <c r="R292" s="158">
        <v>0</v>
      </c>
      <c r="S292" s="158">
        <v>0</v>
      </c>
      <c r="T292" s="158">
        <v>0</v>
      </c>
      <c r="U292" s="158">
        <v>-4759123</v>
      </c>
      <c r="V292" s="158">
        <v>54671109</v>
      </c>
      <c r="W292" s="158">
        <v>-2215390</v>
      </c>
      <c r="X292" s="158">
        <v>98753900</v>
      </c>
      <c r="Y292" s="158">
        <v>129437914</v>
      </c>
      <c r="Z292" s="158">
        <v>26494157</v>
      </c>
      <c r="AA292" s="158">
        <v>21195326</v>
      </c>
      <c r="AB292" s="158">
        <v>5298832</v>
      </c>
      <c r="AC292" s="158">
        <v>0</v>
      </c>
      <c r="AD292" s="158">
        <v>133373</v>
      </c>
      <c r="AE292" s="158">
        <v>0</v>
      </c>
      <c r="AF292" s="158">
        <v>0</v>
      </c>
      <c r="AG292" s="158">
        <v>0</v>
      </c>
      <c r="AH292" s="158">
        <v>0</v>
      </c>
      <c r="AI292" s="158">
        <v>0</v>
      </c>
      <c r="AJ292" s="158">
        <v>0</v>
      </c>
      <c r="AK292" s="158">
        <v>1747126</v>
      </c>
      <c r="AL292" s="158">
        <v>174</v>
      </c>
      <c r="AM292" s="158">
        <v>0</v>
      </c>
      <c r="AN292" s="158">
        <v>0</v>
      </c>
      <c r="AO292" s="158">
        <v>5</v>
      </c>
      <c r="AP292" s="158">
        <v>0</v>
      </c>
      <c r="AQ292" s="158">
        <v>79</v>
      </c>
      <c r="AR292" s="158">
        <v>101</v>
      </c>
      <c r="AS292" s="158">
        <v>8</v>
      </c>
      <c r="AT292" s="158">
        <v>0</v>
      </c>
      <c r="AU292" s="158">
        <v>0</v>
      </c>
      <c r="AV292" s="158">
        <v>0</v>
      </c>
      <c r="AW292" s="158">
        <v>0</v>
      </c>
      <c r="AX292" s="158">
        <v>0</v>
      </c>
      <c r="AY292" s="158">
        <v>373</v>
      </c>
      <c r="AZ292" s="158">
        <v>539</v>
      </c>
      <c r="BA292" s="158">
        <v>648</v>
      </c>
      <c r="BB292" s="158">
        <v>537</v>
      </c>
      <c r="BC292" s="158">
        <v>111</v>
      </c>
      <c r="BD292" s="158">
        <v>1611</v>
      </c>
      <c r="BE292" s="158">
        <v>-42838</v>
      </c>
      <c r="BF292" s="158">
        <v>0</v>
      </c>
      <c r="BG292" s="158">
        <v>0</v>
      </c>
      <c r="BH292" s="158">
        <v>-30439</v>
      </c>
      <c r="BI292" s="158">
        <v>0</v>
      </c>
      <c r="BJ292" s="158">
        <v>-868010</v>
      </c>
      <c r="BK292" s="158">
        <v>3495283</v>
      </c>
      <c r="BL292" s="1438">
        <v>16190700</v>
      </c>
      <c r="BM292" s="1439">
        <v>0</v>
      </c>
      <c r="BN292" s="784" t="s">
        <v>2349</v>
      </c>
      <c r="BO292" s="784" t="s">
        <v>2350</v>
      </c>
      <c r="BP292" s="1400" t="s">
        <v>2644</v>
      </c>
      <c r="BQ292" s="509"/>
      <c r="BR292" s="509"/>
      <c r="BS292" s="509"/>
      <c r="BT292" s="509"/>
      <c r="BU292" s="509"/>
      <c r="BV292" s="509"/>
      <c r="BW292" s="509"/>
      <c r="BX292" s="509"/>
      <c r="BY292" s="509"/>
      <c r="BZ292" s="509"/>
      <c r="CA292" s="509"/>
      <c r="CB292" s="509"/>
      <c r="CC292" s="509"/>
      <c r="CD292" s="509"/>
      <c r="CE292" s="509"/>
      <c r="CF292" s="509"/>
      <c r="CG292" s="509"/>
      <c r="CH292" s="509"/>
      <c r="CI292" s="509"/>
      <c r="CJ292" s="509"/>
      <c r="CK292" s="509"/>
      <c r="CL292" s="509"/>
      <c r="CM292" s="509"/>
      <c r="CN292" s="509"/>
      <c r="CO292" s="509"/>
      <c r="CP292" s="509"/>
      <c r="CQ292" s="509"/>
      <c r="CR292" s="509"/>
      <c r="CS292" s="509"/>
    </row>
    <row r="293" spans="1:98" s="137" customFormat="1" ht="12.75" customHeight="1" x14ac:dyDescent="0.2">
      <c r="A293" s="1421">
        <v>289</v>
      </c>
      <c r="B293" s="649" t="s">
        <v>525</v>
      </c>
      <c r="C293" s="1607" t="s">
        <v>468</v>
      </c>
      <c r="D293" s="1605">
        <v>203479</v>
      </c>
      <c r="E293" s="1405">
        <v>200129930</v>
      </c>
      <c r="F293" s="1405">
        <v>4361</v>
      </c>
      <c r="G293" s="158">
        <v>-3708166</v>
      </c>
      <c r="H293" s="158">
        <v>-10047802</v>
      </c>
      <c r="I293" s="158">
        <v>-65829</v>
      </c>
      <c r="J293" s="158">
        <v>0</v>
      </c>
      <c r="K293" s="158">
        <v>-12615</v>
      </c>
      <c r="L293" s="158">
        <v>-1000000</v>
      </c>
      <c r="M293" s="158">
        <v>-4322715</v>
      </c>
      <c r="N293" s="158">
        <v>-8355</v>
      </c>
      <c r="O293" s="158">
        <v>-47034</v>
      </c>
      <c r="P293" s="158">
        <v>-454</v>
      </c>
      <c r="Q293" s="158">
        <v>0</v>
      </c>
      <c r="R293" s="158">
        <v>-50000</v>
      </c>
      <c r="S293" s="158">
        <v>0</v>
      </c>
      <c r="T293" s="158">
        <v>0</v>
      </c>
      <c r="U293" s="158">
        <v>-6006788</v>
      </c>
      <c r="V293" s="158">
        <v>78710783</v>
      </c>
      <c r="W293" s="158">
        <v>-6521000</v>
      </c>
      <c r="X293" s="158">
        <v>149891200</v>
      </c>
      <c r="Y293" s="158">
        <v>198517530</v>
      </c>
      <c r="Z293" s="158">
        <v>36928729</v>
      </c>
      <c r="AA293" s="158">
        <v>36190155</v>
      </c>
      <c r="AB293" s="158">
        <v>0</v>
      </c>
      <c r="AC293" s="158">
        <v>738575</v>
      </c>
      <c r="AD293" s="158">
        <v>204981</v>
      </c>
      <c r="AE293" s="158">
        <v>0</v>
      </c>
      <c r="AF293" s="158">
        <v>23191</v>
      </c>
      <c r="AG293" s="158">
        <v>0</v>
      </c>
      <c r="AH293" s="158">
        <v>0</v>
      </c>
      <c r="AI293" s="158">
        <v>0</v>
      </c>
      <c r="AJ293" s="158">
        <v>0</v>
      </c>
      <c r="AK293" s="158">
        <v>-16472920</v>
      </c>
      <c r="AL293" s="158">
        <v>215</v>
      </c>
      <c r="AM293" s="158">
        <v>8</v>
      </c>
      <c r="AN293" s="158">
        <v>0</v>
      </c>
      <c r="AO293" s="158">
        <v>5</v>
      </c>
      <c r="AP293" s="158">
        <v>0</v>
      </c>
      <c r="AQ293" s="158">
        <v>245</v>
      </c>
      <c r="AR293" s="158">
        <v>10</v>
      </c>
      <c r="AS293" s="158">
        <v>18</v>
      </c>
      <c r="AT293" s="158">
        <v>1</v>
      </c>
      <c r="AU293" s="158">
        <v>0</v>
      </c>
      <c r="AV293" s="158">
        <v>0</v>
      </c>
      <c r="AW293" s="158">
        <v>0</v>
      </c>
      <c r="AX293" s="158">
        <v>1</v>
      </c>
      <c r="AY293" s="158">
        <v>525</v>
      </c>
      <c r="AZ293" s="158">
        <v>1312</v>
      </c>
      <c r="BA293" s="158">
        <v>1261</v>
      </c>
      <c r="BB293" s="158">
        <v>1143</v>
      </c>
      <c r="BC293" s="158">
        <v>118</v>
      </c>
      <c r="BD293" s="158">
        <v>1827</v>
      </c>
      <c r="BE293" s="158">
        <v>-304370</v>
      </c>
      <c r="BF293" s="158">
        <v>-318910</v>
      </c>
      <c r="BG293" s="158">
        <v>0</v>
      </c>
      <c r="BH293" s="158">
        <v>-526344</v>
      </c>
      <c r="BI293" s="158">
        <v>-1173091</v>
      </c>
      <c r="BJ293" s="158">
        <v>-2000000</v>
      </c>
      <c r="BK293" s="158">
        <v>-18074817</v>
      </c>
      <c r="BL293" s="1438">
        <v>21183250</v>
      </c>
      <c r="BM293" s="1439">
        <v>0</v>
      </c>
      <c r="BN293" s="784" t="s">
        <v>509</v>
      </c>
      <c r="BO293" s="784" t="s">
        <v>2350</v>
      </c>
      <c r="BP293" s="1400" t="s">
        <v>2645</v>
      </c>
      <c r="BQ293" s="509"/>
      <c r="BR293" s="509"/>
      <c r="BS293" s="509"/>
      <c r="BT293" s="509"/>
      <c r="BU293" s="509"/>
      <c r="BV293" s="509"/>
      <c r="BW293" s="509"/>
      <c r="BX293" s="509"/>
      <c r="BY293" s="509"/>
      <c r="BZ293" s="509"/>
      <c r="CA293" s="509"/>
      <c r="CB293" s="509"/>
      <c r="CC293" s="509"/>
      <c r="CD293" s="509"/>
      <c r="CE293" s="509"/>
      <c r="CF293" s="509"/>
      <c r="CG293" s="509"/>
      <c r="CH293" s="509"/>
      <c r="CI293" s="509"/>
      <c r="CJ293" s="509"/>
      <c r="CK293" s="509"/>
      <c r="CL293" s="509"/>
      <c r="CM293" s="509"/>
      <c r="CN293" s="509"/>
      <c r="CO293" s="509"/>
      <c r="CP293" s="509"/>
      <c r="CQ293" s="509"/>
      <c r="CR293" s="509"/>
      <c r="CS293" s="509"/>
    </row>
    <row r="294" spans="1:98" s="137" customFormat="1" ht="12.75" customHeight="1" x14ac:dyDescent="0.2">
      <c r="A294" s="1421">
        <v>290</v>
      </c>
      <c r="B294" s="649" t="s">
        <v>469</v>
      </c>
      <c r="C294" s="1607" t="s">
        <v>470</v>
      </c>
      <c r="D294" s="1605">
        <v>337941</v>
      </c>
      <c r="E294" s="1405">
        <v>218554435</v>
      </c>
      <c r="F294" s="1405">
        <v>8939</v>
      </c>
      <c r="G294" s="158">
        <v>-10256118</v>
      </c>
      <c r="H294" s="158">
        <v>-8068487</v>
      </c>
      <c r="I294" s="158">
        <v>-12056</v>
      </c>
      <c r="J294" s="158">
        <v>0</v>
      </c>
      <c r="K294" s="158">
        <v>-13795</v>
      </c>
      <c r="L294" s="158">
        <v>0</v>
      </c>
      <c r="M294" s="158">
        <v>-3230128</v>
      </c>
      <c r="N294" s="158">
        <v>-195629</v>
      </c>
      <c r="O294" s="158">
        <v>-479636</v>
      </c>
      <c r="P294" s="158">
        <v>-1617</v>
      </c>
      <c r="Q294" s="158">
        <v>0</v>
      </c>
      <c r="R294" s="158">
        <v>0</v>
      </c>
      <c r="S294" s="158">
        <v>0</v>
      </c>
      <c r="T294" s="158">
        <v>0</v>
      </c>
      <c r="U294" s="158">
        <v>-5474179</v>
      </c>
      <c r="V294" s="158">
        <v>82851883</v>
      </c>
      <c r="W294" s="158">
        <v>-3276000</v>
      </c>
      <c r="X294" s="158">
        <v>136980400</v>
      </c>
      <c r="Y294" s="158">
        <v>219661030</v>
      </c>
      <c r="Z294" s="158">
        <v>0</v>
      </c>
      <c r="AA294" s="158">
        <v>78475013</v>
      </c>
      <c r="AB294" s="158">
        <v>0</v>
      </c>
      <c r="AC294" s="158">
        <v>792677</v>
      </c>
      <c r="AD294" s="158">
        <v>336493</v>
      </c>
      <c r="AE294" s="158">
        <v>915880</v>
      </c>
      <c r="AF294" s="158">
        <v>6362</v>
      </c>
      <c r="AG294" s="158">
        <v>0</v>
      </c>
      <c r="AH294" s="158">
        <v>0</v>
      </c>
      <c r="AI294" s="158">
        <v>0</v>
      </c>
      <c r="AJ294" s="158">
        <v>0</v>
      </c>
      <c r="AK294" s="158">
        <v>3525817</v>
      </c>
      <c r="AL294" s="158">
        <v>278</v>
      </c>
      <c r="AM294" s="158">
        <v>3</v>
      </c>
      <c r="AN294" s="158">
        <v>0</v>
      </c>
      <c r="AO294" s="158">
        <v>7</v>
      </c>
      <c r="AP294" s="158">
        <v>0</v>
      </c>
      <c r="AQ294" s="158">
        <v>1179</v>
      </c>
      <c r="AR294" s="158">
        <v>107</v>
      </c>
      <c r="AS294" s="158">
        <v>42</v>
      </c>
      <c r="AT294" s="158">
        <v>3</v>
      </c>
      <c r="AU294" s="158">
        <v>0</v>
      </c>
      <c r="AV294" s="158">
        <v>0</v>
      </c>
      <c r="AW294" s="158">
        <v>0</v>
      </c>
      <c r="AX294" s="158">
        <v>0</v>
      </c>
      <c r="AY294" s="158">
        <v>621</v>
      </c>
      <c r="AZ294" s="158">
        <v>2605</v>
      </c>
      <c r="BA294" s="158">
        <v>3716</v>
      </c>
      <c r="BB294" s="158">
        <v>3375</v>
      </c>
      <c r="BC294" s="158">
        <v>341</v>
      </c>
      <c r="BD294" s="158">
        <v>2595</v>
      </c>
      <c r="BE294" s="158">
        <v>-940488</v>
      </c>
      <c r="BF294" s="158">
        <v>-542016</v>
      </c>
      <c r="BG294" s="158">
        <v>0</v>
      </c>
      <c r="BH294" s="158">
        <v>-64406</v>
      </c>
      <c r="BI294" s="158">
        <v>-896691</v>
      </c>
      <c r="BJ294" s="158">
        <v>-786527</v>
      </c>
      <c r="BK294" s="158">
        <v>2803619</v>
      </c>
      <c r="BL294" s="1438">
        <v>27158750</v>
      </c>
      <c r="BM294" s="1439">
        <v>0</v>
      </c>
      <c r="BN294" s="784" t="s">
        <v>2363</v>
      </c>
      <c r="BO294" s="784" t="s">
        <v>2373</v>
      </c>
      <c r="BP294" s="1400" t="s">
        <v>2646</v>
      </c>
      <c r="BQ294" s="509"/>
      <c r="BR294" s="509"/>
      <c r="BS294" s="509"/>
      <c r="BT294" s="509"/>
      <c r="BU294" s="509"/>
      <c r="BV294" s="509"/>
      <c r="BW294" s="509"/>
      <c r="BX294" s="509"/>
      <c r="BY294" s="509"/>
      <c r="BZ294" s="509"/>
      <c r="CA294" s="509"/>
      <c r="CB294" s="509"/>
      <c r="CC294" s="509"/>
      <c r="CD294" s="509"/>
      <c r="CE294" s="509"/>
      <c r="CF294" s="509"/>
      <c r="CG294" s="509"/>
      <c r="CH294" s="509"/>
      <c r="CI294" s="509"/>
      <c r="CJ294" s="509"/>
      <c r="CK294" s="509"/>
      <c r="CL294" s="509"/>
      <c r="CM294" s="509"/>
      <c r="CN294" s="509"/>
      <c r="CO294" s="509"/>
      <c r="CP294" s="509"/>
      <c r="CQ294" s="509"/>
      <c r="CR294" s="509"/>
      <c r="CS294" s="509"/>
    </row>
    <row r="295" spans="1:98" s="137" customFormat="1" ht="12.75" customHeight="1" x14ac:dyDescent="0.2">
      <c r="A295" s="1421">
        <v>291</v>
      </c>
      <c r="B295" s="649" t="s">
        <v>471</v>
      </c>
      <c r="C295" s="1607" t="s">
        <v>472</v>
      </c>
      <c r="D295" s="1605">
        <v>125801</v>
      </c>
      <c r="E295" s="1405">
        <v>108839323</v>
      </c>
      <c r="F295" s="1405">
        <v>3136</v>
      </c>
      <c r="G295" s="158">
        <v>-3541345</v>
      </c>
      <c r="H295" s="158">
        <v>-5384510</v>
      </c>
      <c r="I295" s="158">
        <v>-37425</v>
      </c>
      <c r="J295" s="158">
        <v>0</v>
      </c>
      <c r="K295" s="158">
        <v>-14496</v>
      </c>
      <c r="L295" s="158">
        <v>0</v>
      </c>
      <c r="M295" s="158">
        <v>-1342837</v>
      </c>
      <c r="N295" s="158">
        <v>-213265</v>
      </c>
      <c r="O295" s="158">
        <v>-33210</v>
      </c>
      <c r="P295" s="158">
        <v>-9356</v>
      </c>
      <c r="Q295" s="158">
        <v>0</v>
      </c>
      <c r="R295" s="158">
        <v>0</v>
      </c>
      <c r="S295" s="158">
        <v>0</v>
      </c>
      <c r="T295" s="158">
        <v>0</v>
      </c>
      <c r="U295" s="158">
        <v>-3859562</v>
      </c>
      <c r="V295" s="158">
        <v>41616851</v>
      </c>
      <c r="W295" s="158">
        <v>-1300000</v>
      </c>
      <c r="X295" s="158">
        <v>74048500</v>
      </c>
      <c r="Y295" s="158">
        <v>108817327</v>
      </c>
      <c r="Z295" s="158">
        <v>20248688</v>
      </c>
      <c r="AA295" s="158">
        <v>16198950</v>
      </c>
      <c r="AB295" s="158">
        <v>3644764</v>
      </c>
      <c r="AC295" s="158">
        <v>404974</v>
      </c>
      <c r="AD295" s="158">
        <v>126442</v>
      </c>
      <c r="AE295" s="158">
        <v>0</v>
      </c>
      <c r="AF295" s="158">
        <v>0</v>
      </c>
      <c r="AG295" s="158">
        <v>0</v>
      </c>
      <c r="AH295" s="158">
        <v>0</v>
      </c>
      <c r="AI295" s="158">
        <v>0</v>
      </c>
      <c r="AJ295" s="158">
        <v>0</v>
      </c>
      <c r="AK295" s="158">
        <v>-4261541</v>
      </c>
      <c r="AL295" s="158">
        <v>205</v>
      </c>
      <c r="AM295" s="158">
        <v>6</v>
      </c>
      <c r="AN295" s="158">
        <v>0</v>
      </c>
      <c r="AO295" s="158">
        <v>4</v>
      </c>
      <c r="AP295" s="158">
        <v>0</v>
      </c>
      <c r="AQ295" s="158">
        <v>273</v>
      </c>
      <c r="AR295" s="158">
        <v>100</v>
      </c>
      <c r="AS295" s="158">
        <v>5</v>
      </c>
      <c r="AT295" s="158">
        <v>6</v>
      </c>
      <c r="AU295" s="158">
        <v>0</v>
      </c>
      <c r="AV295" s="158">
        <v>0</v>
      </c>
      <c r="AW295" s="158">
        <v>0</v>
      </c>
      <c r="AX295" s="158">
        <v>0</v>
      </c>
      <c r="AY295" s="158">
        <v>473</v>
      </c>
      <c r="AZ295" s="158">
        <v>902</v>
      </c>
      <c r="BA295" s="158">
        <v>1156</v>
      </c>
      <c r="BB295" s="158">
        <v>1054</v>
      </c>
      <c r="BC295" s="158">
        <v>102</v>
      </c>
      <c r="BD295" s="158">
        <v>1086</v>
      </c>
      <c r="BE295" s="158">
        <v>-109093</v>
      </c>
      <c r="BF295" s="158">
        <v>-675046</v>
      </c>
      <c r="BG295" s="158">
        <v>0</v>
      </c>
      <c r="BH295" s="158">
        <v>0</v>
      </c>
      <c r="BI295" s="158">
        <v>-542198</v>
      </c>
      <c r="BJ295" s="158">
        <v>-16500</v>
      </c>
      <c r="BK295" s="158">
        <v>-6294054</v>
      </c>
      <c r="BL295" s="1438">
        <v>13929150</v>
      </c>
      <c r="BM295" s="1439">
        <v>0</v>
      </c>
      <c r="BN295" s="784" t="s">
        <v>2349</v>
      </c>
      <c r="BO295" s="784" t="s">
        <v>2373</v>
      </c>
      <c r="BP295" s="1400" t="s">
        <v>2647</v>
      </c>
      <c r="BQ295" s="509"/>
      <c r="BR295" s="509"/>
      <c r="BS295" s="509"/>
      <c r="BT295" s="509"/>
      <c r="BU295" s="509"/>
      <c r="BV295" s="509"/>
      <c r="BW295" s="509"/>
      <c r="BX295" s="509"/>
      <c r="BY295" s="509"/>
      <c r="BZ295" s="509"/>
      <c r="CA295" s="509"/>
      <c r="CB295" s="509"/>
      <c r="CC295" s="509"/>
      <c r="CD295" s="509"/>
      <c r="CE295" s="509"/>
      <c r="CF295" s="509"/>
      <c r="CG295" s="509"/>
      <c r="CH295" s="509"/>
      <c r="CI295" s="509"/>
      <c r="CJ295" s="509"/>
      <c r="CK295" s="509"/>
      <c r="CL295" s="509"/>
      <c r="CM295" s="509"/>
      <c r="CN295" s="509"/>
      <c r="CO295" s="509"/>
      <c r="CP295" s="509"/>
      <c r="CQ295" s="509"/>
      <c r="CR295" s="509"/>
      <c r="CS295" s="509"/>
    </row>
    <row r="296" spans="1:98" s="137" customFormat="1" ht="12.75" customHeight="1" x14ac:dyDescent="0.2">
      <c r="A296" s="1421">
        <v>292</v>
      </c>
      <c r="B296" s="649" t="s">
        <v>473</v>
      </c>
      <c r="C296" s="1607" t="s">
        <v>474</v>
      </c>
      <c r="D296" s="1605">
        <v>122181</v>
      </c>
      <c r="E296" s="1405">
        <v>78416543</v>
      </c>
      <c r="F296" s="1405">
        <v>3290</v>
      </c>
      <c r="G296" s="158">
        <v>-3837787</v>
      </c>
      <c r="H296" s="158">
        <v>-3464849</v>
      </c>
      <c r="I296" s="158">
        <v>-41695</v>
      </c>
      <c r="J296" s="158">
        <v>0</v>
      </c>
      <c r="K296" s="158">
        <v>-10978</v>
      </c>
      <c r="L296" s="158">
        <v>0</v>
      </c>
      <c r="M296" s="158">
        <v>-526732</v>
      </c>
      <c r="N296" s="158">
        <v>-246697</v>
      </c>
      <c r="O296" s="158">
        <v>-16662</v>
      </c>
      <c r="P296" s="158">
        <v>-549</v>
      </c>
      <c r="Q296" s="158">
        <v>0</v>
      </c>
      <c r="R296" s="158">
        <v>0</v>
      </c>
      <c r="S296" s="158">
        <v>0</v>
      </c>
      <c r="T296" s="158">
        <v>0</v>
      </c>
      <c r="U296" s="158">
        <v>-3079097</v>
      </c>
      <c r="V296" s="158">
        <v>29658105</v>
      </c>
      <c r="W296" s="158">
        <v>0</v>
      </c>
      <c r="X296" s="158">
        <v>49251702</v>
      </c>
      <c r="Y296" s="158">
        <v>79170033</v>
      </c>
      <c r="Z296" s="158">
        <v>15075608</v>
      </c>
      <c r="AA296" s="158">
        <v>12060486</v>
      </c>
      <c r="AB296" s="158">
        <v>3015122</v>
      </c>
      <c r="AC296" s="158">
        <v>0</v>
      </c>
      <c r="AD296" s="158">
        <v>122648</v>
      </c>
      <c r="AE296" s="158">
        <v>0</v>
      </c>
      <c r="AF296" s="158">
        <v>0</v>
      </c>
      <c r="AG296" s="158">
        <v>0</v>
      </c>
      <c r="AH296" s="158">
        <v>0</v>
      </c>
      <c r="AI296" s="158">
        <v>0</v>
      </c>
      <c r="AJ296" s="158">
        <v>0</v>
      </c>
      <c r="AK296" s="158">
        <v>-2941252</v>
      </c>
      <c r="AL296" s="158">
        <v>170</v>
      </c>
      <c r="AM296" s="158">
        <v>5</v>
      </c>
      <c r="AN296" s="158">
        <v>0</v>
      </c>
      <c r="AO296" s="158">
        <v>4</v>
      </c>
      <c r="AP296" s="158">
        <v>0</v>
      </c>
      <c r="AQ296" s="158">
        <v>143</v>
      </c>
      <c r="AR296" s="158">
        <v>84</v>
      </c>
      <c r="AS296" s="158">
        <v>4</v>
      </c>
      <c r="AT296" s="158">
        <v>0</v>
      </c>
      <c r="AU296" s="158">
        <v>0</v>
      </c>
      <c r="AV296" s="158">
        <v>0</v>
      </c>
      <c r="AW296" s="158">
        <v>0</v>
      </c>
      <c r="AX296" s="158">
        <v>0</v>
      </c>
      <c r="AY296" s="158">
        <v>433</v>
      </c>
      <c r="AZ296" s="158">
        <v>618</v>
      </c>
      <c r="BA296" s="158">
        <v>1594</v>
      </c>
      <c r="BB296" s="158">
        <v>1510</v>
      </c>
      <c r="BC296" s="158">
        <v>84</v>
      </c>
      <c r="BD296" s="158">
        <v>1130</v>
      </c>
      <c r="BE296" s="158">
        <v>-12727</v>
      </c>
      <c r="BF296" s="158">
        <v>-153248</v>
      </c>
      <c r="BG296" s="158">
        <v>0</v>
      </c>
      <c r="BH296" s="158">
        <v>0</v>
      </c>
      <c r="BI296" s="158">
        <v>-360756</v>
      </c>
      <c r="BJ296" s="158">
        <v>0</v>
      </c>
      <c r="BK296" s="158">
        <v>-3499356</v>
      </c>
      <c r="BL296" s="1438">
        <v>11667100</v>
      </c>
      <c r="BM296" s="1439">
        <v>0</v>
      </c>
      <c r="BN296" s="784" t="s">
        <v>2349</v>
      </c>
      <c r="BO296" s="784" t="s">
        <v>2350</v>
      </c>
      <c r="BP296" s="1400" t="s">
        <v>2648</v>
      </c>
      <c r="BQ296" s="509"/>
      <c r="BR296" s="509"/>
      <c r="BS296" s="509"/>
      <c r="BT296" s="509"/>
      <c r="BU296" s="509"/>
      <c r="BV296" s="509"/>
      <c r="BW296" s="509"/>
      <c r="BX296" s="509"/>
      <c r="BY296" s="509"/>
      <c r="BZ296" s="509"/>
      <c r="CA296" s="509"/>
      <c r="CB296" s="509"/>
      <c r="CC296" s="509"/>
      <c r="CD296" s="509"/>
      <c r="CE296" s="509"/>
      <c r="CF296" s="509"/>
      <c r="CG296" s="509"/>
      <c r="CH296" s="509"/>
      <c r="CI296" s="509"/>
      <c r="CJ296" s="509"/>
      <c r="CK296" s="509"/>
      <c r="CL296" s="509"/>
      <c r="CM296" s="509"/>
      <c r="CN296" s="509"/>
      <c r="CO296" s="509"/>
      <c r="CP296" s="509"/>
      <c r="CQ296" s="509"/>
      <c r="CR296" s="509"/>
      <c r="CS296" s="509"/>
    </row>
    <row r="297" spans="1:98" s="137" customFormat="1" ht="12.75" customHeight="1" x14ac:dyDescent="0.2">
      <c r="A297" s="1421">
        <v>293</v>
      </c>
      <c r="B297" s="649" t="s">
        <v>475</v>
      </c>
      <c r="C297" s="1607" t="s">
        <v>476</v>
      </c>
      <c r="D297" s="1605">
        <v>197079</v>
      </c>
      <c r="E297" s="1405">
        <v>137417602</v>
      </c>
      <c r="F297" s="1405">
        <v>5209</v>
      </c>
      <c r="G297" s="158">
        <v>-5951146</v>
      </c>
      <c r="H297" s="158">
        <v>-2952796</v>
      </c>
      <c r="I297" s="158">
        <v>-73677</v>
      </c>
      <c r="J297" s="158">
        <v>-47910</v>
      </c>
      <c r="K297" s="158">
        <v>-26859</v>
      </c>
      <c r="L297" s="158">
        <v>0</v>
      </c>
      <c r="M297" s="158">
        <v>-1270297</v>
      </c>
      <c r="N297" s="158">
        <v>-222882</v>
      </c>
      <c r="O297" s="158">
        <v>-83351</v>
      </c>
      <c r="P297" s="158">
        <v>-15343</v>
      </c>
      <c r="Q297" s="158">
        <v>0</v>
      </c>
      <c r="R297" s="158">
        <v>0</v>
      </c>
      <c r="S297" s="158">
        <v>0</v>
      </c>
      <c r="T297" s="158">
        <v>0</v>
      </c>
      <c r="U297" s="158">
        <v>-5444713</v>
      </c>
      <c r="V297" s="158">
        <v>53096630</v>
      </c>
      <c r="W297" s="158">
        <v>-1947582</v>
      </c>
      <c r="X297" s="158">
        <v>88933203</v>
      </c>
      <c r="Y297" s="158">
        <v>136982512</v>
      </c>
      <c r="Z297" s="158">
        <v>25989259</v>
      </c>
      <c r="AA297" s="158">
        <v>20791408</v>
      </c>
      <c r="AB297" s="158">
        <v>4678067</v>
      </c>
      <c r="AC297" s="158">
        <v>519785</v>
      </c>
      <c r="AD297" s="158">
        <v>195481</v>
      </c>
      <c r="AE297" s="158">
        <v>0</v>
      </c>
      <c r="AF297" s="158">
        <v>433480</v>
      </c>
      <c r="AG297" s="158">
        <v>0</v>
      </c>
      <c r="AH297" s="158">
        <v>0</v>
      </c>
      <c r="AI297" s="158">
        <v>0</v>
      </c>
      <c r="AJ297" s="158">
        <v>0</v>
      </c>
      <c r="AK297" s="158">
        <v>482392</v>
      </c>
      <c r="AL297" s="158">
        <v>259</v>
      </c>
      <c r="AM297" s="158">
        <v>24</v>
      </c>
      <c r="AN297" s="158">
        <v>17</v>
      </c>
      <c r="AO297" s="158">
        <v>12</v>
      </c>
      <c r="AP297" s="158">
        <v>0</v>
      </c>
      <c r="AQ297" s="158">
        <v>295</v>
      </c>
      <c r="AR297" s="158">
        <v>154</v>
      </c>
      <c r="AS297" s="158">
        <v>6</v>
      </c>
      <c r="AT297" s="158">
        <v>22</v>
      </c>
      <c r="AU297" s="158">
        <v>5</v>
      </c>
      <c r="AV297" s="158">
        <v>0</v>
      </c>
      <c r="AW297" s="158">
        <v>0</v>
      </c>
      <c r="AX297" s="158">
        <v>0</v>
      </c>
      <c r="AY297" s="158">
        <v>673</v>
      </c>
      <c r="AZ297" s="158">
        <v>1220</v>
      </c>
      <c r="BA297" s="158">
        <v>2371</v>
      </c>
      <c r="BB297" s="158">
        <v>2221</v>
      </c>
      <c r="BC297" s="158">
        <v>150</v>
      </c>
      <c r="BD297" s="158">
        <v>1637</v>
      </c>
      <c r="BE297" s="158">
        <v>-178865</v>
      </c>
      <c r="BF297" s="158">
        <v>-375967</v>
      </c>
      <c r="BG297" s="158">
        <v>0</v>
      </c>
      <c r="BH297" s="158">
        <v>0</v>
      </c>
      <c r="BI297" s="158">
        <v>-631383</v>
      </c>
      <c r="BJ297" s="158">
        <v>-84082</v>
      </c>
      <c r="BK297" s="158">
        <v>982869</v>
      </c>
      <c r="BL297" s="1438">
        <v>15913775</v>
      </c>
      <c r="BM297" s="1439">
        <v>0</v>
      </c>
      <c r="BN297" s="784" t="s">
        <v>2349</v>
      </c>
      <c r="BO297" s="784" t="s">
        <v>2373</v>
      </c>
      <c r="BP297" s="1400" t="s">
        <v>2649</v>
      </c>
      <c r="BQ297" s="509"/>
      <c r="BR297" s="509"/>
      <c r="BS297" s="509"/>
      <c r="BT297" s="509"/>
      <c r="BU297" s="509"/>
      <c r="BV297" s="509"/>
      <c r="BW297" s="509"/>
      <c r="BX297" s="509"/>
      <c r="BY297" s="509"/>
      <c r="BZ297" s="509"/>
      <c r="CA297" s="509"/>
      <c r="CB297" s="509"/>
      <c r="CC297" s="509"/>
      <c r="CD297" s="509"/>
      <c r="CE297" s="509"/>
      <c r="CF297" s="509"/>
      <c r="CG297" s="509"/>
      <c r="CH297" s="509"/>
      <c r="CI297" s="509"/>
      <c r="CJ297" s="509"/>
      <c r="CK297" s="509"/>
      <c r="CL297" s="509"/>
      <c r="CM297" s="509"/>
      <c r="CN297" s="509"/>
      <c r="CO297" s="509"/>
      <c r="CP297" s="509"/>
      <c r="CQ297" s="509"/>
      <c r="CR297" s="509"/>
      <c r="CS297" s="509"/>
    </row>
    <row r="298" spans="1:98" s="509" customFormat="1" ht="12.75" customHeight="1" x14ac:dyDescent="0.2">
      <c r="A298" s="1421">
        <v>294</v>
      </c>
      <c r="B298" s="649" t="s">
        <v>477</v>
      </c>
      <c r="C298" s="1607" t="s">
        <v>478</v>
      </c>
      <c r="D298" s="1605">
        <v>150942</v>
      </c>
      <c r="E298" s="1405">
        <v>78155693</v>
      </c>
      <c r="F298" s="1405">
        <v>4232</v>
      </c>
      <c r="G298" s="158">
        <v>-5472302</v>
      </c>
      <c r="H298" s="158">
        <v>-2570562</v>
      </c>
      <c r="I298" s="158">
        <v>-33538</v>
      </c>
      <c r="J298" s="158">
        <v>-205</v>
      </c>
      <c r="K298" s="158">
        <v>-34905</v>
      </c>
      <c r="L298" s="158">
        <v>0</v>
      </c>
      <c r="M298" s="158">
        <v>-435027</v>
      </c>
      <c r="N298" s="158">
        <v>-3229</v>
      </c>
      <c r="O298" s="158">
        <v>-81768</v>
      </c>
      <c r="P298" s="158">
        <v>0</v>
      </c>
      <c r="Q298" s="158">
        <v>0</v>
      </c>
      <c r="R298" s="158">
        <v>0</v>
      </c>
      <c r="S298" s="158">
        <v>0</v>
      </c>
      <c r="T298" s="158">
        <v>0</v>
      </c>
      <c r="U298" s="158">
        <v>-4143543</v>
      </c>
      <c r="V298" s="158">
        <v>26722566</v>
      </c>
      <c r="W298" s="158">
        <v>-855122</v>
      </c>
      <c r="X298" s="158">
        <v>42633750</v>
      </c>
      <c r="Y298" s="158">
        <v>78209551</v>
      </c>
      <c r="Z298" s="158">
        <v>13125157</v>
      </c>
      <c r="AA298" s="158">
        <v>10500125</v>
      </c>
      <c r="AB298" s="158">
        <v>2362528</v>
      </c>
      <c r="AC298" s="158">
        <v>262503</v>
      </c>
      <c r="AD298" s="158">
        <v>149985</v>
      </c>
      <c r="AE298" s="158">
        <v>372666</v>
      </c>
      <c r="AF298" s="158">
        <v>0</v>
      </c>
      <c r="AG298" s="158">
        <v>0</v>
      </c>
      <c r="AH298" s="158">
        <v>0</v>
      </c>
      <c r="AI298" s="158">
        <v>0</v>
      </c>
      <c r="AJ298" s="158">
        <v>0</v>
      </c>
      <c r="AK298" s="158">
        <v>1109569</v>
      </c>
      <c r="AL298" s="158">
        <v>151</v>
      </c>
      <c r="AM298" s="158">
        <v>8</v>
      </c>
      <c r="AN298" s="158">
        <v>1</v>
      </c>
      <c r="AO298" s="158">
        <v>16</v>
      </c>
      <c r="AP298" s="158">
        <v>0</v>
      </c>
      <c r="AQ298" s="158">
        <v>370</v>
      </c>
      <c r="AR298" s="158">
        <v>2</v>
      </c>
      <c r="AS298" s="158">
        <v>33</v>
      </c>
      <c r="AT298" s="158">
        <v>0</v>
      </c>
      <c r="AU298" s="158">
        <v>0</v>
      </c>
      <c r="AV298" s="158">
        <v>0</v>
      </c>
      <c r="AW298" s="158">
        <v>0</v>
      </c>
      <c r="AX298" s="158">
        <v>0</v>
      </c>
      <c r="AY298" s="158">
        <v>579</v>
      </c>
      <c r="AZ298" s="158">
        <v>681</v>
      </c>
      <c r="BA298" s="158">
        <v>2334</v>
      </c>
      <c r="BB298" s="158">
        <v>2201</v>
      </c>
      <c r="BC298" s="158">
        <v>133</v>
      </c>
      <c r="BD298" s="158">
        <v>1333</v>
      </c>
      <c r="BE298" s="158">
        <v>-6400</v>
      </c>
      <c r="BF298" s="158">
        <v>-26269</v>
      </c>
      <c r="BG298" s="158">
        <v>0</v>
      </c>
      <c r="BH298" s="158">
        <v>-63336</v>
      </c>
      <c r="BI298" s="158">
        <v>-339022</v>
      </c>
      <c r="BJ298" s="158">
        <v>0</v>
      </c>
      <c r="BK298" s="158">
        <v>1104230</v>
      </c>
      <c r="BL298" s="1438">
        <v>11630325</v>
      </c>
      <c r="BM298" s="1439">
        <v>147000</v>
      </c>
      <c r="BN298" s="784" t="s">
        <v>2349</v>
      </c>
      <c r="BO298" s="784" t="s">
        <v>2376</v>
      </c>
      <c r="BP298" s="1400" t="s">
        <v>2650</v>
      </c>
      <c r="CT298" s="137"/>
    </row>
    <row r="299" spans="1:98" s="509" customFormat="1" ht="12.75" customHeight="1" x14ac:dyDescent="0.2">
      <c r="A299" s="1421">
        <v>295</v>
      </c>
      <c r="B299" s="649" t="s">
        <v>479</v>
      </c>
      <c r="C299" s="1607" t="s">
        <v>480</v>
      </c>
      <c r="D299" s="1605">
        <v>130990</v>
      </c>
      <c r="E299" s="1405">
        <v>81189306</v>
      </c>
      <c r="F299" s="1405">
        <v>3553</v>
      </c>
      <c r="G299" s="158">
        <v>-3666599</v>
      </c>
      <c r="H299" s="158">
        <v>-2629737</v>
      </c>
      <c r="I299" s="158">
        <v>-53098</v>
      </c>
      <c r="J299" s="158">
        <v>-14162</v>
      </c>
      <c r="K299" s="158">
        <v>-10954</v>
      </c>
      <c r="L299" s="158">
        <v>-50000</v>
      </c>
      <c r="M299" s="158">
        <v>-1157278</v>
      </c>
      <c r="N299" s="158">
        <v>-102994</v>
      </c>
      <c r="O299" s="158">
        <v>-120178</v>
      </c>
      <c r="P299" s="158">
        <v>0</v>
      </c>
      <c r="Q299" s="158">
        <v>0</v>
      </c>
      <c r="R299" s="158">
        <v>0</v>
      </c>
      <c r="S299" s="158">
        <v>0</v>
      </c>
      <c r="T299" s="158">
        <v>0</v>
      </c>
      <c r="U299" s="158">
        <v>-4228210</v>
      </c>
      <c r="V299" s="158">
        <v>27937289</v>
      </c>
      <c r="W299" s="158">
        <v>-1029295</v>
      </c>
      <c r="X299" s="158">
        <v>49794675</v>
      </c>
      <c r="Y299" s="158">
        <v>81042886</v>
      </c>
      <c r="Z299" s="158">
        <v>13720002</v>
      </c>
      <c r="AA299" s="158">
        <v>10976001</v>
      </c>
      <c r="AB299" s="158">
        <v>2469600</v>
      </c>
      <c r="AC299" s="158">
        <v>274400</v>
      </c>
      <c r="AD299" s="158">
        <v>131813</v>
      </c>
      <c r="AE299" s="158">
        <v>0</v>
      </c>
      <c r="AF299" s="158">
        <v>4671</v>
      </c>
      <c r="AG299" s="158">
        <v>0</v>
      </c>
      <c r="AH299" s="158">
        <v>0</v>
      </c>
      <c r="AI299" s="158">
        <v>0</v>
      </c>
      <c r="AJ299" s="158">
        <v>0</v>
      </c>
      <c r="AK299" s="158">
        <v>-976371</v>
      </c>
      <c r="AL299" s="158">
        <v>203</v>
      </c>
      <c r="AM299" s="158">
        <v>14</v>
      </c>
      <c r="AN299" s="158">
        <v>5</v>
      </c>
      <c r="AO299" s="158">
        <v>8</v>
      </c>
      <c r="AP299" s="158">
        <v>0</v>
      </c>
      <c r="AQ299" s="158">
        <v>422</v>
      </c>
      <c r="AR299" s="158">
        <v>70</v>
      </c>
      <c r="AS299" s="158">
        <v>20</v>
      </c>
      <c r="AT299" s="158">
        <v>0</v>
      </c>
      <c r="AU299" s="158">
        <v>0</v>
      </c>
      <c r="AV299" s="158">
        <v>0</v>
      </c>
      <c r="AW299" s="158">
        <v>0</v>
      </c>
      <c r="AX299" s="158">
        <v>0</v>
      </c>
      <c r="AY299" s="158">
        <v>433</v>
      </c>
      <c r="AZ299" s="158">
        <v>1049</v>
      </c>
      <c r="BA299" s="158">
        <v>1390</v>
      </c>
      <c r="BB299" s="158">
        <v>1291</v>
      </c>
      <c r="BC299" s="158">
        <v>99</v>
      </c>
      <c r="BD299" s="158">
        <v>1156</v>
      </c>
      <c r="BE299" s="158">
        <v>-96501</v>
      </c>
      <c r="BF299" s="158">
        <v>-475528</v>
      </c>
      <c r="BG299" s="158">
        <v>-111930</v>
      </c>
      <c r="BH299" s="158">
        <v>0</v>
      </c>
      <c r="BI299" s="158">
        <v>-402149</v>
      </c>
      <c r="BJ299" s="158">
        <v>-71170</v>
      </c>
      <c r="BK299" s="158">
        <v>1197406</v>
      </c>
      <c r="BL299" s="1438">
        <v>11690650</v>
      </c>
      <c r="BM299" s="1439">
        <v>0</v>
      </c>
      <c r="BN299" s="784" t="s">
        <v>2349</v>
      </c>
      <c r="BO299" s="784" t="s">
        <v>2373</v>
      </c>
      <c r="BP299" s="1400" t="s">
        <v>2651</v>
      </c>
      <c r="CT299" s="137"/>
    </row>
    <row r="300" spans="1:98" s="509" customFormat="1" ht="13.5" customHeight="1" thickBot="1" x14ac:dyDescent="0.25">
      <c r="A300" s="1421">
        <v>296</v>
      </c>
      <c r="B300" s="650" t="s">
        <v>624</v>
      </c>
      <c r="C300" s="1609" t="s">
        <v>482</v>
      </c>
      <c r="D300" s="1605">
        <v>285597</v>
      </c>
      <c r="E300" s="1405">
        <v>242674066</v>
      </c>
      <c r="F300" s="1405">
        <v>7159</v>
      </c>
      <c r="G300" s="158">
        <v>-6603824</v>
      </c>
      <c r="H300" s="158">
        <v>-13870121</v>
      </c>
      <c r="I300" s="158">
        <v>-101361</v>
      </c>
      <c r="J300" s="158">
        <v>-2345</v>
      </c>
      <c r="K300" s="158">
        <v>-28715</v>
      </c>
      <c r="L300" s="158">
        <v>-25000</v>
      </c>
      <c r="M300" s="158">
        <v>-3539016</v>
      </c>
      <c r="N300" s="158">
        <v>-44329</v>
      </c>
      <c r="O300" s="158">
        <v>-4179</v>
      </c>
      <c r="P300" s="158">
        <v>-8432</v>
      </c>
      <c r="Q300" s="158">
        <v>-10802</v>
      </c>
      <c r="R300" s="158">
        <v>0</v>
      </c>
      <c r="S300" s="158">
        <v>0</v>
      </c>
      <c r="T300" s="158">
        <v>0</v>
      </c>
      <c r="U300" s="158">
        <v>-12304672</v>
      </c>
      <c r="V300" s="158">
        <v>90246494</v>
      </c>
      <c r="W300" s="158">
        <v>-1030000</v>
      </c>
      <c r="X300" s="158">
        <v>167402600</v>
      </c>
      <c r="Y300" s="158">
        <v>242130190</v>
      </c>
      <c r="Z300" s="158">
        <v>44806033</v>
      </c>
      <c r="AA300" s="158">
        <v>43909912</v>
      </c>
      <c r="AB300" s="158">
        <v>0</v>
      </c>
      <c r="AC300" s="158">
        <v>896121</v>
      </c>
      <c r="AD300" s="158">
        <v>287419</v>
      </c>
      <c r="AE300" s="158">
        <v>0</v>
      </c>
      <c r="AF300" s="158">
        <v>0</v>
      </c>
      <c r="AG300" s="158">
        <v>0</v>
      </c>
      <c r="AH300" s="158">
        <v>0</v>
      </c>
      <c r="AI300" s="158">
        <v>0</v>
      </c>
      <c r="AJ300" s="158">
        <v>0</v>
      </c>
      <c r="AK300" s="158">
        <v>-10877546</v>
      </c>
      <c r="AL300" s="158">
        <v>447</v>
      </c>
      <c r="AM300" s="158">
        <v>18</v>
      </c>
      <c r="AN300" s="158">
        <v>1</v>
      </c>
      <c r="AO300" s="158">
        <v>9</v>
      </c>
      <c r="AP300" s="158">
        <v>0</v>
      </c>
      <c r="AQ300" s="158">
        <v>424</v>
      </c>
      <c r="AR300" s="158">
        <v>49</v>
      </c>
      <c r="AS300" s="158">
        <v>1</v>
      </c>
      <c r="AT300" s="158">
        <v>12</v>
      </c>
      <c r="AU300" s="158">
        <v>1</v>
      </c>
      <c r="AV300" s="158">
        <v>8</v>
      </c>
      <c r="AW300" s="158">
        <v>1</v>
      </c>
      <c r="AX300" s="158">
        <v>0</v>
      </c>
      <c r="AY300" s="158">
        <v>1754</v>
      </c>
      <c r="AZ300" s="158">
        <v>938</v>
      </c>
      <c r="BA300" s="158">
        <v>2371</v>
      </c>
      <c r="BB300" s="158">
        <v>2182</v>
      </c>
      <c r="BC300" s="158">
        <v>189</v>
      </c>
      <c r="BD300" s="158">
        <v>3930</v>
      </c>
      <c r="BE300" s="158">
        <v>-200000</v>
      </c>
      <c r="BF300" s="158">
        <v>-1573543</v>
      </c>
      <c r="BG300" s="158">
        <v>0</v>
      </c>
      <c r="BH300" s="158">
        <v>-44910</v>
      </c>
      <c r="BI300" s="158">
        <v>-1720563</v>
      </c>
      <c r="BJ300" s="158">
        <v>0</v>
      </c>
      <c r="BK300" s="158">
        <v>-16070801</v>
      </c>
      <c r="BL300" s="1440">
        <v>28568180</v>
      </c>
      <c r="BM300" s="1439">
        <v>168000</v>
      </c>
      <c r="BN300" s="784" t="s">
        <v>509</v>
      </c>
      <c r="BO300" s="784" t="s">
        <v>2364</v>
      </c>
      <c r="BP300" s="1399" t="s">
        <v>2652</v>
      </c>
      <c r="CT300" s="137"/>
    </row>
    <row r="301" spans="1:98" s="137" customFormat="1" ht="13.5" customHeight="1" thickBot="1" x14ac:dyDescent="0.25">
      <c r="A301" s="1422">
        <v>297</v>
      </c>
      <c r="B301" s="659" t="s">
        <v>483</v>
      </c>
      <c r="C301" s="660" t="s">
        <v>484</v>
      </c>
      <c r="D301" s="651" t="e">
        <v>#N/A</v>
      </c>
      <c r="E301" s="651" t="e">
        <v>#N/A</v>
      </c>
      <c r="F301" s="651" t="e">
        <v>#N/A</v>
      </c>
      <c r="G301" s="651" t="e">
        <v>#N/A</v>
      </c>
      <c r="H301" s="651" t="e">
        <v>#N/A</v>
      </c>
      <c r="I301" s="651" t="e">
        <v>#N/A</v>
      </c>
      <c r="J301" s="651" t="e">
        <v>#N/A</v>
      </c>
      <c r="K301" s="651" t="e">
        <v>#N/A</v>
      </c>
      <c r="L301" s="651" t="e">
        <v>#N/A</v>
      </c>
      <c r="M301" s="651" t="e">
        <v>#N/A</v>
      </c>
      <c r="N301" s="651" t="e">
        <v>#N/A</v>
      </c>
      <c r="O301" s="651" t="e">
        <v>#N/A</v>
      </c>
      <c r="P301" s="651" t="e">
        <v>#N/A</v>
      </c>
      <c r="Q301" s="651" t="e">
        <v>#N/A</v>
      </c>
      <c r="R301" s="651" t="e">
        <v>#N/A</v>
      </c>
      <c r="S301" s="651" t="e">
        <v>#N/A</v>
      </c>
      <c r="T301" s="651" t="e">
        <v>#N/A</v>
      </c>
      <c r="U301" s="651" t="e">
        <v>#N/A</v>
      </c>
      <c r="V301" s="651" t="e">
        <v>#N/A</v>
      </c>
      <c r="W301" s="651" t="e">
        <v>#N/A</v>
      </c>
      <c r="X301" s="651" t="e">
        <v>#N/A</v>
      </c>
      <c r="Y301" s="651" t="e">
        <v>#N/A</v>
      </c>
      <c r="Z301" s="651"/>
      <c r="AA301" s="651"/>
      <c r="AB301" s="651"/>
      <c r="AC301" s="651"/>
      <c r="AD301" s="651"/>
      <c r="AE301" s="651"/>
      <c r="AF301" s="651"/>
      <c r="AG301" s="651"/>
      <c r="AH301" s="651"/>
      <c r="AI301" s="651"/>
      <c r="AJ301" s="651"/>
      <c r="AK301" s="651" t="e">
        <v>#N/A</v>
      </c>
      <c r="AL301" s="651" t="e">
        <v>#N/A</v>
      </c>
      <c r="AM301" s="651" t="e">
        <v>#N/A</v>
      </c>
      <c r="AN301" s="651" t="e">
        <v>#N/A</v>
      </c>
      <c r="AO301" s="651" t="e">
        <v>#N/A</v>
      </c>
      <c r="AP301" s="651" t="e">
        <v>#N/A</v>
      </c>
      <c r="AQ301" s="651" t="e">
        <v>#N/A</v>
      </c>
      <c r="AR301" s="651" t="e">
        <v>#N/A</v>
      </c>
      <c r="AS301" s="651" t="e">
        <v>#N/A</v>
      </c>
      <c r="AT301" s="651" t="e">
        <v>#N/A</v>
      </c>
      <c r="AU301" s="651" t="e">
        <v>#N/A</v>
      </c>
      <c r="AV301" s="651" t="e">
        <v>#N/A</v>
      </c>
      <c r="AW301" s="651" t="e">
        <v>#N/A</v>
      </c>
      <c r="AX301" s="651" t="e">
        <v>#N/A</v>
      </c>
      <c r="AY301" s="651" t="e">
        <v>#N/A</v>
      </c>
      <c r="AZ301" s="651" t="e">
        <v>#N/A</v>
      </c>
      <c r="BA301" s="651" t="e">
        <v>#N/A</v>
      </c>
      <c r="BB301" s="651" t="e">
        <v>#N/A</v>
      </c>
      <c r="BC301" s="651" t="e">
        <v>#N/A</v>
      </c>
      <c r="BD301" s="651" t="e">
        <v>#N/A</v>
      </c>
      <c r="BE301" s="651" t="e">
        <v>#N/A</v>
      </c>
      <c r="BF301" s="651" t="e">
        <v>#N/A</v>
      </c>
      <c r="BG301" s="651" t="e">
        <v>#N/A</v>
      </c>
      <c r="BH301" s="651" t="e">
        <v>#N/A</v>
      </c>
      <c r="BI301" s="651" t="e">
        <v>#N/A</v>
      </c>
      <c r="BJ301" s="651" t="e">
        <v>#N/A</v>
      </c>
      <c r="BK301" s="651" t="e">
        <v>#N/A</v>
      </c>
      <c r="BL301" s="678" t="e">
        <v>#N/A</v>
      </c>
      <c r="BM301" s="651" t="e">
        <v>#N/A</v>
      </c>
      <c r="BN301" s="651" t="e">
        <v>#N/A</v>
      </c>
      <c r="BO301" s="651" t="e">
        <v>#N/A</v>
      </c>
      <c r="BP301" s="651" t="e">
        <v>#N/A</v>
      </c>
      <c r="BQ301" s="509"/>
      <c r="BR301" s="509"/>
      <c r="BS301" s="509"/>
      <c r="BT301" s="509"/>
      <c r="BU301" s="509"/>
      <c r="BV301" s="509"/>
      <c r="BW301" s="509"/>
      <c r="BX301" s="509"/>
      <c r="BY301" s="509"/>
      <c r="BZ301" s="509"/>
      <c r="CA301" s="509"/>
      <c r="CB301" s="509"/>
      <c r="CC301" s="509"/>
      <c r="CD301" s="509"/>
      <c r="CE301" s="509"/>
      <c r="CF301" s="509"/>
      <c r="CG301" s="509"/>
      <c r="CH301" s="509"/>
      <c r="CI301" s="509"/>
      <c r="CJ301" s="509"/>
      <c r="CK301" s="509"/>
      <c r="CL301" s="509"/>
      <c r="CM301" s="509"/>
      <c r="CN301" s="509"/>
      <c r="CO301" s="509"/>
      <c r="CP301" s="509"/>
      <c r="CQ301" s="509"/>
      <c r="CR301" s="509"/>
      <c r="CS301" s="509"/>
    </row>
    <row r="302" spans="1:98" ht="15" customHeight="1" x14ac:dyDescent="0.2">
      <c r="E302" s="564"/>
      <c r="F302" s="564"/>
      <c r="G302" s="564"/>
      <c r="H302" s="564"/>
      <c r="I302" s="564"/>
      <c r="J302" s="564"/>
      <c r="K302" s="564"/>
      <c r="L302" s="564"/>
      <c r="M302" s="564"/>
      <c r="N302" s="564"/>
      <c r="O302" s="564"/>
      <c r="P302" s="564"/>
      <c r="Q302" s="564"/>
      <c r="R302" s="564"/>
      <c r="S302" s="564"/>
      <c r="T302" s="564"/>
      <c r="U302" s="564"/>
      <c r="V302" s="564"/>
      <c r="W302" s="564"/>
      <c r="X302" s="564"/>
      <c r="Y302" s="564"/>
      <c r="Z302" s="564"/>
      <c r="AA302" s="564"/>
      <c r="AB302" s="564"/>
      <c r="AC302" s="564"/>
      <c r="AD302" s="564"/>
      <c r="AE302" s="564"/>
      <c r="AF302" s="564"/>
      <c r="AG302" s="564"/>
      <c r="AH302" s="564"/>
      <c r="AI302" s="564"/>
      <c r="AJ302" s="564"/>
      <c r="AK302" s="564"/>
      <c r="AL302" s="564"/>
      <c r="AM302" s="564"/>
      <c r="AN302" s="564"/>
      <c r="AO302" s="564"/>
      <c r="AP302" s="564"/>
      <c r="AQ302" s="564"/>
      <c r="AR302" s="564"/>
      <c r="AS302" s="564"/>
      <c r="AT302" s="564"/>
      <c r="AU302" s="564"/>
      <c r="AV302" s="564"/>
      <c r="AW302" s="564"/>
      <c r="AX302" s="564"/>
      <c r="AY302" s="564"/>
      <c r="AZ302" s="564"/>
      <c r="BA302" s="564"/>
      <c r="BB302" s="564"/>
      <c r="BC302" s="564"/>
      <c r="BD302" s="564"/>
      <c r="BE302" s="564"/>
      <c r="BF302" s="564"/>
      <c r="BG302" s="564"/>
      <c r="BH302" s="564"/>
      <c r="BI302" s="564"/>
      <c r="BJ302" s="564"/>
      <c r="BL302" s="564"/>
      <c r="BM302" s="564"/>
    </row>
    <row r="303" spans="1:98" ht="15" customHeight="1" x14ac:dyDescent="0.2">
      <c r="D303" s="1398"/>
      <c r="E303" s="1414"/>
      <c r="F303" s="1414"/>
    </row>
    <row r="304" spans="1:98" ht="15.75" customHeight="1" x14ac:dyDescent="0.2"/>
  </sheetData>
  <autoFilter ref="A4:CT301" xr:uid="{00000000-0001-0000-0C00-000000000000}"/>
  <mergeCells count="3">
    <mergeCell ref="BN1:BP1"/>
    <mergeCell ref="D1:F1"/>
    <mergeCell ref="BL1:BM1"/>
  </mergeCells>
  <phoneticPr fontId="7" type="noConversion"/>
  <dataValidations count="2">
    <dataValidation type="custom" allowBlank="1" showInputMessage="1" showErrorMessage="1" sqref="BL2:BP1048576 D1:D1048576 BK1:BK1048576 AL1 B298:C302 BQ1:BX1 BZ1:XFD1 BQ2:XFD296 B1:C174 A1 BQ298:XFD1048576 B283:C296 B176:C281 G1 BL1:BM1 E2:BJ1048576" xr:uid="{672402A6-5B86-4E59-8C14-52C39B166134}">
      <formula1>$BY$1="UNLOCK"</formula1>
    </dataValidation>
    <dataValidation type="custom" allowBlank="1" showInputMessage="1" showErrorMessage="1" errorTitle="DO NOT AMEND" sqref="B282:C282 B175:C175" xr:uid="{A2E42493-78FC-48DF-999E-FB9A381477C1}">
      <formula1>"cb1=""unlock"""</formula1>
    </dataValidation>
  </dataValidations>
  <pageMargins left="0.39370078740157483" right="0.39370078740157483" top="0.39370078740157483" bottom="0.39370078740157483" header="0.51181102362204722" footer="0.51181102362204722"/>
  <pageSetup paperSize="8" scale="62" fitToHeight="4" orientation="landscape" r:id="rId1"/>
  <headerFooter alignWithMargins="0">
    <oddHeader>&amp;C&amp;"Calibri"&amp;10&amp;K000000 OFFICIAL&amp;1#_x000D_</oddHeader>
    <oddFooter>&amp;C_x000D_&amp;1#&amp;"Calibri"&amp;10&amp;K000000 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92D050"/>
    <pageSetUpPr autoPageBreaks="0" fitToPage="1"/>
  </sheetPr>
  <dimension ref="A1:CT1506"/>
  <sheetViews>
    <sheetView workbookViewId="0">
      <selection activeCell="A21" sqref="A21"/>
    </sheetView>
  </sheetViews>
  <sheetFormatPr defaultColWidth="9.140625" defaultRowHeight="12.75" x14ac:dyDescent="0.2"/>
  <cols>
    <col min="1" max="1" width="7.5703125" style="302" customWidth="1"/>
    <col min="2" max="2" width="34.7109375" style="302" bestFit="1" customWidth="1"/>
    <col min="3" max="4" width="14.28515625" style="302" customWidth="1"/>
    <col min="5" max="5" width="24.28515625" style="302" customWidth="1"/>
    <col min="6" max="7" width="14.28515625" style="302" customWidth="1"/>
    <col min="8" max="8" width="40" style="302" customWidth="1"/>
    <col min="9" max="10" width="14.28515625" style="302" customWidth="1"/>
    <col min="11" max="11" width="16" style="302" bestFit="1" customWidth="1"/>
    <col min="12" max="12" width="12.42578125" style="302" bestFit="1" customWidth="1"/>
    <col min="13" max="13" width="24.28515625" style="302" customWidth="1"/>
    <col min="14" max="14" width="17" style="302" customWidth="1"/>
    <col min="15" max="15" width="12.42578125" style="302" bestFit="1" customWidth="1"/>
    <col min="16" max="16" width="40.42578125" style="302" customWidth="1"/>
    <col min="17" max="17" width="19" style="302" customWidth="1"/>
    <col min="18" max="18" width="16.28515625" style="302" customWidth="1"/>
    <col min="19" max="19" width="16" style="302" bestFit="1" customWidth="1"/>
    <col min="20" max="20" width="12.42578125" style="302" bestFit="1" customWidth="1"/>
    <col min="21" max="21" width="24" style="302" bestFit="1" customWidth="1"/>
    <col min="22" max="22" width="17" style="302" customWidth="1"/>
    <col min="23" max="23" width="12.42578125" style="302" bestFit="1" customWidth="1"/>
    <col min="24" max="24" width="40.42578125" style="302" customWidth="1"/>
    <col min="25" max="25" width="19" style="302" customWidth="1"/>
    <col min="26" max="26" width="16.28515625" style="302" customWidth="1"/>
    <col min="27" max="27" width="16" style="302" bestFit="1" customWidth="1"/>
    <col min="28" max="28" width="12.42578125" style="302" bestFit="1" customWidth="1"/>
    <col min="29" max="29" width="24" style="302" bestFit="1" customWidth="1"/>
    <col min="30" max="30" width="17" style="302" customWidth="1"/>
    <col min="31" max="31" width="12.42578125" style="302" bestFit="1" customWidth="1"/>
    <col min="32" max="32" width="40.42578125" style="302" customWidth="1"/>
    <col min="33" max="33" width="19" style="302" customWidth="1"/>
    <col min="34" max="34" width="16.28515625" style="302" customWidth="1"/>
    <col min="35" max="35" width="16" style="302" bestFit="1" customWidth="1"/>
    <col min="36" max="36" width="12.42578125" style="302" bestFit="1" customWidth="1"/>
    <col min="37" max="37" width="24" style="302" bestFit="1" customWidth="1"/>
    <col min="38" max="38" width="17" style="302" customWidth="1"/>
    <col min="39" max="39" width="12.42578125" style="302" bestFit="1" customWidth="1"/>
    <col min="40" max="40" width="40.42578125" style="302" customWidth="1"/>
    <col min="41" max="41" width="19" style="302" customWidth="1"/>
    <col min="42" max="42" width="16.28515625" style="302" customWidth="1"/>
    <col min="43" max="43" width="16" style="302" bestFit="1" customWidth="1"/>
    <col min="44" max="44" width="12.42578125" style="302" bestFit="1" customWidth="1"/>
    <col min="45" max="45" width="24" style="302" bestFit="1" customWidth="1"/>
    <col min="46" max="46" width="17" style="302" customWidth="1"/>
    <col min="47" max="47" width="12.42578125" style="302" bestFit="1" customWidth="1"/>
    <col min="48" max="48" width="40.42578125" style="302" customWidth="1"/>
    <col min="49" max="49" width="19" style="302" customWidth="1"/>
    <col min="50" max="50" width="16.28515625" style="302" customWidth="1"/>
    <col min="51" max="51" width="13.42578125" style="302" customWidth="1"/>
    <col min="52" max="52" width="10.7109375" style="302" customWidth="1"/>
    <col min="53" max="53" width="16.85546875" style="302" customWidth="1"/>
    <col min="54" max="54" width="11.140625" style="302" customWidth="1"/>
    <col min="55" max="55" width="14.85546875" style="302" customWidth="1"/>
    <col min="56" max="56" width="14" style="302" customWidth="1"/>
    <col min="57" max="57" width="10.140625" style="302" customWidth="1"/>
    <col min="58" max="58" width="12.140625" style="302" customWidth="1"/>
    <col min="59" max="59" width="13.42578125" style="302" customWidth="1"/>
    <col min="60" max="60" width="10.7109375" style="302" customWidth="1"/>
    <col min="61" max="61" width="16.85546875" style="302" customWidth="1"/>
    <col min="62" max="62" width="11.140625" style="302" customWidth="1"/>
    <col min="63" max="63" width="14.85546875" style="302" customWidth="1"/>
    <col min="64" max="64" width="14" style="302" customWidth="1"/>
    <col min="65" max="65" width="10.140625" style="302" customWidth="1"/>
    <col min="66" max="66" width="12.140625" style="302" customWidth="1"/>
    <col min="67" max="67" width="5.7109375" style="302" customWidth="1"/>
    <col min="68" max="68" width="10.5703125" style="438" customWidth="1"/>
    <col min="69" max="69" width="8.7109375" style="302" customWidth="1"/>
    <col min="70" max="70" width="23.28515625" style="302" customWidth="1"/>
    <col min="71" max="71" width="11.28515625" style="438" customWidth="1"/>
    <col min="72" max="72" width="6.85546875" style="302" customWidth="1"/>
    <col min="73" max="73" width="33" style="302" customWidth="1"/>
    <col min="74" max="74" width="11.140625" style="438" customWidth="1"/>
    <col min="75" max="75" width="7.7109375" style="438" customWidth="1"/>
    <col min="76" max="76" width="13" style="438" customWidth="1"/>
    <col min="77" max="77" width="8.28515625" style="438" customWidth="1"/>
    <col min="78" max="78" width="25.28515625" style="438" customWidth="1"/>
    <col min="79" max="79" width="12.42578125" style="438" customWidth="1"/>
    <col min="80" max="80" width="8" style="438" customWidth="1"/>
    <col min="81" max="81" width="33.140625" style="438" customWidth="1"/>
    <col min="82" max="82" width="10.5703125" style="438" customWidth="1"/>
    <col min="83" max="83" width="9.140625" style="440" customWidth="1"/>
    <col min="84" max="84" width="7.42578125" style="418" customWidth="1"/>
    <col min="85" max="85" width="5.85546875" style="418" customWidth="1"/>
    <col min="86" max="86" width="7.140625" style="418" customWidth="1"/>
    <col min="87" max="87" width="12.85546875" style="438" customWidth="1"/>
    <col min="88" max="88" width="16.7109375" style="428" customWidth="1"/>
    <col min="89" max="16384" width="9.140625" style="428"/>
  </cols>
  <sheetData>
    <row r="1" spans="1:95" ht="15" x14ac:dyDescent="0.2">
      <c r="A1" s="855" t="s">
        <v>911</v>
      </c>
      <c r="B1" s="856"/>
      <c r="C1" s="1272"/>
      <c r="D1" s="1272"/>
      <c r="E1" s="1272"/>
      <c r="F1" s="1272"/>
      <c r="G1" s="1272"/>
      <c r="H1" s="1272"/>
      <c r="I1" s="1272"/>
      <c r="J1" s="1272"/>
      <c r="K1" s="856"/>
      <c r="L1" s="856"/>
      <c r="M1" s="856"/>
      <c r="N1" s="856"/>
      <c r="O1" s="856"/>
      <c r="P1" s="856"/>
      <c r="Q1" s="856"/>
      <c r="R1" s="856"/>
      <c r="S1" s="856"/>
      <c r="T1" s="856"/>
      <c r="U1" s="856"/>
      <c r="V1" s="856"/>
      <c r="W1" s="856"/>
      <c r="X1" s="856"/>
      <c r="Y1" s="856"/>
      <c r="Z1" s="856"/>
      <c r="AA1" s="856"/>
      <c r="AB1" s="856"/>
      <c r="AC1" s="856"/>
      <c r="AD1" s="856"/>
      <c r="AE1" s="856"/>
      <c r="AF1" s="856"/>
      <c r="AG1" s="856"/>
      <c r="AH1" s="856"/>
      <c r="AI1" s="856"/>
      <c r="AJ1" s="856"/>
      <c r="AK1" s="856"/>
      <c r="AL1" s="856"/>
      <c r="AM1" s="856"/>
      <c r="AN1" s="856"/>
      <c r="AO1" s="856"/>
      <c r="AP1" s="856"/>
      <c r="AQ1" s="856"/>
      <c r="AR1" s="856"/>
      <c r="AS1" s="856"/>
      <c r="AT1" s="856"/>
      <c r="AU1" s="856"/>
      <c r="AV1" s="856"/>
      <c r="AW1" s="856"/>
      <c r="AX1" s="856"/>
      <c r="AY1" s="856"/>
      <c r="AZ1" s="856"/>
      <c r="BA1" s="856"/>
      <c r="BB1" s="856"/>
      <c r="BC1" s="856"/>
      <c r="BD1" s="856"/>
      <c r="BE1" s="856"/>
      <c r="BF1" s="856"/>
      <c r="BG1" s="856"/>
      <c r="BH1" s="856"/>
      <c r="BI1" s="856"/>
      <c r="BJ1" s="856"/>
      <c r="BK1" s="856"/>
      <c r="BL1" s="856"/>
      <c r="BM1" s="856"/>
      <c r="BN1" s="856"/>
      <c r="BO1" s="856"/>
      <c r="BP1" s="856"/>
      <c r="BQ1" s="856"/>
      <c r="BR1" s="856"/>
      <c r="BS1" s="856"/>
      <c r="BT1" s="856"/>
      <c r="BU1" s="856"/>
      <c r="BV1" s="856"/>
      <c r="BW1" s="856"/>
      <c r="BX1" s="455"/>
      <c r="BY1" s="455"/>
      <c r="BZ1" s="455"/>
      <c r="CA1" s="455"/>
      <c r="CB1" s="455"/>
      <c r="CC1" s="455"/>
      <c r="CD1" s="455"/>
      <c r="CE1" s="456"/>
      <c r="CF1" s="415"/>
      <c r="CG1" s="415"/>
      <c r="CH1" s="415"/>
      <c r="CI1" s="427"/>
    </row>
    <row r="2" spans="1:95" ht="15" x14ac:dyDescent="0.2">
      <c r="A2" s="429"/>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K2" s="430"/>
      <c r="AL2" s="430"/>
      <c r="AM2" s="430"/>
      <c r="AN2" s="430"/>
      <c r="AO2" s="430"/>
      <c r="AP2" s="430"/>
      <c r="AQ2" s="430"/>
      <c r="AR2" s="430"/>
      <c r="AS2" s="430"/>
      <c r="AT2" s="430"/>
      <c r="AU2" s="430"/>
      <c r="AV2" s="430"/>
      <c r="AW2" s="430"/>
      <c r="AX2" s="430"/>
      <c r="AY2" s="430"/>
      <c r="AZ2" s="430"/>
      <c r="BA2" s="430"/>
      <c r="BB2" s="430"/>
      <c r="BC2" s="430"/>
      <c r="BD2" s="430"/>
      <c r="BE2" s="430"/>
      <c r="BF2" s="430"/>
      <c r="BG2" s="430"/>
      <c r="BH2" s="430"/>
      <c r="BI2" s="430"/>
      <c r="BJ2" s="430"/>
      <c r="BK2" s="430"/>
      <c r="BL2" s="430"/>
      <c r="BM2" s="430"/>
      <c r="BN2" s="430"/>
      <c r="BO2" s="430"/>
      <c r="BP2" s="431"/>
      <c r="BQ2" s="430"/>
      <c r="BR2" s="430"/>
      <c r="BS2" s="431"/>
      <c r="BT2" s="430"/>
      <c r="BU2" s="430"/>
      <c r="BV2" s="431"/>
      <c r="BW2" s="431"/>
      <c r="BX2" s="457"/>
      <c r="BY2" s="457"/>
      <c r="BZ2" s="457"/>
      <c r="CA2" s="457"/>
      <c r="CB2" s="457"/>
      <c r="CC2" s="457"/>
      <c r="CD2" s="457"/>
      <c r="CE2" s="458"/>
      <c r="CF2" s="416"/>
      <c r="CG2" s="416"/>
      <c r="CH2" s="416"/>
      <c r="CI2" s="432"/>
    </row>
    <row r="3" spans="1:95" s="229" customFormat="1" ht="15.75" thickBot="1" x14ac:dyDescent="0.25">
      <c r="A3" s="401">
        <v>1</v>
      </c>
      <c r="B3" s="402">
        <v>2</v>
      </c>
      <c r="C3" s="402"/>
      <c r="D3" s="402"/>
      <c r="E3" s="402"/>
      <c r="F3" s="402"/>
      <c r="G3" s="402"/>
      <c r="H3" s="402"/>
      <c r="I3" s="402"/>
      <c r="J3" s="402"/>
      <c r="K3" s="402">
        <v>3</v>
      </c>
      <c r="L3" s="402">
        <v>4</v>
      </c>
      <c r="M3" s="402">
        <v>5</v>
      </c>
      <c r="N3" s="402">
        <v>6</v>
      </c>
      <c r="O3" s="402">
        <v>7</v>
      </c>
      <c r="P3" s="402">
        <v>8</v>
      </c>
      <c r="Q3" s="402">
        <v>9</v>
      </c>
      <c r="R3" s="402">
        <v>10</v>
      </c>
      <c r="S3" s="402">
        <v>11</v>
      </c>
      <c r="T3" s="402">
        <v>12</v>
      </c>
      <c r="U3" s="402">
        <v>13</v>
      </c>
      <c r="V3" s="402">
        <v>14</v>
      </c>
      <c r="W3" s="402">
        <v>15</v>
      </c>
      <c r="X3" s="402">
        <v>16</v>
      </c>
      <c r="Y3" s="402">
        <v>17</v>
      </c>
      <c r="Z3" s="402">
        <v>18</v>
      </c>
      <c r="AA3" s="402">
        <v>19</v>
      </c>
      <c r="AB3" s="402">
        <v>20</v>
      </c>
      <c r="AC3" s="402">
        <v>21</v>
      </c>
      <c r="AD3" s="402">
        <v>22</v>
      </c>
      <c r="AE3" s="402">
        <v>23</v>
      </c>
      <c r="AF3" s="402">
        <v>24</v>
      </c>
      <c r="AG3" s="402">
        <v>25</v>
      </c>
      <c r="AH3" s="402">
        <v>26</v>
      </c>
      <c r="AI3" s="402">
        <v>27</v>
      </c>
      <c r="AJ3" s="402">
        <v>28</v>
      </c>
      <c r="AK3" s="402">
        <v>29</v>
      </c>
      <c r="AL3" s="402">
        <v>30</v>
      </c>
      <c r="AM3" s="402">
        <v>31</v>
      </c>
      <c r="AN3" s="402">
        <v>32</v>
      </c>
      <c r="AO3" s="402">
        <v>33</v>
      </c>
      <c r="AP3" s="402">
        <v>34</v>
      </c>
      <c r="AQ3" s="402">
        <v>35</v>
      </c>
      <c r="AR3" s="402">
        <v>36</v>
      </c>
      <c r="AS3" s="402">
        <v>37</v>
      </c>
      <c r="AT3" s="402">
        <v>38</v>
      </c>
      <c r="AU3" s="402">
        <v>39</v>
      </c>
      <c r="AV3" s="402">
        <v>40</v>
      </c>
      <c r="AW3" s="402">
        <v>41</v>
      </c>
      <c r="AX3" s="402">
        <v>42</v>
      </c>
      <c r="AY3" s="402">
        <v>43</v>
      </c>
      <c r="AZ3" s="402">
        <v>44</v>
      </c>
      <c r="BA3" s="402">
        <v>45</v>
      </c>
      <c r="BB3" s="402">
        <v>46</v>
      </c>
      <c r="BC3" s="402">
        <v>47</v>
      </c>
      <c r="BD3" s="402">
        <v>48</v>
      </c>
      <c r="BE3" s="402">
        <v>49</v>
      </c>
      <c r="BF3" s="402">
        <v>50</v>
      </c>
      <c r="BG3" s="402">
        <v>51</v>
      </c>
      <c r="BH3" s="402">
        <v>52</v>
      </c>
      <c r="BI3" s="402">
        <v>53</v>
      </c>
      <c r="BJ3" s="402">
        <v>54</v>
      </c>
      <c r="BK3" s="402">
        <v>55</v>
      </c>
      <c r="BL3" s="402">
        <v>56</v>
      </c>
      <c r="BM3" s="402">
        <v>57</v>
      </c>
      <c r="BN3" s="402">
        <v>58</v>
      </c>
      <c r="BO3" s="402">
        <v>59</v>
      </c>
      <c r="BP3" s="402">
        <v>60</v>
      </c>
      <c r="BQ3" s="402">
        <v>61</v>
      </c>
      <c r="BR3" s="402">
        <v>62</v>
      </c>
      <c r="BS3" s="402">
        <v>63</v>
      </c>
      <c r="BT3" s="402">
        <v>64</v>
      </c>
      <c r="BU3" s="402">
        <v>65</v>
      </c>
      <c r="BV3" s="402">
        <v>66</v>
      </c>
      <c r="BW3" s="402">
        <v>67</v>
      </c>
      <c r="BX3" s="402">
        <v>68</v>
      </c>
      <c r="BY3" s="402">
        <v>69</v>
      </c>
      <c r="BZ3" s="402">
        <v>70</v>
      </c>
      <c r="CA3" s="402">
        <v>71</v>
      </c>
      <c r="CB3" s="402">
        <v>72</v>
      </c>
      <c r="CC3" s="402">
        <v>73</v>
      </c>
      <c r="CD3" s="402">
        <v>74</v>
      </c>
      <c r="CE3" s="402">
        <v>75</v>
      </c>
      <c r="CF3" s="402">
        <v>76</v>
      </c>
      <c r="CG3" s="402">
        <v>77</v>
      </c>
      <c r="CH3" s="402"/>
      <c r="CI3" s="402">
        <v>78</v>
      </c>
      <c r="CJ3" s="402">
        <v>79</v>
      </c>
      <c r="CK3" s="402">
        <v>80</v>
      </c>
      <c r="CL3" s="402">
        <v>81</v>
      </c>
      <c r="CM3" s="402">
        <v>82</v>
      </c>
      <c r="CN3" s="402">
        <v>83</v>
      </c>
      <c r="CO3" s="402">
        <v>84</v>
      </c>
      <c r="CP3" s="402">
        <v>85</v>
      </c>
      <c r="CQ3" s="402">
        <v>86</v>
      </c>
    </row>
    <row r="4" spans="1:95" s="400" customFormat="1" ht="63.75" x14ac:dyDescent="0.2">
      <c r="A4" s="398" t="s">
        <v>685</v>
      </c>
      <c r="B4" s="399" t="s">
        <v>504</v>
      </c>
      <c r="C4" s="889" t="s">
        <v>3086</v>
      </c>
      <c r="D4" s="399" t="s">
        <v>685</v>
      </c>
      <c r="E4" s="399" t="s">
        <v>505</v>
      </c>
      <c r="F4" s="411" t="s">
        <v>3141</v>
      </c>
      <c r="G4" s="399" t="s">
        <v>685</v>
      </c>
      <c r="H4" s="399" t="s">
        <v>506</v>
      </c>
      <c r="I4" s="411" t="s">
        <v>3142</v>
      </c>
      <c r="J4" s="643" t="s">
        <v>3143</v>
      </c>
      <c r="K4" s="889" t="s">
        <v>2695</v>
      </c>
      <c r="L4" s="399" t="s">
        <v>685</v>
      </c>
      <c r="M4" s="399" t="s">
        <v>505</v>
      </c>
      <c r="N4" s="411" t="s">
        <v>2717</v>
      </c>
      <c r="O4" s="399" t="s">
        <v>685</v>
      </c>
      <c r="P4" s="399" t="s">
        <v>506</v>
      </c>
      <c r="Q4" s="411" t="s">
        <v>2718</v>
      </c>
      <c r="R4" s="643" t="s">
        <v>2719</v>
      </c>
      <c r="S4" s="411" t="s">
        <v>2301</v>
      </c>
      <c r="T4" s="399" t="s">
        <v>685</v>
      </c>
      <c r="U4" s="399" t="s">
        <v>505</v>
      </c>
      <c r="V4" s="411" t="s">
        <v>2303</v>
      </c>
      <c r="W4" s="399" t="s">
        <v>685</v>
      </c>
      <c r="X4" s="399" t="s">
        <v>506</v>
      </c>
      <c r="Y4" s="411" t="s">
        <v>2304</v>
      </c>
      <c r="Z4" s="643" t="s">
        <v>2305</v>
      </c>
      <c r="AA4" s="411" t="s">
        <v>2221</v>
      </c>
      <c r="AB4" s="399" t="s">
        <v>685</v>
      </c>
      <c r="AC4" s="399" t="s">
        <v>505</v>
      </c>
      <c r="AD4" s="411" t="s">
        <v>2224</v>
      </c>
      <c r="AE4" s="399" t="s">
        <v>685</v>
      </c>
      <c r="AF4" s="890" t="s">
        <v>506</v>
      </c>
      <c r="AG4" s="411" t="s">
        <v>2225</v>
      </c>
      <c r="AH4" s="643" t="s">
        <v>2226</v>
      </c>
      <c r="AI4" s="411" t="s">
        <v>1287</v>
      </c>
      <c r="AJ4" s="399" t="s">
        <v>685</v>
      </c>
      <c r="AK4" s="399" t="s">
        <v>505</v>
      </c>
      <c r="AL4" s="411" t="s">
        <v>1290</v>
      </c>
      <c r="AM4" s="399" t="s">
        <v>685</v>
      </c>
      <c r="AN4" s="890" t="s">
        <v>506</v>
      </c>
      <c r="AO4" s="411" t="s">
        <v>1291</v>
      </c>
      <c r="AP4" s="643" t="s">
        <v>1292</v>
      </c>
      <c r="AQ4" s="411" t="s">
        <v>1169</v>
      </c>
      <c r="AR4" s="399" t="s">
        <v>685</v>
      </c>
      <c r="AS4" s="399" t="s">
        <v>505</v>
      </c>
      <c r="AT4" s="411" t="s">
        <v>1205</v>
      </c>
      <c r="AU4" s="399" t="s">
        <v>685</v>
      </c>
      <c r="AV4" s="399" t="s">
        <v>506</v>
      </c>
      <c r="AW4" s="411" t="s">
        <v>1206</v>
      </c>
      <c r="AX4" s="643" t="s">
        <v>1207</v>
      </c>
      <c r="AY4" s="411" t="s">
        <v>1167</v>
      </c>
      <c r="AZ4" s="399" t="s">
        <v>685</v>
      </c>
      <c r="BA4" s="399" t="s">
        <v>505</v>
      </c>
      <c r="BB4" s="411" t="s">
        <v>1171</v>
      </c>
      <c r="BC4" s="399" t="s">
        <v>685</v>
      </c>
      <c r="BD4" s="399" t="s">
        <v>506</v>
      </c>
      <c r="BE4" s="411" t="s">
        <v>1172</v>
      </c>
      <c r="BF4" s="411" t="s">
        <v>1173</v>
      </c>
      <c r="BG4" s="585" t="s">
        <v>1159</v>
      </c>
      <c r="BH4" s="399" t="s">
        <v>685</v>
      </c>
      <c r="BI4" s="399" t="s">
        <v>505</v>
      </c>
      <c r="BJ4" s="411" t="s">
        <v>1160</v>
      </c>
      <c r="BK4" s="399" t="s">
        <v>685</v>
      </c>
      <c r="BL4" s="399" t="s">
        <v>506</v>
      </c>
      <c r="BM4" s="411" t="s">
        <v>1161</v>
      </c>
      <c r="BN4" s="643" t="s">
        <v>1158</v>
      </c>
      <c r="BO4" s="411"/>
      <c r="BP4" s="411" t="s">
        <v>929</v>
      </c>
      <c r="BQ4" s="399" t="s">
        <v>685</v>
      </c>
      <c r="BR4" s="399" t="s">
        <v>505</v>
      </c>
      <c r="BS4" s="411" t="s">
        <v>930</v>
      </c>
      <c r="BT4" s="399" t="s">
        <v>685</v>
      </c>
      <c r="BU4" s="399" t="s">
        <v>506</v>
      </c>
      <c r="BV4" s="411" t="s">
        <v>931</v>
      </c>
      <c r="BW4" s="643" t="s">
        <v>935</v>
      </c>
      <c r="BX4" s="411" t="s">
        <v>932</v>
      </c>
      <c r="BY4" s="399" t="s">
        <v>685</v>
      </c>
      <c r="BZ4" s="399" t="s">
        <v>505</v>
      </c>
      <c r="CA4" s="411" t="s">
        <v>933</v>
      </c>
      <c r="CB4" s="399" t="s">
        <v>685</v>
      </c>
      <c r="CC4" s="399" t="s">
        <v>506</v>
      </c>
      <c r="CD4" s="411" t="s">
        <v>934</v>
      </c>
      <c r="CE4" s="411" t="s">
        <v>936</v>
      </c>
      <c r="CF4" s="403" t="s">
        <v>912</v>
      </c>
      <c r="CG4" s="403" t="s">
        <v>2299</v>
      </c>
      <c r="CH4" s="403" t="s">
        <v>3060</v>
      </c>
      <c r="CI4" s="404" t="s">
        <v>905</v>
      </c>
      <c r="CJ4" s="791" t="s">
        <v>1165</v>
      </c>
      <c r="CK4" s="592" t="s">
        <v>1188</v>
      </c>
      <c r="CL4" s="593" t="s">
        <v>1189</v>
      </c>
      <c r="CM4" s="593" t="s">
        <v>505</v>
      </c>
      <c r="CN4" s="593" t="s">
        <v>1190</v>
      </c>
      <c r="CO4" s="593" t="s">
        <v>1191</v>
      </c>
      <c r="CP4" s="593" t="s">
        <v>1175</v>
      </c>
      <c r="CQ4" s="593" t="s">
        <v>1192</v>
      </c>
    </row>
    <row r="5" spans="1:95" s="89" customFormat="1" ht="15" x14ac:dyDescent="0.2">
      <c r="A5" s="393"/>
      <c r="B5" s="394"/>
      <c r="C5" s="395"/>
      <c r="D5" s="395"/>
      <c r="E5" s="395"/>
      <c r="F5" s="395"/>
      <c r="G5" s="395"/>
      <c r="H5" s="395"/>
      <c r="I5" s="395"/>
      <c r="J5" s="662"/>
      <c r="K5" s="394"/>
      <c r="L5" s="394"/>
      <c r="M5" s="394"/>
      <c r="N5" s="394"/>
      <c r="O5" s="394"/>
      <c r="P5" s="394"/>
      <c r="Q5" s="394"/>
      <c r="R5" s="644"/>
      <c r="S5" s="394"/>
      <c r="T5" s="394"/>
      <c r="U5" s="394"/>
      <c r="V5" s="394"/>
      <c r="W5" s="394"/>
      <c r="X5" s="394"/>
      <c r="Y5" s="394"/>
      <c r="Z5" s="644"/>
      <c r="AA5" s="394"/>
      <c r="AB5" s="394"/>
      <c r="AC5" s="394"/>
      <c r="AD5" s="394"/>
      <c r="AE5" s="394"/>
      <c r="AF5" s="394"/>
      <c r="AG5" s="394"/>
      <c r="AH5" s="644"/>
      <c r="AI5" s="394"/>
      <c r="AJ5" s="394"/>
      <c r="AK5" s="394"/>
      <c r="AL5" s="394"/>
      <c r="AM5" s="394"/>
      <c r="AN5" s="394"/>
      <c r="AO5" s="394"/>
      <c r="AP5" s="644"/>
      <c r="AQ5" s="394"/>
      <c r="AR5" s="394"/>
      <c r="AS5" s="394"/>
      <c r="AT5" s="394"/>
      <c r="AU5" s="394"/>
      <c r="AV5" s="394"/>
      <c r="AW5" s="394"/>
      <c r="AX5" s="644"/>
      <c r="AY5" s="394"/>
      <c r="AZ5" s="394"/>
      <c r="BA5" s="394"/>
      <c r="BB5" s="394"/>
      <c r="BC5" s="394"/>
      <c r="BD5" s="394"/>
      <c r="BE5" s="394"/>
      <c r="BF5" s="394"/>
      <c r="BG5" s="586"/>
      <c r="BH5" s="394"/>
      <c r="BI5" s="394"/>
      <c r="BJ5" s="394"/>
      <c r="BK5" s="394"/>
      <c r="BL5" s="394"/>
      <c r="BM5" s="394"/>
      <c r="BN5" s="644"/>
      <c r="BO5" s="394"/>
      <c r="BP5" s="412"/>
      <c r="BQ5" s="394"/>
      <c r="BR5" s="394"/>
      <c r="BS5" s="412"/>
      <c r="BT5" s="394"/>
      <c r="BU5" s="394"/>
      <c r="BV5" s="412"/>
      <c r="BW5" s="647"/>
      <c r="BX5" s="412"/>
      <c r="BY5" s="412"/>
      <c r="BZ5" s="412"/>
      <c r="CA5" s="412"/>
      <c r="CB5" s="412"/>
      <c r="CC5" s="412"/>
      <c r="CD5" s="412"/>
      <c r="CE5" s="395"/>
      <c r="CF5" s="417"/>
      <c r="CG5" s="417"/>
      <c r="CH5" s="417"/>
      <c r="CI5" s="405"/>
      <c r="CJ5" s="641"/>
      <c r="CK5" s="590"/>
    </row>
    <row r="6" spans="1:95" ht="15" x14ac:dyDescent="0.2">
      <c r="A6" s="433" t="s">
        <v>720</v>
      </c>
      <c r="B6" s="302" t="s">
        <v>719</v>
      </c>
      <c r="C6" s="648">
        <v>0.4</v>
      </c>
      <c r="D6" s="302" t="s">
        <v>655</v>
      </c>
      <c r="E6" s="302" t="s">
        <v>656</v>
      </c>
      <c r="F6" s="648">
        <v>0.1</v>
      </c>
      <c r="G6" s="302" t="s">
        <v>508</v>
      </c>
      <c r="H6" s="302" t="s">
        <v>546</v>
      </c>
      <c r="I6" s="648">
        <v>0</v>
      </c>
      <c r="J6" s="662">
        <f t="shared" ref="J6" si="0">+C6+F6+I6</f>
        <v>0.5</v>
      </c>
      <c r="K6" s="648">
        <v>0.4</v>
      </c>
      <c r="L6" s="302" t="s">
        <v>655</v>
      </c>
      <c r="M6" s="302" t="s">
        <v>656</v>
      </c>
      <c r="N6" s="648">
        <v>0.1</v>
      </c>
      <c r="O6" s="302" t="s">
        <v>508</v>
      </c>
      <c r="P6" s="302" t="s">
        <v>546</v>
      </c>
      <c r="Q6" s="648">
        <v>0</v>
      </c>
      <c r="R6" s="645">
        <f t="shared" ref="R6" si="1">+K6+N6+Q6</f>
        <v>0.5</v>
      </c>
      <c r="S6" s="648">
        <v>0.4</v>
      </c>
      <c r="T6" s="302" t="s">
        <v>655</v>
      </c>
      <c r="U6" s="302" t="s">
        <v>656</v>
      </c>
      <c r="V6" s="648">
        <v>0.1</v>
      </c>
      <c r="W6" s="302" t="s">
        <v>508</v>
      </c>
      <c r="X6" s="302" t="s">
        <v>546</v>
      </c>
      <c r="Y6" s="648">
        <v>0</v>
      </c>
      <c r="Z6" s="645">
        <f t="shared" ref="Z6:Z67" si="2">+S6+V6+Y6</f>
        <v>0.5</v>
      </c>
      <c r="AA6" s="648">
        <v>0.4</v>
      </c>
      <c r="AB6" s="302" t="s">
        <v>655</v>
      </c>
      <c r="AC6" s="302" t="s">
        <v>656</v>
      </c>
      <c r="AD6" s="648">
        <v>0.1</v>
      </c>
      <c r="AE6" s="302" t="s">
        <v>508</v>
      </c>
      <c r="AF6" s="302" t="s">
        <v>546</v>
      </c>
      <c r="AG6" s="648">
        <v>0</v>
      </c>
      <c r="AH6" s="645">
        <f t="shared" ref="AH6:AH23" si="3">+AA6+AD6+AG6</f>
        <v>0.5</v>
      </c>
      <c r="AI6" s="648">
        <v>0.4</v>
      </c>
      <c r="AJ6" s="302" t="s">
        <v>655</v>
      </c>
      <c r="AK6" s="302" t="s">
        <v>656</v>
      </c>
      <c r="AL6" s="648">
        <v>0.1</v>
      </c>
      <c r="AM6" s="302" t="s">
        <v>508</v>
      </c>
      <c r="AN6" s="302" t="s">
        <v>546</v>
      </c>
      <c r="AO6" s="648">
        <v>0</v>
      </c>
      <c r="AP6" s="645">
        <f t="shared" ref="AP6:AP20" si="4">+AI6+AL6+AO6</f>
        <v>0.5</v>
      </c>
      <c r="AQ6" s="648">
        <v>0.4</v>
      </c>
      <c r="AR6" s="302" t="s">
        <v>655</v>
      </c>
      <c r="AS6" s="302" t="s">
        <v>656</v>
      </c>
      <c r="AT6" s="648">
        <v>0.1</v>
      </c>
      <c r="AU6" s="302" t="s">
        <v>508</v>
      </c>
      <c r="AV6" s="302" t="s">
        <v>546</v>
      </c>
      <c r="AW6" s="648">
        <v>0</v>
      </c>
      <c r="AX6" s="645">
        <f t="shared" ref="AX6:AX20" si="5">+AQ6+AT6+AW6</f>
        <v>0.5</v>
      </c>
      <c r="AY6" s="637">
        <v>0.2</v>
      </c>
      <c r="AZ6" s="302" t="s">
        <v>655</v>
      </c>
      <c r="BA6" s="302" t="s">
        <v>656</v>
      </c>
      <c r="BB6" s="637">
        <v>0.55000000000000004</v>
      </c>
      <c r="BC6" s="302" t="s">
        <v>508</v>
      </c>
      <c r="BD6" s="302" t="s">
        <v>546</v>
      </c>
      <c r="BE6" s="637">
        <v>0</v>
      </c>
      <c r="BF6" s="434">
        <f t="shared" ref="BF6:BF16" si="6">+AY6+BB6+BE6</f>
        <v>0.75</v>
      </c>
      <c r="BG6" s="587">
        <v>0.4</v>
      </c>
      <c r="BH6" s="302" t="s">
        <v>655</v>
      </c>
      <c r="BI6" s="302" t="s">
        <v>656</v>
      </c>
      <c r="BJ6" s="434">
        <v>0.1</v>
      </c>
      <c r="BK6" s="302" t="s">
        <v>508</v>
      </c>
      <c r="BL6" s="302" t="s">
        <v>546</v>
      </c>
      <c r="BM6" s="434">
        <v>0</v>
      </c>
      <c r="BN6" s="645">
        <f t="shared" ref="BN6:BN16" si="7">+BG6+BJ6+BM6</f>
        <v>0.5</v>
      </c>
      <c r="BO6" s="434"/>
      <c r="BP6" s="434">
        <v>0.4</v>
      </c>
      <c r="BQ6" s="302" t="s">
        <v>655</v>
      </c>
      <c r="BR6" s="302" t="s">
        <v>656</v>
      </c>
      <c r="BS6" s="434">
        <v>0.1</v>
      </c>
      <c r="BT6" s="302" t="s">
        <v>508</v>
      </c>
      <c r="BU6" s="302" t="s">
        <v>546</v>
      </c>
      <c r="BV6" s="434">
        <v>0</v>
      </c>
      <c r="BW6" s="645">
        <f t="shared" ref="BW6:BW20" si="8">+BP6+BS6+BV6</f>
        <v>0.5</v>
      </c>
      <c r="BX6" s="434">
        <v>0.4</v>
      </c>
      <c r="BY6" s="302" t="s">
        <v>655</v>
      </c>
      <c r="BZ6" s="302" t="s">
        <v>656</v>
      </c>
      <c r="CA6" s="434">
        <v>0.1</v>
      </c>
      <c r="CB6" s="302" t="s">
        <v>508</v>
      </c>
      <c r="CC6" s="302" t="s">
        <v>546</v>
      </c>
      <c r="CD6" s="434">
        <v>0</v>
      </c>
      <c r="CE6" s="434">
        <f t="shared" ref="CE6:CE20" si="9">+BX6+CA6+CD6</f>
        <v>0.5</v>
      </c>
      <c r="CF6" s="1620" t="s">
        <v>1166</v>
      </c>
      <c r="CG6" s="1620" t="s">
        <v>1166</v>
      </c>
      <c r="CH6" s="1620" t="s">
        <v>1166</v>
      </c>
      <c r="CI6" s="406"/>
      <c r="CJ6" s="642">
        <v>0.68600000000000005</v>
      </c>
      <c r="CK6" s="591" t="s">
        <v>922</v>
      </c>
      <c r="CL6" s="302" t="s">
        <v>655</v>
      </c>
      <c r="CM6" s="302" t="s">
        <v>656</v>
      </c>
      <c r="CN6" s="637">
        <v>0.6</v>
      </c>
      <c r="CO6" s="302" t="s">
        <v>508</v>
      </c>
      <c r="CP6" s="302" t="s">
        <v>546</v>
      </c>
      <c r="CQ6" s="637">
        <v>0</v>
      </c>
    </row>
    <row r="7" spans="1:95" ht="15" x14ac:dyDescent="0.2">
      <c r="A7" s="433" t="s">
        <v>722</v>
      </c>
      <c r="B7" s="302" t="s">
        <v>721</v>
      </c>
      <c r="C7" s="637">
        <v>0.4</v>
      </c>
      <c r="D7" s="302" t="s">
        <v>550</v>
      </c>
      <c r="E7" s="302" t="s">
        <v>551</v>
      </c>
      <c r="F7" s="637">
        <v>0.09</v>
      </c>
      <c r="G7" s="302" t="s">
        <v>548</v>
      </c>
      <c r="H7" s="302" t="s">
        <v>549</v>
      </c>
      <c r="I7" s="637">
        <v>0.01</v>
      </c>
      <c r="J7" s="662">
        <f t="shared" ref="J7:J70" si="10">C7+F7+I7</f>
        <v>0.5</v>
      </c>
      <c r="K7" s="637">
        <v>0.4</v>
      </c>
      <c r="L7" s="302" t="s">
        <v>550</v>
      </c>
      <c r="M7" s="302" t="s">
        <v>551</v>
      </c>
      <c r="N7" s="637">
        <v>0.09</v>
      </c>
      <c r="O7" s="302" t="s">
        <v>548</v>
      </c>
      <c r="P7" s="302" t="s">
        <v>549</v>
      </c>
      <c r="Q7" s="637">
        <v>0.01</v>
      </c>
      <c r="R7" s="645">
        <f t="shared" ref="R7:R38" si="11">+K7+N7+Q7</f>
        <v>0.5</v>
      </c>
      <c r="S7" s="637">
        <v>0.4</v>
      </c>
      <c r="T7" s="302" t="s">
        <v>550</v>
      </c>
      <c r="U7" s="302" t="s">
        <v>551</v>
      </c>
      <c r="V7" s="637">
        <v>0.09</v>
      </c>
      <c r="W7" s="302" t="s">
        <v>548</v>
      </c>
      <c r="X7" s="302" t="s">
        <v>549</v>
      </c>
      <c r="Y7" s="637">
        <v>0.01</v>
      </c>
      <c r="Z7" s="645">
        <f t="shared" si="2"/>
        <v>0.5</v>
      </c>
      <c r="AA7" s="637">
        <v>0.4</v>
      </c>
      <c r="AB7" s="302" t="s">
        <v>550</v>
      </c>
      <c r="AC7" s="302" t="s">
        <v>551</v>
      </c>
      <c r="AD7" s="637">
        <v>0.09</v>
      </c>
      <c r="AE7" s="302" t="s">
        <v>548</v>
      </c>
      <c r="AF7" s="302" t="s">
        <v>549</v>
      </c>
      <c r="AG7" s="637">
        <v>0.01</v>
      </c>
      <c r="AH7" s="645">
        <f t="shared" si="3"/>
        <v>0.5</v>
      </c>
      <c r="AI7" s="637">
        <v>0.4</v>
      </c>
      <c r="AJ7" s="302" t="s">
        <v>550</v>
      </c>
      <c r="AK7" s="302" t="s">
        <v>551</v>
      </c>
      <c r="AL7" s="637">
        <v>0.09</v>
      </c>
      <c r="AM7" s="302" t="s">
        <v>548</v>
      </c>
      <c r="AN7" s="302" t="s">
        <v>549</v>
      </c>
      <c r="AO7" s="637">
        <v>0.01</v>
      </c>
      <c r="AP7" s="645">
        <f t="shared" si="4"/>
        <v>0.5</v>
      </c>
      <c r="AQ7" s="637">
        <v>0.4</v>
      </c>
      <c r="AR7" s="302" t="s">
        <v>550</v>
      </c>
      <c r="AS7" s="302" t="s">
        <v>551</v>
      </c>
      <c r="AT7" s="637">
        <v>0.09</v>
      </c>
      <c r="AU7" s="302" t="s">
        <v>548</v>
      </c>
      <c r="AV7" s="302" t="s">
        <v>549</v>
      </c>
      <c r="AW7" s="637">
        <v>0.01</v>
      </c>
      <c r="AX7" s="645">
        <f t="shared" si="5"/>
        <v>0.5</v>
      </c>
      <c r="AY7" s="637">
        <v>0.4</v>
      </c>
      <c r="AZ7" s="302" t="s">
        <v>550</v>
      </c>
      <c r="BA7" s="302" t="s">
        <v>551</v>
      </c>
      <c r="BB7" s="637">
        <v>0.09</v>
      </c>
      <c r="BC7" s="302" t="s">
        <v>548</v>
      </c>
      <c r="BD7" s="302" t="s">
        <v>549</v>
      </c>
      <c r="BE7" s="637">
        <v>0.01</v>
      </c>
      <c r="BF7" s="434">
        <f t="shared" si="6"/>
        <v>0.5</v>
      </c>
      <c r="BG7" s="587">
        <v>0.5</v>
      </c>
      <c r="BH7" s="302" t="s">
        <v>550</v>
      </c>
      <c r="BI7" s="302" t="s">
        <v>551</v>
      </c>
      <c r="BJ7" s="434">
        <v>0.49</v>
      </c>
      <c r="BK7" s="302" t="s">
        <v>548</v>
      </c>
      <c r="BL7" s="302" t="s">
        <v>549</v>
      </c>
      <c r="BM7" s="434">
        <v>0.01</v>
      </c>
      <c r="BN7" s="645">
        <f t="shared" si="7"/>
        <v>1</v>
      </c>
      <c r="BO7" s="434"/>
      <c r="BP7" s="434">
        <v>0.4</v>
      </c>
      <c r="BQ7" s="302" t="s">
        <v>550</v>
      </c>
      <c r="BR7" s="302" t="s">
        <v>551</v>
      </c>
      <c r="BS7" s="434">
        <v>0.09</v>
      </c>
      <c r="BT7" s="302" t="s">
        <v>548</v>
      </c>
      <c r="BU7" s="302" t="s">
        <v>549</v>
      </c>
      <c r="BV7" s="434">
        <v>0.01</v>
      </c>
      <c r="BW7" s="645">
        <f t="shared" si="8"/>
        <v>0.5</v>
      </c>
      <c r="BX7" s="434">
        <v>0.4</v>
      </c>
      <c r="BY7" s="302" t="s">
        <v>550</v>
      </c>
      <c r="BZ7" s="302" t="s">
        <v>551</v>
      </c>
      <c r="CA7" s="434">
        <v>0.09</v>
      </c>
      <c r="CB7" s="302" t="s">
        <v>548</v>
      </c>
      <c r="CC7" s="302" t="s">
        <v>549</v>
      </c>
      <c r="CD7" s="434">
        <v>0.01</v>
      </c>
      <c r="CE7" s="434">
        <f t="shared" si="9"/>
        <v>0.5</v>
      </c>
      <c r="CF7" s="1620" t="s">
        <v>1166</v>
      </c>
      <c r="CG7" s="1620" t="s">
        <v>1166</v>
      </c>
      <c r="CH7" s="1620" t="s">
        <v>1166</v>
      </c>
      <c r="CI7" s="406"/>
      <c r="CJ7" s="642">
        <v>0.67500000000000004</v>
      </c>
      <c r="CK7" s="591" t="s">
        <v>922</v>
      </c>
      <c r="CL7" s="302" t="s">
        <v>550</v>
      </c>
      <c r="CM7" s="302" t="s">
        <v>551</v>
      </c>
      <c r="CN7" s="637">
        <v>0.59</v>
      </c>
      <c r="CO7" s="302" t="s">
        <v>548</v>
      </c>
      <c r="CP7" s="302" t="s">
        <v>549</v>
      </c>
      <c r="CQ7" s="637">
        <v>0.01</v>
      </c>
    </row>
    <row r="8" spans="1:95" ht="15" x14ac:dyDescent="0.2">
      <c r="A8" s="433" t="s">
        <v>724</v>
      </c>
      <c r="B8" s="302" t="s">
        <v>723</v>
      </c>
      <c r="C8" s="637">
        <v>0.4</v>
      </c>
      <c r="D8" s="302" t="s">
        <v>655</v>
      </c>
      <c r="E8" s="302" t="s">
        <v>656</v>
      </c>
      <c r="F8" s="637">
        <v>0.1</v>
      </c>
      <c r="G8" s="302" t="s">
        <v>508</v>
      </c>
      <c r="H8" s="302" t="s">
        <v>546</v>
      </c>
      <c r="I8" s="637">
        <v>0</v>
      </c>
      <c r="J8" s="662">
        <f t="shared" si="10"/>
        <v>0.5</v>
      </c>
      <c r="K8" s="637">
        <v>0.4</v>
      </c>
      <c r="L8" s="302" t="s">
        <v>655</v>
      </c>
      <c r="M8" s="302" t="s">
        <v>656</v>
      </c>
      <c r="N8" s="637">
        <v>0.1</v>
      </c>
      <c r="O8" s="302" t="s">
        <v>508</v>
      </c>
      <c r="P8" s="302" t="s">
        <v>546</v>
      </c>
      <c r="Q8" s="637">
        <v>0</v>
      </c>
      <c r="R8" s="645">
        <f t="shared" si="11"/>
        <v>0.5</v>
      </c>
      <c r="S8" s="637">
        <v>0.4</v>
      </c>
      <c r="T8" s="302" t="s">
        <v>655</v>
      </c>
      <c r="U8" s="302" t="s">
        <v>656</v>
      </c>
      <c r="V8" s="637">
        <v>0.1</v>
      </c>
      <c r="W8" s="302" t="s">
        <v>508</v>
      </c>
      <c r="X8" s="302" t="s">
        <v>546</v>
      </c>
      <c r="Y8" s="637">
        <v>0</v>
      </c>
      <c r="Z8" s="645">
        <f t="shared" si="2"/>
        <v>0.5</v>
      </c>
      <c r="AA8" s="637">
        <v>0.4</v>
      </c>
      <c r="AB8" s="302" t="s">
        <v>655</v>
      </c>
      <c r="AC8" s="302" t="s">
        <v>656</v>
      </c>
      <c r="AD8" s="637">
        <v>0.1</v>
      </c>
      <c r="AE8" s="302" t="s">
        <v>508</v>
      </c>
      <c r="AF8" s="302" t="s">
        <v>546</v>
      </c>
      <c r="AG8" s="637">
        <v>0</v>
      </c>
      <c r="AH8" s="645">
        <f t="shared" si="3"/>
        <v>0.5</v>
      </c>
      <c r="AI8" s="637">
        <v>0.4</v>
      </c>
      <c r="AJ8" s="302" t="s">
        <v>655</v>
      </c>
      <c r="AK8" s="302" t="s">
        <v>656</v>
      </c>
      <c r="AL8" s="637">
        <v>0.1</v>
      </c>
      <c r="AM8" s="302" t="s">
        <v>508</v>
      </c>
      <c r="AN8" s="302" t="s">
        <v>546</v>
      </c>
      <c r="AO8" s="637">
        <v>0</v>
      </c>
      <c r="AP8" s="645">
        <f t="shared" si="4"/>
        <v>0.5</v>
      </c>
      <c r="AQ8" s="637">
        <v>0.4</v>
      </c>
      <c r="AR8" s="302" t="s">
        <v>655</v>
      </c>
      <c r="AS8" s="302" t="s">
        <v>656</v>
      </c>
      <c r="AT8" s="637">
        <v>0.1</v>
      </c>
      <c r="AU8" s="302" t="s">
        <v>508</v>
      </c>
      <c r="AV8" s="302" t="s">
        <v>546</v>
      </c>
      <c r="AW8" s="637">
        <v>0</v>
      </c>
      <c r="AX8" s="645">
        <f t="shared" si="5"/>
        <v>0.5</v>
      </c>
      <c r="AY8" s="637">
        <v>0.2</v>
      </c>
      <c r="AZ8" s="302" t="s">
        <v>655</v>
      </c>
      <c r="BA8" s="302" t="s">
        <v>656</v>
      </c>
      <c r="BB8" s="637">
        <v>0.55000000000000004</v>
      </c>
      <c r="BC8" s="302" t="s">
        <v>508</v>
      </c>
      <c r="BD8" s="302" t="s">
        <v>546</v>
      </c>
      <c r="BE8" s="637">
        <v>0</v>
      </c>
      <c r="BF8" s="434">
        <f t="shared" si="6"/>
        <v>0.75</v>
      </c>
      <c r="BG8" s="587">
        <v>0.4</v>
      </c>
      <c r="BH8" s="302" t="s">
        <v>655</v>
      </c>
      <c r="BI8" s="302" t="s">
        <v>656</v>
      </c>
      <c r="BJ8" s="434">
        <v>0.1</v>
      </c>
      <c r="BK8" s="302" t="s">
        <v>508</v>
      </c>
      <c r="BL8" s="302" t="s">
        <v>546</v>
      </c>
      <c r="BM8" s="434">
        <v>0</v>
      </c>
      <c r="BN8" s="645">
        <f t="shared" si="7"/>
        <v>0.5</v>
      </c>
      <c r="BO8" s="434"/>
      <c r="BP8" s="434">
        <v>0.4</v>
      </c>
      <c r="BQ8" s="302" t="s">
        <v>655</v>
      </c>
      <c r="BR8" s="302" t="s">
        <v>656</v>
      </c>
      <c r="BS8" s="434">
        <v>0.1</v>
      </c>
      <c r="BT8" s="302" t="s">
        <v>508</v>
      </c>
      <c r="BU8" s="302" t="s">
        <v>546</v>
      </c>
      <c r="BV8" s="434">
        <v>0</v>
      </c>
      <c r="BW8" s="645">
        <f t="shared" si="8"/>
        <v>0.5</v>
      </c>
      <c r="BX8" s="434">
        <v>0.4</v>
      </c>
      <c r="BY8" s="302" t="s">
        <v>655</v>
      </c>
      <c r="BZ8" s="302" t="s">
        <v>656</v>
      </c>
      <c r="CA8" s="434">
        <v>0.1</v>
      </c>
      <c r="CB8" s="302" t="s">
        <v>508</v>
      </c>
      <c r="CC8" s="302" t="s">
        <v>546</v>
      </c>
      <c r="CD8" s="434">
        <v>0</v>
      </c>
      <c r="CE8" s="434">
        <f t="shared" si="9"/>
        <v>0.5</v>
      </c>
      <c r="CF8" s="1620" t="s">
        <v>1166</v>
      </c>
      <c r="CG8" s="1620" t="s">
        <v>1166</v>
      </c>
      <c r="CH8" s="1620" t="s">
        <v>1166</v>
      </c>
      <c r="CI8" s="406"/>
      <c r="CJ8" s="642">
        <v>0.68100000000000005</v>
      </c>
      <c r="CK8" s="591" t="s">
        <v>922</v>
      </c>
      <c r="CL8" s="302" t="s">
        <v>655</v>
      </c>
      <c r="CM8" s="302" t="s">
        <v>656</v>
      </c>
      <c r="CN8" s="637">
        <v>0.6</v>
      </c>
      <c r="CO8" s="302" t="s">
        <v>508</v>
      </c>
      <c r="CP8" s="302" t="s">
        <v>546</v>
      </c>
      <c r="CQ8" s="637">
        <v>0</v>
      </c>
    </row>
    <row r="9" spans="1:95" x14ac:dyDescent="0.2">
      <c r="A9" s="433" t="s">
        <v>726</v>
      </c>
      <c r="B9" s="302" t="s">
        <v>725</v>
      </c>
      <c r="C9" s="637">
        <v>0.4</v>
      </c>
      <c r="D9" s="302" t="s">
        <v>633</v>
      </c>
      <c r="E9" s="302" t="s">
        <v>634</v>
      </c>
      <c r="F9" s="637">
        <v>0.09</v>
      </c>
      <c r="G9" s="302" t="s">
        <v>631</v>
      </c>
      <c r="H9" s="302" t="s">
        <v>632</v>
      </c>
      <c r="I9" s="637">
        <v>0.01</v>
      </c>
      <c r="J9" s="662">
        <f t="shared" si="10"/>
        <v>0.5</v>
      </c>
      <c r="K9" s="637">
        <v>0.4</v>
      </c>
      <c r="L9" s="302" t="s">
        <v>633</v>
      </c>
      <c r="M9" s="302" t="s">
        <v>634</v>
      </c>
      <c r="N9" s="637">
        <v>0.09</v>
      </c>
      <c r="O9" s="302" t="s">
        <v>631</v>
      </c>
      <c r="P9" s="302" t="s">
        <v>632</v>
      </c>
      <c r="Q9" s="637">
        <v>0.01</v>
      </c>
      <c r="R9" s="645">
        <f t="shared" si="11"/>
        <v>0.5</v>
      </c>
      <c r="S9" s="637">
        <v>0.4</v>
      </c>
      <c r="T9" s="302" t="s">
        <v>633</v>
      </c>
      <c r="U9" s="302" t="s">
        <v>634</v>
      </c>
      <c r="V9" s="637">
        <v>0.09</v>
      </c>
      <c r="W9" s="302" t="s">
        <v>631</v>
      </c>
      <c r="X9" s="302" t="s">
        <v>632</v>
      </c>
      <c r="Y9" s="637">
        <v>0.01</v>
      </c>
      <c r="Z9" s="645">
        <f t="shared" si="2"/>
        <v>0.5</v>
      </c>
      <c r="AA9" s="637">
        <v>0.4</v>
      </c>
      <c r="AB9" s="302" t="s">
        <v>633</v>
      </c>
      <c r="AC9" s="302" t="s">
        <v>634</v>
      </c>
      <c r="AD9" s="637">
        <v>0.09</v>
      </c>
      <c r="AE9" s="302" t="s">
        <v>631</v>
      </c>
      <c r="AF9" s="302" t="s">
        <v>632</v>
      </c>
      <c r="AG9" s="637">
        <v>0.01</v>
      </c>
      <c r="AH9" s="645">
        <f t="shared" si="3"/>
        <v>0.5</v>
      </c>
      <c r="AI9" s="637">
        <v>0.4</v>
      </c>
      <c r="AJ9" s="302" t="s">
        <v>633</v>
      </c>
      <c r="AK9" s="302" t="s">
        <v>634</v>
      </c>
      <c r="AL9" s="637">
        <v>0.09</v>
      </c>
      <c r="AM9" s="302" t="s">
        <v>631</v>
      </c>
      <c r="AN9" s="302" t="s">
        <v>632</v>
      </c>
      <c r="AO9" s="637">
        <v>0.01</v>
      </c>
      <c r="AP9" s="645">
        <f t="shared" si="4"/>
        <v>0.5</v>
      </c>
      <c r="AQ9" s="637">
        <v>0.4</v>
      </c>
      <c r="AR9" s="302" t="s">
        <v>633</v>
      </c>
      <c r="AS9" s="302" t="s">
        <v>634</v>
      </c>
      <c r="AT9" s="637">
        <v>0.09</v>
      </c>
      <c r="AU9" s="302" t="s">
        <v>631</v>
      </c>
      <c r="AV9" s="302" t="s">
        <v>632</v>
      </c>
      <c r="AW9" s="637">
        <v>0.01</v>
      </c>
      <c r="AX9" s="645">
        <f t="shared" si="5"/>
        <v>0.5</v>
      </c>
      <c r="AY9" s="637">
        <v>0.4</v>
      </c>
      <c r="AZ9" s="302" t="s">
        <v>633</v>
      </c>
      <c r="BA9" s="302" t="s">
        <v>634</v>
      </c>
      <c r="BB9" s="637">
        <v>0.09</v>
      </c>
      <c r="BC9" s="302" t="s">
        <v>631</v>
      </c>
      <c r="BD9" s="302" t="s">
        <v>632</v>
      </c>
      <c r="BE9" s="637">
        <v>0.01</v>
      </c>
      <c r="BF9" s="434">
        <f t="shared" si="6"/>
        <v>0.5</v>
      </c>
      <c r="BG9" s="587">
        <v>0.4</v>
      </c>
      <c r="BH9" s="302" t="s">
        <v>633</v>
      </c>
      <c r="BI9" s="302" t="s">
        <v>634</v>
      </c>
      <c r="BJ9" s="434">
        <v>0.09</v>
      </c>
      <c r="BK9" s="302" t="s">
        <v>631</v>
      </c>
      <c r="BL9" s="302" t="s">
        <v>632</v>
      </c>
      <c r="BM9" s="434">
        <v>0.01</v>
      </c>
      <c r="BN9" s="645">
        <f t="shared" si="7"/>
        <v>0.5</v>
      </c>
      <c r="BO9" s="434"/>
      <c r="BP9" s="434">
        <v>0.4</v>
      </c>
      <c r="BQ9" s="302" t="s">
        <v>633</v>
      </c>
      <c r="BR9" s="302" t="s">
        <v>634</v>
      </c>
      <c r="BS9" s="434">
        <v>0.09</v>
      </c>
      <c r="BT9" s="302" t="s">
        <v>631</v>
      </c>
      <c r="BU9" s="302" t="s">
        <v>632</v>
      </c>
      <c r="BV9" s="434">
        <v>0.01</v>
      </c>
      <c r="BW9" s="645">
        <f t="shared" si="8"/>
        <v>0.5</v>
      </c>
      <c r="BX9" s="434">
        <v>0.4</v>
      </c>
      <c r="BY9" s="302" t="s">
        <v>633</v>
      </c>
      <c r="BZ9" s="302" t="s">
        <v>634</v>
      </c>
      <c r="CA9" s="434">
        <v>0.09</v>
      </c>
      <c r="CB9" s="302" t="s">
        <v>631</v>
      </c>
      <c r="CC9" s="302" t="s">
        <v>632</v>
      </c>
      <c r="CD9" s="434">
        <v>0.01</v>
      </c>
      <c r="CE9" s="434">
        <f t="shared" si="9"/>
        <v>0.5</v>
      </c>
      <c r="CF9" s="1621" t="s">
        <v>1166</v>
      </c>
      <c r="CG9" s="1621" t="s">
        <v>1166</v>
      </c>
      <c r="CH9" s="1621" t="s">
        <v>1166</v>
      </c>
      <c r="CI9" s="407"/>
      <c r="CJ9" s="642">
        <v>0.65400000000000003</v>
      </c>
      <c r="CK9" s="591" t="s">
        <v>922</v>
      </c>
      <c r="CL9" s="302" t="s">
        <v>633</v>
      </c>
      <c r="CM9" s="302" t="s">
        <v>634</v>
      </c>
      <c r="CN9" s="637">
        <v>0.59</v>
      </c>
      <c r="CO9" s="302" t="s">
        <v>631</v>
      </c>
      <c r="CP9" s="302" t="s">
        <v>632</v>
      </c>
      <c r="CQ9" s="637">
        <v>0.01</v>
      </c>
    </row>
    <row r="10" spans="1:95" ht="15" x14ac:dyDescent="0.2">
      <c r="A10" s="433" t="s">
        <v>728</v>
      </c>
      <c r="B10" s="776" t="s">
        <v>727</v>
      </c>
      <c r="C10" s="637">
        <v>0.4</v>
      </c>
      <c r="D10" s="302" t="s">
        <v>602</v>
      </c>
      <c r="E10" s="302" t="s">
        <v>603</v>
      </c>
      <c r="F10" s="637">
        <v>0.09</v>
      </c>
      <c r="G10" s="302" t="s">
        <v>600</v>
      </c>
      <c r="H10" s="302" t="s">
        <v>601</v>
      </c>
      <c r="I10" s="637">
        <v>0.01</v>
      </c>
      <c r="J10" s="662">
        <f t="shared" si="10"/>
        <v>0.5</v>
      </c>
      <c r="K10" s="637">
        <v>0.4</v>
      </c>
      <c r="L10" s="302" t="s">
        <v>602</v>
      </c>
      <c r="M10" s="302" t="s">
        <v>603</v>
      </c>
      <c r="N10" s="637">
        <v>0.09</v>
      </c>
      <c r="O10" s="302" t="s">
        <v>600</v>
      </c>
      <c r="P10" s="302" t="s">
        <v>601</v>
      </c>
      <c r="Q10" s="637">
        <v>0.01</v>
      </c>
      <c r="R10" s="645">
        <f t="shared" si="11"/>
        <v>0.5</v>
      </c>
      <c r="S10" s="637">
        <v>0.4</v>
      </c>
      <c r="T10" s="302" t="s">
        <v>602</v>
      </c>
      <c r="U10" s="302" t="s">
        <v>603</v>
      </c>
      <c r="V10" s="637">
        <v>0.09</v>
      </c>
      <c r="W10" s="302" t="s">
        <v>600</v>
      </c>
      <c r="X10" s="302" t="s">
        <v>601</v>
      </c>
      <c r="Y10" s="637">
        <v>0.01</v>
      </c>
      <c r="Z10" s="645">
        <f t="shared" si="2"/>
        <v>0.5</v>
      </c>
      <c r="AA10" s="637">
        <v>0.4</v>
      </c>
      <c r="AB10" s="302" t="s">
        <v>602</v>
      </c>
      <c r="AC10" s="302" t="s">
        <v>603</v>
      </c>
      <c r="AD10" s="637">
        <v>0.09</v>
      </c>
      <c r="AE10" s="302" t="s">
        <v>600</v>
      </c>
      <c r="AF10" s="302" t="s">
        <v>601</v>
      </c>
      <c r="AG10" s="637">
        <v>0.01</v>
      </c>
      <c r="AH10" s="645">
        <f t="shared" si="3"/>
        <v>0.5</v>
      </c>
      <c r="AI10" s="637">
        <v>0.4</v>
      </c>
      <c r="AJ10" s="302" t="s">
        <v>602</v>
      </c>
      <c r="AK10" s="302" t="s">
        <v>603</v>
      </c>
      <c r="AL10" s="637">
        <v>0.09</v>
      </c>
      <c r="AM10" s="302" t="s">
        <v>600</v>
      </c>
      <c r="AN10" s="302" t="s">
        <v>601</v>
      </c>
      <c r="AO10" s="637">
        <v>0.01</v>
      </c>
      <c r="AP10" s="645">
        <f t="shared" si="4"/>
        <v>0.5</v>
      </c>
      <c r="AQ10" s="637">
        <v>0.4</v>
      </c>
      <c r="AR10" s="302" t="s">
        <v>602</v>
      </c>
      <c r="AS10" s="302" t="s">
        <v>603</v>
      </c>
      <c r="AT10" s="637">
        <v>0.09</v>
      </c>
      <c r="AU10" s="302" t="s">
        <v>600</v>
      </c>
      <c r="AV10" s="302" t="s">
        <v>601</v>
      </c>
      <c r="AW10" s="637">
        <v>0.01</v>
      </c>
      <c r="AX10" s="645">
        <f t="shared" si="5"/>
        <v>0.5</v>
      </c>
      <c r="AY10" s="637">
        <v>0.4</v>
      </c>
      <c r="AZ10" s="302" t="s">
        <v>602</v>
      </c>
      <c r="BA10" s="302" t="s">
        <v>603</v>
      </c>
      <c r="BB10" s="637">
        <v>0.09</v>
      </c>
      <c r="BC10" s="302" t="s">
        <v>600</v>
      </c>
      <c r="BD10" s="302" t="s">
        <v>601</v>
      </c>
      <c r="BE10" s="637">
        <v>0.01</v>
      </c>
      <c r="BF10" s="434">
        <f t="shared" si="6"/>
        <v>0.5</v>
      </c>
      <c r="BG10" s="587">
        <v>0.4</v>
      </c>
      <c r="BH10" s="302" t="s">
        <v>602</v>
      </c>
      <c r="BI10" s="302" t="s">
        <v>603</v>
      </c>
      <c r="BJ10" s="434">
        <v>0.59</v>
      </c>
      <c r="BK10" s="302" t="s">
        <v>600</v>
      </c>
      <c r="BL10" s="302" t="s">
        <v>601</v>
      </c>
      <c r="BM10" s="434">
        <v>0.01</v>
      </c>
      <c r="BN10" s="645">
        <f t="shared" si="7"/>
        <v>1</v>
      </c>
      <c r="BO10" s="434"/>
      <c r="BP10" s="434">
        <v>0.4</v>
      </c>
      <c r="BQ10" s="302" t="s">
        <v>602</v>
      </c>
      <c r="BR10" s="302" t="s">
        <v>603</v>
      </c>
      <c r="BS10" s="434">
        <v>0.09</v>
      </c>
      <c r="BT10" s="302" t="s">
        <v>600</v>
      </c>
      <c r="BU10" s="302" t="s">
        <v>601</v>
      </c>
      <c r="BV10" s="434">
        <v>0.01</v>
      </c>
      <c r="BW10" s="645">
        <f t="shared" si="8"/>
        <v>0.5</v>
      </c>
      <c r="BX10" s="434">
        <v>0.4</v>
      </c>
      <c r="BY10" s="302" t="s">
        <v>602</v>
      </c>
      <c r="BZ10" s="302" t="s">
        <v>603</v>
      </c>
      <c r="CA10" s="434">
        <v>0.09</v>
      </c>
      <c r="CB10" s="302" t="s">
        <v>600</v>
      </c>
      <c r="CC10" s="302" t="s">
        <v>601</v>
      </c>
      <c r="CD10" s="434">
        <v>0.01</v>
      </c>
      <c r="CE10" s="434">
        <f t="shared" si="9"/>
        <v>0.5</v>
      </c>
      <c r="CF10" s="1620" t="s">
        <v>1166</v>
      </c>
      <c r="CG10" s="1620" t="s">
        <v>1166</v>
      </c>
      <c r="CH10" s="1620" t="s">
        <v>1166</v>
      </c>
      <c r="CI10" s="406"/>
      <c r="CJ10" s="642">
        <v>0.68100000000000005</v>
      </c>
      <c r="CK10" s="591" t="s">
        <v>922</v>
      </c>
      <c r="CL10" s="302" t="s">
        <v>602</v>
      </c>
      <c r="CM10" s="302" t="s">
        <v>603</v>
      </c>
      <c r="CN10" s="637">
        <v>0.59</v>
      </c>
      <c r="CO10" s="302" t="s">
        <v>600</v>
      </c>
      <c r="CP10" s="302" t="s">
        <v>601</v>
      </c>
      <c r="CQ10" s="637">
        <v>0.01</v>
      </c>
    </row>
    <row r="11" spans="1:95" ht="15.75" customHeight="1" x14ac:dyDescent="0.2">
      <c r="A11" s="433" t="s">
        <v>730</v>
      </c>
      <c r="B11" s="440" t="s">
        <v>729</v>
      </c>
      <c r="C11" s="637">
        <v>0.4</v>
      </c>
      <c r="D11" s="302" t="s">
        <v>647</v>
      </c>
      <c r="E11" s="302" t="s">
        <v>648</v>
      </c>
      <c r="F11" s="637">
        <v>0.1</v>
      </c>
      <c r="G11" s="302" t="s">
        <v>508</v>
      </c>
      <c r="H11" s="302" t="s">
        <v>546</v>
      </c>
      <c r="I11" s="637">
        <v>0</v>
      </c>
      <c r="J11" s="662">
        <f t="shared" si="10"/>
        <v>0.5</v>
      </c>
      <c r="K11" s="637">
        <v>0.4</v>
      </c>
      <c r="L11" s="302" t="s">
        <v>647</v>
      </c>
      <c r="M11" s="302" t="s">
        <v>648</v>
      </c>
      <c r="N11" s="637">
        <v>0.1</v>
      </c>
      <c r="O11" s="302" t="s">
        <v>508</v>
      </c>
      <c r="P11" s="302" t="s">
        <v>546</v>
      </c>
      <c r="Q11" s="637">
        <v>0</v>
      </c>
      <c r="R11" s="645">
        <f t="shared" si="11"/>
        <v>0.5</v>
      </c>
      <c r="S11" s="637">
        <v>0.4</v>
      </c>
      <c r="T11" s="302" t="s">
        <v>647</v>
      </c>
      <c r="U11" s="302" t="s">
        <v>648</v>
      </c>
      <c r="V11" s="637">
        <v>0.1</v>
      </c>
      <c r="W11" s="302" t="s">
        <v>508</v>
      </c>
      <c r="X11" s="302" t="s">
        <v>546</v>
      </c>
      <c r="Y11" s="637">
        <v>0</v>
      </c>
      <c r="Z11" s="645">
        <f t="shared" si="2"/>
        <v>0.5</v>
      </c>
      <c r="AA11" s="637">
        <v>0.4</v>
      </c>
      <c r="AB11" s="302" t="s">
        <v>647</v>
      </c>
      <c r="AC11" s="302" t="s">
        <v>648</v>
      </c>
      <c r="AD11" s="637">
        <v>0.1</v>
      </c>
      <c r="AE11" s="302" t="s">
        <v>508</v>
      </c>
      <c r="AF11" s="302" t="s">
        <v>546</v>
      </c>
      <c r="AG11" s="637">
        <v>0</v>
      </c>
      <c r="AH11" s="645">
        <f t="shared" si="3"/>
        <v>0.5</v>
      </c>
      <c r="AI11" s="637">
        <v>0.4</v>
      </c>
      <c r="AJ11" s="302" t="s">
        <v>647</v>
      </c>
      <c r="AK11" s="302" t="s">
        <v>648</v>
      </c>
      <c r="AL11" s="637">
        <v>0.1</v>
      </c>
      <c r="AM11" s="302" t="s">
        <v>508</v>
      </c>
      <c r="AN11" s="302" t="s">
        <v>546</v>
      </c>
      <c r="AO11" s="637">
        <v>0</v>
      </c>
      <c r="AP11" s="645">
        <f t="shared" si="4"/>
        <v>0.5</v>
      </c>
      <c r="AQ11" s="637">
        <v>0.4</v>
      </c>
      <c r="AR11" s="302" t="s">
        <v>647</v>
      </c>
      <c r="AS11" s="302" t="s">
        <v>648</v>
      </c>
      <c r="AT11" s="637">
        <v>0.1</v>
      </c>
      <c r="AU11" s="302" t="s">
        <v>508</v>
      </c>
      <c r="AV11" s="302" t="s">
        <v>546</v>
      </c>
      <c r="AW11" s="637">
        <v>0</v>
      </c>
      <c r="AX11" s="645">
        <f t="shared" si="5"/>
        <v>0.5</v>
      </c>
      <c r="AY11" s="637">
        <v>0.4</v>
      </c>
      <c r="AZ11" s="302" t="s">
        <v>647</v>
      </c>
      <c r="BA11" s="302" t="s">
        <v>648</v>
      </c>
      <c r="BB11" s="637">
        <v>0.1</v>
      </c>
      <c r="BC11" s="302" t="s">
        <v>508</v>
      </c>
      <c r="BD11" s="302" t="s">
        <v>546</v>
      </c>
      <c r="BE11" s="637">
        <v>0</v>
      </c>
      <c r="BF11" s="434">
        <f t="shared" si="6"/>
        <v>0.5</v>
      </c>
      <c r="BG11" s="587">
        <v>0.8</v>
      </c>
      <c r="BH11" s="302" t="s">
        <v>647</v>
      </c>
      <c r="BI11" s="302" t="s">
        <v>648</v>
      </c>
      <c r="BJ11" s="434">
        <v>0.2</v>
      </c>
      <c r="BK11" s="302" t="s">
        <v>508</v>
      </c>
      <c r="BL11" s="302" t="s">
        <v>546</v>
      </c>
      <c r="BM11" s="434">
        <v>0</v>
      </c>
      <c r="BN11" s="645">
        <f t="shared" si="7"/>
        <v>1</v>
      </c>
      <c r="BO11" s="434"/>
      <c r="BP11" s="434">
        <v>0.4</v>
      </c>
      <c r="BQ11" s="302" t="s">
        <v>647</v>
      </c>
      <c r="BR11" s="302" t="s">
        <v>648</v>
      </c>
      <c r="BS11" s="434">
        <v>0.1</v>
      </c>
      <c r="BT11" s="302" t="s">
        <v>508</v>
      </c>
      <c r="BU11" s="302" t="s">
        <v>546</v>
      </c>
      <c r="BV11" s="434">
        <v>0</v>
      </c>
      <c r="BW11" s="645">
        <f t="shared" si="8"/>
        <v>0.5</v>
      </c>
      <c r="BX11" s="434">
        <v>0.4</v>
      </c>
      <c r="BY11" s="302" t="s">
        <v>647</v>
      </c>
      <c r="BZ11" s="302" t="s">
        <v>648</v>
      </c>
      <c r="CA11" s="434">
        <v>0.1</v>
      </c>
      <c r="CB11" s="302" t="s">
        <v>508</v>
      </c>
      <c r="CC11" s="302" t="s">
        <v>546</v>
      </c>
      <c r="CD11" s="434">
        <v>0</v>
      </c>
      <c r="CE11" s="434">
        <f t="shared" si="9"/>
        <v>0.5</v>
      </c>
      <c r="CF11" s="1620" t="s">
        <v>862</v>
      </c>
      <c r="CG11" s="1620" t="s">
        <v>1166</v>
      </c>
      <c r="CH11" s="1620" t="s">
        <v>1166</v>
      </c>
      <c r="CI11" s="406"/>
      <c r="CJ11" s="642">
        <v>0.67300000000000004</v>
      </c>
      <c r="CK11" s="591" t="s">
        <v>922</v>
      </c>
      <c r="CL11" s="302" t="s">
        <v>647</v>
      </c>
      <c r="CM11" s="302" t="s">
        <v>648</v>
      </c>
      <c r="CN11" s="637">
        <v>0.6</v>
      </c>
      <c r="CO11" s="302" t="s">
        <v>508</v>
      </c>
      <c r="CP11" s="302" t="s">
        <v>546</v>
      </c>
      <c r="CQ11" s="637">
        <v>0</v>
      </c>
    </row>
    <row r="12" spans="1:95" ht="15.75" customHeight="1" x14ac:dyDescent="0.2">
      <c r="A12" s="433" t="s">
        <v>732</v>
      </c>
      <c r="B12" s="440" t="s">
        <v>678</v>
      </c>
      <c r="C12" s="637">
        <v>0.3</v>
      </c>
      <c r="D12" s="302" t="s">
        <v>674</v>
      </c>
      <c r="E12" s="302" t="s">
        <v>675</v>
      </c>
      <c r="F12" s="637">
        <v>0.37</v>
      </c>
      <c r="G12" s="302" t="s">
        <v>508</v>
      </c>
      <c r="H12" s="302" t="s">
        <v>508</v>
      </c>
      <c r="I12" s="637">
        <v>0</v>
      </c>
      <c r="J12" s="662">
        <f t="shared" si="10"/>
        <v>0.66999999999999993</v>
      </c>
      <c r="K12" s="637">
        <v>0.3</v>
      </c>
      <c r="L12" s="302" t="s">
        <v>674</v>
      </c>
      <c r="M12" s="302" t="s">
        <v>675</v>
      </c>
      <c r="N12" s="637">
        <v>0.37</v>
      </c>
      <c r="O12" s="302" t="s">
        <v>508</v>
      </c>
      <c r="P12" s="302" t="s">
        <v>508</v>
      </c>
      <c r="Q12" s="637">
        <v>0</v>
      </c>
      <c r="R12" s="645">
        <f t="shared" si="11"/>
        <v>0.66999999999999993</v>
      </c>
      <c r="S12" s="637">
        <v>0.3</v>
      </c>
      <c r="T12" s="302" t="s">
        <v>674</v>
      </c>
      <c r="U12" s="302" t="s">
        <v>675</v>
      </c>
      <c r="V12" s="637">
        <v>0.37</v>
      </c>
      <c r="W12" s="302" t="s">
        <v>508</v>
      </c>
      <c r="X12" s="302" t="s">
        <v>508</v>
      </c>
      <c r="Y12" s="637">
        <v>0</v>
      </c>
      <c r="Z12" s="645">
        <f t="shared" si="2"/>
        <v>0.66999999999999993</v>
      </c>
      <c r="AA12" s="637">
        <v>0.3</v>
      </c>
      <c r="AB12" s="302" t="s">
        <v>674</v>
      </c>
      <c r="AC12" s="302" t="s">
        <v>675</v>
      </c>
      <c r="AD12" s="637">
        <v>0.37</v>
      </c>
      <c r="AE12" s="302" t="s">
        <v>508</v>
      </c>
      <c r="AF12" s="302" t="s">
        <v>508</v>
      </c>
      <c r="AG12" s="637">
        <v>0</v>
      </c>
      <c r="AH12" s="645">
        <f t="shared" si="3"/>
        <v>0.66999999999999993</v>
      </c>
      <c r="AI12" s="637">
        <v>0.3</v>
      </c>
      <c r="AJ12" s="302" t="s">
        <v>674</v>
      </c>
      <c r="AK12" s="302" t="s">
        <v>675</v>
      </c>
      <c r="AL12" s="637">
        <v>0.37</v>
      </c>
      <c r="AM12" s="302" t="s">
        <v>508</v>
      </c>
      <c r="AN12" s="302" t="s">
        <v>508</v>
      </c>
      <c r="AO12" s="637">
        <v>0</v>
      </c>
      <c r="AP12" s="645">
        <f t="shared" si="4"/>
        <v>0.66999999999999993</v>
      </c>
      <c r="AQ12" s="637">
        <v>0.3</v>
      </c>
      <c r="AR12" s="302" t="s">
        <v>674</v>
      </c>
      <c r="AS12" s="302" t="s">
        <v>675</v>
      </c>
      <c r="AT12" s="637">
        <v>0.37</v>
      </c>
      <c r="AU12" s="302" t="s">
        <v>508</v>
      </c>
      <c r="AV12" s="302" t="s">
        <v>508</v>
      </c>
      <c r="AW12" s="637">
        <v>0</v>
      </c>
      <c r="AX12" s="645">
        <f t="shared" si="5"/>
        <v>0.66999999999999993</v>
      </c>
      <c r="AY12" s="637">
        <v>0.48</v>
      </c>
      <c r="AZ12" s="302" t="s">
        <v>674</v>
      </c>
      <c r="BA12" s="302" t="s">
        <v>675</v>
      </c>
      <c r="BB12" s="637">
        <v>0.27</v>
      </c>
      <c r="BC12" s="302" t="s">
        <v>508</v>
      </c>
      <c r="BD12" s="302" t="s">
        <v>508</v>
      </c>
      <c r="BE12" s="637">
        <v>0</v>
      </c>
      <c r="BF12" s="434">
        <f t="shared" si="6"/>
        <v>0.75</v>
      </c>
      <c r="BG12" s="587">
        <v>0.64</v>
      </c>
      <c r="BH12" s="302" t="s">
        <v>674</v>
      </c>
      <c r="BI12" s="302" t="s">
        <v>675</v>
      </c>
      <c r="BJ12" s="434">
        <v>0.36</v>
      </c>
      <c r="BK12" s="302" t="s">
        <v>508</v>
      </c>
      <c r="BL12" s="302" t="s">
        <v>508</v>
      </c>
      <c r="BM12" s="434">
        <v>0</v>
      </c>
      <c r="BN12" s="645">
        <f t="shared" si="7"/>
        <v>1</v>
      </c>
      <c r="BO12" s="434"/>
      <c r="BP12" s="434">
        <v>0.3</v>
      </c>
      <c r="BQ12" s="302" t="s">
        <v>674</v>
      </c>
      <c r="BR12" s="302" t="s">
        <v>675</v>
      </c>
      <c r="BS12" s="434">
        <v>0.37</v>
      </c>
      <c r="BT12" s="302" t="s">
        <v>508</v>
      </c>
      <c r="BU12" s="302" t="s">
        <v>508</v>
      </c>
      <c r="BV12" s="434">
        <v>0</v>
      </c>
      <c r="BW12" s="645">
        <f t="shared" si="8"/>
        <v>0.66999999999999993</v>
      </c>
      <c r="BX12" s="434">
        <v>0.3</v>
      </c>
      <c r="BY12" s="302" t="s">
        <v>674</v>
      </c>
      <c r="BZ12" s="302" t="s">
        <v>675</v>
      </c>
      <c r="CA12" s="434">
        <v>0.2</v>
      </c>
      <c r="CB12" s="302" t="s">
        <v>508</v>
      </c>
      <c r="CC12" s="302" t="s">
        <v>508</v>
      </c>
      <c r="CD12" s="434">
        <v>0</v>
      </c>
      <c r="CE12" s="434">
        <f t="shared" si="9"/>
        <v>0.5</v>
      </c>
      <c r="CF12" s="1620" t="s">
        <v>862</v>
      </c>
      <c r="CG12" s="1620" t="s">
        <v>862</v>
      </c>
      <c r="CH12" s="1620" t="s">
        <v>1166</v>
      </c>
      <c r="CI12" s="408" t="s">
        <v>862</v>
      </c>
      <c r="CJ12" s="642">
        <v>0.77400000000000002</v>
      </c>
      <c r="CK12" s="591" t="s">
        <v>922</v>
      </c>
      <c r="CL12" s="302" t="s">
        <v>674</v>
      </c>
      <c r="CM12" s="302" t="s">
        <v>675</v>
      </c>
      <c r="CN12" s="637">
        <v>0.2</v>
      </c>
      <c r="CO12" s="302" t="s">
        <v>508</v>
      </c>
      <c r="CP12" s="302" t="s">
        <v>508</v>
      </c>
      <c r="CQ12" s="637">
        <v>0</v>
      </c>
    </row>
    <row r="13" spans="1:95" ht="15.75" customHeight="1" x14ac:dyDescent="0.2">
      <c r="A13" s="433" t="s">
        <v>734</v>
      </c>
      <c r="B13" s="440" t="s">
        <v>733</v>
      </c>
      <c r="C13" s="637">
        <v>0.3</v>
      </c>
      <c r="D13" s="302" t="s">
        <v>674</v>
      </c>
      <c r="E13" s="302" t="s">
        <v>675</v>
      </c>
      <c r="F13" s="637">
        <v>0.37</v>
      </c>
      <c r="G13" s="302" t="s">
        <v>508</v>
      </c>
      <c r="H13" s="302" t="s">
        <v>508</v>
      </c>
      <c r="I13" s="637">
        <v>0</v>
      </c>
      <c r="J13" s="662">
        <f t="shared" si="10"/>
        <v>0.66999999999999993</v>
      </c>
      <c r="K13" s="637">
        <v>0.3</v>
      </c>
      <c r="L13" s="302" t="s">
        <v>674</v>
      </c>
      <c r="M13" s="302" t="s">
        <v>675</v>
      </c>
      <c r="N13" s="637">
        <v>0.37</v>
      </c>
      <c r="O13" s="302" t="s">
        <v>508</v>
      </c>
      <c r="P13" s="302" t="s">
        <v>508</v>
      </c>
      <c r="Q13" s="637">
        <v>0</v>
      </c>
      <c r="R13" s="645">
        <f t="shared" si="11"/>
        <v>0.66999999999999993</v>
      </c>
      <c r="S13" s="637">
        <v>0.3</v>
      </c>
      <c r="T13" s="302" t="s">
        <v>674</v>
      </c>
      <c r="U13" s="302" t="s">
        <v>675</v>
      </c>
      <c r="V13" s="637">
        <v>0.37</v>
      </c>
      <c r="W13" s="302" t="s">
        <v>508</v>
      </c>
      <c r="X13" s="302" t="s">
        <v>508</v>
      </c>
      <c r="Y13" s="637">
        <v>0</v>
      </c>
      <c r="Z13" s="645">
        <f t="shared" si="2"/>
        <v>0.66999999999999993</v>
      </c>
      <c r="AA13" s="637">
        <v>0.3</v>
      </c>
      <c r="AB13" s="302" t="s">
        <v>674</v>
      </c>
      <c r="AC13" s="302" t="s">
        <v>675</v>
      </c>
      <c r="AD13" s="637">
        <v>0.37</v>
      </c>
      <c r="AE13" s="302" t="s">
        <v>508</v>
      </c>
      <c r="AF13" s="302" t="s">
        <v>508</v>
      </c>
      <c r="AG13" s="637">
        <v>0</v>
      </c>
      <c r="AH13" s="645">
        <f t="shared" si="3"/>
        <v>0.66999999999999993</v>
      </c>
      <c r="AI13" s="637">
        <v>0.3</v>
      </c>
      <c r="AJ13" s="302" t="s">
        <v>674</v>
      </c>
      <c r="AK13" s="302" t="s">
        <v>675</v>
      </c>
      <c r="AL13" s="637">
        <v>0.37</v>
      </c>
      <c r="AM13" s="302" t="s">
        <v>508</v>
      </c>
      <c r="AN13" s="302" t="s">
        <v>508</v>
      </c>
      <c r="AO13" s="637">
        <v>0</v>
      </c>
      <c r="AP13" s="645">
        <f t="shared" si="4"/>
        <v>0.66999999999999993</v>
      </c>
      <c r="AQ13" s="637">
        <v>0.3</v>
      </c>
      <c r="AR13" s="302" t="s">
        <v>674</v>
      </c>
      <c r="AS13" s="302" t="s">
        <v>675</v>
      </c>
      <c r="AT13" s="637">
        <v>0.37</v>
      </c>
      <c r="AU13" s="302" t="s">
        <v>508</v>
      </c>
      <c r="AV13" s="302" t="s">
        <v>508</v>
      </c>
      <c r="AW13" s="637">
        <v>0</v>
      </c>
      <c r="AX13" s="645">
        <f t="shared" si="5"/>
        <v>0.66999999999999993</v>
      </c>
      <c r="AY13" s="637">
        <v>0.48</v>
      </c>
      <c r="AZ13" s="302" t="s">
        <v>674</v>
      </c>
      <c r="BA13" s="302" t="s">
        <v>675</v>
      </c>
      <c r="BB13" s="637">
        <v>0.27</v>
      </c>
      <c r="BC13" s="302" t="s">
        <v>508</v>
      </c>
      <c r="BD13" s="302" t="s">
        <v>508</v>
      </c>
      <c r="BE13" s="637">
        <v>0</v>
      </c>
      <c r="BF13" s="434">
        <f t="shared" si="6"/>
        <v>0.75</v>
      </c>
      <c r="BG13" s="587">
        <v>0.64</v>
      </c>
      <c r="BH13" s="302" t="s">
        <v>674</v>
      </c>
      <c r="BI13" s="302" t="s">
        <v>675</v>
      </c>
      <c r="BJ13" s="434">
        <v>0.36</v>
      </c>
      <c r="BK13" s="302" t="s">
        <v>508</v>
      </c>
      <c r="BL13" s="302" t="s">
        <v>508</v>
      </c>
      <c r="BM13" s="434">
        <v>0</v>
      </c>
      <c r="BN13" s="645">
        <f t="shared" si="7"/>
        <v>1</v>
      </c>
      <c r="BO13" s="434"/>
      <c r="BP13" s="434">
        <v>0.3</v>
      </c>
      <c r="BQ13" s="302" t="s">
        <v>674</v>
      </c>
      <c r="BR13" s="302" t="s">
        <v>675</v>
      </c>
      <c r="BS13" s="434">
        <v>0.37</v>
      </c>
      <c r="BT13" s="302" t="s">
        <v>508</v>
      </c>
      <c r="BU13" s="302" t="s">
        <v>508</v>
      </c>
      <c r="BV13" s="434">
        <v>0</v>
      </c>
      <c r="BW13" s="645">
        <f t="shared" si="8"/>
        <v>0.66999999999999993</v>
      </c>
      <c r="BX13" s="434">
        <v>0.3</v>
      </c>
      <c r="BY13" s="302" t="s">
        <v>674</v>
      </c>
      <c r="BZ13" s="302" t="s">
        <v>675</v>
      </c>
      <c r="CA13" s="434">
        <v>0.2</v>
      </c>
      <c r="CB13" s="302" t="s">
        <v>508</v>
      </c>
      <c r="CC13" s="302" t="s">
        <v>508</v>
      </c>
      <c r="CD13" s="434">
        <v>0</v>
      </c>
      <c r="CE13" s="434">
        <f t="shared" si="9"/>
        <v>0.5</v>
      </c>
      <c r="CF13" s="1620" t="s">
        <v>862</v>
      </c>
      <c r="CG13" s="1620" t="s">
        <v>1166</v>
      </c>
      <c r="CH13" s="1620" t="s">
        <v>1166</v>
      </c>
      <c r="CI13" s="408" t="s">
        <v>862</v>
      </c>
      <c r="CJ13" s="642">
        <v>0.77800000000000002</v>
      </c>
      <c r="CK13" s="591" t="s">
        <v>922</v>
      </c>
      <c r="CL13" s="302" t="s">
        <v>674</v>
      </c>
      <c r="CM13" s="302" t="s">
        <v>675</v>
      </c>
      <c r="CN13" s="637">
        <v>0.2</v>
      </c>
      <c r="CO13" s="302" t="s">
        <v>508</v>
      </c>
      <c r="CP13" s="302" t="s">
        <v>508</v>
      </c>
      <c r="CQ13" s="637">
        <v>0</v>
      </c>
    </row>
    <row r="14" spans="1:95" ht="15" x14ac:dyDescent="0.2">
      <c r="A14" s="433" t="s">
        <v>736</v>
      </c>
      <c r="B14" s="440" t="s">
        <v>735</v>
      </c>
      <c r="C14" s="637">
        <v>0.49</v>
      </c>
      <c r="D14" s="302" t="s">
        <v>508</v>
      </c>
      <c r="E14" s="302" t="s">
        <v>660</v>
      </c>
      <c r="F14" s="637">
        <v>0</v>
      </c>
      <c r="G14" s="302" t="s">
        <v>665</v>
      </c>
      <c r="H14" s="302" t="s">
        <v>666</v>
      </c>
      <c r="I14" s="637">
        <v>0.01</v>
      </c>
      <c r="J14" s="662">
        <f t="shared" si="10"/>
        <v>0.5</v>
      </c>
      <c r="K14" s="637">
        <v>0.49</v>
      </c>
      <c r="L14" s="302" t="s">
        <v>508</v>
      </c>
      <c r="M14" s="302" t="s">
        <v>660</v>
      </c>
      <c r="N14" s="637">
        <v>0</v>
      </c>
      <c r="O14" s="302" t="s">
        <v>665</v>
      </c>
      <c r="P14" s="302" t="s">
        <v>666</v>
      </c>
      <c r="Q14" s="637">
        <v>0.01</v>
      </c>
      <c r="R14" s="645">
        <f t="shared" si="11"/>
        <v>0.5</v>
      </c>
      <c r="S14" s="637">
        <v>0.49</v>
      </c>
      <c r="T14" s="302" t="s">
        <v>508</v>
      </c>
      <c r="U14" s="302" t="s">
        <v>660</v>
      </c>
      <c r="V14" s="637">
        <v>0</v>
      </c>
      <c r="W14" s="302" t="s">
        <v>665</v>
      </c>
      <c r="X14" s="302" t="s">
        <v>666</v>
      </c>
      <c r="Y14" s="637">
        <v>0.01</v>
      </c>
      <c r="Z14" s="645">
        <f t="shared" si="2"/>
        <v>0.5</v>
      </c>
      <c r="AA14" s="637">
        <v>0.49</v>
      </c>
      <c r="AB14" s="302" t="s">
        <v>508</v>
      </c>
      <c r="AC14" s="302" t="s">
        <v>660</v>
      </c>
      <c r="AD14" s="637">
        <v>0</v>
      </c>
      <c r="AE14" s="302" t="s">
        <v>665</v>
      </c>
      <c r="AF14" s="302" t="s">
        <v>666</v>
      </c>
      <c r="AG14" s="637">
        <v>0.01</v>
      </c>
      <c r="AH14" s="645">
        <f t="shared" si="3"/>
        <v>0.5</v>
      </c>
      <c r="AI14" s="637">
        <v>0.49</v>
      </c>
      <c r="AJ14" s="302" t="s">
        <v>508</v>
      </c>
      <c r="AK14" s="302" t="s">
        <v>660</v>
      </c>
      <c r="AL14" s="637">
        <v>0</v>
      </c>
      <c r="AM14" s="302" t="s">
        <v>665</v>
      </c>
      <c r="AN14" s="302" t="s">
        <v>666</v>
      </c>
      <c r="AO14" s="637">
        <v>0.01</v>
      </c>
      <c r="AP14" s="645">
        <f t="shared" si="4"/>
        <v>0.5</v>
      </c>
      <c r="AQ14" s="637">
        <v>0.49</v>
      </c>
      <c r="AR14" s="302" t="s">
        <v>508</v>
      </c>
      <c r="AS14" s="302" t="s">
        <v>660</v>
      </c>
      <c r="AT14" s="637">
        <v>0</v>
      </c>
      <c r="AU14" s="302" t="s">
        <v>665</v>
      </c>
      <c r="AV14" s="302" t="s">
        <v>666</v>
      </c>
      <c r="AW14" s="637">
        <v>0.01</v>
      </c>
      <c r="AX14" s="645">
        <f t="shared" si="5"/>
        <v>0.5</v>
      </c>
      <c r="AY14" s="637">
        <v>0.49</v>
      </c>
      <c r="AZ14" s="302" t="s">
        <v>508</v>
      </c>
      <c r="BA14" s="302" t="s">
        <v>660</v>
      </c>
      <c r="BB14" s="637">
        <v>0</v>
      </c>
      <c r="BC14" s="302" t="s">
        <v>665</v>
      </c>
      <c r="BD14" s="302" t="s">
        <v>666</v>
      </c>
      <c r="BE14" s="637">
        <v>0.01</v>
      </c>
      <c r="BF14" s="434">
        <f t="shared" si="6"/>
        <v>0.5</v>
      </c>
      <c r="BG14" s="587">
        <v>0.49</v>
      </c>
      <c r="BH14" s="302" t="s">
        <v>508</v>
      </c>
      <c r="BI14" s="302" t="s">
        <v>660</v>
      </c>
      <c r="BJ14" s="434">
        <v>0</v>
      </c>
      <c r="BK14" s="302" t="s">
        <v>665</v>
      </c>
      <c r="BL14" s="302" t="s">
        <v>666</v>
      </c>
      <c r="BM14" s="434">
        <v>0.01</v>
      </c>
      <c r="BN14" s="645">
        <f t="shared" si="7"/>
        <v>0.5</v>
      </c>
      <c r="BO14" s="434"/>
      <c r="BP14" s="434">
        <v>0.49</v>
      </c>
      <c r="BQ14" s="302" t="s">
        <v>508</v>
      </c>
      <c r="BR14" s="302" t="s">
        <v>660</v>
      </c>
      <c r="BS14" s="434">
        <v>0</v>
      </c>
      <c r="BT14" s="302" t="s">
        <v>665</v>
      </c>
      <c r="BU14" s="302" t="s">
        <v>666</v>
      </c>
      <c r="BV14" s="434">
        <v>0.01</v>
      </c>
      <c r="BW14" s="645">
        <f t="shared" si="8"/>
        <v>0.5</v>
      </c>
      <c r="BX14" s="434">
        <v>0.49</v>
      </c>
      <c r="BY14" s="302" t="s">
        <v>508</v>
      </c>
      <c r="BZ14" s="302" t="s">
        <v>660</v>
      </c>
      <c r="CA14" s="434">
        <v>0</v>
      </c>
      <c r="CB14" s="302" t="s">
        <v>665</v>
      </c>
      <c r="CC14" s="302" t="s">
        <v>666</v>
      </c>
      <c r="CD14" s="434">
        <v>0.01</v>
      </c>
      <c r="CE14" s="434">
        <f t="shared" si="9"/>
        <v>0.5</v>
      </c>
      <c r="CF14" s="1620" t="s">
        <v>862</v>
      </c>
      <c r="CG14" s="1620" t="s">
        <v>1166</v>
      </c>
      <c r="CH14" s="1620" t="s">
        <v>1166</v>
      </c>
      <c r="CI14" s="408" t="s">
        <v>862</v>
      </c>
      <c r="CJ14" s="642">
        <v>0.65500000000000003</v>
      </c>
      <c r="CK14" s="591" t="s">
        <v>922</v>
      </c>
      <c r="CL14" s="302" t="s">
        <v>508</v>
      </c>
      <c r="CM14" s="302" t="s">
        <v>660</v>
      </c>
      <c r="CN14" s="637">
        <v>0</v>
      </c>
      <c r="CO14" s="302" t="s">
        <v>665</v>
      </c>
      <c r="CP14" s="302" t="s">
        <v>666</v>
      </c>
      <c r="CQ14" s="637">
        <v>0.01</v>
      </c>
    </row>
    <row r="15" spans="1:95" ht="15.75" customHeight="1" x14ac:dyDescent="0.2">
      <c r="A15" s="433" t="s">
        <v>738</v>
      </c>
      <c r="B15" s="440" t="s">
        <v>737</v>
      </c>
      <c r="C15" s="637">
        <v>0.4</v>
      </c>
      <c r="D15" s="302" t="s">
        <v>575</v>
      </c>
      <c r="E15" s="302" t="s">
        <v>576</v>
      </c>
      <c r="F15" s="637">
        <v>0.09</v>
      </c>
      <c r="G15" s="302" t="s">
        <v>572</v>
      </c>
      <c r="H15" s="302" t="s">
        <v>1200</v>
      </c>
      <c r="I15" s="637">
        <v>0.01</v>
      </c>
      <c r="J15" s="662">
        <f t="shared" si="10"/>
        <v>0.5</v>
      </c>
      <c r="K15" s="637">
        <v>0.4</v>
      </c>
      <c r="L15" s="302" t="s">
        <v>575</v>
      </c>
      <c r="M15" s="302" t="s">
        <v>576</v>
      </c>
      <c r="N15" s="637">
        <v>0.09</v>
      </c>
      <c r="O15" s="302" t="s">
        <v>572</v>
      </c>
      <c r="P15" s="302" t="s">
        <v>1200</v>
      </c>
      <c r="Q15" s="637">
        <v>0.01</v>
      </c>
      <c r="R15" s="645">
        <f t="shared" si="11"/>
        <v>0.5</v>
      </c>
      <c r="S15" s="637">
        <v>0.4</v>
      </c>
      <c r="T15" s="302" t="s">
        <v>575</v>
      </c>
      <c r="U15" s="302" t="s">
        <v>576</v>
      </c>
      <c r="V15" s="637">
        <v>0.09</v>
      </c>
      <c r="W15" s="302" t="s">
        <v>572</v>
      </c>
      <c r="X15" s="302" t="s">
        <v>1200</v>
      </c>
      <c r="Y15" s="637">
        <v>0.01</v>
      </c>
      <c r="Z15" s="645">
        <f t="shared" si="2"/>
        <v>0.5</v>
      </c>
      <c r="AA15" s="637">
        <v>0.4</v>
      </c>
      <c r="AB15" s="302" t="s">
        <v>575</v>
      </c>
      <c r="AC15" s="302" t="s">
        <v>576</v>
      </c>
      <c r="AD15" s="637">
        <v>0.09</v>
      </c>
      <c r="AE15" s="302" t="s">
        <v>572</v>
      </c>
      <c r="AF15" s="302" t="s">
        <v>1200</v>
      </c>
      <c r="AG15" s="637">
        <v>0.01</v>
      </c>
      <c r="AH15" s="645">
        <f t="shared" si="3"/>
        <v>0.5</v>
      </c>
      <c r="AI15" s="637">
        <v>0.4</v>
      </c>
      <c r="AJ15" s="302" t="s">
        <v>575</v>
      </c>
      <c r="AK15" s="302" t="s">
        <v>576</v>
      </c>
      <c r="AL15" s="637">
        <v>0.09</v>
      </c>
      <c r="AM15" s="302" t="s">
        <v>572</v>
      </c>
      <c r="AN15" s="302" t="s">
        <v>1200</v>
      </c>
      <c r="AO15" s="637">
        <v>0.01</v>
      </c>
      <c r="AP15" s="645">
        <f t="shared" si="4"/>
        <v>0.5</v>
      </c>
      <c r="AQ15" s="637">
        <v>0.4</v>
      </c>
      <c r="AR15" s="302" t="s">
        <v>575</v>
      </c>
      <c r="AS15" s="302" t="s">
        <v>576</v>
      </c>
      <c r="AT15" s="637">
        <v>0.09</v>
      </c>
      <c r="AU15" s="302" t="s">
        <v>572</v>
      </c>
      <c r="AV15" s="302" t="s">
        <v>1200</v>
      </c>
      <c r="AW15" s="637">
        <v>0.01</v>
      </c>
      <c r="AX15" s="645">
        <f t="shared" si="5"/>
        <v>0.5</v>
      </c>
      <c r="AY15" s="637">
        <v>0.4</v>
      </c>
      <c r="AZ15" s="302" t="s">
        <v>575</v>
      </c>
      <c r="BA15" s="302" t="s">
        <v>576</v>
      </c>
      <c r="BB15" s="637">
        <v>0.09</v>
      </c>
      <c r="BC15" s="302" t="s">
        <v>572</v>
      </c>
      <c r="BD15" s="302" t="s">
        <v>1200</v>
      </c>
      <c r="BE15" s="637">
        <v>0.01</v>
      </c>
      <c r="BF15" s="434">
        <f t="shared" si="6"/>
        <v>0.5</v>
      </c>
      <c r="BG15" s="587">
        <v>0.4</v>
      </c>
      <c r="BH15" s="302" t="s">
        <v>575</v>
      </c>
      <c r="BI15" s="302" t="s">
        <v>576</v>
      </c>
      <c r="BJ15" s="434">
        <v>0.09</v>
      </c>
      <c r="BK15" s="302" t="s">
        <v>572</v>
      </c>
      <c r="BL15" s="302" t="s">
        <v>573</v>
      </c>
      <c r="BM15" s="434">
        <v>0.01</v>
      </c>
      <c r="BN15" s="645">
        <f t="shared" si="7"/>
        <v>0.5</v>
      </c>
      <c r="BO15" s="434"/>
      <c r="BP15" s="434">
        <v>0.4</v>
      </c>
      <c r="BQ15" s="302" t="s">
        <v>575</v>
      </c>
      <c r="BR15" s="302" t="s">
        <v>576</v>
      </c>
      <c r="BS15" s="434">
        <v>0.09</v>
      </c>
      <c r="BT15" s="302" t="s">
        <v>572</v>
      </c>
      <c r="BU15" s="302" t="s">
        <v>573</v>
      </c>
      <c r="BV15" s="434">
        <v>0.01</v>
      </c>
      <c r="BW15" s="645">
        <f t="shared" si="8"/>
        <v>0.5</v>
      </c>
      <c r="BX15" s="434">
        <v>0.4</v>
      </c>
      <c r="BY15" s="302" t="s">
        <v>575</v>
      </c>
      <c r="BZ15" s="302" t="s">
        <v>576</v>
      </c>
      <c r="CA15" s="434">
        <v>0.09</v>
      </c>
      <c r="CB15" s="302" t="s">
        <v>572</v>
      </c>
      <c r="CC15" s="302" t="s">
        <v>573</v>
      </c>
      <c r="CD15" s="434">
        <v>0.01</v>
      </c>
      <c r="CE15" s="434">
        <f t="shared" si="9"/>
        <v>0.5</v>
      </c>
      <c r="CF15" s="1620" t="s">
        <v>1166</v>
      </c>
      <c r="CG15" s="1620" t="s">
        <v>1166</v>
      </c>
      <c r="CH15" s="1620" t="s">
        <v>1166</v>
      </c>
      <c r="CI15" s="406"/>
      <c r="CJ15" s="642">
        <v>0.746</v>
      </c>
      <c r="CK15" s="591" t="s">
        <v>922</v>
      </c>
      <c r="CL15" s="302" t="s">
        <v>575</v>
      </c>
      <c r="CM15" s="302" t="s">
        <v>576</v>
      </c>
      <c r="CN15" s="637">
        <v>0.59</v>
      </c>
      <c r="CO15" s="302" t="s">
        <v>572</v>
      </c>
      <c r="CP15" s="302" t="s">
        <v>573</v>
      </c>
      <c r="CQ15" s="637">
        <v>0.01</v>
      </c>
    </row>
    <row r="16" spans="1:95" ht="15.75" customHeight="1" x14ac:dyDescent="0.2">
      <c r="A16" s="433" t="s">
        <v>740</v>
      </c>
      <c r="B16" s="440" t="s">
        <v>739</v>
      </c>
      <c r="C16" s="637">
        <v>0.4</v>
      </c>
      <c r="D16" s="302" t="s">
        <v>583</v>
      </c>
      <c r="E16" s="302" t="s">
        <v>584</v>
      </c>
      <c r="F16" s="637">
        <v>0.09</v>
      </c>
      <c r="G16" s="302" t="s">
        <v>2218</v>
      </c>
      <c r="H16" s="302" t="s">
        <v>2219</v>
      </c>
      <c r="I16" s="637">
        <v>0.01</v>
      </c>
      <c r="J16" s="662">
        <f t="shared" si="10"/>
        <v>0.5</v>
      </c>
      <c r="K16" s="637">
        <v>0.4</v>
      </c>
      <c r="L16" s="302" t="s">
        <v>583</v>
      </c>
      <c r="M16" s="302" t="s">
        <v>584</v>
      </c>
      <c r="N16" s="637">
        <v>0.09</v>
      </c>
      <c r="O16" s="302" t="s">
        <v>2218</v>
      </c>
      <c r="P16" s="302" t="s">
        <v>2219</v>
      </c>
      <c r="Q16" s="637">
        <v>0.01</v>
      </c>
      <c r="R16" s="645">
        <f t="shared" si="11"/>
        <v>0.5</v>
      </c>
      <c r="S16" s="637">
        <v>0.4</v>
      </c>
      <c r="T16" s="302" t="s">
        <v>583</v>
      </c>
      <c r="U16" s="302" t="s">
        <v>584</v>
      </c>
      <c r="V16" s="637">
        <v>0.09</v>
      </c>
      <c r="W16" s="302" t="s">
        <v>2218</v>
      </c>
      <c r="X16" s="302" t="s">
        <v>2219</v>
      </c>
      <c r="Y16" s="637">
        <v>0.01</v>
      </c>
      <c r="Z16" s="645">
        <f t="shared" si="2"/>
        <v>0.5</v>
      </c>
      <c r="AA16" s="637">
        <v>0.4</v>
      </c>
      <c r="AB16" s="302" t="s">
        <v>583</v>
      </c>
      <c r="AC16" s="302" t="s">
        <v>584</v>
      </c>
      <c r="AD16" s="637">
        <v>0.09</v>
      </c>
      <c r="AE16" s="302" t="s">
        <v>2218</v>
      </c>
      <c r="AF16" s="302" t="s">
        <v>2219</v>
      </c>
      <c r="AG16" s="637">
        <v>0.01</v>
      </c>
      <c r="AH16" s="645">
        <f t="shared" si="3"/>
        <v>0.5</v>
      </c>
      <c r="AI16" s="637">
        <v>0.4</v>
      </c>
      <c r="AJ16" s="302" t="s">
        <v>583</v>
      </c>
      <c r="AK16" s="302" t="s">
        <v>584</v>
      </c>
      <c r="AL16" s="637">
        <v>0.09</v>
      </c>
      <c r="AM16" s="302" t="s">
        <v>2218</v>
      </c>
      <c r="AN16" s="302" t="s">
        <v>2219</v>
      </c>
      <c r="AO16" s="637">
        <v>0.01</v>
      </c>
      <c r="AP16" s="645">
        <f t="shared" si="4"/>
        <v>0.5</v>
      </c>
      <c r="AQ16" s="637">
        <v>0.4</v>
      </c>
      <c r="AR16" s="302" t="s">
        <v>583</v>
      </c>
      <c r="AS16" s="302" t="s">
        <v>584</v>
      </c>
      <c r="AT16" s="637">
        <v>0.09</v>
      </c>
      <c r="AU16" s="302" t="s">
        <v>580</v>
      </c>
      <c r="AV16" s="302" t="s">
        <v>581</v>
      </c>
      <c r="AW16" s="637">
        <v>0.01</v>
      </c>
      <c r="AX16" s="645">
        <f t="shared" si="5"/>
        <v>0.5</v>
      </c>
      <c r="AY16" s="637">
        <v>0.4</v>
      </c>
      <c r="AZ16" s="302" t="s">
        <v>583</v>
      </c>
      <c r="BA16" s="302" t="s">
        <v>584</v>
      </c>
      <c r="BB16" s="637">
        <v>0.09</v>
      </c>
      <c r="BC16" s="302" t="s">
        <v>580</v>
      </c>
      <c r="BD16" s="302" t="s">
        <v>581</v>
      </c>
      <c r="BE16" s="637">
        <v>0.01</v>
      </c>
      <c r="BF16" s="434">
        <f t="shared" si="6"/>
        <v>0.5</v>
      </c>
      <c r="BG16" s="587">
        <v>0.4</v>
      </c>
      <c r="BH16" s="302" t="s">
        <v>583</v>
      </c>
      <c r="BI16" s="302" t="s">
        <v>584</v>
      </c>
      <c r="BJ16" s="434">
        <v>0.09</v>
      </c>
      <c r="BK16" s="302" t="s">
        <v>580</v>
      </c>
      <c r="BL16" s="302" t="s">
        <v>581</v>
      </c>
      <c r="BM16" s="434">
        <v>0.01</v>
      </c>
      <c r="BN16" s="645">
        <f t="shared" si="7"/>
        <v>0.5</v>
      </c>
      <c r="BO16" s="434"/>
      <c r="BP16" s="434">
        <v>0.4</v>
      </c>
      <c r="BQ16" s="302" t="s">
        <v>583</v>
      </c>
      <c r="BR16" s="302" t="s">
        <v>584</v>
      </c>
      <c r="BS16" s="434">
        <v>0.09</v>
      </c>
      <c r="BT16" s="302" t="s">
        <v>580</v>
      </c>
      <c r="BU16" s="302" t="s">
        <v>581</v>
      </c>
      <c r="BV16" s="434">
        <v>0.01</v>
      </c>
      <c r="BW16" s="645">
        <f t="shared" si="8"/>
        <v>0.5</v>
      </c>
      <c r="BX16" s="434">
        <v>0.4</v>
      </c>
      <c r="BY16" s="302" t="s">
        <v>583</v>
      </c>
      <c r="BZ16" s="302" t="s">
        <v>584</v>
      </c>
      <c r="CA16" s="434">
        <v>0.09</v>
      </c>
      <c r="CB16" s="302" t="s">
        <v>580</v>
      </c>
      <c r="CC16" s="302" t="s">
        <v>581</v>
      </c>
      <c r="CD16" s="434">
        <v>0.01</v>
      </c>
      <c r="CE16" s="434">
        <f t="shared" si="9"/>
        <v>0.5</v>
      </c>
      <c r="CF16" s="1620" t="s">
        <v>862</v>
      </c>
      <c r="CG16" s="1620" t="s">
        <v>1166</v>
      </c>
      <c r="CH16" s="1620" t="s">
        <v>1166</v>
      </c>
      <c r="CI16" s="406"/>
      <c r="CJ16" s="642">
        <v>0.69799999999999995</v>
      </c>
      <c r="CK16" s="591" t="s">
        <v>922</v>
      </c>
      <c r="CL16" s="302" t="s">
        <v>583</v>
      </c>
      <c r="CM16" s="302" t="s">
        <v>584</v>
      </c>
      <c r="CN16" s="637">
        <v>0.59</v>
      </c>
      <c r="CO16" s="302" t="s">
        <v>580</v>
      </c>
      <c r="CP16" s="302" t="s">
        <v>581</v>
      </c>
      <c r="CQ16" s="637">
        <v>0.01</v>
      </c>
    </row>
    <row r="17" spans="1:95" ht="15.75" customHeight="1" x14ac:dyDescent="0.2">
      <c r="A17" s="433" t="s">
        <v>742</v>
      </c>
      <c r="B17" s="440" t="s">
        <v>741</v>
      </c>
      <c r="C17" s="637">
        <v>0.4</v>
      </c>
      <c r="D17" s="302" t="s">
        <v>633</v>
      </c>
      <c r="E17" s="302" t="s">
        <v>634</v>
      </c>
      <c r="F17" s="637">
        <v>0.09</v>
      </c>
      <c r="G17" s="302" t="s">
        <v>631</v>
      </c>
      <c r="H17" s="302" t="s">
        <v>632</v>
      </c>
      <c r="I17" s="637">
        <v>0.01</v>
      </c>
      <c r="J17" s="662">
        <f t="shared" si="10"/>
        <v>0.5</v>
      </c>
      <c r="K17" s="637">
        <v>0.4</v>
      </c>
      <c r="L17" s="302" t="s">
        <v>633</v>
      </c>
      <c r="M17" s="302" t="s">
        <v>634</v>
      </c>
      <c r="N17" s="637">
        <v>0.09</v>
      </c>
      <c r="O17" s="302" t="s">
        <v>631</v>
      </c>
      <c r="P17" s="302" t="s">
        <v>632</v>
      </c>
      <c r="Q17" s="637">
        <v>0.01</v>
      </c>
      <c r="R17" s="645">
        <f t="shared" si="11"/>
        <v>0.5</v>
      </c>
      <c r="S17" s="637">
        <v>0.4</v>
      </c>
      <c r="T17" s="302" t="s">
        <v>633</v>
      </c>
      <c r="U17" s="302" t="s">
        <v>634</v>
      </c>
      <c r="V17" s="637">
        <v>0.09</v>
      </c>
      <c r="W17" s="302" t="s">
        <v>631</v>
      </c>
      <c r="X17" s="302" t="s">
        <v>632</v>
      </c>
      <c r="Y17" s="637">
        <v>0.01</v>
      </c>
      <c r="Z17" s="645">
        <f t="shared" si="2"/>
        <v>0.5</v>
      </c>
      <c r="AA17" s="637">
        <v>0.4</v>
      </c>
      <c r="AB17" s="302" t="s">
        <v>633</v>
      </c>
      <c r="AC17" s="302" t="s">
        <v>634</v>
      </c>
      <c r="AD17" s="637">
        <v>0.09</v>
      </c>
      <c r="AE17" s="302" t="s">
        <v>631</v>
      </c>
      <c r="AF17" s="302" t="s">
        <v>632</v>
      </c>
      <c r="AG17" s="637">
        <v>0.01</v>
      </c>
      <c r="AH17" s="645">
        <f t="shared" si="3"/>
        <v>0.5</v>
      </c>
      <c r="AI17" s="637">
        <v>0.4</v>
      </c>
      <c r="AJ17" s="302" t="s">
        <v>633</v>
      </c>
      <c r="AK17" s="302" t="s">
        <v>634</v>
      </c>
      <c r="AL17" s="637">
        <v>0.09</v>
      </c>
      <c r="AM17" s="302" t="s">
        <v>631</v>
      </c>
      <c r="AN17" s="302" t="s">
        <v>632</v>
      </c>
      <c r="AO17" s="637">
        <v>0.01</v>
      </c>
      <c r="AP17" s="645">
        <f t="shared" si="4"/>
        <v>0.5</v>
      </c>
      <c r="AQ17" s="637">
        <v>0.4</v>
      </c>
      <c r="AR17" s="302" t="s">
        <v>633</v>
      </c>
      <c r="AS17" s="302" t="s">
        <v>634</v>
      </c>
      <c r="AT17" s="637">
        <v>0.09</v>
      </c>
      <c r="AU17" s="302" t="s">
        <v>631</v>
      </c>
      <c r="AV17" s="302" t="s">
        <v>632</v>
      </c>
      <c r="AW17" s="637">
        <v>0.01</v>
      </c>
      <c r="AX17" s="645">
        <f t="shared" si="5"/>
        <v>0.5</v>
      </c>
      <c r="AY17" s="637">
        <v>0.4</v>
      </c>
      <c r="AZ17" s="302" t="s">
        <v>633</v>
      </c>
      <c r="BA17" s="302" t="s">
        <v>634</v>
      </c>
      <c r="BB17" s="637">
        <v>0.09</v>
      </c>
      <c r="BC17" s="302" t="s">
        <v>631</v>
      </c>
      <c r="BD17" s="302" t="s">
        <v>632</v>
      </c>
      <c r="BE17" s="637">
        <v>0.01</v>
      </c>
      <c r="BF17" s="434">
        <f t="shared" ref="BF17:BF61" si="12">+AY17+BB17+BE17</f>
        <v>0.5</v>
      </c>
      <c r="BG17" s="587">
        <v>0.4</v>
      </c>
      <c r="BH17" s="302" t="s">
        <v>633</v>
      </c>
      <c r="BI17" s="302" t="s">
        <v>634</v>
      </c>
      <c r="BJ17" s="434">
        <v>0.09</v>
      </c>
      <c r="BK17" s="302" t="s">
        <v>631</v>
      </c>
      <c r="BL17" s="302" t="s">
        <v>632</v>
      </c>
      <c r="BM17" s="434">
        <v>0.01</v>
      </c>
      <c r="BN17" s="645">
        <f t="shared" ref="BN17:BN61" si="13">+BG17+BJ17+BM17</f>
        <v>0.5</v>
      </c>
      <c r="BO17" s="434"/>
      <c r="BP17" s="434">
        <v>0.4</v>
      </c>
      <c r="BQ17" s="302" t="s">
        <v>633</v>
      </c>
      <c r="BR17" s="302" t="s">
        <v>634</v>
      </c>
      <c r="BS17" s="434">
        <v>0.09</v>
      </c>
      <c r="BT17" s="302" t="s">
        <v>631</v>
      </c>
      <c r="BU17" s="302" t="s">
        <v>632</v>
      </c>
      <c r="BV17" s="434">
        <v>0.01</v>
      </c>
      <c r="BW17" s="645">
        <f t="shared" si="8"/>
        <v>0.5</v>
      </c>
      <c r="BX17" s="434">
        <v>0.4</v>
      </c>
      <c r="BY17" s="302" t="s">
        <v>633</v>
      </c>
      <c r="BZ17" s="302" t="s">
        <v>634</v>
      </c>
      <c r="CA17" s="434">
        <v>0.09</v>
      </c>
      <c r="CB17" s="302" t="s">
        <v>631</v>
      </c>
      <c r="CC17" s="302" t="s">
        <v>632</v>
      </c>
      <c r="CD17" s="434">
        <v>0.01</v>
      </c>
      <c r="CE17" s="434">
        <f t="shared" si="9"/>
        <v>0.5</v>
      </c>
      <c r="CF17" s="1620" t="s">
        <v>1166</v>
      </c>
      <c r="CG17" s="1620" t="s">
        <v>1166</v>
      </c>
      <c r="CH17" s="1620" t="s">
        <v>1166</v>
      </c>
      <c r="CI17" s="406"/>
      <c r="CJ17" s="642">
        <v>0.67300000000000004</v>
      </c>
      <c r="CK17" s="591" t="s">
        <v>922</v>
      </c>
      <c r="CL17" s="302" t="s">
        <v>633</v>
      </c>
      <c r="CM17" s="302" t="s">
        <v>634</v>
      </c>
      <c r="CN17" s="637">
        <v>0.59</v>
      </c>
      <c r="CO17" s="302" t="s">
        <v>631</v>
      </c>
      <c r="CP17" s="302" t="s">
        <v>632</v>
      </c>
      <c r="CQ17" s="637">
        <v>0.01</v>
      </c>
    </row>
    <row r="18" spans="1:95" ht="16.5" customHeight="1" x14ac:dyDescent="0.2">
      <c r="A18" s="433" t="s">
        <v>744</v>
      </c>
      <c r="B18" s="440" t="s">
        <v>507</v>
      </c>
      <c r="C18" s="637">
        <v>0.94</v>
      </c>
      <c r="D18" s="302" t="s">
        <v>1146</v>
      </c>
      <c r="E18" s="302" t="s">
        <v>1147</v>
      </c>
      <c r="F18" s="637">
        <v>0.05</v>
      </c>
      <c r="G18" s="302" t="s">
        <v>510</v>
      </c>
      <c r="H18" s="302" t="s">
        <v>511</v>
      </c>
      <c r="I18" s="637">
        <v>0.01</v>
      </c>
      <c r="J18" s="662">
        <f t="shared" si="10"/>
        <v>1</v>
      </c>
      <c r="K18" s="637">
        <v>0.94</v>
      </c>
      <c r="L18" s="302" t="s">
        <v>1146</v>
      </c>
      <c r="M18" s="302" t="s">
        <v>1147</v>
      </c>
      <c r="N18" s="637">
        <v>0.05</v>
      </c>
      <c r="O18" s="302" t="s">
        <v>510</v>
      </c>
      <c r="P18" s="302" t="s">
        <v>511</v>
      </c>
      <c r="Q18" s="637">
        <v>0.01</v>
      </c>
      <c r="R18" s="645">
        <f t="shared" si="11"/>
        <v>1</v>
      </c>
      <c r="S18" s="637">
        <v>0.94</v>
      </c>
      <c r="T18" s="302" t="s">
        <v>1146</v>
      </c>
      <c r="U18" s="302" t="s">
        <v>1147</v>
      </c>
      <c r="V18" s="637">
        <v>0.05</v>
      </c>
      <c r="W18" s="302" t="s">
        <v>510</v>
      </c>
      <c r="X18" s="302" t="s">
        <v>511</v>
      </c>
      <c r="Y18" s="637">
        <v>0.01</v>
      </c>
      <c r="Z18" s="645">
        <f t="shared" si="2"/>
        <v>1</v>
      </c>
      <c r="AA18" s="637">
        <v>0.94</v>
      </c>
      <c r="AB18" s="302" t="s">
        <v>1146</v>
      </c>
      <c r="AC18" s="302" t="s">
        <v>1147</v>
      </c>
      <c r="AD18" s="637">
        <v>0.05</v>
      </c>
      <c r="AE18" s="302" t="s">
        <v>510</v>
      </c>
      <c r="AF18" s="302" t="s">
        <v>511</v>
      </c>
      <c r="AG18" s="637">
        <v>0.01</v>
      </c>
      <c r="AH18" s="645">
        <f t="shared" si="3"/>
        <v>1</v>
      </c>
      <c r="AI18" s="637">
        <v>0.94</v>
      </c>
      <c r="AJ18" s="302" t="s">
        <v>1146</v>
      </c>
      <c r="AK18" s="302" t="s">
        <v>1147</v>
      </c>
      <c r="AL18" s="637">
        <v>0.05</v>
      </c>
      <c r="AM18" s="302" t="s">
        <v>510</v>
      </c>
      <c r="AN18" s="302" t="s">
        <v>511</v>
      </c>
      <c r="AO18" s="637">
        <v>0.01</v>
      </c>
      <c r="AP18" s="645">
        <f t="shared" si="4"/>
        <v>1</v>
      </c>
      <c r="AQ18" s="637">
        <v>0.94</v>
      </c>
      <c r="AR18" s="302" t="s">
        <v>1146</v>
      </c>
      <c r="AS18" s="302" t="s">
        <v>1147</v>
      </c>
      <c r="AT18" s="637">
        <v>0.05</v>
      </c>
      <c r="AU18" s="302" t="s">
        <v>510</v>
      </c>
      <c r="AV18" s="302" t="s">
        <v>511</v>
      </c>
      <c r="AW18" s="637">
        <v>0.01</v>
      </c>
      <c r="AX18" s="645">
        <f t="shared" si="5"/>
        <v>1</v>
      </c>
      <c r="AY18" s="637">
        <v>0.94</v>
      </c>
      <c r="AZ18" s="302" t="s">
        <v>1146</v>
      </c>
      <c r="BA18" s="302" t="s">
        <v>1147</v>
      </c>
      <c r="BB18" s="637">
        <v>0.05</v>
      </c>
      <c r="BC18" s="302" t="s">
        <v>510</v>
      </c>
      <c r="BD18" s="302" t="s">
        <v>511</v>
      </c>
      <c r="BE18" s="637">
        <v>0.01</v>
      </c>
      <c r="BF18" s="434">
        <f t="shared" si="12"/>
        <v>1</v>
      </c>
      <c r="BG18" s="587">
        <v>0.94</v>
      </c>
      <c r="BH18" s="302" t="s">
        <v>1146</v>
      </c>
      <c r="BI18" s="302" t="s">
        <v>1147</v>
      </c>
      <c r="BJ18" s="434">
        <v>0.05</v>
      </c>
      <c r="BK18" s="302" t="s">
        <v>510</v>
      </c>
      <c r="BL18" s="302" t="s">
        <v>511</v>
      </c>
      <c r="BM18" s="434">
        <v>0.01</v>
      </c>
      <c r="BN18" s="645">
        <f t="shared" si="13"/>
        <v>1</v>
      </c>
      <c r="BO18" s="434"/>
      <c r="BP18" s="434">
        <v>0.94</v>
      </c>
      <c r="BQ18" s="302" t="s">
        <v>1146</v>
      </c>
      <c r="BR18" s="302" t="s">
        <v>1147</v>
      </c>
      <c r="BS18" s="434">
        <v>0.05</v>
      </c>
      <c r="BT18" s="302" t="s">
        <v>510</v>
      </c>
      <c r="BU18" s="302" t="s">
        <v>511</v>
      </c>
      <c r="BV18" s="434">
        <v>0.01</v>
      </c>
      <c r="BW18" s="645">
        <f t="shared" si="8"/>
        <v>1</v>
      </c>
      <c r="BX18" s="434">
        <v>0.49</v>
      </c>
      <c r="BY18" s="302" t="s">
        <v>508</v>
      </c>
      <c r="BZ18" s="302" t="s">
        <v>509</v>
      </c>
      <c r="CA18" s="434">
        <v>0</v>
      </c>
      <c r="CB18" s="302" t="s">
        <v>510</v>
      </c>
      <c r="CC18" s="302" t="s">
        <v>511</v>
      </c>
      <c r="CD18" s="434">
        <v>0.01</v>
      </c>
      <c r="CE18" s="434">
        <f t="shared" si="9"/>
        <v>0.5</v>
      </c>
      <c r="CF18" s="1620" t="s">
        <v>862</v>
      </c>
      <c r="CG18" s="1620" t="s">
        <v>1166</v>
      </c>
      <c r="CH18" s="1620" t="s">
        <v>1166</v>
      </c>
      <c r="CI18" s="408" t="s">
        <v>862</v>
      </c>
      <c r="CJ18" s="642">
        <v>0.68799999999999994</v>
      </c>
      <c r="CK18" s="591" t="s">
        <v>922</v>
      </c>
      <c r="CL18" s="302" t="s">
        <v>1146</v>
      </c>
      <c r="CM18" s="302" t="s">
        <v>1147</v>
      </c>
      <c r="CN18" s="637">
        <v>0.59</v>
      </c>
      <c r="CO18" s="302" t="s">
        <v>510</v>
      </c>
      <c r="CP18" s="302" t="s">
        <v>511</v>
      </c>
      <c r="CQ18" s="637">
        <v>0.01</v>
      </c>
    </row>
    <row r="19" spans="1:95" ht="15.75" customHeight="1" x14ac:dyDescent="0.2">
      <c r="A19" s="433" t="s">
        <v>746</v>
      </c>
      <c r="B19" s="440" t="s">
        <v>745</v>
      </c>
      <c r="C19" s="637">
        <v>0.49</v>
      </c>
      <c r="D19" s="302" t="s">
        <v>508</v>
      </c>
      <c r="E19" s="302" t="s">
        <v>509</v>
      </c>
      <c r="F19" s="637">
        <v>0</v>
      </c>
      <c r="G19" s="302" t="s">
        <v>516</v>
      </c>
      <c r="H19" s="302" t="s">
        <v>517</v>
      </c>
      <c r="I19" s="637">
        <v>0.01</v>
      </c>
      <c r="J19" s="662">
        <f t="shared" si="10"/>
        <v>0.5</v>
      </c>
      <c r="K19" s="637">
        <v>0.49</v>
      </c>
      <c r="L19" s="302" t="s">
        <v>508</v>
      </c>
      <c r="M19" s="302" t="s">
        <v>509</v>
      </c>
      <c r="N19" s="637">
        <v>0</v>
      </c>
      <c r="O19" s="302" t="s">
        <v>516</v>
      </c>
      <c r="P19" s="302" t="s">
        <v>517</v>
      </c>
      <c r="Q19" s="637">
        <v>0.01</v>
      </c>
      <c r="R19" s="645">
        <f t="shared" si="11"/>
        <v>0.5</v>
      </c>
      <c r="S19" s="637">
        <v>0.49</v>
      </c>
      <c r="T19" s="302" t="s">
        <v>508</v>
      </c>
      <c r="U19" s="302" t="s">
        <v>509</v>
      </c>
      <c r="V19" s="637">
        <v>0</v>
      </c>
      <c r="W19" s="302" t="s">
        <v>516</v>
      </c>
      <c r="X19" s="302" t="s">
        <v>517</v>
      </c>
      <c r="Y19" s="637">
        <v>0.01</v>
      </c>
      <c r="Z19" s="645">
        <f t="shared" si="2"/>
        <v>0.5</v>
      </c>
      <c r="AA19" s="637">
        <v>0.49</v>
      </c>
      <c r="AB19" s="302" t="s">
        <v>508</v>
      </c>
      <c r="AC19" s="302" t="s">
        <v>509</v>
      </c>
      <c r="AD19" s="637">
        <v>0</v>
      </c>
      <c r="AE19" s="302" t="s">
        <v>516</v>
      </c>
      <c r="AF19" s="302" t="s">
        <v>517</v>
      </c>
      <c r="AG19" s="637">
        <v>0.01</v>
      </c>
      <c r="AH19" s="645">
        <f t="shared" si="3"/>
        <v>0.5</v>
      </c>
      <c r="AI19" s="637">
        <v>0.49</v>
      </c>
      <c r="AJ19" s="302" t="s">
        <v>508</v>
      </c>
      <c r="AK19" s="302" t="s">
        <v>509</v>
      </c>
      <c r="AL19" s="637">
        <v>0</v>
      </c>
      <c r="AM19" s="302" t="s">
        <v>516</v>
      </c>
      <c r="AN19" s="302" t="s">
        <v>517</v>
      </c>
      <c r="AO19" s="637">
        <v>0.01</v>
      </c>
      <c r="AP19" s="645">
        <f t="shared" si="4"/>
        <v>0.5</v>
      </c>
      <c r="AQ19" s="637">
        <v>0.49</v>
      </c>
      <c r="AR19" s="302" t="s">
        <v>508</v>
      </c>
      <c r="AS19" s="302" t="s">
        <v>509</v>
      </c>
      <c r="AT19" s="637">
        <v>0</v>
      </c>
      <c r="AU19" s="302" t="s">
        <v>516</v>
      </c>
      <c r="AV19" s="302" t="s">
        <v>517</v>
      </c>
      <c r="AW19" s="637">
        <v>0.01</v>
      </c>
      <c r="AX19" s="645">
        <f t="shared" si="5"/>
        <v>0.5</v>
      </c>
      <c r="AY19" s="637">
        <v>0.49</v>
      </c>
      <c r="AZ19" s="302" t="s">
        <v>508</v>
      </c>
      <c r="BA19" s="302" t="s">
        <v>509</v>
      </c>
      <c r="BB19" s="637">
        <v>0</v>
      </c>
      <c r="BC19" s="302" t="s">
        <v>516</v>
      </c>
      <c r="BD19" s="302" t="s">
        <v>517</v>
      </c>
      <c r="BE19" s="637">
        <v>0.01</v>
      </c>
      <c r="BF19" s="434">
        <f t="shared" si="12"/>
        <v>0.5</v>
      </c>
      <c r="BG19" s="587">
        <v>0.49</v>
      </c>
      <c r="BH19" s="302" t="s">
        <v>508</v>
      </c>
      <c r="BI19" s="302" t="s">
        <v>509</v>
      </c>
      <c r="BJ19" s="434">
        <v>0</v>
      </c>
      <c r="BK19" s="302" t="s">
        <v>516</v>
      </c>
      <c r="BL19" s="302" t="s">
        <v>517</v>
      </c>
      <c r="BM19" s="434">
        <v>0.01</v>
      </c>
      <c r="BN19" s="645">
        <f t="shared" si="13"/>
        <v>0.5</v>
      </c>
      <c r="BO19" s="434"/>
      <c r="BP19" s="434">
        <v>0.49</v>
      </c>
      <c r="BQ19" s="302" t="s">
        <v>508</v>
      </c>
      <c r="BR19" s="302" t="s">
        <v>509</v>
      </c>
      <c r="BS19" s="434">
        <v>0</v>
      </c>
      <c r="BT19" s="302" t="s">
        <v>516</v>
      </c>
      <c r="BU19" s="302" t="s">
        <v>517</v>
      </c>
      <c r="BV19" s="434">
        <v>0.01</v>
      </c>
      <c r="BW19" s="645">
        <f t="shared" si="8"/>
        <v>0.5</v>
      </c>
      <c r="BX19" s="434">
        <v>0.49</v>
      </c>
      <c r="BY19" s="302" t="s">
        <v>508</v>
      </c>
      <c r="BZ19" s="302" t="s">
        <v>509</v>
      </c>
      <c r="CA19" s="434">
        <v>0</v>
      </c>
      <c r="CB19" s="302" t="s">
        <v>516</v>
      </c>
      <c r="CC19" s="302" t="s">
        <v>517</v>
      </c>
      <c r="CD19" s="434">
        <v>0.01</v>
      </c>
      <c r="CE19" s="434">
        <f t="shared" si="9"/>
        <v>0.5</v>
      </c>
      <c r="CF19" s="1620" t="s">
        <v>1166</v>
      </c>
      <c r="CG19" s="1620" t="s">
        <v>1166</v>
      </c>
      <c r="CH19" s="1620" t="s">
        <v>1166</v>
      </c>
      <c r="CI19" s="408" t="s">
        <v>862</v>
      </c>
      <c r="CJ19" s="642">
        <v>0.69399999999999995</v>
      </c>
      <c r="CK19" s="591" t="s">
        <v>922</v>
      </c>
      <c r="CL19" s="302" t="s">
        <v>508</v>
      </c>
      <c r="CM19" s="302" t="s">
        <v>509</v>
      </c>
      <c r="CN19" s="637">
        <v>0</v>
      </c>
      <c r="CO19" s="302" t="s">
        <v>516</v>
      </c>
      <c r="CP19" s="302" t="s">
        <v>517</v>
      </c>
      <c r="CQ19" s="637">
        <v>0.01</v>
      </c>
    </row>
    <row r="20" spans="1:95" ht="15.75" customHeight="1" x14ac:dyDescent="0.2">
      <c r="A20" s="433" t="s">
        <v>748</v>
      </c>
      <c r="B20" s="302" t="s">
        <v>747</v>
      </c>
      <c r="C20" s="637">
        <v>0.3</v>
      </c>
      <c r="D20" s="302" t="s">
        <v>674</v>
      </c>
      <c r="E20" s="302" t="s">
        <v>675</v>
      </c>
      <c r="F20" s="637">
        <v>0.37</v>
      </c>
      <c r="G20" s="302" t="s">
        <v>508</v>
      </c>
      <c r="H20" s="302" t="s">
        <v>508</v>
      </c>
      <c r="I20" s="637">
        <v>0</v>
      </c>
      <c r="J20" s="662">
        <f t="shared" si="10"/>
        <v>0.66999999999999993</v>
      </c>
      <c r="K20" s="637">
        <v>0.3</v>
      </c>
      <c r="L20" s="302" t="s">
        <v>674</v>
      </c>
      <c r="M20" s="302" t="s">
        <v>675</v>
      </c>
      <c r="N20" s="637">
        <v>0.37</v>
      </c>
      <c r="O20" s="302" t="s">
        <v>508</v>
      </c>
      <c r="P20" s="302" t="s">
        <v>508</v>
      </c>
      <c r="Q20" s="637">
        <v>0</v>
      </c>
      <c r="R20" s="645">
        <f t="shared" si="11"/>
        <v>0.66999999999999993</v>
      </c>
      <c r="S20" s="637">
        <v>0.3</v>
      </c>
      <c r="T20" s="302" t="s">
        <v>674</v>
      </c>
      <c r="U20" s="302" t="s">
        <v>675</v>
      </c>
      <c r="V20" s="637">
        <v>0.37</v>
      </c>
      <c r="W20" s="302" t="s">
        <v>508</v>
      </c>
      <c r="X20" s="302" t="s">
        <v>508</v>
      </c>
      <c r="Y20" s="637">
        <v>0</v>
      </c>
      <c r="Z20" s="645">
        <f t="shared" si="2"/>
        <v>0.66999999999999993</v>
      </c>
      <c r="AA20" s="637">
        <v>0.3</v>
      </c>
      <c r="AB20" s="302" t="s">
        <v>674</v>
      </c>
      <c r="AC20" s="302" t="s">
        <v>675</v>
      </c>
      <c r="AD20" s="637">
        <v>0.37</v>
      </c>
      <c r="AE20" s="302" t="s">
        <v>508</v>
      </c>
      <c r="AF20" s="302" t="s">
        <v>508</v>
      </c>
      <c r="AG20" s="637">
        <v>0</v>
      </c>
      <c r="AH20" s="645">
        <f t="shared" si="3"/>
        <v>0.66999999999999993</v>
      </c>
      <c r="AI20" s="637">
        <v>0.3</v>
      </c>
      <c r="AJ20" s="302" t="s">
        <v>674</v>
      </c>
      <c r="AK20" s="302" t="s">
        <v>675</v>
      </c>
      <c r="AL20" s="637">
        <v>0.37</v>
      </c>
      <c r="AM20" s="302" t="s">
        <v>508</v>
      </c>
      <c r="AN20" s="302" t="s">
        <v>508</v>
      </c>
      <c r="AO20" s="637">
        <v>0</v>
      </c>
      <c r="AP20" s="645">
        <f t="shared" si="4"/>
        <v>0.66999999999999993</v>
      </c>
      <c r="AQ20" s="637">
        <v>0.3</v>
      </c>
      <c r="AR20" s="302" t="s">
        <v>674</v>
      </c>
      <c r="AS20" s="302" t="s">
        <v>675</v>
      </c>
      <c r="AT20" s="637">
        <v>0.37</v>
      </c>
      <c r="AU20" s="302" t="s">
        <v>508</v>
      </c>
      <c r="AV20" s="302" t="s">
        <v>508</v>
      </c>
      <c r="AW20" s="637">
        <v>0</v>
      </c>
      <c r="AX20" s="645">
        <f t="shared" si="5"/>
        <v>0.66999999999999993</v>
      </c>
      <c r="AY20" s="637">
        <v>0.48</v>
      </c>
      <c r="AZ20" s="302" t="s">
        <v>674</v>
      </c>
      <c r="BA20" s="302" t="s">
        <v>675</v>
      </c>
      <c r="BB20" s="637">
        <v>0.27</v>
      </c>
      <c r="BC20" s="302" t="s">
        <v>508</v>
      </c>
      <c r="BD20" s="302" t="s">
        <v>508</v>
      </c>
      <c r="BE20" s="637">
        <v>0</v>
      </c>
      <c r="BF20" s="434">
        <f t="shared" si="12"/>
        <v>0.75</v>
      </c>
      <c r="BG20" s="587">
        <v>0.64</v>
      </c>
      <c r="BH20" s="302" t="s">
        <v>674</v>
      </c>
      <c r="BI20" s="302" t="s">
        <v>675</v>
      </c>
      <c r="BJ20" s="434">
        <v>0.36</v>
      </c>
      <c r="BK20" s="302" t="s">
        <v>508</v>
      </c>
      <c r="BL20" s="302" t="s">
        <v>508</v>
      </c>
      <c r="BM20" s="434">
        <v>0</v>
      </c>
      <c r="BN20" s="645">
        <f t="shared" si="13"/>
        <v>1</v>
      </c>
      <c r="BO20" s="434"/>
      <c r="BP20" s="434">
        <v>0.3</v>
      </c>
      <c r="BQ20" s="302" t="s">
        <v>674</v>
      </c>
      <c r="BR20" s="302" t="s">
        <v>675</v>
      </c>
      <c r="BS20" s="434">
        <v>0.37</v>
      </c>
      <c r="BT20" s="302" t="s">
        <v>508</v>
      </c>
      <c r="BU20" s="302" t="s">
        <v>508</v>
      </c>
      <c r="BV20" s="434">
        <v>0</v>
      </c>
      <c r="BW20" s="645">
        <f t="shared" si="8"/>
        <v>0.66999999999999993</v>
      </c>
      <c r="BX20" s="434">
        <v>0.3</v>
      </c>
      <c r="BY20" s="302" t="s">
        <v>674</v>
      </c>
      <c r="BZ20" s="302" t="s">
        <v>675</v>
      </c>
      <c r="CA20" s="434">
        <v>0.2</v>
      </c>
      <c r="CB20" s="302" t="s">
        <v>508</v>
      </c>
      <c r="CC20" s="302" t="s">
        <v>508</v>
      </c>
      <c r="CD20" s="434">
        <v>0</v>
      </c>
      <c r="CE20" s="434">
        <f t="shared" si="9"/>
        <v>0.5</v>
      </c>
      <c r="CF20" s="1620" t="s">
        <v>1166</v>
      </c>
      <c r="CG20" s="1620" t="s">
        <v>1166</v>
      </c>
      <c r="CH20" s="1620" t="s">
        <v>1166</v>
      </c>
      <c r="CI20" s="408" t="s">
        <v>862</v>
      </c>
      <c r="CJ20" s="642">
        <v>0.69599999999999995</v>
      </c>
      <c r="CK20" s="591" t="s">
        <v>922</v>
      </c>
      <c r="CL20" s="302" t="s">
        <v>674</v>
      </c>
      <c r="CM20" s="302" t="s">
        <v>675</v>
      </c>
      <c r="CN20" s="637">
        <v>0.2</v>
      </c>
      <c r="CO20" s="302" t="s">
        <v>508</v>
      </c>
      <c r="CP20" s="302" t="s">
        <v>508</v>
      </c>
      <c r="CQ20" s="637">
        <v>0</v>
      </c>
    </row>
    <row r="21" spans="1:95" ht="15" x14ac:dyDescent="0.2">
      <c r="A21" s="433" t="s">
        <v>750</v>
      </c>
      <c r="B21" s="707" t="s">
        <v>749</v>
      </c>
      <c r="C21" s="637">
        <v>0.99</v>
      </c>
      <c r="D21" s="302" t="s">
        <v>508</v>
      </c>
      <c r="E21" s="302" t="s">
        <v>660</v>
      </c>
      <c r="F21" s="637">
        <v>0</v>
      </c>
      <c r="G21" s="302" t="s">
        <v>669</v>
      </c>
      <c r="H21" s="302" t="s">
        <v>670</v>
      </c>
      <c r="I21" s="637">
        <v>0.01</v>
      </c>
      <c r="J21" s="662">
        <f t="shared" si="10"/>
        <v>1</v>
      </c>
      <c r="K21" s="637">
        <v>0.99</v>
      </c>
      <c r="L21" s="302" t="s">
        <v>508</v>
      </c>
      <c r="M21" s="302" t="s">
        <v>660</v>
      </c>
      <c r="N21" s="637">
        <v>0</v>
      </c>
      <c r="O21" s="302" t="s">
        <v>669</v>
      </c>
      <c r="P21" s="302" t="s">
        <v>670</v>
      </c>
      <c r="Q21" s="637">
        <v>0.01</v>
      </c>
      <c r="R21" s="645">
        <f t="shared" si="11"/>
        <v>1</v>
      </c>
      <c r="S21" s="637">
        <v>0.99</v>
      </c>
      <c r="T21" s="302" t="s">
        <v>508</v>
      </c>
      <c r="U21" s="302" t="s">
        <v>660</v>
      </c>
      <c r="V21" s="637">
        <v>0</v>
      </c>
      <c r="W21" s="302" t="s">
        <v>669</v>
      </c>
      <c r="X21" s="302" t="s">
        <v>670</v>
      </c>
      <c r="Y21" s="637">
        <v>0.01</v>
      </c>
      <c r="Z21" s="645">
        <f t="shared" si="2"/>
        <v>1</v>
      </c>
      <c r="AA21" s="637">
        <v>0.99</v>
      </c>
      <c r="AB21" s="302" t="s">
        <v>508</v>
      </c>
      <c r="AC21" s="302" t="s">
        <v>660</v>
      </c>
      <c r="AD21" s="637">
        <v>0</v>
      </c>
      <c r="AE21" s="302" t="s">
        <v>669</v>
      </c>
      <c r="AF21" s="302" t="s">
        <v>670</v>
      </c>
      <c r="AG21" s="637">
        <v>0.01</v>
      </c>
      <c r="AH21" s="645">
        <f t="shared" si="3"/>
        <v>1</v>
      </c>
      <c r="AI21" s="637">
        <v>0.99</v>
      </c>
      <c r="AJ21" s="302" t="s">
        <v>508</v>
      </c>
      <c r="AK21" s="302" t="s">
        <v>660</v>
      </c>
      <c r="AL21" s="637">
        <v>0</v>
      </c>
      <c r="AM21" s="302" t="s">
        <v>669</v>
      </c>
      <c r="AN21" s="302" t="s">
        <v>670</v>
      </c>
      <c r="AO21" s="637">
        <v>0.01</v>
      </c>
      <c r="AP21" s="645">
        <f t="shared" ref="AP21:AP61" si="14">+AI21+AL21+AO21</f>
        <v>1</v>
      </c>
      <c r="AQ21" s="637">
        <v>0.99</v>
      </c>
      <c r="AR21" s="302" t="s">
        <v>508</v>
      </c>
      <c r="AS21" s="302" t="s">
        <v>660</v>
      </c>
      <c r="AT21" s="637">
        <v>0</v>
      </c>
      <c r="AU21" s="302" t="s">
        <v>669</v>
      </c>
      <c r="AV21" s="302" t="s">
        <v>670</v>
      </c>
      <c r="AW21" s="637">
        <v>0.01</v>
      </c>
      <c r="AX21" s="645">
        <f t="shared" ref="AX21:AX61" si="15">+AQ21+AT21+AW21</f>
        <v>1</v>
      </c>
      <c r="AY21" s="637">
        <v>0.99</v>
      </c>
      <c r="AZ21" s="302" t="s">
        <v>508</v>
      </c>
      <c r="BA21" s="302" t="s">
        <v>660</v>
      </c>
      <c r="BB21" s="637">
        <v>0</v>
      </c>
      <c r="BC21" s="302" t="s">
        <v>669</v>
      </c>
      <c r="BD21" s="302" t="s">
        <v>670</v>
      </c>
      <c r="BE21" s="637">
        <v>0.01</v>
      </c>
      <c r="BF21" s="434">
        <f t="shared" si="12"/>
        <v>1</v>
      </c>
      <c r="BG21" s="587">
        <v>0.99</v>
      </c>
      <c r="BH21" s="302" t="s">
        <v>508</v>
      </c>
      <c r="BI21" s="302" t="s">
        <v>660</v>
      </c>
      <c r="BJ21" s="434">
        <v>0</v>
      </c>
      <c r="BK21" s="302" t="s">
        <v>669</v>
      </c>
      <c r="BL21" s="302" t="s">
        <v>670</v>
      </c>
      <c r="BM21" s="434">
        <v>0.01</v>
      </c>
      <c r="BN21" s="645">
        <f t="shared" si="13"/>
        <v>1</v>
      </c>
      <c r="BO21" s="434"/>
      <c r="BP21" s="434">
        <v>0.99</v>
      </c>
      <c r="BQ21" s="302" t="s">
        <v>508</v>
      </c>
      <c r="BR21" s="302" t="s">
        <v>660</v>
      </c>
      <c r="BS21" s="434">
        <v>0</v>
      </c>
      <c r="BT21" s="302" t="s">
        <v>669</v>
      </c>
      <c r="BU21" s="302" t="s">
        <v>670</v>
      </c>
      <c r="BV21" s="434">
        <v>0.01</v>
      </c>
      <c r="BW21" s="645">
        <f t="shared" ref="BW21:BW61" si="16">+BP21+BS21+BV21</f>
        <v>1</v>
      </c>
      <c r="BX21" s="434">
        <v>0.49</v>
      </c>
      <c r="BY21" s="302" t="s">
        <v>508</v>
      </c>
      <c r="BZ21" s="302" t="s">
        <v>660</v>
      </c>
      <c r="CA21" s="434">
        <v>0</v>
      </c>
      <c r="CB21" s="302" t="s">
        <v>669</v>
      </c>
      <c r="CC21" s="302" t="s">
        <v>670</v>
      </c>
      <c r="CD21" s="434">
        <v>0.01</v>
      </c>
      <c r="CE21" s="434">
        <f t="shared" ref="CE21:CE61" si="17">+BX21+CA21+CD21</f>
        <v>0.5</v>
      </c>
      <c r="CF21" s="1620" t="s">
        <v>862</v>
      </c>
      <c r="CG21" s="1620" t="s">
        <v>1166</v>
      </c>
      <c r="CH21" s="1620" t="s">
        <v>862</v>
      </c>
      <c r="CI21" s="408" t="s">
        <v>862</v>
      </c>
      <c r="CJ21" s="642">
        <v>0.67600000000000005</v>
      </c>
      <c r="CK21" s="591" t="s">
        <v>922</v>
      </c>
      <c r="CL21" s="302" t="s">
        <v>508</v>
      </c>
      <c r="CM21" s="302" t="s">
        <v>660</v>
      </c>
      <c r="CN21" s="637">
        <v>0</v>
      </c>
      <c r="CO21" s="302" t="s">
        <v>669</v>
      </c>
      <c r="CP21" s="302" t="s">
        <v>670</v>
      </c>
      <c r="CQ21" s="637">
        <v>0.01</v>
      </c>
    </row>
    <row r="22" spans="1:95" ht="15.75" customHeight="1" x14ac:dyDescent="0.2">
      <c r="A22" s="433" t="s">
        <v>752</v>
      </c>
      <c r="B22" s="302" t="s">
        <v>751</v>
      </c>
      <c r="C22" s="637">
        <v>0.4</v>
      </c>
      <c r="D22" s="302" t="s">
        <v>615</v>
      </c>
      <c r="E22" s="302" t="s">
        <v>616</v>
      </c>
      <c r="F22" s="637">
        <v>0.09</v>
      </c>
      <c r="G22" s="302" t="s">
        <v>612</v>
      </c>
      <c r="H22" s="302" t="s">
        <v>613</v>
      </c>
      <c r="I22" s="637">
        <v>0.01</v>
      </c>
      <c r="J22" s="662">
        <f t="shared" si="10"/>
        <v>0.5</v>
      </c>
      <c r="K22" s="637">
        <v>0.4</v>
      </c>
      <c r="L22" s="302" t="s">
        <v>615</v>
      </c>
      <c r="M22" s="302" t="s">
        <v>616</v>
      </c>
      <c r="N22" s="637">
        <v>0.09</v>
      </c>
      <c r="O22" s="302" t="s">
        <v>612</v>
      </c>
      <c r="P22" s="302" t="s">
        <v>613</v>
      </c>
      <c r="Q22" s="637">
        <v>0.01</v>
      </c>
      <c r="R22" s="645">
        <f t="shared" si="11"/>
        <v>0.5</v>
      </c>
      <c r="S22" s="637">
        <v>0.4</v>
      </c>
      <c r="T22" s="302" t="s">
        <v>615</v>
      </c>
      <c r="U22" s="302" t="s">
        <v>616</v>
      </c>
      <c r="V22" s="637">
        <v>0.09</v>
      </c>
      <c r="W22" s="302" t="s">
        <v>612</v>
      </c>
      <c r="X22" s="302" t="s">
        <v>613</v>
      </c>
      <c r="Y22" s="637">
        <v>0.01</v>
      </c>
      <c r="Z22" s="645">
        <f t="shared" si="2"/>
        <v>0.5</v>
      </c>
      <c r="AA22" s="637">
        <v>0.4</v>
      </c>
      <c r="AB22" s="302" t="s">
        <v>615</v>
      </c>
      <c r="AC22" s="302" t="s">
        <v>616</v>
      </c>
      <c r="AD22" s="637">
        <v>0.09</v>
      </c>
      <c r="AE22" s="302" t="s">
        <v>612</v>
      </c>
      <c r="AF22" s="302" t="s">
        <v>613</v>
      </c>
      <c r="AG22" s="637">
        <v>0.01</v>
      </c>
      <c r="AH22" s="645">
        <f t="shared" si="3"/>
        <v>0.5</v>
      </c>
      <c r="AI22" s="637">
        <v>0.4</v>
      </c>
      <c r="AJ22" s="302" t="s">
        <v>615</v>
      </c>
      <c r="AK22" s="302" t="s">
        <v>616</v>
      </c>
      <c r="AL22" s="637">
        <v>0.09</v>
      </c>
      <c r="AM22" s="302" t="s">
        <v>612</v>
      </c>
      <c r="AN22" s="302" t="s">
        <v>613</v>
      </c>
      <c r="AO22" s="637">
        <v>0.01</v>
      </c>
      <c r="AP22" s="645">
        <f t="shared" si="14"/>
        <v>0.5</v>
      </c>
      <c r="AQ22" s="637">
        <v>0.4</v>
      </c>
      <c r="AR22" s="302" t="s">
        <v>615</v>
      </c>
      <c r="AS22" s="302" t="s">
        <v>616</v>
      </c>
      <c r="AT22" s="637">
        <v>0.09</v>
      </c>
      <c r="AU22" s="302" t="s">
        <v>612</v>
      </c>
      <c r="AV22" s="302" t="s">
        <v>613</v>
      </c>
      <c r="AW22" s="637">
        <v>0.01</v>
      </c>
      <c r="AX22" s="645">
        <f t="shared" si="15"/>
        <v>0.5</v>
      </c>
      <c r="AY22" s="637">
        <v>0.375</v>
      </c>
      <c r="AZ22" s="302" t="s">
        <v>615</v>
      </c>
      <c r="BA22" s="302" t="s">
        <v>616</v>
      </c>
      <c r="BB22" s="637">
        <v>0.36499999999999999</v>
      </c>
      <c r="BC22" s="302" t="s">
        <v>612</v>
      </c>
      <c r="BD22" s="302" t="s">
        <v>613</v>
      </c>
      <c r="BE22" s="637">
        <v>0.01</v>
      </c>
      <c r="BF22" s="434">
        <f t="shared" si="12"/>
        <v>0.75</v>
      </c>
      <c r="BG22" s="587">
        <v>0.4</v>
      </c>
      <c r="BH22" s="302" t="s">
        <v>615</v>
      </c>
      <c r="BI22" s="302" t="s">
        <v>616</v>
      </c>
      <c r="BJ22" s="434">
        <v>0.09</v>
      </c>
      <c r="BK22" s="302" t="s">
        <v>612</v>
      </c>
      <c r="BL22" s="302" t="s">
        <v>613</v>
      </c>
      <c r="BM22" s="434">
        <v>0.01</v>
      </c>
      <c r="BN22" s="645">
        <f t="shared" si="13"/>
        <v>0.5</v>
      </c>
      <c r="BO22" s="434"/>
      <c r="BP22" s="434">
        <v>0.4</v>
      </c>
      <c r="BQ22" s="302" t="s">
        <v>615</v>
      </c>
      <c r="BR22" s="302" t="s">
        <v>616</v>
      </c>
      <c r="BS22" s="434">
        <v>0.09</v>
      </c>
      <c r="BT22" s="302" t="s">
        <v>612</v>
      </c>
      <c r="BU22" s="302" t="s">
        <v>613</v>
      </c>
      <c r="BV22" s="434">
        <v>0.01</v>
      </c>
      <c r="BW22" s="645">
        <f t="shared" si="16"/>
        <v>0.5</v>
      </c>
      <c r="BX22" s="434">
        <v>0.4</v>
      </c>
      <c r="BY22" s="302" t="s">
        <v>615</v>
      </c>
      <c r="BZ22" s="302" t="s">
        <v>616</v>
      </c>
      <c r="CA22" s="434">
        <v>0.09</v>
      </c>
      <c r="CB22" s="302" t="s">
        <v>612</v>
      </c>
      <c r="CC22" s="302" t="s">
        <v>613</v>
      </c>
      <c r="CD22" s="434">
        <v>0.01</v>
      </c>
      <c r="CE22" s="434">
        <f t="shared" si="17"/>
        <v>0.5</v>
      </c>
      <c r="CF22" s="1620" t="s">
        <v>1166</v>
      </c>
      <c r="CG22" s="1620" t="s">
        <v>1166</v>
      </c>
      <c r="CH22" s="1620" t="s">
        <v>1166</v>
      </c>
      <c r="CI22" s="406"/>
      <c r="CJ22" s="642">
        <v>0.68700000000000006</v>
      </c>
      <c r="CK22" s="591" t="s">
        <v>922</v>
      </c>
      <c r="CL22" s="302" t="s">
        <v>615</v>
      </c>
      <c r="CM22" s="302" t="s">
        <v>616</v>
      </c>
      <c r="CN22" s="637">
        <v>0.59</v>
      </c>
      <c r="CO22" s="302" t="s">
        <v>612</v>
      </c>
      <c r="CP22" s="302" t="s">
        <v>613</v>
      </c>
      <c r="CQ22" s="637">
        <v>0.01</v>
      </c>
    </row>
    <row r="23" spans="1:95" ht="15.75" customHeight="1" x14ac:dyDescent="0.2">
      <c r="A23" s="433" t="s">
        <v>754</v>
      </c>
      <c r="B23" s="302" t="s">
        <v>605</v>
      </c>
      <c r="C23" s="637">
        <v>0.49</v>
      </c>
      <c r="D23" s="302" t="s">
        <v>508</v>
      </c>
      <c r="E23" s="302" t="s">
        <v>509</v>
      </c>
      <c r="F23" s="637">
        <v>0</v>
      </c>
      <c r="G23" s="302" t="s">
        <v>606</v>
      </c>
      <c r="H23" s="302" t="s">
        <v>607</v>
      </c>
      <c r="I23" s="637">
        <v>0.01</v>
      </c>
      <c r="J23" s="662">
        <f t="shared" si="10"/>
        <v>0.5</v>
      </c>
      <c r="K23" s="637">
        <v>0.49</v>
      </c>
      <c r="L23" s="302" t="s">
        <v>508</v>
      </c>
      <c r="M23" s="302" t="s">
        <v>509</v>
      </c>
      <c r="N23" s="637">
        <v>0</v>
      </c>
      <c r="O23" s="302" t="s">
        <v>606</v>
      </c>
      <c r="P23" s="302" t="s">
        <v>607</v>
      </c>
      <c r="Q23" s="637">
        <v>0.01</v>
      </c>
      <c r="R23" s="645">
        <f t="shared" si="11"/>
        <v>0.5</v>
      </c>
      <c r="S23" s="637">
        <v>0.49</v>
      </c>
      <c r="T23" s="302" t="s">
        <v>508</v>
      </c>
      <c r="U23" s="302" t="s">
        <v>509</v>
      </c>
      <c r="V23" s="637">
        <v>0</v>
      </c>
      <c r="W23" s="302" t="s">
        <v>606</v>
      </c>
      <c r="X23" s="302" t="s">
        <v>607</v>
      </c>
      <c r="Y23" s="637">
        <v>0.01</v>
      </c>
      <c r="Z23" s="645">
        <f t="shared" si="2"/>
        <v>0.5</v>
      </c>
      <c r="AA23" s="637">
        <v>0.49</v>
      </c>
      <c r="AB23" s="302" t="s">
        <v>508</v>
      </c>
      <c r="AC23" s="302" t="s">
        <v>509</v>
      </c>
      <c r="AD23" s="637">
        <v>0</v>
      </c>
      <c r="AE23" s="302" t="s">
        <v>606</v>
      </c>
      <c r="AF23" s="302" t="s">
        <v>607</v>
      </c>
      <c r="AG23" s="637">
        <v>0.01</v>
      </c>
      <c r="AH23" s="645">
        <f t="shared" si="3"/>
        <v>0.5</v>
      </c>
      <c r="AI23" s="637">
        <v>0.49</v>
      </c>
      <c r="AJ23" s="302" t="s">
        <v>508</v>
      </c>
      <c r="AK23" s="302" t="s">
        <v>509</v>
      </c>
      <c r="AL23" s="637">
        <v>0</v>
      </c>
      <c r="AM23" s="302" t="s">
        <v>606</v>
      </c>
      <c r="AN23" s="302" t="s">
        <v>607</v>
      </c>
      <c r="AO23" s="637">
        <v>0.01</v>
      </c>
      <c r="AP23" s="645">
        <f t="shared" si="14"/>
        <v>0.5</v>
      </c>
      <c r="AQ23" s="637">
        <v>0.49</v>
      </c>
      <c r="AR23" s="302" t="s">
        <v>508</v>
      </c>
      <c r="AS23" s="302" t="s">
        <v>509</v>
      </c>
      <c r="AT23" s="637">
        <v>0</v>
      </c>
      <c r="AU23" s="302" t="s">
        <v>606</v>
      </c>
      <c r="AV23" s="302" t="s">
        <v>607</v>
      </c>
      <c r="AW23" s="637">
        <v>0.01</v>
      </c>
      <c r="AX23" s="645">
        <f t="shared" si="15"/>
        <v>0.5</v>
      </c>
      <c r="AY23" s="637">
        <v>0.73499999999999999</v>
      </c>
      <c r="AZ23" s="302" t="s">
        <v>508</v>
      </c>
      <c r="BA23" s="302" t="s">
        <v>509</v>
      </c>
      <c r="BB23" s="637">
        <v>0</v>
      </c>
      <c r="BC23" s="302" t="s">
        <v>606</v>
      </c>
      <c r="BD23" s="302" t="s">
        <v>607</v>
      </c>
      <c r="BE23" s="637">
        <v>1.4999999999999999E-2</v>
      </c>
      <c r="BF23" s="434">
        <f t="shared" si="12"/>
        <v>0.75</v>
      </c>
      <c r="BG23" s="587">
        <v>0.49</v>
      </c>
      <c r="BH23" s="302" t="s">
        <v>508</v>
      </c>
      <c r="BI23" s="302" t="s">
        <v>509</v>
      </c>
      <c r="BJ23" s="434">
        <v>0</v>
      </c>
      <c r="BK23" s="302" t="s">
        <v>606</v>
      </c>
      <c r="BL23" s="302" t="s">
        <v>607</v>
      </c>
      <c r="BM23" s="434">
        <v>0.01</v>
      </c>
      <c r="BN23" s="645">
        <f t="shared" si="13"/>
        <v>0.5</v>
      </c>
      <c r="BO23" s="434"/>
      <c r="BP23" s="434">
        <v>0.49</v>
      </c>
      <c r="BQ23" s="302" t="s">
        <v>508</v>
      </c>
      <c r="BR23" s="302" t="s">
        <v>509</v>
      </c>
      <c r="BS23" s="434">
        <v>0</v>
      </c>
      <c r="BT23" s="302" t="s">
        <v>606</v>
      </c>
      <c r="BU23" s="302" t="s">
        <v>607</v>
      </c>
      <c r="BV23" s="434">
        <v>0.01</v>
      </c>
      <c r="BW23" s="645">
        <f t="shared" si="16"/>
        <v>0.5</v>
      </c>
      <c r="BX23" s="434">
        <v>0.49</v>
      </c>
      <c r="BY23" s="302" t="s">
        <v>508</v>
      </c>
      <c r="BZ23" s="302" t="s">
        <v>509</v>
      </c>
      <c r="CA23" s="434">
        <v>0</v>
      </c>
      <c r="CB23" s="302" t="s">
        <v>606</v>
      </c>
      <c r="CC23" s="302" t="s">
        <v>607</v>
      </c>
      <c r="CD23" s="434">
        <v>0.01</v>
      </c>
      <c r="CE23" s="434">
        <f t="shared" si="17"/>
        <v>0.5</v>
      </c>
      <c r="CF23" s="1620" t="s">
        <v>1166</v>
      </c>
      <c r="CG23" s="1620" t="s">
        <v>1166</v>
      </c>
      <c r="CH23" s="1620" t="s">
        <v>1166</v>
      </c>
      <c r="CI23" s="408" t="s">
        <v>862</v>
      </c>
      <c r="CJ23" s="642">
        <v>0.629</v>
      </c>
      <c r="CK23" s="591" t="s">
        <v>862</v>
      </c>
      <c r="CL23" s="302" t="s">
        <v>508</v>
      </c>
      <c r="CM23" s="302" t="s">
        <v>509</v>
      </c>
      <c r="CN23" s="637">
        <v>0</v>
      </c>
      <c r="CO23" s="302" t="s">
        <v>606</v>
      </c>
      <c r="CP23" s="302" t="s">
        <v>607</v>
      </c>
      <c r="CQ23" s="637">
        <v>0.01</v>
      </c>
    </row>
    <row r="24" spans="1:95" ht="15.75" customHeight="1" x14ac:dyDescent="0.2">
      <c r="A24" s="433" t="s">
        <v>756</v>
      </c>
      <c r="B24" s="707" t="s">
        <v>608</v>
      </c>
      <c r="C24" s="637">
        <v>0.49</v>
      </c>
      <c r="D24" s="302" t="s">
        <v>508</v>
      </c>
      <c r="E24" s="302" t="s">
        <v>509</v>
      </c>
      <c r="F24" s="637">
        <v>0</v>
      </c>
      <c r="G24" s="302" t="s">
        <v>606</v>
      </c>
      <c r="H24" s="302" t="s">
        <v>607</v>
      </c>
      <c r="I24" s="637">
        <v>0.01</v>
      </c>
      <c r="J24" s="662">
        <f t="shared" si="10"/>
        <v>0.5</v>
      </c>
      <c r="K24" s="637">
        <v>0.49</v>
      </c>
      <c r="L24" s="302" t="s">
        <v>508</v>
      </c>
      <c r="M24" s="302" t="s">
        <v>509</v>
      </c>
      <c r="N24" s="637">
        <v>0</v>
      </c>
      <c r="O24" s="302" t="s">
        <v>606</v>
      </c>
      <c r="P24" s="302" t="s">
        <v>607</v>
      </c>
      <c r="Q24" s="637">
        <v>0.01</v>
      </c>
      <c r="R24" s="645">
        <f t="shared" si="11"/>
        <v>0.5</v>
      </c>
      <c r="S24" s="637">
        <v>0.49</v>
      </c>
      <c r="T24" s="302" t="s">
        <v>508</v>
      </c>
      <c r="U24" s="302" t="s">
        <v>509</v>
      </c>
      <c r="V24" s="637">
        <v>0</v>
      </c>
      <c r="W24" s="302" t="s">
        <v>606</v>
      </c>
      <c r="X24" s="302" t="s">
        <v>607</v>
      </c>
      <c r="Y24" s="637">
        <v>0.01</v>
      </c>
      <c r="Z24" s="645">
        <f t="shared" si="2"/>
        <v>0.5</v>
      </c>
      <c r="AA24" s="637">
        <v>0.49</v>
      </c>
      <c r="AB24" s="302" t="s">
        <v>508</v>
      </c>
      <c r="AC24" s="302" t="s">
        <v>509</v>
      </c>
      <c r="AD24" s="637">
        <v>0</v>
      </c>
      <c r="AE24" s="302" t="s">
        <v>606</v>
      </c>
      <c r="AF24" s="302" t="s">
        <v>607</v>
      </c>
      <c r="AG24" s="637">
        <v>0.01</v>
      </c>
      <c r="AH24" s="645">
        <f t="shared" ref="AH24:AH67" si="18">+AA24+AD24+AG24</f>
        <v>0.5</v>
      </c>
      <c r="AI24" s="637">
        <v>0.49</v>
      </c>
      <c r="AJ24" s="302" t="s">
        <v>508</v>
      </c>
      <c r="AK24" s="302" t="s">
        <v>509</v>
      </c>
      <c r="AL24" s="637">
        <v>0</v>
      </c>
      <c r="AM24" s="302" t="s">
        <v>606</v>
      </c>
      <c r="AN24" s="302" t="s">
        <v>607</v>
      </c>
      <c r="AO24" s="637">
        <v>0.01</v>
      </c>
      <c r="AP24" s="645">
        <f t="shared" si="14"/>
        <v>0.5</v>
      </c>
      <c r="AQ24" s="637">
        <v>0.49</v>
      </c>
      <c r="AR24" s="302" t="s">
        <v>508</v>
      </c>
      <c r="AS24" s="302" t="s">
        <v>509</v>
      </c>
      <c r="AT24" s="637">
        <v>0</v>
      </c>
      <c r="AU24" s="302" t="s">
        <v>606</v>
      </c>
      <c r="AV24" s="302" t="s">
        <v>607</v>
      </c>
      <c r="AW24" s="637">
        <v>0.01</v>
      </c>
      <c r="AX24" s="645">
        <f t="shared" si="15"/>
        <v>0.5</v>
      </c>
      <c r="AY24" s="637">
        <v>0.73499999999999999</v>
      </c>
      <c r="AZ24" s="302" t="s">
        <v>508</v>
      </c>
      <c r="BA24" s="302" t="s">
        <v>509</v>
      </c>
      <c r="BB24" s="637">
        <v>0</v>
      </c>
      <c r="BC24" s="302" t="s">
        <v>606</v>
      </c>
      <c r="BD24" s="302" t="s">
        <v>607</v>
      </c>
      <c r="BE24" s="637">
        <v>1.4999999999999999E-2</v>
      </c>
      <c r="BF24" s="434">
        <f t="shared" si="12"/>
        <v>0.75</v>
      </c>
      <c r="BG24" s="587">
        <v>0.49</v>
      </c>
      <c r="BH24" s="302" t="s">
        <v>508</v>
      </c>
      <c r="BI24" s="302" t="s">
        <v>509</v>
      </c>
      <c r="BJ24" s="434">
        <v>0</v>
      </c>
      <c r="BK24" s="302" t="s">
        <v>606</v>
      </c>
      <c r="BL24" s="302" t="s">
        <v>607</v>
      </c>
      <c r="BM24" s="434">
        <v>0.01</v>
      </c>
      <c r="BN24" s="645">
        <f t="shared" si="13"/>
        <v>0.5</v>
      </c>
      <c r="BO24" s="434"/>
      <c r="BP24" s="434">
        <v>0.49</v>
      </c>
      <c r="BQ24" s="302" t="s">
        <v>508</v>
      </c>
      <c r="BR24" s="302" t="s">
        <v>509</v>
      </c>
      <c r="BS24" s="434">
        <v>0</v>
      </c>
      <c r="BT24" s="302" t="s">
        <v>606</v>
      </c>
      <c r="BU24" s="302" t="s">
        <v>607</v>
      </c>
      <c r="BV24" s="434">
        <v>0.01</v>
      </c>
      <c r="BW24" s="645">
        <f t="shared" si="16"/>
        <v>0.5</v>
      </c>
      <c r="BX24" s="434">
        <v>0.49</v>
      </c>
      <c r="BY24" s="302" t="s">
        <v>508</v>
      </c>
      <c r="BZ24" s="302" t="s">
        <v>509</v>
      </c>
      <c r="CA24" s="434">
        <v>0</v>
      </c>
      <c r="CB24" s="302" t="s">
        <v>606</v>
      </c>
      <c r="CC24" s="302" t="s">
        <v>607</v>
      </c>
      <c r="CD24" s="434">
        <v>0.01</v>
      </c>
      <c r="CE24" s="434">
        <f t="shared" si="17"/>
        <v>0.5</v>
      </c>
      <c r="CF24" s="1620" t="s">
        <v>862</v>
      </c>
      <c r="CG24" s="1620" t="s">
        <v>1166</v>
      </c>
      <c r="CH24" s="1620" t="s">
        <v>1166</v>
      </c>
      <c r="CI24" s="408" t="s">
        <v>862</v>
      </c>
      <c r="CJ24" s="642">
        <v>0.64</v>
      </c>
      <c r="CK24" s="591" t="s">
        <v>862</v>
      </c>
      <c r="CL24" s="302" t="s">
        <v>508</v>
      </c>
      <c r="CM24" s="302" t="s">
        <v>509</v>
      </c>
      <c r="CN24" s="637">
        <v>0</v>
      </c>
      <c r="CO24" s="302" t="s">
        <v>606</v>
      </c>
      <c r="CP24" s="302" t="s">
        <v>607</v>
      </c>
      <c r="CQ24" s="637">
        <v>0.01</v>
      </c>
    </row>
    <row r="25" spans="1:95" ht="15.75" customHeight="1" x14ac:dyDescent="0.2">
      <c r="A25" s="433" t="s">
        <v>758</v>
      </c>
      <c r="B25" s="302" t="s">
        <v>757</v>
      </c>
      <c r="C25" s="637">
        <v>0.4</v>
      </c>
      <c r="D25" s="302" t="s">
        <v>550</v>
      </c>
      <c r="E25" s="302" t="s">
        <v>551</v>
      </c>
      <c r="F25" s="637">
        <v>0.09</v>
      </c>
      <c r="G25" s="302" t="s">
        <v>548</v>
      </c>
      <c r="H25" s="302" t="s">
        <v>549</v>
      </c>
      <c r="I25" s="637">
        <v>0.01</v>
      </c>
      <c r="J25" s="662">
        <f t="shared" si="10"/>
        <v>0.5</v>
      </c>
      <c r="K25" s="637">
        <v>0.4</v>
      </c>
      <c r="L25" s="302" t="s">
        <v>550</v>
      </c>
      <c r="M25" s="302" t="s">
        <v>551</v>
      </c>
      <c r="N25" s="637">
        <v>0.09</v>
      </c>
      <c r="O25" s="302" t="s">
        <v>548</v>
      </c>
      <c r="P25" s="302" t="s">
        <v>549</v>
      </c>
      <c r="Q25" s="637">
        <v>0.01</v>
      </c>
      <c r="R25" s="645">
        <f t="shared" si="11"/>
        <v>0.5</v>
      </c>
      <c r="S25" s="637">
        <v>0.4</v>
      </c>
      <c r="T25" s="302" t="s">
        <v>550</v>
      </c>
      <c r="U25" s="302" t="s">
        <v>551</v>
      </c>
      <c r="V25" s="637">
        <v>0.09</v>
      </c>
      <c r="W25" s="302" t="s">
        <v>548</v>
      </c>
      <c r="X25" s="302" t="s">
        <v>549</v>
      </c>
      <c r="Y25" s="637">
        <v>0.01</v>
      </c>
      <c r="Z25" s="645">
        <f t="shared" si="2"/>
        <v>0.5</v>
      </c>
      <c r="AA25" s="637">
        <v>0.4</v>
      </c>
      <c r="AB25" s="302" t="s">
        <v>550</v>
      </c>
      <c r="AC25" s="302" t="s">
        <v>551</v>
      </c>
      <c r="AD25" s="637">
        <v>0.09</v>
      </c>
      <c r="AE25" s="302" t="s">
        <v>548</v>
      </c>
      <c r="AF25" s="302" t="s">
        <v>549</v>
      </c>
      <c r="AG25" s="637">
        <v>0.01</v>
      </c>
      <c r="AH25" s="645">
        <f t="shared" si="18"/>
        <v>0.5</v>
      </c>
      <c r="AI25" s="637">
        <v>0.4</v>
      </c>
      <c r="AJ25" s="302" t="s">
        <v>550</v>
      </c>
      <c r="AK25" s="302" t="s">
        <v>551</v>
      </c>
      <c r="AL25" s="637">
        <v>0.09</v>
      </c>
      <c r="AM25" s="302" t="s">
        <v>548</v>
      </c>
      <c r="AN25" s="302" t="s">
        <v>549</v>
      </c>
      <c r="AO25" s="637">
        <v>0.01</v>
      </c>
      <c r="AP25" s="645">
        <f t="shared" si="14"/>
        <v>0.5</v>
      </c>
      <c r="AQ25" s="637">
        <v>0.4</v>
      </c>
      <c r="AR25" s="302" t="s">
        <v>550</v>
      </c>
      <c r="AS25" s="302" t="s">
        <v>551</v>
      </c>
      <c r="AT25" s="637">
        <v>0.09</v>
      </c>
      <c r="AU25" s="302" t="s">
        <v>548</v>
      </c>
      <c r="AV25" s="302" t="s">
        <v>549</v>
      </c>
      <c r="AW25" s="637">
        <v>0.01</v>
      </c>
      <c r="AX25" s="645">
        <f t="shared" si="15"/>
        <v>0.5</v>
      </c>
      <c r="AY25" s="637">
        <v>0.4</v>
      </c>
      <c r="AZ25" s="302" t="s">
        <v>550</v>
      </c>
      <c r="BA25" s="302" t="s">
        <v>551</v>
      </c>
      <c r="BB25" s="637">
        <v>0.09</v>
      </c>
      <c r="BC25" s="302" t="s">
        <v>548</v>
      </c>
      <c r="BD25" s="302" t="s">
        <v>549</v>
      </c>
      <c r="BE25" s="637">
        <v>0.01</v>
      </c>
      <c r="BF25" s="434">
        <f t="shared" si="12"/>
        <v>0.5</v>
      </c>
      <c r="BG25" s="587">
        <v>0.5</v>
      </c>
      <c r="BH25" s="302" t="s">
        <v>550</v>
      </c>
      <c r="BI25" s="302" t="s">
        <v>551</v>
      </c>
      <c r="BJ25" s="434">
        <v>0.49</v>
      </c>
      <c r="BK25" s="302" t="s">
        <v>548</v>
      </c>
      <c r="BL25" s="302" t="s">
        <v>549</v>
      </c>
      <c r="BM25" s="434">
        <v>0.01</v>
      </c>
      <c r="BN25" s="645">
        <f t="shared" si="13"/>
        <v>1</v>
      </c>
      <c r="BO25" s="434"/>
      <c r="BP25" s="434">
        <v>0.4</v>
      </c>
      <c r="BQ25" s="302" t="s">
        <v>550</v>
      </c>
      <c r="BR25" s="302" t="s">
        <v>551</v>
      </c>
      <c r="BS25" s="434">
        <v>0.09</v>
      </c>
      <c r="BT25" s="302" t="s">
        <v>548</v>
      </c>
      <c r="BU25" s="302" t="s">
        <v>549</v>
      </c>
      <c r="BV25" s="434">
        <v>0.01</v>
      </c>
      <c r="BW25" s="645">
        <f t="shared" si="16"/>
        <v>0.5</v>
      </c>
      <c r="BX25" s="434">
        <v>0.4</v>
      </c>
      <c r="BY25" s="302" t="s">
        <v>550</v>
      </c>
      <c r="BZ25" s="302" t="s">
        <v>551</v>
      </c>
      <c r="CA25" s="434">
        <v>0.09</v>
      </c>
      <c r="CB25" s="302" t="s">
        <v>548</v>
      </c>
      <c r="CC25" s="302" t="s">
        <v>549</v>
      </c>
      <c r="CD25" s="434">
        <v>0.01</v>
      </c>
      <c r="CE25" s="434">
        <f t="shared" si="17"/>
        <v>0.5</v>
      </c>
      <c r="CF25" s="1620" t="s">
        <v>1166</v>
      </c>
      <c r="CG25" s="1620" t="s">
        <v>1166</v>
      </c>
      <c r="CH25" s="1620" t="s">
        <v>1166</v>
      </c>
      <c r="CI25" s="406"/>
      <c r="CJ25" s="642">
        <v>0.64900000000000002</v>
      </c>
      <c r="CK25" s="591" t="s">
        <v>922</v>
      </c>
      <c r="CL25" s="302" t="s">
        <v>550</v>
      </c>
      <c r="CM25" s="302" t="s">
        <v>551</v>
      </c>
      <c r="CN25" s="637">
        <v>0.59</v>
      </c>
      <c r="CO25" s="302" t="s">
        <v>548</v>
      </c>
      <c r="CP25" s="302" t="s">
        <v>549</v>
      </c>
      <c r="CQ25" s="637">
        <v>0.01</v>
      </c>
    </row>
    <row r="26" spans="1:95" ht="15.75" customHeight="1" x14ac:dyDescent="0.2">
      <c r="A26" s="433" t="s">
        <v>760</v>
      </c>
      <c r="B26" s="302" t="s">
        <v>759</v>
      </c>
      <c r="C26" s="637">
        <v>0.99</v>
      </c>
      <c r="D26" s="302" t="s">
        <v>508</v>
      </c>
      <c r="E26" s="302" t="s">
        <v>660</v>
      </c>
      <c r="F26" s="637">
        <v>0</v>
      </c>
      <c r="G26" s="302" t="s">
        <v>1281</v>
      </c>
      <c r="H26" s="302" t="s">
        <v>1199</v>
      </c>
      <c r="I26" s="637">
        <v>0.01</v>
      </c>
      <c r="J26" s="662">
        <f t="shared" si="10"/>
        <v>1</v>
      </c>
      <c r="K26" s="637">
        <v>0.99</v>
      </c>
      <c r="L26" s="302" t="s">
        <v>508</v>
      </c>
      <c r="M26" s="302" t="s">
        <v>660</v>
      </c>
      <c r="N26" s="637">
        <v>0</v>
      </c>
      <c r="O26" s="302" t="s">
        <v>1281</v>
      </c>
      <c r="P26" s="302" t="s">
        <v>1199</v>
      </c>
      <c r="Q26" s="637">
        <v>0.01</v>
      </c>
      <c r="R26" s="645">
        <f t="shared" si="11"/>
        <v>1</v>
      </c>
      <c r="S26" s="637">
        <v>0.99</v>
      </c>
      <c r="T26" s="302" t="s">
        <v>508</v>
      </c>
      <c r="U26" s="302" t="s">
        <v>660</v>
      </c>
      <c r="V26" s="637">
        <v>0</v>
      </c>
      <c r="W26" s="302" t="s">
        <v>1281</v>
      </c>
      <c r="X26" s="302" t="s">
        <v>1199</v>
      </c>
      <c r="Y26" s="637">
        <v>0.01</v>
      </c>
      <c r="Z26" s="645">
        <f t="shared" si="2"/>
        <v>1</v>
      </c>
      <c r="AA26" s="637">
        <v>0.99</v>
      </c>
      <c r="AB26" s="302" t="s">
        <v>508</v>
      </c>
      <c r="AC26" s="302" t="s">
        <v>660</v>
      </c>
      <c r="AD26" s="637">
        <v>0</v>
      </c>
      <c r="AE26" s="302" t="s">
        <v>1281</v>
      </c>
      <c r="AF26" s="302" t="s">
        <v>1199</v>
      </c>
      <c r="AG26" s="637">
        <v>0.01</v>
      </c>
      <c r="AH26" s="645">
        <f t="shared" si="18"/>
        <v>1</v>
      </c>
      <c r="AI26" s="637">
        <v>0.99</v>
      </c>
      <c r="AJ26" s="302" t="s">
        <v>508</v>
      </c>
      <c r="AK26" s="302" t="s">
        <v>660</v>
      </c>
      <c r="AL26" s="637">
        <v>0</v>
      </c>
      <c r="AM26" s="302" t="s">
        <v>1281</v>
      </c>
      <c r="AN26" s="302" t="s">
        <v>1199</v>
      </c>
      <c r="AO26" s="637">
        <v>0.01</v>
      </c>
      <c r="AP26" s="645">
        <f t="shared" si="14"/>
        <v>1</v>
      </c>
      <c r="AQ26" s="637">
        <v>0.99</v>
      </c>
      <c r="AR26" s="302" t="s">
        <v>508</v>
      </c>
      <c r="AS26" s="302" t="s">
        <v>660</v>
      </c>
      <c r="AT26" s="637">
        <v>0</v>
      </c>
      <c r="AU26" s="302" t="s">
        <v>1281</v>
      </c>
      <c r="AV26" s="302" t="s">
        <v>1199</v>
      </c>
      <c r="AW26" s="637">
        <v>0.01</v>
      </c>
      <c r="AX26" s="645">
        <f t="shared" si="15"/>
        <v>1</v>
      </c>
      <c r="AY26" s="637">
        <v>0.99</v>
      </c>
      <c r="AZ26" s="302" t="s">
        <v>508</v>
      </c>
      <c r="BA26" s="302" t="s">
        <v>660</v>
      </c>
      <c r="BB26" s="637">
        <v>0</v>
      </c>
      <c r="BC26" s="302" t="s">
        <v>661</v>
      </c>
      <c r="BD26" s="302" t="s">
        <v>1199</v>
      </c>
      <c r="BE26" s="637">
        <v>0.01</v>
      </c>
      <c r="BF26" s="434">
        <f t="shared" si="12"/>
        <v>1</v>
      </c>
      <c r="BG26" s="587">
        <v>0.99</v>
      </c>
      <c r="BH26" s="302" t="s">
        <v>508</v>
      </c>
      <c r="BI26" s="302" t="s">
        <v>660</v>
      </c>
      <c r="BJ26" s="434">
        <v>0</v>
      </c>
      <c r="BK26" s="302" t="s">
        <v>661</v>
      </c>
      <c r="BL26" s="302" t="s">
        <v>662</v>
      </c>
      <c r="BM26" s="434">
        <v>0.01</v>
      </c>
      <c r="BN26" s="645">
        <f t="shared" si="13"/>
        <v>1</v>
      </c>
      <c r="BO26" s="434"/>
      <c r="BP26" s="434">
        <v>0.99</v>
      </c>
      <c r="BQ26" s="302" t="s">
        <v>508</v>
      </c>
      <c r="BR26" s="302" t="s">
        <v>660</v>
      </c>
      <c r="BS26" s="434">
        <v>0</v>
      </c>
      <c r="BT26" s="302" t="s">
        <v>661</v>
      </c>
      <c r="BU26" s="302" t="s">
        <v>662</v>
      </c>
      <c r="BV26" s="434">
        <v>0.01</v>
      </c>
      <c r="BW26" s="645">
        <f t="shared" si="16"/>
        <v>1</v>
      </c>
      <c r="BX26" s="434">
        <v>0.49</v>
      </c>
      <c r="BY26" s="302" t="s">
        <v>508</v>
      </c>
      <c r="BZ26" s="302" t="s">
        <v>660</v>
      </c>
      <c r="CA26" s="434">
        <v>0</v>
      </c>
      <c r="CB26" s="302" t="s">
        <v>661</v>
      </c>
      <c r="CC26" s="302" t="s">
        <v>662</v>
      </c>
      <c r="CD26" s="434">
        <v>0.01</v>
      </c>
      <c r="CE26" s="434">
        <f t="shared" si="17"/>
        <v>0.5</v>
      </c>
      <c r="CF26" s="1620" t="s">
        <v>1166</v>
      </c>
      <c r="CG26" s="1620" t="s">
        <v>1166</v>
      </c>
      <c r="CH26" s="1620" t="s">
        <v>1166</v>
      </c>
      <c r="CI26" s="408" t="s">
        <v>862</v>
      </c>
      <c r="CJ26" s="642">
        <v>0.65500000000000003</v>
      </c>
      <c r="CK26" s="591" t="s">
        <v>922</v>
      </c>
      <c r="CL26" s="302" t="s">
        <v>508</v>
      </c>
      <c r="CM26" s="302" t="s">
        <v>660</v>
      </c>
      <c r="CN26" s="637">
        <v>0</v>
      </c>
      <c r="CO26" s="302" t="s">
        <v>661</v>
      </c>
      <c r="CP26" s="302" t="s">
        <v>662</v>
      </c>
      <c r="CQ26" s="637">
        <v>0.01</v>
      </c>
    </row>
    <row r="27" spans="1:95" ht="15.75" customHeight="1" x14ac:dyDescent="0.2">
      <c r="A27" s="433" t="s">
        <v>762</v>
      </c>
      <c r="B27" s="302" t="s">
        <v>761</v>
      </c>
      <c r="C27" s="637">
        <v>0.4</v>
      </c>
      <c r="D27" s="302" t="s">
        <v>619</v>
      </c>
      <c r="E27" s="302" t="s">
        <v>620</v>
      </c>
      <c r="F27" s="637">
        <v>0.1</v>
      </c>
      <c r="G27" s="302" t="s">
        <v>508</v>
      </c>
      <c r="H27" s="302" t="s">
        <v>546</v>
      </c>
      <c r="I27" s="637">
        <v>0</v>
      </c>
      <c r="J27" s="662">
        <f t="shared" si="10"/>
        <v>0.5</v>
      </c>
      <c r="K27" s="637">
        <v>0.4</v>
      </c>
      <c r="L27" s="302" t="s">
        <v>619</v>
      </c>
      <c r="M27" s="302" t="s">
        <v>620</v>
      </c>
      <c r="N27" s="637">
        <v>0.1</v>
      </c>
      <c r="O27" s="302" t="s">
        <v>508</v>
      </c>
      <c r="P27" s="302" t="s">
        <v>546</v>
      </c>
      <c r="Q27" s="637">
        <v>0</v>
      </c>
      <c r="R27" s="645">
        <f t="shared" si="11"/>
        <v>0.5</v>
      </c>
      <c r="S27" s="637">
        <v>0.4</v>
      </c>
      <c r="T27" s="302" t="s">
        <v>619</v>
      </c>
      <c r="U27" s="302" t="s">
        <v>620</v>
      </c>
      <c r="V27" s="637">
        <v>0.1</v>
      </c>
      <c r="W27" s="302" t="s">
        <v>508</v>
      </c>
      <c r="X27" s="302" t="s">
        <v>546</v>
      </c>
      <c r="Y27" s="637">
        <v>0</v>
      </c>
      <c r="Z27" s="645">
        <f t="shared" si="2"/>
        <v>0.5</v>
      </c>
      <c r="AA27" s="637">
        <v>0.4</v>
      </c>
      <c r="AB27" s="302" t="s">
        <v>619</v>
      </c>
      <c r="AC27" s="302" t="s">
        <v>620</v>
      </c>
      <c r="AD27" s="637">
        <v>0.1</v>
      </c>
      <c r="AE27" s="302" t="s">
        <v>508</v>
      </c>
      <c r="AF27" s="302" t="s">
        <v>546</v>
      </c>
      <c r="AG27" s="637">
        <v>0</v>
      </c>
      <c r="AH27" s="645">
        <f t="shared" si="18"/>
        <v>0.5</v>
      </c>
      <c r="AI27" s="637">
        <v>0.4</v>
      </c>
      <c r="AJ27" s="302" t="s">
        <v>619</v>
      </c>
      <c r="AK27" s="302" t="s">
        <v>620</v>
      </c>
      <c r="AL27" s="637">
        <v>0.1</v>
      </c>
      <c r="AM27" s="302" t="s">
        <v>508</v>
      </c>
      <c r="AN27" s="302" t="s">
        <v>546</v>
      </c>
      <c r="AO27" s="637">
        <v>0</v>
      </c>
      <c r="AP27" s="645">
        <f t="shared" si="14"/>
        <v>0.5</v>
      </c>
      <c r="AQ27" s="637">
        <v>0.4</v>
      </c>
      <c r="AR27" s="302" t="s">
        <v>619</v>
      </c>
      <c r="AS27" s="302" t="s">
        <v>620</v>
      </c>
      <c r="AT27" s="637">
        <v>0.1</v>
      </c>
      <c r="AU27" s="302" t="s">
        <v>508</v>
      </c>
      <c r="AV27" s="302" t="s">
        <v>546</v>
      </c>
      <c r="AW27" s="637">
        <v>0</v>
      </c>
      <c r="AX27" s="645">
        <f t="shared" si="15"/>
        <v>0.5</v>
      </c>
      <c r="AY27" s="637">
        <v>0.4</v>
      </c>
      <c r="AZ27" s="302" t="s">
        <v>619</v>
      </c>
      <c r="BA27" s="302" t="s">
        <v>620</v>
      </c>
      <c r="BB27" s="637">
        <v>0.1</v>
      </c>
      <c r="BC27" s="302" t="s">
        <v>508</v>
      </c>
      <c r="BD27" s="302" t="s">
        <v>546</v>
      </c>
      <c r="BE27" s="637">
        <v>0</v>
      </c>
      <c r="BF27" s="434">
        <f t="shared" si="12"/>
        <v>0.5</v>
      </c>
      <c r="BG27" s="587">
        <v>0.6</v>
      </c>
      <c r="BH27" s="302" t="s">
        <v>619</v>
      </c>
      <c r="BI27" s="302" t="s">
        <v>620</v>
      </c>
      <c r="BJ27" s="434">
        <v>0.4</v>
      </c>
      <c r="BK27" s="302" t="s">
        <v>508</v>
      </c>
      <c r="BL27" s="302" t="s">
        <v>546</v>
      </c>
      <c r="BM27" s="434">
        <v>0</v>
      </c>
      <c r="BN27" s="645">
        <f t="shared" si="13"/>
        <v>1</v>
      </c>
      <c r="BO27" s="434"/>
      <c r="BP27" s="434">
        <v>0.4</v>
      </c>
      <c r="BQ27" s="302" t="s">
        <v>619</v>
      </c>
      <c r="BR27" s="302" t="s">
        <v>620</v>
      </c>
      <c r="BS27" s="434">
        <v>0.1</v>
      </c>
      <c r="BT27" s="302" t="s">
        <v>508</v>
      </c>
      <c r="BU27" s="302" t="s">
        <v>546</v>
      </c>
      <c r="BV27" s="434">
        <v>0</v>
      </c>
      <c r="BW27" s="645">
        <f t="shared" si="16"/>
        <v>0.5</v>
      </c>
      <c r="BX27" s="434">
        <v>0.4</v>
      </c>
      <c r="BY27" s="302" t="s">
        <v>619</v>
      </c>
      <c r="BZ27" s="302" t="s">
        <v>620</v>
      </c>
      <c r="CA27" s="434">
        <v>0.1</v>
      </c>
      <c r="CB27" s="302" t="s">
        <v>508</v>
      </c>
      <c r="CC27" s="302" t="s">
        <v>546</v>
      </c>
      <c r="CD27" s="434">
        <v>0</v>
      </c>
      <c r="CE27" s="434">
        <f t="shared" si="17"/>
        <v>0.5</v>
      </c>
      <c r="CF27" s="1620" t="s">
        <v>1166</v>
      </c>
      <c r="CG27" s="1620" t="s">
        <v>1166</v>
      </c>
      <c r="CH27" s="1620" t="s">
        <v>1166</v>
      </c>
      <c r="CI27" s="406"/>
      <c r="CJ27" s="642">
        <v>0.66300000000000003</v>
      </c>
      <c r="CK27" s="591" t="s">
        <v>922</v>
      </c>
      <c r="CL27" s="302" t="s">
        <v>619</v>
      </c>
      <c r="CM27" s="302" t="s">
        <v>620</v>
      </c>
      <c r="CN27" s="637">
        <v>0.6</v>
      </c>
      <c r="CO27" s="302" t="s">
        <v>508</v>
      </c>
      <c r="CP27" s="302" t="s">
        <v>546</v>
      </c>
      <c r="CQ27" s="637">
        <v>0</v>
      </c>
    </row>
    <row r="28" spans="1:95" ht="15.75" customHeight="1" x14ac:dyDescent="0.2">
      <c r="A28" s="433" t="s">
        <v>1178</v>
      </c>
      <c r="B28" s="302" t="s">
        <v>1202</v>
      </c>
      <c r="C28" s="637">
        <v>0.49</v>
      </c>
      <c r="D28" s="302" t="s">
        <v>508</v>
      </c>
      <c r="E28" s="302" t="s">
        <v>509</v>
      </c>
      <c r="F28" s="637">
        <v>0</v>
      </c>
      <c r="G28" s="302" t="s">
        <v>1282</v>
      </c>
      <c r="H28" s="302" t="s">
        <v>1283</v>
      </c>
      <c r="I28" s="637">
        <v>0.01</v>
      </c>
      <c r="J28" s="662">
        <f t="shared" si="10"/>
        <v>0.5</v>
      </c>
      <c r="K28" s="637">
        <v>0.49</v>
      </c>
      <c r="L28" s="302" t="s">
        <v>508</v>
      </c>
      <c r="M28" s="302" t="s">
        <v>509</v>
      </c>
      <c r="N28" s="637">
        <v>0</v>
      </c>
      <c r="O28" s="302" t="s">
        <v>1282</v>
      </c>
      <c r="P28" s="302" t="s">
        <v>1283</v>
      </c>
      <c r="Q28" s="637">
        <v>0.01</v>
      </c>
      <c r="R28" s="645">
        <f t="shared" si="11"/>
        <v>0.5</v>
      </c>
      <c r="S28" s="637">
        <v>0.49</v>
      </c>
      <c r="T28" s="302" t="s">
        <v>508</v>
      </c>
      <c r="U28" s="302" t="s">
        <v>509</v>
      </c>
      <c r="V28" s="637">
        <v>0</v>
      </c>
      <c r="W28" s="302" t="s">
        <v>1282</v>
      </c>
      <c r="X28" s="302" t="s">
        <v>1283</v>
      </c>
      <c r="Y28" s="637">
        <v>0.01</v>
      </c>
      <c r="Z28" s="645">
        <f t="shared" si="2"/>
        <v>0.5</v>
      </c>
      <c r="AA28" s="637">
        <v>0.49</v>
      </c>
      <c r="AB28" s="302" t="s">
        <v>508</v>
      </c>
      <c r="AC28" s="302" t="s">
        <v>509</v>
      </c>
      <c r="AD28" s="637">
        <v>0</v>
      </c>
      <c r="AE28" s="302" t="s">
        <v>1282</v>
      </c>
      <c r="AF28" s="302" t="s">
        <v>1283</v>
      </c>
      <c r="AG28" s="637">
        <v>0.01</v>
      </c>
      <c r="AH28" s="645">
        <f t="shared" si="18"/>
        <v>0.5</v>
      </c>
      <c r="AI28" s="637">
        <v>0.49</v>
      </c>
      <c r="AJ28" s="302" t="s">
        <v>508</v>
      </c>
      <c r="AK28" s="302" t="s">
        <v>509</v>
      </c>
      <c r="AL28" s="637">
        <v>0</v>
      </c>
      <c r="AM28" s="302" t="s">
        <v>1282</v>
      </c>
      <c r="AN28" s="302" t="s">
        <v>1283</v>
      </c>
      <c r="AO28" s="637">
        <v>0.01</v>
      </c>
      <c r="AP28" s="645">
        <f t="shared" si="14"/>
        <v>0.5</v>
      </c>
      <c r="AQ28" s="637">
        <v>0.49</v>
      </c>
      <c r="AR28" s="302" t="s">
        <v>508</v>
      </c>
      <c r="AS28" s="302" t="s">
        <v>509</v>
      </c>
      <c r="AT28" s="637">
        <v>0</v>
      </c>
      <c r="AU28" s="302" t="s">
        <v>1282</v>
      </c>
      <c r="AV28" s="302" t="s">
        <v>1283</v>
      </c>
      <c r="AW28" s="637">
        <v>0.01</v>
      </c>
      <c r="AX28" s="645">
        <f t="shared" si="15"/>
        <v>0.5</v>
      </c>
      <c r="AY28" s="637">
        <v>0.49</v>
      </c>
      <c r="AZ28" s="302" t="s">
        <v>508</v>
      </c>
      <c r="BA28" s="302" t="s">
        <v>509</v>
      </c>
      <c r="BB28" s="637">
        <v>0</v>
      </c>
      <c r="BC28" s="302" t="s">
        <v>559</v>
      </c>
      <c r="BD28" s="302" t="s">
        <v>560</v>
      </c>
      <c r="BE28" s="637">
        <v>0.01</v>
      </c>
      <c r="BF28" s="434">
        <f t="shared" si="12"/>
        <v>0.5</v>
      </c>
      <c r="BG28" s="587">
        <v>0.49</v>
      </c>
      <c r="BH28" s="302" t="s">
        <v>561</v>
      </c>
      <c r="BI28" s="302" t="s">
        <v>1203</v>
      </c>
      <c r="BJ28" s="434">
        <v>0</v>
      </c>
      <c r="BK28" s="302" t="s">
        <v>559</v>
      </c>
      <c r="BL28" s="302" t="s">
        <v>560</v>
      </c>
      <c r="BM28" s="434">
        <v>0.01</v>
      </c>
      <c r="BN28" s="645">
        <f t="shared" si="13"/>
        <v>0.5</v>
      </c>
      <c r="BO28" s="434"/>
      <c r="BP28" s="434">
        <v>0.49</v>
      </c>
      <c r="BQ28" s="302" t="s">
        <v>561</v>
      </c>
      <c r="BR28" s="302" t="s">
        <v>1203</v>
      </c>
      <c r="BS28" s="434">
        <v>0</v>
      </c>
      <c r="BT28" s="302" t="s">
        <v>559</v>
      </c>
      <c r="BU28" s="302" t="s">
        <v>560</v>
      </c>
      <c r="BV28" s="434">
        <v>0.01</v>
      </c>
      <c r="BW28" s="645">
        <f t="shared" si="16"/>
        <v>0.5</v>
      </c>
      <c r="BX28" s="434">
        <v>0.49</v>
      </c>
      <c r="BY28" s="302" t="s">
        <v>561</v>
      </c>
      <c r="BZ28" s="302" t="s">
        <v>562</v>
      </c>
      <c r="CA28" s="434">
        <v>0</v>
      </c>
      <c r="CB28" s="302" t="s">
        <v>559</v>
      </c>
      <c r="CC28" s="302" t="s">
        <v>560</v>
      </c>
      <c r="CD28" s="434">
        <v>0.01</v>
      </c>
      <c r="CE28" s="434">
        <f t="shared" si="17"/>
        <v>0.5</v>
      </c>
      <c r="CF28" s="1620" t="s">
        <v>1166</v>
      </c>
      <c r="CG28" s="1620" t="s">
        <v>1166</v>
      </c>
      <c r="CH28" s="1620" t="s">
        <v>1166</v>
      </c>
      <c r="CI28" s="406" t="s">
        <v>862</v>
      </c>
      <c r="CJ28" s="642">
        <v>0.69599999999999995</v>
      </c>
      <c r="CK28" s="591" t="s">
        <v>922</v>
      </c>
      <c r="CL28" s="302" t="s">
        <v>508</v>
      </c>
      <c r="CM28" s="302" t="s">
        <v>509</v>
      </c>
      <c r="CN28" s="637">
        <v>0</v>
      </c>
      <c r="CO28" s="302" t="s">
        <v>559</v>
      </c>
      <c r="CP28" s="302" t="s">
        <v>560</v>
      </c>
      <c r="CQ28" s="637">
        <v>0.01</v>
      </c>
    </row>
    <row r="29" spans="1:95" ht="15.75" customHeight="1" x14ac:dyDescent="0.2">
      <c r="A29" s="433" t="s">
        <v>764</v>
      </c>
      <c r="B29" s="302" t="s">
        <v>518</v>
      </c>
      <c r="C29" s="637">
        <v>0.49</v>
      </c>
      <c r="D29" s="302" t="s">
        <v>508</v>
      </c>
      <c r="E29" s="302" t="s">
        <v>509</v>
      </c>
      <c r="F29" s="637">
        <v>0</v>
      </c>
      <c r="G29" s="302" t="s">
        <v>519</v>
      </c>
      <c r="H29" s="302" t="s">
        <v>520</v>
      </c>
      <c r="I29" s="637">
        <v>0.01</v>
      </c>
      <c r="J29" s="662">
        <f t="shared" si="10"/>
        <v>0.5</v>
      </c>
      <c r="K29" s="637">
        <v>0.49</v>
      </c>
      <c r="L29" s="302" t="s">
        <v>508</v>
      </c>
      <c r="M29" s="302" t="s">
        <v>509</v>
      </c>
      <c r="N29" s="637">
        <v>0</v>
      </c>
      <c r="O29" s="302" t="s">
        <v>519</v>
      </c>
      <c r="P29" s="302" t="s">
        <v>520</v>
      </c>
      <c r="Q29" s="637">
        <v>0.01</v>
      </c>
      <c r="R29" s="645">
        <f t="shared" si="11"/>
        <v>0.5</v>
      </c>
      <c r="S29" s="637">
        <v>0.49</v>
      </c>
      <c r="T29" s="302" t="s">
        <v>508</v>
      </c>
      <c r="U29" s="302" t="s">
        <v>509</v>
      </c>
      <c r="V29" s="637">
        <v>0</v>
      </c>
      <c r="W29" s="302" t="s">
        <v>519</v>
      </c>
      <c r="X29" s="302" t="s">
        <v>520</v>
      </c>
      <c r="Y29" s="637">
        <v>0.01</v>
      </c>
      <c r="Z29" s="645">
        <f t="shared" si="2"/>
        <v>0.5</v>
      </c>
      <c r="AA29" s="637">
        <v>0.49</v>
      </c>
      <c r="AB29" s="302" t="s">
        <v>508</v>
      </c>
      <c r="AC29" s="302" t="s">
        <v>509</v>
      </c>
      <c r="AD29" s="637">
        <v>0</v>
      </c>
      <c r="AE29" s="302" t="s">
        <v>519</v>
      </c>
      <c r="AF29" s="302" t="s">
        <v>520</v>
      </c>
      <c r="AG29" s="637">
        <v>0.01</v>
      </c>
      <c r="AH29" s="645">
        <f t="shared" si="18"/>
        <v>0.5</v>
      </c>
      <c r="AI29" s="637">
        <v>0.49</v>
      </c>
      <c r="AJ29" s="302" t="s">
        <v>508</v>
      </c>
      <c r="AK29" s="302" t="s">
        <v>509</v>
      </c>
      <c r="AL29" s="637">
        <v>0</v>
      </c>
      <c r="AM29" s="302" t="s">
        <v>519</v>
      </c>
      <c r="AN29" s="302" t="s">
        <v>520</v>
      </c>
      <c r="AO29" s="637">
        <v>0.01</v>
      </c>
      <c r="AP29" s="645">
        <f t="shared" si="14"/>
        <v>0.5</v>
      </c>
      <c r="AQ29" s="637">
        <v>0.49</v>
      </c>
      <c r="AR29" s="302" t="s">
        <v>508</v>
      </c>
      <c r="AS29" s="302" t="s">
        <v>509</v>
      </c>
      <c r="AT29" s="637">
        <v>0</v>
      </c>
      <c r="AU29" s="302" t="s">
        <v>519</v>
      </c>
      <c r="AV29" s="302" t="s">
        <v>520</v>
      </c>
      <c r="AW29" s="637">
        <v>0.01</v>
      </c>
      <c r="AX29" s="645">
        <f t="shared" si="15"/>
        <v>0.5</v>
      </c>
      <c r="AY29" s="637">
        <v>0.74</v>
      </c>
      <c r="AZ29" s="302" t="s">
        <v>508</v>
      </c>
      <c r="BA29" s="302" t="s">
        <v>509</v>
      </c>
      <c r="BB29" s="637">
        <v>0</v>
      </c>
      <c r="BC29" s="302" t="s">
        <v>519</v>
      </c>
      <c r="BD29" s="302" t="s">
        <v>520</v>
      </c>
      <c r="BE29" s="637">
        <v>0.01</v>
      </c>
      <c r="BF29" s="434">
        <f t="shared" si="12"/>
        <v>0.75</v>
      </c>
      <c r="BG29" s="587">
        <v>0.99</v>
      </c>
      <c r="BH29" s="302" t="s">
        <v>508</v>
      </c>
      <c r="BI29" s="302" t="s">
        <v>509</v>
      </c>
      <c r="BJ29" s="434">
        <v>0</v>
      </c>
      <c r="BK29" s="302" t="s">
        <v>519</v>
      </c>
      <c r="BL29" s="302" t="s">
        <v>520</v>
      </c>
      <c r="BM29" s="434">
        <v>0.01</v>
      </c>
      <c r="BN29" s="645">
        <f t="shared" si="13"/>
        <v>1</v>
      </c>
      <c r="BO29" s="434"/>
      <c r="BP29" s="434">
        <v>0.49</v>
      </c>
      <c r="BQ29" s="302" t="s">
        <v>508</v>
      </c>
      <c r="BR29" s="302" t="s">
        <v>509</v>
      </c>
      <c r="BS29" s="434">
        <v>0</v>
      </c>
      <c r="BT29" s="302" t="s">
        <v>519</v>
      </c>
      <c r="BU29" s="302" t="s">
        <v>520</v>
      </c>
      <c r="BV29" s="434">
        <v>0.01</v>
      </c>
      <c r="BW29" s="645">
        <f t="shared" si="16"/>
        <v>0.5</v>
      </c>
      <c r="BX29" s="434">
        <v>0.49</v>
      </c>
      <c r="BY29" s="302" t="s">
        <v>508</v>
      </c>
      <c r="BZ29" s="302" t="s">
        <v>509</v>
      </c>
      <c r="CA29" s="434">
        <v>0</v>
      </c>
      <c r="CB29" s="302" t="s">
        <v>519</v>
      </c>
      <c r="CC29" s="302" t="s">
        <v>520</v>
      </c>
      <c r="CD29" s="434">
        <v>0.01</v>
      </c>
      <c r="CE29" s="434">
        <f t="shared" si="17"/>
        <v>0.5</v>
      </c>
      <c r="CF29" s="1620" t="s">
        <v>1166</v>
      </c>
      <c r="CG29" s="1620" t="s">
        <v>1166</v>
      </c>
      <c r="CH29" s="1620" t="s">
        <v>1166</v>
      </c>
      <c r="CI29" s="408" t="s">
        <v>862</v>
      </c>
      <c r="CJ29" s="642">
        <v>0.73099999999999998</v>
      </c>
      <c r="CK29" s="591" t="s">
        <v>922</v>
      </c>
      <c r="CL29" s="302" t="s">
        <v>508</v>
      </c>
      <c r="CM29" s="302" t="s">
        <v>509</v>
      </c>
      <c r="CN29" s="637">
        <v>0</v>
      </c>
      <c r="CO29" s="302" t="s">
        <v>519</v>
      </c>
      <c r="CP29" s="302" t="s">
        <v>520</v>
      </c>
      <c r="CQ29" s="637">
        <v>0.01</v>
      </c>
    </row>
    <row r="30" spans="1:95" ht="15.75" customHeight="1" x14ac:dyDescent="0.2">
      <c r="A30" s="433" t="s">
        <v>766</v>
      </c>
      <c r="B30" s="707" t="s">
        <v>765</v>
      </c>
      <c r="C30" s="637">
        <v>0.49</v>
      </c>
      <c r="D30" s="302" t="s">
        <v>508</v>
      </c>
      <c r="E30" s="302" t="s">
        <v>660</v>
      </c>
      <c r="F30" s="637">
        <v>0</v>
      </c>
      <c r="G30" s="302" t="s">
        <v>671</v>
      </c>
      <c r="H30" s="302" t="s">
        <v>672</v>
      </c>
      <c r="I30" s="637">
        <v>0.01</v>
      </c>
      <c r="J30" s="662">
        <f t="shared" si="10"/>
        <v>0.5</v>
      </c>
      <c r="K30" s="637">
        <v>0.49</v>
      </c>
      <c r="L30" s="302" t="s">
        <v>508</v>
      </c>
      <c r="M30" s="302" t="s">
        <v>660</v>
      </c>
      <c r="N30" s="637">
        <v>0</v>
      </c>
      <c r="O30" s="302" t="s">
        <v>671</v>
      </c>
      <c r="P30" s="302" t="s">
        <v>672</v>
      </c>
      <c r="Q30" s="637">
        <v>0.01</v>
      </c>
      <c r="R30" s="645">
        <f t="shared" si="11"/>
        <v>0.5</v>
      </c>
      <c r="S30" s="637">
        <v>0.49</v>
      </c>
      <c r="T30" s="302" t="s">
        <v>508</v>
      </c>
      <c r="U30" s="302" t="s">
        <v>660</v>
      </c>
      <c r="V30" s="637">
        <v>0</v>
      </c>
      <c r="W30" s="302" t="s">
        <v>671</v>
      </c>
      <c r="X30" s="302" t="s">
        <v>672</v>
      </c>
      <c r="Y30" s="637">
        <v>0.01</v>
      </c>
      <c r="Z30" s="645">
        <f t="shared" si="2"/>
        <v>0.5</v>
      </c>
      <c r="AA30" s="637">
        <v>0.49</v>
      </c>
      <c r="AB30" s="302" t="s">
        <v>508</v>
      </c>
      <c r="AC30" s="302" t="s">
        <v>660</v>
      </c>
      <c r="AD30" s="637">
        <v>0</v>
      </c>
      <c r="AE30" s="302" t="s">
        <v>671</v>
      </c>
      <c r="AF30" s="302" t="s">
        <v>672</v>
      </c>
      <c r="AG30" s="637">
        <v>0.01</v>
      </c>
      <c r="AH30" s="645">
        <f t="shared" si="18"/>
        <v>0.5</v>
      </c>
      <c r="AI30" s="637">
        <v>0.49</v>
      </c>
      <c r="AJ30" s="302" t="s">
        <v>508</v>
      </c>
      <c r="AK30" s="302" t="s">
        <v>660</v>
      </c>
      <c r="AL30" s="637">
        <v>0</v>
      </c>
      <c r="AM30" s="302" t="s">
        <v>671</v>
      </c>
      <c r="AN30" s="302" t="s">
        <v>672</v>
      </c>
      <c r="AO30" s="637">
        <v>0.01</v>
      </c>
      <c r="AP30" s="645">
        <f t="shared" si="14"/>
        <v>0.5</v>
      </c>
      <c r="AQ30" s="637">
        <v>0.49</v>
      </c>
      <c r="AR30" s="302" t="s">
        <v>508</v>
      </c>
      <c r="AS30" s="302" t="s">
        <v>660</v>
      </c>
      <c r="AT30" s="637">
        <v>0</v>
      </c>
      <c r="AU30" s="302" t="s">
        <v>671</v>
      </c>
      <c r="AV30" s="302" t="s">
        <v>672</v>
      </c>
      <c r="AW30" s="637">
        <v>0.01</v>
      </c>
      <c r="AX30" s="645">
        <f t="shared" si="15"/>
        <v>0.5</v>
      </c>
      <c r="AY30" s="637">
        <v>0.74</v>
      </c>
      <c r="AZ30" s="302" t="s">
        <v>508</v>
      </c>
      <c r="BA30" s="302" t="s">
        <v>660</v>
      </c>
      <c r="BB30" s="637">
        <v>0</v>
      </c>
      <c r="BC30" s="302" t="s">
        <v>671</v>
      </c>
      <c r="BD30" s="302" t="s">
        <v>672</v>
      </c>
      <c r="BE30" s="637">
        <v>0.01</v>
      </c>
      <c r="BF30" s="434">
        <f t="shared" si="12"/>
        <v>0.75</v>
      </c>
      <c r="BG30" s="587">
        <v>0.99</v>
      </c>
      <c r="BH30" s="302" t="s">
        <v>508</v>
      </c>
      <c r="BI30" s="302" t="s">
        <v>660</v>
      </c>
      <c r="BJ30" s="434">
        <v>0</v>
      </c>
      <c r="BK30" s="302" t="s">
        <v>671</v>
      </c>
      <c r="BL30" s="302" t="s">
        <v>672</v>
      </c>
      <c r="BM30" s="434">
        <v>0.01</v>
      </c>
      <c r="BN30" s="645">
        <f t="shared" si="13"/>
        <v>1</v>
      </c>
      <c r="BO30" s="434"/>
      <c r="BP30" s="434">
        <v>0.49</v>
      </c>
      <c r="BQ30" s="302" t="s">
        <v>508</v>
      </c>
      <c r="BR30" s="302" t="s">
        <v>660</v>
      </c>
      <c r="BS30" s="434">
        <v>0</v>
      </c>
      <c r="BT30" s="302" t="s">
        <v>671</v>
      </c>
      <c r="BU30" s="302" t="s">
        <v>672</v>
      </c>
      <c r="BV30" s="434">
        <v>0.01</v>
      </c>
      <c r="BW30" s="645">
        <f t="shared" si="16"/>
        <v>0.5</v>
      </c>
      <c r="BX30" s="434">
        <v>0.49</v>
      </c>
      <c r="BY30" s="302" t="s">
        <v>508</v>
      </c>
      <c r="BZ30" s="302" t="s">
        <v>660</v>
      </c>
      <c r="CA30" s="434">
        <v>0</v>
      </c>
      <c r="CB30" s="302" t="s">
        <v>671</v>
      </c>
      <c r="CC30" s="302" t="s">
        <v>672</v>
      </c>
      <c r="CD30" s="434">
        <v>0.01</v>
      </c>
      <c r="CE30" s="434">
        <f t="shared" si="17"/>
        <v>0.5</v>
      </c>
      <c r="CF30" s="1620" t="s">
        <v>862</v>
      </c>
      <c r="CG30" s="1620" t="s">
        <v>1166</v>
      </c>
      <c r="CH30" s="1620" t="s">
        <v>1166</v>
      </c>
      <c r="CI30" s="408" t="s">
        <v>862</v>
      </c>
      <c r="CJ30" s="642">
        <v>0.66500000000000004</v>
      </c>
      <c r="CK30" s="591" t="s">
        <v>922</v>
      </c>
      <c r="CL30" s="302" t="s">
        <v>508</v>
      </c>
      <c r="CM30" s="302" t="s">
        <v>660</v>
      </c>
      <c r="CN30" s="637">
        <v>0</v>
      </c>
      <c r="CO30" s="302" t="s">
        <v>671</v>
      </c>
      <c r="CP30" s="302" t="s">
        <v>672</v>
      </c>
      <c r="CQ30" s="637">
        <v>0.01</v>
      </c>
    </row>
    <row r="31" spans="1:95" ht="15.75" customHeight="1" x14ac:dyDescent="0.2">
      <c r="A31" s="433" t="s">
        <v>768</v>
      </c>
      <c r="B31" s="302" t="s">
        <v>767</v>
      </c>
      <c r="C31" s="637">
        <v>0.4</v>
      </c>
      <c r="D31" s="302" t="s">
        <v>575</v>
      </c>
      <c r="E31" s="302" t="s">
        <v>576</v>
      </c>
      <c r="F31" s="637">
        <v>0.09</v>
      </c>
      <c r="G31" s="302" t="s">
        <v>572</v>
      </c>
      <c r="H31" s="302" t="s">
        <v>1200</v>
      </c>
      <c r="I31" s="637">
        <v>0.01</v>
      </c>
      <c r="J31" s="662">
        <f t="shared" si="10"/>
        <v>0.5</v>
      </c>
      <c r="K31" s="637">
        <v>0.4</v>
      </c>
      <c r="L31" s="302" t="s">
        <v>575</v>
      </c>
      <c r="M31" s="302" t="s">
        <v>576</v>
      </c>
      <c r="N31" s="637">
        <v>0.09</v>
      </c>
      <c r="O31" s="302" t="s">
        <v>572</v>
      </c>
      <c r="P31" s="302" t="s">
        <v>1200</v>
      </c>
      <c r="Q31" s="637">
        <v>0.01</v>
      </c>
      <c r="R31" s="645">
        <f t="shared" si="11"/>
        <v>0.5</v>
      </c>
      <c r="S31" s="637">
        <v>0.4</v>
      </c>
      <c r="T31" s="302" t="s">
        <v>575</v>
      </c>
      <c r="U31" s="302" t="s">
        <v>576</v>
      </c>
      <c r="V31" s="637">
        <v>0.09</v>
      </c>
      <c r="W31" s="302" t="s">
        <v>572</v>
      </c>
      <c r="X31" s="302" t="s">
        <v>1200</v>
      </c>
      <c r="Y31" s="637">
        <v>0.01</v>
      </c>
      <c r="Z31" s="645">
        <f t="shared" si="2"/>
        <v>0.5</v>
      </c>
      <c r="AA31" s="637">
        <v>0.4</v>
      </c>
      <c r="AB31" s="302" t="s">
        <v>575</v>
      </c>
      <c r="AC31" s="302" t="s">
        <v>576</v>
      </c>
      <c r="AD31" s="637">
        <v>0.09</v>
      </c>
      <c r="AE31" s="302" t="s">
        <v>572</v>
      </c>
      <c r="AF31" s="302" t="s">
        <v>1200</v>
      </c>
      <c r="AG31" s="637">
        <v>0.01</v>
      </c>
      <c r="AH31" s="645">
        <f t="shared" si="18"/>
        <v>0.5</v>
      </c>
      <c r="AI31" s="637">
        <v>0.4</v>
      </c>
      <c r="AJ31" s="302" t="s">
        <v>575</v>
      </c>
      <c r="AK31" s="302" t="s">
        <v>576</v>
      </c>
      <c r="AL31" s="637">
        <v>0.09</v>
      </c>
      <c r="AM31" s="302" t="s">
        <v>572</v>
      </c>
      <c r="AN31" s="302" t="s">
        <v>1200</v>
      </c>
      <c r="AO31" s="637">
        <v>0.01</v>
      </c>
      <c r="AP31" s="645">
        <f t="shared" si="14"/>
        <v>0.5</v>
      </c>
      <c r="AQ31" s="637">
        <v>0.4</v>
      </c>
      <c r="AR31" s="302" t="s">
        <v>575</v>
      </c>
      <c r="AS31" s="302" t="s">
        <v>576</v>
      </c>
      <c r="AT31" s="637">
        <v>0.09</v>
      </c>
      <c r="AU31" s="302" t="s">
        <v>572</v>
      </c>
      <c r="AV31" s="302" t="s">
        <v>1200</v>
      </c>
      <c r="AW31" s="637">
        <v>0.01</v>
      </c>
      <c r="AX31" s="645">
        <f t="shared" si="15"/>
        <v>0.5</v>
      </c>
      <c r="AY31" s="637">
        <v>0.4</v>
      </c>
      <c r="AZ31" s="302" t="s">
        <v>575</v>
      </c>
      <c r="BA31" s="302" t="s">
        <v>576</v>
      </c>
      <c r="BB31" s="637">
        <v>0.09</v>
      </c>
      <c r="BC31" s="302" t="s">
        <v>572</v>
      </c>
      <c r="BD31" s="302" t="s">
        <v>1200</v>
      </c>
      <c r="BE31" s="637">
        <v>0.01</v>
      </c>
      <c r="BF31" s="434">
        <f t="shared" si="12"/>
        <v>0.5</v>
      </c>
      <c r="BG31" s="587">
        <v>0.4</v>
      </c>
      <c r="BH31" s="302" t="s">
        <v>575</v>
      </c>
      <c r="BI31" s="302" t="s">
        <v>576</v>
      </c>
      <c r="BJ31" s="434">
        <v>0.09</v>
      </c>
      <c r="BK31" s="302" t="s">
        <v>572</v>
      </c>
      <c r="BL31" s="302" t="s">
        <v>573</v>
      </c>
      <c r="BM31" s="434">
        <v>0.01</v>
      </c>
      <c r="BN31" s="645">
        <f t="shared" si="13"/>
        <v>0.5</v>
      </c>
      <c r="BO31" s="434"/>
      <c r="BP31" s="434">
        <v>0.4</v>
      </c>
      <c r="BQ31" s="302" t="s">
        <v>575</v>
      </c>
      <c r="BR31" s="302" t="s">
        <v>576</v>
      </c>
      <c r="BS31" s="434">
        <v>0.09</v>
      </c>
      <c r="BT31" s="302" t="s">
        <v>572</v>
      </c>
      <c r="BU31" s="302" t="s">
        <v>573</v>
      </c>
      <c r="BV31" s="434">
        <v>0.01</v>
      </c>
      <c r="BW31" s="645">
        <f t="shared" si="16"/>
        <v>0.5</v>
      </c>
      <c r="BX31" s="434">
        <v>0.4</v>
      </c>
      <c r="BY31" s="302" t="s">
        <v>575</v>
      </c>
      <c r="BZ31" s="302" t="s">
        <v>576</v>
      </c>
      <c r="CA31" s="434">
        <v>0.09</v>
      </c>
      <c r="CB31" s="302" t="s">
        <v>572</v>
      </c>
      <c r="CC31" s="302" t="s">
        <v>573</v>
      </c>
      <c r="CD31" s="434">
        <v>0.01</v>
      </c>
      <c r="CE31" s="434">
        <f t="shared" si="17"/>
        <v>0.5</v>
      </c>
      <c r="CF31" s="1620" t="s">
        <v>1166</v>
      </c>
      <c r="CG31" s="1620" t="s">
        <v>1166</v>
      </c>
      <c r="CH31" s="1620" t="s">
        <v>1166</v>
      </c>
      <c r="CI31" s="406"/>
      <c r="CJ31" s="642">
        <v>0.68400000000000005</v>
      </c>
      <c r="CK31" s="591" t="s">
        <v>922</v>
      </c>
      <c r="CL31" s="302" t="s">
        <v>575</v>
      </c>
      <c r="CM31" s="302" t="s">
        <v>576</v>
      </c>
      <c r="CN31" s="637">
        <v>0.59</v>
      </c>
      <c r="CO31" s="302" t="s">
        <v>572</v>
      </c>
      <c r="CP31" s="302" t="s">
        <v>573</v>
      </c>
      <c r="CQ31" s="637">
        <v>0.01</v>
      </c>
    </row>
    <row r="32" spans="1:95" ht="15.75" customHeight="1" x14ac:dyDescent="0.2">
      <c r="A32" s="433" t="s">
        <v>770</v>
      </c>
      <c r="B32" s="302" t="s">
        <v>769</v>
      </c>
      <c r="C32" s="637">
        <v>0.4</v>
      </c>
      <c r="D32" s="302" t="s">
        <v>621</v>
      </c>
      <c r="E32" s="302" t="s">
        <v>622</v>
      </c>
      <c r="F32" s="637">
        <v>0.1</v>
      </c>
      <c r="G32" s="302" t="s">
        <v>508</v>
      </c>
      <c r="H32" s="302" t="s">
        <v>546</v>
      </c>
      <c r="I32" s="637">
        <v>0</v>
      </c>
      <c r="J32" s="662">
        <f t="shared" si="10"/>
        <v>0.5</v>
      </c>
      <c r="K32" s="637">
        <v>0.4</v>
      </c>
      <c r="L32" s="302" t="s">
        <v>621</v>
      </c>
      <c r="M32" s="302" t="s">
        <v>622</v>
      </c>
      <c r="N32" s="637">
        <v>0.1</v>
      </c>
      <c r="O32" s="302" t="s">
        <v>508</v>
      </c>
      <c r="P32" s="302" t="s">
        <v>546</v>
      </c>
      <c r="Q32" s="637">
        <v>0</v>
      </c>
      <c r="R32" s="645">
        <f t="shared" si="11"/>
        <v>0.5</v>
      </c>
      <c r="S32" s="637">
        <v>0.4</v>
      </c>
      <c r="T32" s="302" t="s">
        <v>621</v>
      </c>
      <c r="U32" s="302" t="s">
        <v>622</v>
      </c>
      <c r="V32" s="637">
        <v>0.1</v>
      </c>
      <c r="W32" s="302" t="s">
        <v>508</v>
      </c>
      <c r="X32" s="302" t="s">
        <v>546</v>
      </c>
      <c r="Y32" s="637">
        <v>0</v>
      </c>
      <c r="Z32" s="645">
        <f t="shared" si="2"/>
        <v>0.5</v>
      </c>
      <c r="AA32" s="637">
        <v>0.4</v>
      </c>
      <c r="AB32" s="302" t="s">
        <v>621</v>
      </c>
      <c r="AC32" s="302" t="s">
        <v>622</v>
      </c>
      <c r="AD32" s="637">
        <v>0.1</v>
      </c>
      <c r="AE32" s="302" t="s">
        <v>508</v>
      </c>
      <c r="AF32" s="302" t="s">
        <v>546</v>
      </c>
      <c r="AG32" s="637">
        <v>0</v>
      </c>
      <c r="AH32" s="645">
        <f t="shared" si="18"/>
        <v>0.5</v>
      </c>
      <c r="AI32" s="637">
        <v>0.4</v>
      </c>
      <c r="AJ32" s="302" t="s">
        <v>621</v>
      </c>
      <c r="AK32" s="302" t="s">
        <v>622</v>
      </c>
      <c r="AL32" s="637">
        <v>0.1</v>
      </c>
      <c r="AM32" s="302" t="s">
        <v>508</v>
      </c>
      <c r="AN32" s="302" t="s">
        <v>546</v>
      </c>
      <c r="AO32" s="637">
        <v>0</v>
      </c>
      <c r="AP32" s="645">
        <f t="shared" si="14"/>
        <v>0.5</v>
      </c>
      <c r="AQ32" s="637">
        <v>0.4</v>
      </c>
      <c r="AR32" s="302" t="s">
        <v>621</v>
      </c>
      <c r="AS32" s="302" t="s">
        <v>622</v>
      </c>
      <c r="AT32" s="637">
        <v>0.1</v>
      </c>
      <c r="AU32" s="302" t="s">
        <v>508</v>
      </c>
      <c r="AV32" s="302" t="s">
        <v>546</v>
      </c>
      <c r="AW32" s="637">
        <v>0</v>
      </c>
      <c r="AX32" s="645">
        <f t="shared" si="15"/>
        <v>0.5</v>
      </c>
      <c r="AY32" s="637">
        <v>0.42499999999999999</v>
      </c>
      <c r="AZ32" s="302" t="s">
        <v>621</v>
      </c>
      <c r="BA32" s="302" t="s">
        <v>622</v>
      </c>
      <c r="BB32" s="637">
        <v>0.32500000000000001</v>
      </c>
      <c r="BC32" s="302" t="s">
        <v>508</v>
      </c>
      <c r="BD32" s="302" t="s">
        <v>546</v>
      </c>
      <c r="BE32" s="637">
        <v>0</v>
      </c>
      <c r="BF32" s="434">
        <f t="shared" si="12"/>
        <v>0.75</v>
      </c>
      <c r="BG32" s="587">
        <v>0.4</v>
      </c>
      <c r="BH32" s="302" t="s">
        <v>621</v>
      </c>
      <c r="BI32" s="302" t="s">
        <v>622</v>
      </c>
      <c r="BJ32" s="434">
        <v>0.1</v>
      </c>
      <c r="BK32" s="302" t="s">
        <v>508</v>
      </c>
      <c r="BL32" s="302" t="s">
        <v>546</v>
      </c>
      <c r="BM32" s="434">
        <v>0</v>
      </c>
      <c r="BN32" s="645">
        <f t="shared" si="13"/>
        <v>0.5</v>
      </c>
      <c r="BO32" s="434"/>
      <c r="BP32" s="434">
        <v>0.4</v>
      </c>
      <c r="BQ32" s="302" t="s">
        <v>621</v>
      </c>
      <c r="BR32" s="302" t="s">
        <v>622</v>
      </c>
      <c r="BS32" s="434">
        <v>0.1</v>
      </c>
      <c r="BT32" s="302" t="s">
        <v>508</v>
      </c>
      <c r="BU32" s="302" t="s">
        <v>546</v>
      </c>
      <c r="BV32" s="434">
        <v>0</v>
      </c>
      <c r="BW32" s="645">
        <f t="shared" si="16"/>
        <v>0.5</v>
      </c>
      <c r="BX32" s="434">
        <v>0.4</v>
      </c>
      <c r="BY32" s="302" t="s">
        <v>621</v>
      </c>
      <c r="BZ32" s="302" t="s">
        <v>622</v>
      </c>
      <c r="CA32" s="434">
        <v>0.1</v>
      </c>
      <c r="CB32" s="302" t="s">
        <v>508</v>
      </c>
      <c r="CC32" s="302" t="s">
        <v>546</v>
      </c>
      <c r="CD32" s="434">
        <v>0</v>
      </c>
      <c r="CE32" s="434">
        <f t="shared" si="17"/>
        <v>0.5</v>
      </c>
      <c r="CF32" s="1620" t="s">
        <v>1166</v>
      </c>
      <c r="CG32" s="1620" t="s">
        <v>1166</v>
      </c>
      <c r="CH32" s="1620" t="s">
        <v>1166</v>
      </c>
      <c r="CI32" s="406"/>
      <c r="CJ32" s="642">
        <v>0.67700000000000005</v>
      </c>
      <c r="CK32" s="591" t="s">
        <v>922</v>
      </c>
      <c r="CL32" s="302" t="s">
        <v>621</v>
      </c>
      <c r="CM32" s="302" t="s">
        <v>622</v>
      </c>
      <c r="CN32" s="637">
        <v>0.6</v>
      </c>
      <c r="CO32" s="302" t="s">
        <v>508</v>
      </c>
      <c r="CP32" s="302" t="s">
        <v>546</v>
      </c>
      <c r="CQ32" s="637">
        <v>0</v>
      </c>
    </row>
    <row r="33" spans="1:98" ht="15.75" customHeight="1" x14ac:dyDescent="0.2">
      <c r="A33" s="433" t="s">
        <v>772</v>
      </c>
      <c r="B33" s="302" t="s">
        <v>771</v>
      </c>
      <c r="C33" s="637">
        <v>0.3</v>
      </c>
      <c r="D33" s="302" t="s">
        <v>674</v>
      </c>
      <c r="E33" s="302" t="s">
        <v>675</v>
      </c>
      <c r="F33" s="637">
        <v>0.37</v>
      </c>
      <c r="G33" s="302" t="s">
        <v>508</v>
      </c>
      <c r="H33" s="302" t="s">
        <v>508</v>
      </c>
      <c r="I33" s="637">
        <v>0</v>
      </c>
      <c r="J33" s="662">
        <f t="shared" si="10"/>
        <v>0.66999999999999993</v>
      </c>
      <c r="K33" s="637">
        <v>0.3</v>
      </c>
      <c r="L33" s="302" t="s">
        <v>674</v>
      </c>
      <c r="M33" s="302" t="s">
        <v>675</v>
      </c>
      <c r="N33" s="637">
        <v>0.37</v>
      </c>
      <c r="O33" s="302" t="s">
        <v>508</v>
      </c>
      <c r="P33" s="302" t="s">
        <v>508</v>
      </c>
      <c r="Q33" s="637">
        <v>0</v>
      </c>
      <c r="R33" s="645">
        <f t="shared" si="11"/>
        <v>0.66999999999999993</v>
      </c>
      <c r="S33" s="637">
        <v>0.3</v>
      </c>
      <c r="T33" s="302" t="s">
        <v>674</v>
      </c>
      <c r="U33" s="302" t="s">
        <v>675</v>
      </c>
      <c r="V33" s="637">
        <v>0.37</v>
      </c>
      <c r="W33" s="302" t="s">
        <v>508</v>
      </c>
      <c r="X33" s="302" t="s">
        <v>508</v>
      </c>
      <c r="Y33" s="637">
        <v>0</v>
      </c>
      <c r="Z33" s="645">
        <f t="shared" si="2"/>
        <v>0.66999999999999993</v>
      </c>
      <c r="AA33" s="637">
        <v>0.3</v>
      </c>
      <c r="AB33" s="302" t="s">
        <v>674</v>
      </c>
      <c r="AC33" s="302" t="s">
        <v>675</v>
      </c>
      <c r="AD33" s="637">
        <v>0.37</v>
      </c>
      <c r="AE33" s="302" t="s">
        <v>508</v>
      </c>
      <c r="AF33" s="302" t="s">
        <v>508</v>
      </c>
      <c r="AG33" s="637">
        <v>0</v>
      </c>
      <c r="AH33" s="645">
        <f t="shared" si="18"/>
        <v>0.66999999999999993</v>
      </c>
      <c r="AI33" s="637">
        <v>0.3</v>
      </c>
      <c r="AJ33" s="302" t="s">
        <v>674</v>
      </c>
      <c r="AK33" s="302" t="s">
        <v>675</v>
      </c>
      <c r="AL33" s="637">
        <v>0.37</v>
      </c>
      <c r="AM33" s="302" t="s">
        <v>508</v>
      </c>
      <c r="AN33" s="302" t="s">
        <v>508</v>
      </c>
      <c r="AO33" s="637">
        <v>0</v>
      </c>
      <c r="AP33" s="645">
        <f t="shared" si="14"/>
        <v>0.66999999999999993</v>
      </c>
      <c r="AQ33" s="637">
        <v>0.3</v>
      </c>
      <c r="AR33" s="302" t="s">
        <v>674</v>
      </c>
      <c r="AS33" s="302" t="s">
        <v>675</v>
      </c>
      <c r="AT33" s="637">
        <v>0.37</v>
      </c>
      <c r="AU33" s="302" t="s">
        <v>508</v>
      </c>
      <c r="AV33" s="302" t="s">
        <v>508</v>
      </c>
      <c r="AW33" s="637">
        <v>0</v>
      </c>
      <c r="AX33" s="645">
        <f t="shared" si="15"/>
        <v>0.66999999999999993</v>
      </c>
      <c r="AY33" s="637">
        <v>0.48</v>
      </c>
      <c r="AZ33" s="302" t="s">
        <v>674</v>
      </c>
      <c r="BA33" s="302" t="s">
        <v>675</v>
      </c>
      <c r="BB33" s="637">
        <v>0.27</v>
      </c>
      <c r="BC33" s="302" t="s">
        <v>508</v>
      </c>
      <c r="BD33" s="302" t="s">
        <v>508</v>
      </c>
      <c r="BE33" s="637">
        <v>0</v>
      </c>
      <c r="BF33" s="434">
        <f t="shared" si="12"/>
        <v>0.75</v>
      </c>
      <c r="BG33" s="587">
        <v>0.64</v>
      </c>
      <c r="BH33" s="302" t="s">
        <v>674</v>
      </c>
      <c r="BI33" s="302" t="s">
        <v>675</v>
      </c>
      <c r="BJ33" s="434">
        <v>0.36</v>
      </c>
      <c r="BK33" s="302" t="s">
        <v>508</v>
      </c>
      <c r="BL33" s="302" t="s">
        <v>508</v>
      </c>
      <c r="BM33" s="434">
        <v>0</v>
      </c>
      <c r="BN33" s="645">
        <f t="shared" si="13"/>
        <v>1</v>
      </c>
      <c r="BO33" s="434"/>
      <c r="BP33" s="434">
        <v>0.3</v>
      </c>
      <c r="BQ33" s="302" t="s">
        <v>674</v>
      </c>
      <c r="BR33" s="302" t="s">
        <v>675</v>
      </c>
      <c r="BS33" s="434">
        <v>0.37</v>
      </c>
      <c r="BT33" s="302" t="s">
        <v>508</v>
      </c>
      <c r="BU33" s="302" t="s">
        <v>508</v>
      </c>
      <c r="BV33" s="434">
        <v>0</v>
      </c>
      <c r="BW33" s="645">
        <f t="shared" si="16"/>
        <v>0.66999999999999993</v>
      </c>
      <c r="BX33" s="434">
        <v>0.3</v>
      </c>
      <c r="BY33" s="302" t="s">
        <v>674</v>
      </c>
      <c r="BZ33" s="302" t="s">
        <v>675</v>
      </c>
      <c r="CA33" s="434">
        <v>0.2</v>
      </c>
      <c r="CB33" s="302" t="s">
        <v>508</v>
      </c>
      <c r="CC33" s="302" t="s">
        <v>508</v>
      </c>
      <c r="CD33" s="434">
        <v>0</v>
      </c>
      <c r="CE33" s="434">
        <f t="shared" si="17"/>
        <v>0.5</v>
      </c>
      <c r="CF33" s="1620" t="s">
        <v>1166</v>
      </c>
      <c r="CG33" s="1620" t="s">
        <v>1166</v>
      </c>
      <c r="CH33" s="1620" t="s">
        <v>1166</v>
      </c>
      <c r="CI33" s="408" t="s">
        <v>862</v>
      </c>
      <c r="CJ33" s="642">
        <v>0.78</v>
      </c>
      <c r="CK33" s="591" t="s">
        <v>922</v>
      </c>
      <c r="CL33" s="302" t="s">
        <v>674</v>
      </c>
      <c r="CM33" s="302" t="s">
        <v>675</v>
      </c>
      <c r="CN33" s="637">
        <v>0.2</v>
      </c>
      <c r="CO33" s="302" t="s">
        <v>508</v>
      </c>
      <c r="CP33" s="302" t="s">
        <v>508</v>
      </c>
      <c r="CQ33" s="637">
        <v>0</v>
      </c>
    </row>
    <row r="34" spans="1:98" ht="15.75" customHeight="1" x14ac:dyDescent="0.2">
      <c r="A34" s="433" t="s">
        <v>774</v>
      </c>
      <c r="B34" s="302" t="s">
        <v>773</v>
      </c>
      <c r="C34" s="637">
        <v>0.4</v>
      </c>
      <c r="D34" s="302" t="s">
        <v>575</v>
      </c>
      <c r="E34" s="302" t="s">
        <v>576</v>
      </c>
      <c r="F34" s="637">
        <v>0.09</v>
      </c>
      <c r="G34" s="302" t="s">
        <v>572</v>
      </c>
      <c r="H34" s="302" t="s">
        <v>1200</v>
      </c>
      <c r="I34" s="637">
        <v>0.01</v>
      </c>
      <c r="J34" s="662">
        <f t="shared" si="10"/>
        <v>0.5</v>
      </c>
      <c r="K34" s="637">
        <v>0.4</v>
      </c>
      <c r="L34" s="302" t="s">
        <v>575</v>
      </c>
      <c r="M34" s="302" t="s">
        <v>576</v>
      </c>
      <c r="N34" s="637">
        <v>0.09</v>
      </c>
      <c r="O34" s="302" t="s">
        <v>572</v>
      </c>
      <c r="P34" s="302" t="s">
        <v>1200</v>
      </c>
      <c r="Q34" s="637">
        <v>0.01</v>
      </c>
      <c r="R34" s="645">
        <f t="shared" si="11"/>
        <v>0.5</v>
      </c>
      <c r="S34" s="637">
        <v>0.4</v>
      </c>
      <c r="T34" s="302" t="s">
        <v>575</v>
      </c>
      <c r="U34" s="302" t="s">
        <v>576</v>
      </c>
      <c r="V34" s="637">
        <v>0.09</v>
      </c>
      <c r="W34" s="302" t="s">
        <v>572</v>
      </c>
      <c r="X34" s="302" t="s">
        <v>1200</v>
      </c>
      <c r="Y34" s="637">
        <v>0.01</v>
      </c>
      <c r="Z34" s="645">
        <f t="shared" si="2"/>
        <v>0.5</v>
      </c>
      <c r="AA34" s="637">
        <v>0.4</v>
      </c>
      <c r="AB34" s="302" t="s">
        <v>575</v>
      </c>
      <c r="AC34" s="302" t="s">
        <v>576</v>
      </c>
      <c r="AD34" s="637">
        <v>0.09</v>
      </c>
      <c r="AE34" s="302" t="s">
        <v>572</v>
      </c>
      <c r="AF34" s="302" t="s">
        <v>1200</v>
      </c>
      <c r="AG34" s="637">
        <v>0.01</v>
      </c>
      <c r="AH34" s="645">
        <f t="shared" si="18"/>
        <v>0.5</v>
      </c>
      <c r="AI34" s="637">
        <v>0.4</v>
      </c>
      <c r="AJ34" s="302" t="s">
        <v>575</v>
      </c>
      <c r="AK34" s="302" t="s">
        <v>576</v>
      </c>
      <c r="AL34" s="637">
        <v>0.09</v>
      </c>
      <c r="AM34" s="302" t="s">
        <v>572</v>
      </c>
      <c r="AN34" s="302" t="s">
        <v>1200</v>
      </c>
      <c r="AO34" s="637">
        <v>0.01</v>
      </c>
      <c r="AP34" s="645">
        <f t="shared" si="14"/>
        <v>0.5</v>
      </c>
      <c r="AQ34" s="637">
        <v>0.4</v>
      </c>
      <c r="AR34" s="302" t="s">
        <v>575</v>
      </c>
      <c r="AS34" s="302" t="s">
        <v>576</v>
      </c>
      <c r="AT34" s="637">
        <v>0.09</v>
      </c>
      <c r="AU34" s="302" t="s">
        <v>572</v>
      </c>
      <c r="AV34" s="302" t="s">
        <v>1200</v>
      </c>
      <c r="AW34" s="637">
        <v>0.01</v>
      </c>
      <c r="AX34" s="645">
        <f t="shared" si="15"/>
        <v>0.5</v>
      </c>
      <c r="AY34" s="637">
        <v>0.4</v>
      </c>
      <c r="AZ34" s="302" t="s">
        <v>575</v>
      </c>
      <c r="BA34" s="302" t="s">
        <v>576</v>
      </c>
      <c r="BB34" s="637">
        <v>0.09</v>
      </c>
      <c r="BC34" s="302" t="s">
        <v>572</v>
      </c>
      <c r="BD34" s="302" t="s">
        <v>1200</v>
      </c>
      <c r="BE34" s="637">
        <v>0.01</v>
      </c>
      <c r="BF34" s="434">
        <f t="shared" si="12"/>
        <v>0.5</v>
      </c>
      <c r="BG34" s="587">
        <v>0.4</v>
      </c>
      <c r="BH34" s="302" t="s">
        <v>575</v>
      </c>
      <c r="BI34" s="302" t="s">
        <v>576</v>
      </c>
      <c r="BJ34" s="434">
        <v>0.09</v>
      </c>
      <c r="BK34" s="302" t="s">
        <v>572</v>
      </c>
      <c r="BL34" s="302" t="s">
        <v>573</v>
      </c>
      <c r="BM34" s="434">
        <v>0.01</v>
      </c>
      <c r="BN34" s="645">
        <f t="shared" si="13"/>
        <v>0.5</v>
      </c>
      <c r="BO34" s="434"/>
      <c r="BP34" s="434">
        <v>0.4</v>
      </c>
      <c r="BQ34" s="302" t="s">
        <v>575</v>
      </c>
      <c r="BR34" s="302" t="s">
        <v>576</v>
      </c>
      <c r="BS34" s="434">
        <v>0.09</v>
      </c>
      <c r="BT34" s="302" t="s">
        <v>572</v>
      </c>
      <c r="BU34" s="302" t="s">
        <v>573</v>
      </c>
      <c r="BV34" s="434">
        <v>0.01</v>
      </c>
      <c r="BW34" s="645">
        <f t="shared" si="16"/>
        <v>0.5</v>
      </c>
      <c r="BX34" s="434">
        <v>0.4</v>
      </c>
      <c r="BY34" s="302" t="s">
        <v>575</v>
      </c>
      <c r="BZ34" s="302" t="s">
        <v>576</v>
      </c>
      <c r="CA34" s="434">
        <v>0.09</v>
      </c>
      <c r="CB34" s="302" t="s">
        <v>572</v>
      </c>
      <c r="CC34" s="302" t="s">
        <v>573</v>
      </c>
      <c r="CD34" s="434">
        <v>0.01</v>
      </c>
      <c r="CE34" s="434">
        <f t="shared" si="17"/>
        <v>0.5</v>
      </c>
      <c r="CF34" s="1620" t="s">
        <v>1166</v>
      </c>
      <c r="CG34" s="1620" t="s">
        <v>1166</v>
      </c>
      <c r="CH34" s="1620" t="s">
        <v>1166</v>
      </c>
      <c r="CI34" s="406"/>
      <c r="CJ34" s="642">
        <v>0.72799999999999998</v>
      </c>
      <c r="CK34" s="591" t="s">
        <v>922</v>
      </c>
      <c r="CL34" s="302" t="s">
        <v>575</v>
      </c>
      <c r="CM34" s="302" t="s">
        <v>576</v>
      </c>
      <c r="CN34" s="637">
        <v>0.59</v>
      </c>
      <c r="CO34" s="302" t="s">
        <v>572</v>
      </c>
      <c r="CP34" s="302" t="s">
        <v>573</v>
      </c>
      <c r="CQ34" s="637">
        <v>0.01</v>
      </c>
    </row>
    <row r="35" spans="1:98" ht="15.75" customHeight="1" x14ac:dyDescent="0.2">
      <c r="A35" s="433" t="s">
        <v>776</v>
      </c>
      <c r="B35" s="302" t="s">
        <v>566</v>
      </c>
      <c r="C35" s="637">
        <v>0.49</v>
      </c>
      <c r="D35" s="302" t="s">
        <v>508</v>
      </c>
      <c r="E35" s="302" t="s">
        <v>509</v>
      </c>
      <c r="F35" s="637">
        <v>0</v>
      </c>
      <c r="G35" s="302" t="s">
        <v>567</v>
      </c>
      <c r="H35" s="302" t="s">
        <v>568</v>
      </c>
      <c r="I35" s="637">
        <v>0.01</v>
      </c>
      <c r="J35" s="662">
        <f t="shared" si="10"/>
        <v>0.5</v>
      </c>
      <c r="K35" s="637">
        <v>0.49</v>
      </c>
      <c r="L35" s="302" t="s">
        <v>508</v>
      </c>
      <c r="M35" s="302" t="s">
        <v>509</v>
      </c>
      <c r="N35" s="637">
        <v>0</v>
      </c>
      <c r="O35" s="302" t="s">
        <v>567</v>
      </c>
      <c r="P35" s="302" t="s">
        <v>568</v>
      </c>
      <c r="Q35" s="637">
        <v>0.01</v>
      </c>
      <c r="R35" s="645">
        <f t="shared" si="11"/>
        <v>0.5</v>
      </c>
      <c r="S35" s="637">
        <v>0.49</v>
      </c>
      <c r="T35" s="302" t="s">
        <v>508</v>
      </c>
      <c r="U35" s="302" t="s">
        <v>509</v>
      </c>
      <c r="V35" s="637">
        <v>0</v>
      </c>
      <c r="W35" s="302" t="s">
        <v>567</v>
      </c>
      <c r="X35" s="302" t="s">
        <v>568</v>
      </c>
      <c r="Y35" s="637">
        <v>0.01</v>
      </c>
      <c r="Z35" s="645">
        <f t="shared" si="2"/>
        <v>0.5</v>
      </c>
      <c r="AA35" s="637">
        <v>0.49</v>
      </c>
      <c r="AB35" s="302" t="s">
        <v>508</v>
      </c>
      <c r="AC35" s="302" t="s">
        <v>509</v>
      </c>
      <c r="AD35" s="637">
        <v>0</v>
      </c>
      <c r="AE35" s="302" t="s">
        <v>567</v>
      </c>
      <c r="AF35" s="302" t="s">
        <v>568</v>
      </c>
      <c r="AG35" s="637">
        <v>0.01</v>
      </c>
      <c r="AH35" s="645">
        <f t="shared" si="18"/>
        <v>0.5</v>
      </c>
      <c r="AI35" s="637">
        <v>0.49</v>
      </c>
      <c r="AJ35" s="302" t="s">
        <v>508</v>
      </c>
      <c r="AK35" s="302" t="s">
        <v>509</v>
      </c>
      <c r="AL35" s="637">
        <v>0</v>
      </c>
      <c r="AM35" s="302" t="s">
        <v>567</v>
      </c>
      <c r="AN35" s="302" t="s">
        <v>568</v>
      </c>
      <c r="AO35" s="637">
        <v>0.01</v>
      </c>
      <c r="AP35" s="645">
        <f t="shared" si="14"/>
        <v>0.5</v>
      </c>
      <c r="AQ35" s="637">
        <v>0.49</v>
      </c>
      <c r="AR35" s="302" t="s">
        <v>508</v>
      </c>
      <c r="AS35" s="302" t="s">
        <v>509</v>
      </c>
      <c r="AT35" s="637">
        <v>0</v>
      </c>
      <c r="AU35" s="302" t="s">
        <v>567</v>
      </c>
      <c r="AV35" s="302" t="s">
        <v>568</v>
      </c>
      <c r="AW35" s="637">
        <v>0.01</v>
      </c>
      <c r="AX35" s="645">
        <f t="shared" si="15"/>
        <v>0.5</v>
      </c>
      <c r="AY35" s="637">
        <v>0.49</v>
      </c>
      <c r="AZ35" s="302" t="s">
        <v>508</v>
      </c>
      <c r="BA35" s="302" t="s">
        <v>509</v>
      </c>
      <c r="BB35" s="637">
        <v>0</v>
      </c>
      <c r="BC35" s="302" t="s">
        <v>567</v>
      </c>
      <c r="BD35" s="302" t="s">
        <v>568</v>
      </c>
      <c r="BE35" s="637">
        <v>0.01</v>
      </c>
      <c r="BF35" s="434">
        <f t="shared" si="12"/>
        <v>0.5</v>
      </c>
      <c r="BG35" s="587">
        <v>0.49</v>
      </c>
      <c r="BH35" s="302" t="s">
        <v>508</v>
      </c>
      <c r="BI35" s="302" t="s">
        <v>509</v>
      </c>
      <c r="BJ35" s="434">
        <v>0</v>
      </c>
      <c r="BK35" s="302" t="s">
        <v>567</v>
      </c>
      <c r="BL35" s="302" t="s">
        <v>568</v>
      </c>
      <c r="BM35" s="434">
        <v>0.01</v>
      </c>
      <c r="BN35" s="645">
        <f t="shared" si="13"/>
        <v>0.5</v>
      </c>
      <c r="BO35" s="434"/>
      <c r="BP35" s="434">
        <v>0.49</v>
      </c>
      <c r="BQ35" s="302" t="s">
        <v>508</v>
      </c>
      <c r="BR35" s="302" t="s">
        <v>509</v>
      </c>
      <c r="BS35" s="434">
        <v>0</v>
      </c>
      <c r="BT35" s="302" t="s">
        <v>567</v>
      </c>
      <c r="BU35" s="302" t="s">
        <v>568</v>
      </c>
      <c r="BV35" s="434">
        <v>0.01</v>
      </c>
      <c r="BW35" s="645">
        <f t="shared" si="16"/>
        <v>0.5</v>
      </c>
      <c r="BX35" s="434">
        <v>0.49</v>
      </c>
      <c r="BY35" s="302" t="s">
        <v>508</v>
      </c>
      <c r="BZ35" s="302" t="s">
        <v>509</v>
      </c>
      <c r="CA35" s="434">
        <v>0</v>
      </c>
      <c r="CB35" s="302" t="s">
        <v>567</v>
      </c>
      <c r="CC35" s="302" t="s">
        <v>568</v>
      </c>
      <c r="CD35" s="434">
        <v>0.01</v>
      </c>
      <c r="CE35" s="434">
        <f t="shared" si="17"/>
        <v>0.5</v>
      </c>
      <c r="CF35" s="1620" t="s">
        <v>1166</v>
      </c>
      <c r="CG35" s="1620" t="s">
        <v>1166</v>
      </c>
      <c r="CH35" s="1620" t="s">
        <v>1166</v>
      </c>
      <c r="CI35" s="408" t="s">
        <v>862</v>
      </c>
      <c r="CJ35" s="642">
        <v>0.70099999999999996</v>
      </c>
      <c r="CK35" s="591" t="s">
        <v>922</v>
      </c>
      <c r="CL35" s="302" t="s">
        <v>508</v>
      </c>
      <c r="CM35" s="302" t="s">
        <v>509</v>
      </c>
      <c r="CN35" s="637">
        <v>0</v>
      </c>
      <c r="CO35" s="302" t="s">
        <v>567</v>
      </c>
      <c r="CP35" s="302" t="s">
        <v>568</v>
      </c>
      <c r="CQ35" s="637">
        <v>0.01</v>
      </c>
    </row>
    <row r="36" spans="1:98" ht="15" x14ac:dyDescent="0.2">
      <c r="A36" s="433" t="s">
        <v>778</v>
      </c>
      <c r="B36" s="707" t="s">
        <v>512</v>
      </c>
      <c r="C36" s="637">
        <v>0.94</v>
      </c>
      <c r="D36" s="302" t="s">
        <v>1146</v>
      </c>
      <c r="E36" s="302" t="s">
        <v>1147</v>
      </c>
      <c r="F36" s="637">
        <v>0.05</v>
      </c>
      <c r="G36" s="302" t="s">
        <v>510</v>
      </c>
      <c r="H36" s="302" t="s">
        <v>511</v>
      </c>
      <c r="I36" s="637">
        <v>0.01</v>
      </c>
      <c r="J36" s="662">
        <f t="shared" si="10"/>
        <v>1</v>
      </c>
      <c r="K36" s="637">
        <v>0.94</v>
      </c>
      <c r="L36" s="302" t="s">
        <v>1146</v>
      </c>
      <c r="M36" s="302" t="s">
        <v>1147</v>
      </c>
      <c r="N36" s="637">
        <v>0.05</v>
      </c>
      <c r="O36" s="302" t="s">
        <v>510</v>
      </c>
      <c r="P36" s="302" t="s">
        <v>511</v>
      </c>
      <c r="Q36" s="637">
        <v>0.01</v>
      </c>
      <c r="R36" s="645">
        <f t="shared" si="11"/>
        <v>1</v>
      </c>
      <c r="S36" s="637">
        <v>0.94</v>
      </c>
      <c r="T36" s="302" t="s">
        <v>1146</v>
      </c>
      <c r="U36" s="302" t="s">
        <v>1147</v>
      </c>
      <c r="V36" s="637">
        <v>0.05</v>
      </c>
      <c r="W36" s="302" t="s">
        <v>510</v>
      </c>
      <c r="X36" s="302" t="s">
        <v>511</v>
      </c>
      <c r="Y36" s="637">
        <v>0.01</v>
      </c>
      <c r="Z36" s="645">
        <f t="shared" si="2"/>
        <v>1</v>
      </c>
      <c r="AA36" s="637">
        <v>0.94</v>
      </c>
      <c r="AB36" s="302" t="s">
        <v>1146</v>
      </c>
      <c r="AC36" s="302" t="s">
        <v>1147</v>
      </c>
      <c r="AD36" s="637">
        <v>0.05</v>
      </c>
      <c r="AE36" s="302" t="s">
        <v>510</v>
      </c>
      <c r="AF36" s="302" t="s">
        <v>511</v>
      </c>
      <c r="AG36" s="637">
        <v>0.01</v>
      </c>
      <c r="AH36" s="645">
        <f t="shared" si="18"/>
        <v>1</v>
      </c>
      <c r="AI36" s="637">
        <v>0.94</v>
      </c>
      <c r="AJ36" s="302" t="s">
        <v>1146</v>
      </c>
      <c r="AK36" s="302" t="s">
        <v>1147</v>
      </c>
      <c r="AL36" s="637">
        <v>0.05</v>
      </c>
      <c r="AM36" s="302" t="s">
        <v>510</v>
      </c>
      <c r="AN36" s="302" t="s">
        <v>511</v>
      </c>
      <c r="AO36" s="637">
        <v>0.01</v>
      </c>
      <c r="AP36" s="645">
        <f t="shared" si="14"/>
        <v>1</v>
      </c>
      <c r="AQ36" s="637">
        <v>0.94</v>
      </c>
      <c r="AR36" s="302" t="s">
        <v>1146</v>
      </c>
      <c r="AS36" s="302" t="s">
        <v>1147</v>
      </c>
      <c r="AT36" s="637">
        <v>0.05</v>
      </c>
      <c r="AU36" s="302" t="s">
        <v>510</v>
      </c>
      <c r="AV36" s="302" t="s">
        <v>511</v>
      </c>
      <c r="AW36" s="637">
        <v>0.01</v>
      </c>
      <c r="AX36" s="645">
        <f t="shared" si="15"/>
        <v>1</v>
      </c>
      <c r="AY36" s="637">
        <v>0.94</v>
      </c>
      <c r="AZ36" s="302" t="s">
        <v>1146</v>
      </c>
      <c r="BA36" s="302" t="s">
        <v>1147</v>
      </c>
      <c r="BB36" s="637">
        <v>0.05</v>
      </c>
      <c r="BC36" s="302" t="s">
        <v>510</v>
      </c>
      <c r="BD36" s="302" t="s">
        <v>511</v>
      </c>
      <c r="BE36" s="637">
        <v>0.01</v>
      </c>
      <c r="BF36" s="434">
        <f t="shared" si="12"/>
        <v>1</v>
      </c>
      <c r="BG36" s="587">
        <v>0.94</v>
      </c>
      <c r="BH36" s="302" t="s">
        <v>1146</v>
      </c>
      <c r="BI36" s="302" t="s">
        <v>1147</v>
      </c>
      <c r="BJ36" s="434">
        <v>0.05</v>
      </c>
      <c r="BK36" s="302" t="s">
        <v>510</v>
      </c>
      <c r="BL36" s="302" t="s">
        <v>511</v>
      </c>
      <c r="BM36" s="434">
        <v>0.01</v>
      </c>
      <c r="BN36" s="645">
        <f t="shared" si="13"/>
        <v>1</v>
      </c>
      <c r="BO36" s="434"/>
      <c r="BP36" s="434">
        <v>0.94</v>
      </c>
      <c r="BQ36" s="302" t="s">
        <v>1146</v>
      </c>
      <c r="BR36" s="302" t="s">
        <v>1147</v>
      </c>
      <c r="BS36" s="434">
        <v>0.05</v>
      </c>
      <c r="BT36" s="302" t="s">
        <v>510</v>
      </c>
      <c r="BU36" s="302" t="s">
        <v>511</v>
      </c>
      <c r="BV36" s="434">
        <v>0.01</v>
      </c>
      <c r="BW36" s="645">
        <f t="shared" si="16"/>
        <v>1</v>
      </c>
      <c r="BX36" s="434">
        <v>0.49</v>
      </c>
      <c r="BY36" s="302" t="s">
        <v>508</v>
      </c>
      <c r="BZ36" s="302" t="s">
        <v>509</v>
      </c>
      <c r="CA36" s="434">
        <v>0</v>
      </c>
      <c r="CB36" s="302" t="s">
        <v>510</v>
      </c>
      <c r="CC36" s="302" t="s">
        <v>511</v>
      </c>
      <c r="CD36" s="434">
        <v>0.01</v>
      </c>
      <c r="CE36" s="434">
        <f t="shared" si="17"/>
        <v>0.5</v>
      </c>
      <c r="CF36" s="1620" t="s">
        <v>862</v>
      </c>
      <c r="CG36" s="1620" t="s">
        <v>1166</v>
      </c>
      <c r="CH36" s="1620" t="s">
        <v>1166</v>
      </c>
      <c r="CI36" s="408" t="s">
        <v>862</v>
      </c>
      <c r="CJ36" s="642">
        <v>0.69499999999999995</v>
      </c>
      <c r="CK36" s="591" t="s">
        <v>922</v>
      </c>
      <c r="CL36" s="302" t="s">
        <v>1146</v>
      </c>
      <c r="CM36" s="302" t="s">
        <v>1147</v>
      </c>
      <c r="CN36" s="637">
        <v>0.59</v>
      </c>
      <c r="CO36" s="302" t="s">
        <v>510</v>
      </c>
      <c r="CP36" s="302" t="s">
        <v>511</v>
      </c>
      <c r="CQ36" s="637">
        <v>0.01</v>
      </c>
    </row>
    <row r="37" spans="1:98" ht="15.75" customHeight="1" x14ac:dyDescent="0.2">
      <c r="A37" s="433" t="s">
        <v>780</v>
      </c>
      <c r="B37" s="302" t="s">
        <v>779</v>
      </c>
      <c r="C37" s="637">
        <v>0.4</v>
      </c>
      <c r="D37" s="302" t="s">
        <v>621</v>
      </c>
      <c r="E37" s="302" t="s">
        <v>622</v>
      </c>
      <c r="F37" s="637">
        <v>0.1</v>
      </c>
      <c r="G37" s="302" t="s">
        <v>508</v>
      </c>
      <c r="H37" s="302" t="s">
        <v>546</v>
      </c>
      <c r="I37" s="637">
        <v>0</v>
      </c>
      <c r="J37" s="662">
        <f t="shared" si="10"/>
        <v>0.5</v>
      </c>
      <c r="K37" s="637">
        <v>0.4</v>
      </c>
      <c r="L37" s="302" t="s">
        <v>621</v>
      </c>
      <c r="M37" s="302" t="s">
        <v>622</v>
      </c>
      <c r="N37" s="637">
        <v>0.1</v>
      </c>
      <c r="O37" s="302" t="s">
        <v>508</v>
      </c>
      <c r="P37" s="302" t="s">
        <v>546</v>
      </c>
      <c r="Q37" s="637">
        <v>0</v>
      </c>
      <c r="R37" s="645">
        <f t="shared" si="11"/>
        <v>0.5</v>
      </c>
      <c r="S37" s="637">
        <v>0.4</v>
      </c>
      <c r="T37" s="302" t="s">
        <v>621</v>
      </c>
      <c r="U37" s="302" t="s">
        <v>622</v>
      </c>
      <c r="V37" s="637">
        <v>0.1</v>
      </c>
      <c r="W37" s="302" t="s">
        <v>508</v>
      </c>
      <c r="X37" s="302" t="s">
        <v>546</v>
      </c>
      <c r="Y37" s="637">
        <v>0</v>
      </c>
      <c r="Z37" s="645">
        <f t="shared" si="2"/>
        <v>0.5</v>
      </c>
      <c r="AA37" s="637">
        <v>0.4</v>
      </c>
      <c r="AB37" s="302" t="s">
        <v>621</v>
      </c>
      <c r="AC37" s="302" t="s">
        <v>622</v>
      </c>
      <c r="AD37" s="637">
        <v>0.1</v>
      </c>
      <c r="AE37" s="302" t="s">
        <v>508</v>
      </c>
      <c r="AF37" s="302" t="s">
        <v>546</v>
      </c>
      <c r="AG37" s="637">
        <v>0</v>
      </c>
      <c r="AH37" s="645">
        <f t="shared" si="18"/>
        <v>0.5</v>
      </c>
      <c r="AI37" s="637">
        <v>0.4</v>
      </c>
      <c r="AJ37" s="302" t="s">
        <v>621</v>
      </c>
      <c r="AK37" s="302" t="s">
        <v>622</v>
      </c>
      <c r="AL37" s="637">
        <v>0.1</v>
      </c>
      <c r="AM37" s="302" t="s">
        <v>508</v>
      </c>
      <c r="AN37" s="302" t="s">
        <v>546</v>
      </c>
      <c r="AO37" s="637">
        <v>0</v>
      </c>
      <c r="AP37" s="645">
        <f t="shared" si="14"/>
        <v>0.5</v>
      </c>
      <c r="AQ37" s="637">
        <v>0.4</v>
      </c>
      <c r="AR37" s="302" t="s">
        <v>621</v>
      </c>
      <c r="AS37" s="302" t="s">
        <v>622</v>
      </c>
      <c r="AT37" s="637">
        <v>0.1</v>
      </c>
      <c r="AU37" s="302" t="s">
        <v>508</v>
      </c>
      <c r="AV37" s="302" t="s">
        <v>546</v>
      </c>
      <c r="AW37" s="637">
        <v>0</v>
      </c>
      <c r="AX37" s="645">
        <f t="shared" si="15"/>
        <v>0.5</v>
      </c>
      <c r="AY37" s="637">
        <v>0.42499999999999999</v>
      </c>
      <c r="AZ37" s="302" t="s">
        <v>621</v>
      </c>
      <c r="BA37" s="302" t="s">
        <v>622</v>
      </c>
      <c r="BB37" s="637">
        <v>0.32500000000000001</v>
      </c>
      <c r="BC37" s="302" t="s">
        <v>508</v>
      </c>
      <c r="BD37" s="302" t="s">
        <v>546</v>
      </c>
      <c r="BE37" s="637">
        <v>0</v>
      </c>
      <c r="BF37" s="434">
        <f t="shared" si="12"/>
        <v>0.75</v>
      </c>
      <c r="BG37" s="587">
        <v>0.4</v>
      </c>
      <c r="BH37" s="302" t="s">
        <v>621</v>
      </c>
      <c r="BI37" s="302" t="s">
        <v>622</v>
      </c>
      <c r="BJ37" s="434">
        <v>0.1</v>
      </c>
      <c r="BK37" s="302" t="s">
        <v>508</v>
      </c>
      <c r="BL37" s="302" t="s">
        <v>546</v>
      </c>
      <c r="BM37" s="434">
        <v>0</v>
      </c>
      <c r="BN37" s="645">
        <f t="shared" si="13"/>
        <v>0.5</v>
      </c>
      <c r="BO37" s="434"/>
      <c r="BP37" s="434">
        <v>0.4</v>
      </c>
      <c r="BQ37" s="302" t="s">
        <v>621</v>
      </c>
      <c r="BR37" s="302" t="s">
        <v>622</v>
      </c>
      <c r="BS37" s="434">
        <v>0.1</v>
      </c>
      <c r="BT37" s="302" t="s">
        <v>508</v>
      </c>
      <c r="BU37" s="302" t="s">
        <v>546</v>
      </c>
      <c r="BV37" s="434">
        <v>0</v>
      </c>
      <c r="BW37" s="645">
        <f t="shared" si="16"/>
        <v>0.5</v>
      </c>
      <c r="BX37" s="434">
        <v>0.4</v>
      </c>
      <c r="BY37" s="302" t="s">
        <v>621</v>
      </c>
      <c r="BZ37" s="302" t="s">
        <v>622</v>
      </c>
      <c r="CA37" s="434">
        <v>0.1</v>
      </c>
      <c r="CB37" s="302" t="s">
        <v>508</v>
      </c>
      <c r="CC37" s="302" t="s">
        <v>546</v>
      </c>
      <c r="CD37" s="434">
        <v>0</v>
      </c>
      <c r="CE37" s="434">
        <f t="shared" si="17"/>
        <v>0.5</v>
      </c>
      <c r="CF37" s="1620" t="s">
        <v>1166</v>
      </c>
      <c r="CG37" s="1620" t="s">
        <v>1166</v>
      </c>
      <c r="CH37" s="1620" t="s">
        <v>1166</v>
      </c>
      <c r="CI37" s="406"/>
      <c r="CJ37" s="642">
        <v>0.65300000000000002</v>
      </c>
      <c r="CK37" s="591" t="s">
        <v>922</v>
      </c>
      <c r="CL37" s="302" t="s">
        <v>621</v>
      </c>
      <c r="CM37" s="302" t="s">
        <v>622</v>
      </c>
      <c r="CN37" s="637">
        <v>0.6</v>
      </c>
      <c r="CO37" s="302" t="s">
        <v>508</v>
      </c>
      <c r="CP37" s="302" t="s">
        <v>546</v>
      </c>
      <c r="CQ37" s="637">
        <v>0</v>
      </c>
    </row>
    <row r="38" spans="1:98" ht="15.75" customHeight="1" x14ac:dyDescent="0.2">
      <c r="A38" s="433" t="s">
        <v>782</v>
      </c>
      <c r="B38" s="302" t="s">
        <v>781</v>
      </c>
      <c r="C38" s="637">
        <v>0.3</v>
      </c>
      <c r="D38" s="302" t="s">
        <v>674</v>
      </c>
      <c r="E38" s="302" t="s">
        <v>675</v>
      </c>
      <c r="F38" s="637">
        <v>0.37</v>
      </c>
      <c r="G38" s="302" t="s">
        <v>508</v>
      </c>
      <c r="H38" s="302" t="s">
        <v>508</v>
      </c>
      <c r="I38" s="637">
        <v>0</v>
      </c>
      <c r="J38" s="662">
        <f t="shared" si="10"/>
        <v>0.66999999999999993</v>
      </c>
      <c r="K38" s="637">
        <v>0.3</v>
      </c>
      <c r="L38" s="302" t="s">
        <v>674</v>
      </c>
      <c r="M38" s="302" t="s">
        <v>675</v>
      </c>
      <c r="N38" s="637">
        <v>0.37</v>
      </c>
      <c r="O38" s="302" t="s">
        <v>508</v>
      </c>
      <c r="P38" s="302" t="s">
        <v>508</v>
      </c>
      <c r="Q38" s="637">
        <v>0</v>
      </c>
      <c r="R38" s="645">
        <f t="shared" si="11"/>
        <v>0.66999999999999993</v>
      </c>
      <c r="S38" s="637">
        <v>0.3</v>
      </c>
      <c r="T38" s="302" t="s">
        <v>674</v>
      </c>
      <c r="U38" s="302" t="s">
        <v>675</v>
      </c>
      <c r="V38" s="637">
        <v>0.37</v>
      </c>
      <c r="W38" s="302" t="s">
        <v>508</v>
      </c>
      <c r="X38" s="302" t="s">
        <v>508</v>
      </c>
      <c r="Y38" s="637">
        <v>0</v>
      </c>
      <c r="Z38" s="645">
        <f t="shared" si="2"/>
        <v>0.66999999999999993</v>
      </c>
      <c r="AA38" s="637">
        <v>0.3</v>
      </c>
      <c r="AB38" s="302" t="s">
        <v>674</v>
      </c>
      <c r="AC38" s="302" t="s">
        <v>675</v>
      </c>
      <c r="AD38" s="637">
        <v>0.37</v>
      </c>
      <c r="AE38" s="302" t="s">
        <v>508</v>
      </c>
      <c r="AF38" s="302" t="s">
        <v>508</v>
      </c>
      <c r="AG38" s="637">
        <v>0</v>
      </c>
      <c r="AH38" s="645">
        <f t="shared" si="18"/>
        <v>0.66999999999999993</v>
      </c>
      <c r="AI38" s="637">
        <v>0.3</v>
      </c>
      <c r="AJ38" s="302" t="s">
        <v>674</v>
      </c>
      <c r="AK38" s="302" t="s">
        <v>675</v>
      </c>
      <c r="AL38" s="637">
        <v>0.37</v>
      </c>
      <c r="AM38" s="302" t="s">
        <v>508</v>
      </c>
      <c r="AN38" s="302" t="s">
        <v>508</v>
      </c>
      <c r="AO38" s="637">
        <v>0</v>
      </c>
      <c r="AP38" s="645">
        <f t="shared" si="14"/>
        <v>0.66999999999999993</v>
      </c>
      <c r="AQ38" s="637">
        <v>0.3</v>
      </c>
      <c r="AR38" s="302" t="s">
        <v>674</v>
      </c>
      <c r="AS38" s="302" t="s">
        <v>675</v>
      </c>
      <c r="AT38" s="637">
        <v>0.37</v>
      </c>
      <c r="AU38" s="302" t="s">
        <v>508</v>
      </c>
      <c r="AV38" s="302" t="s">
        <v>508</v>
      </c>
      <c r="AW38" s="637">
        <v>0</v>
      </c>
      <c r="AX38" s="645">
        <f t="shared" si="15"/>
        <v>0.66999999999999993</v>
      </c>
      <c r="AY38" s="637">
        <v>0.48</v>
      </c>
      <c r="AZ38" s="302" t="s">
        <v>674</v>
      </c>
      <c r="BA38" s="302" t="s">
        <v>675</v>
      </c>
      <c r="BB38" s="637">
        <v>0.27</v>
      </c>
      <c r="BC38" s="302" t="s">
        <v>508</v>
      </c>
      <c r="BD38" s="302" t="s">
        <v>508</v>
      </c>
      <c r="BE38" s="637">
        <v>0</v>
      </c>
      <c r="BF38" s="434">
        <f t="shared" si="12"/>
        <v>0.75</v>
      </c>
      <c r="BG38" s="587">
        <v>0.64</v>
      </c>
      <c r="BH38" s="302" t="s">
        <v>674</v>
      </c>
      <c r="BI38" s="302" t="s">
        <v>675</v>
      </c>
      <c r="BJ38" s="434">
        <v>0.36</v>
      </c>
      <c r="BK38" s="302" t="s">
        <v>508</v>
      </c>
      <c r="BL38" s="302" t="s">
        <v>508</v>
      </c>
      <c r="BM38" s="434">
        <v>0</v>
      </c>
      <c r="BN38" s="645">
        <f t="shared" si="13"/>
        <v>1</v>
      </c>
      <c r="BO38" s="434"/>
      <c r="BP38" s="434">
        <v>0.3</v>
      </c>
      <c r="BQ38" s="302" t="s">
        <v>674</v>
      </c>
      <c r="BR38" s="302" t="s">
        <v>675</v>
      </c>
      <c r="BS38" s="434">
        <v>0.37</v>
      </c>
      <c r="BT38" s="302" t="s">
        <v>508</v>
      </c>
      <c r="BU38" s="302" t="s">
        <v>508</v>
      </c>
      <c r="BV38" s="434">
        <v>0</v>
      </c>
      <c r="BW38" s="645">
        <f t="shared" si="16"/>
        <v>0.66999999999999993</v>
      </c>
      <c r="BX38" s="434">
        <v>0.3</v>
      </c>
      <c r="BY38" s="302" t="s">
        <v>674</v>
      </c>
      <c r="BZ38" s="302" t="s">
        <v>675</v>
      </c>
      <c r="CA38" s="434">
        <v>0.2</v>
      </c>
      <c r="CB38" s="302" t="s">
        <v>508</v>
      </c>
      <c r="CC38" s="302" t="s">
        <v>508</v>
      </c>
      <c r="CD38" s="434">
        <v>0</v>
      </c>
      <c r="CE38" s="434">
        <f t="shared" si="17"/>
        <v>0.5</v>
      </c>
      <c r="CF38" s="1620" t="s">
        <v>1166</v>
      </c>
      <c r="CG38" s="1620" t="s">
        <v>1166</v>
      </c>
      <c r="CH38" s="1620" t="s">
        <v>1166</v>
      </c>
      <c r="CI38" s="408" t="s">
        <v>862</v>
      </c>
      <c r="CJ38" s="642">
        <v>0.75600000000000001</v>
      </c>
      <c r="CK38" s="591" t="s">
        <v>922</v>
      </c>
      <c r="CL38" s="302" t="s">
        <v>674</v>
      </c>
      <c r="CM38" s="302" t="s">
        <v>675</v>
      </c>
      <c r="CN38" s="637">
        <v>0.2</v>
      </c>
      <c r="CO38" s="302" t="s">
        <v>508</v>
      </c>
      <c r="CP38" s="302" t="s">
        <v>508</v>
      </c>
      <c r="CQ38" s="637">
        <v>0</v>
      </c>
    </row>
    <row r="39" spans="1:98" ht="15.75" customHeight="1" x14ac:dyDescent="0.2">
      <c r="A39" s="661" t="s">
        <v>784</v>
      </c>
      <c r="B39" s="440" t="s">
        <v>783</v>
      </c>
      <c r="C39" s="637">
        <v>0.4</v>
      </c>
      <c r="D39" s="440" t="s">
        <v>588</v>
      </c>
      <c r="E39" s="440" t="s">
        <v>589</v>
      </c>
      <c r="F39" s="637">
        <v>0.09</v>
      </c>
      <c r="G39" s="440" t="s">
        <v>586</v>
      </c>
      <c r="H39" s="440" t="s">
        <v>587</v>
      </c>
      <c r="I39" s="637">
        <v>0.01</v>
      </c>
      <c r="J39" s="662">
        <f t="shared" si="10"/>
        <v>0.5</v>
      </c>
      <c r="K39" s="637">
        <v>0.4</v>
      </c>
      <c r="L39" s="440" t="s">
        <v>588</v>
      </c>
      <c r="M39" s="440" t="s">
        <v>589</v>
      </c>
      <c r="N39" s="637">
        <v>0.09</v>
      </c>
      <c r="O39" s="440" t="s">
        <v>586</v>
      </c>
      <c r="P39" s="440" t="s">
        <v>587</v>
      </c>
      <c r="Q39" s="637">
        <v>0.01</v>
      </c>
      <c r="R39" s="662">
        <f t="shared" ref="R39:R62" si="19">+K39+N39+Q39</f>
        <v>0.5</v>
      </c>
      <c r="S39" s="637">
        <v>0.4</v>
      </c>
      <c r="T39" s="302" t="s">
        <v>588</v>
      </c>
      <c r="U39" s="302" t="s">
        <v>589</v>
      </c>
      <c r="V39" s="637">
        <v>0.09</v>
      </c>
      <c r="W39" s="302" t="s">
        <v>586</v>
      </c>
      <c r="X39" s="302" t="s">
        <v>587</v>
      </c>
      <c r="Y39" s="637">
        <v>0.01</v>
      </c>
      <c r="Z39" s="645">
        <f t="shared" si="2"/>
        <v>0.5</v>
      </c>
      <c r="AA39" s="637">
        <v>0.4</v>
      </c>
      <c r="AB39" s="302" t="s">
        <v>588</v>
      </c>
      <c r="AC39" s="302" t="s">
        <v>589</v>
      </c>
      <c r="AD39" s="637">
        <v>0.09</v>
      </c>
      <c r="AE39" s="302" t="s">
        <v>586</v>
      </c>
      <c r="AF39" s="302" t="s">
        <v>587</v>
      </c>
      <c r="AG39" s="637">
        <v>0.01</v>
      </c>
      <c r="AH39" s="645">
        <f t="shared" si="18"/>
        <v>0.5</v>
      </c>
      <c r="AI39" s="637">
        <v>0.4</v>
      </c>
      <c r="AJ39" s="302" t="s">
        <v>588</v>
      </c>
      <c r="AK39" s="302" t="s">
        <v>589</v>
      </c>
      <c r="AL39" s="637">
        <v>0.09</v>
      </c>
      <c r="AM39" s="302" t="s">
        <v>586</v>
      </c>
      <c r="AN39" s="302" t="s">
        <v>587</v>
      </c>
      <c r="AO39" s="637">
        <v>0.01</v>
      </c>
      <c r="AP39" s="645">
        <f t="shared" si="14"/>
        <v>0.5</v>
      </c>
      <c r="AQ39" s="637">
        <v>0.4</v>
      </c>
      <c r="AR39" s="302" t="s">
        <v>588</v>
      </c>
      <c r="AS39" s="302" t="s">
        <v>589</v>
      </c>
      <c r="AT39" s="637">
        <v>0.09</v>
      </c>
      <c r="AU39" s="302" t="s">
        <v>586</v>
      </c>
      <c r="AV39" s="302" t="s">
        <v>587</v>
      </c>
      <c r="AW39" s="637">
        <v>0.01</v>
      </c>
      <c r="AX39" s="645">
        <f t="shared" si="15"/>
        <v>0.5</v>
      </c>
      <c r="AY39" s="637">
        <v>0</v>
      </c>
      <c r="AZ39" s="302" t="s">
        <v>588</v>
      </c>
      <c r="BA39" s="302" t="s">
        <v>589</v>
      </c>
      <c r="BB39" s="637">
        <v>0.74</v>
      </c>
      <c r="BC39" s="302" t="s">
        <v>586</v>
      </c>
      <c r="BD39" s="302" t="s">
        <v>587</v>
      </c>
      <c r="BE39" s="637">
        <v>0.01</v>
      </c>
      <c r="BF39" s="434">
        <f t="shared" si="12"/>
        <v>0.75</v>
      </c>
      <c r="BG39" s="587">
        <v>0.4</v>
      </c>
      <c r="BH39" s="302" t="s">
        <v>588</v>
      </c>
      <c r="BI39" s="302" t="s">
        <v>589</v>
      </c>
      <c r="BJ39" s="434">
        <v>0.09</v>
      </c>
      <c r="BK39" s="302" t="s">
        <v>586</v>
      </c>
      <c r="BL39" s="302" t="s">
        <v>587</v>
      </c>
      <c r="BM39" s="434">
        <v>0.01</v>
      </c>
      <c r="BN39" s="645">
        <f t="shared" si="13"/>
        <v>0.5</v>
      </c>
      <c r="BO39" s="434"/>
      <c r="BP39" s="434">
        <v>0.4</v>
      </c>
      <c r="BQ39" s="302" t="s">
        <v>588</v>
      </c>
      <c r="BR39" s="302" t="s">
        <v>589</v>
      </c>
      <c r="BS39" s="434">
        <v>0.09</v>
      </c>
      <c r="BT39" s="302" t="s">
        <v>586</v>
      </c>
      <c r="BU39" s="302" t="s">
        <v>587</v>
      </c>
      <c r="BV39" s="434">
        <v>0.01</v>
      </c>
      <c r="BW39" s="645">
        <f t="shared" si="16"/>
        <v>0.5</v>
      </c>
      <c r="BX39" s="434">
        <v>0.4</v>
      </c>
      <c r="BY39" s="302" t="s">
        <v>588</v>
      </c>
      <c r="BZ39" s="302" t="s">
        <v>589</v>
      </c>
      <c r="CA39" s="434">
        <v>0.09</v>
      </c>
      <c r="CB39" s="302" t="s">
        <v>586</v>
      </c>
      <c r="CC39" s="302" t="s">
        <v>587</v>
      </c>
      <c r="CD39" s="434">
        <v>0.01</v>
      </c>
      <c r="CE39" s="434">
        <f t="shared" si="17"/>
        <v>0.5</v>
      </c>
      <c r="CF39" s="1620" t="s">
        <v>1166</v>
      </c>
      <c r="CG39" s="1620" t="s">
        <v>1166</v>
      </c>
      <c r="CH39" s="1620" t="s">
        <v>1166</v>
      </c>
      <c r="CI39" s="406"/>
      <c r="CJ39" s="642">
        <v>0.69399999999999995</v>
      </c>
      <c r="CK39" s="591" t="s">
        <v>922</v>
      </c>
      <c r="CL39" s="302" t="s">
        <v>588</v>
      </c>
      <c r="CM39" s="302" t="s">
        <v>589</v>
      </c>
      <c r="CN39" s="637">
        <v>0.59</v>
      </c>
      <c r="CO39" s="302" t="s">
        <v>586</v>
      </c>
      <c r="CP39" s="302" t="s">
        <v>587</v>
      </c>
      <c r="CQ39" s="637">
        <v>0.01</v>
      </c>
    </row>
    <row r="40" spans="1:98" ht="15.75" customHeight="1" x14ac:dyDescent="0.2">
      <c r="A40" s="661" t="s">
        <v>786</v>
      </c>
      <c r="B40" s="440" t="s">
        <v>785</v>
      </c>
      <c r="C40" s="637">
        <v>0.4</v>
      </c>
      <c r="D40" s="440" t="s">
        <v>590</v>
      </c>
      <c r="E40" s="440" t="s">
        <v>591</v>
      </c>
      <c r="F40" s="637">
        <v>0.1</v>
      </c>
      <c r="G40" s="440" t="s">
        <v>508</v>
      </c>
      <c r="H40" s="440" t="s">
        <v>546</v>
      </c>
      <c r="I40" s="637">
        <v>0</v>
      </c>
      <c r="J40" s="662">
        <f t="shared" si="10"/>
        <v>0.5</v>
      </c>
      <c r="K40" s="637">
        <v>0.4</v>
      </c>
      <c r="L40" s="440" t="s">
        <v>590</v>
      </c>
      <c r="M40" s="440" t="s">
        <v>591</v>
      </c>
      <c r="N40" s="637">
        <v>0.1</v>
      </c>
      <c r="O40" s="440" t="s">
        <v>508</v>
      </c>
      <c r="P40" s="440" t="s">
        <v>546</v>
      </c>
      <c r="Q40" s="637">
        <v>0</v>
      </c>
      <c r="R40" s="662">
        <f t="shared" si="19"/>
        <v>0.5</v>
      </c>
      <c r="S40" s="637">
        <v>0.4</v>
      </c>
      <c r="T40" s="302" t="s">
        <v>590</v>
      </c>
      <c r="U40" s="302" t="s">
        <v>591</v>
      </c>
      <c r="V40" s="637">
        <v>0.1</v>
      </c>
      <c r="W40" s="302" t="s">
        <v>508</v>
      </c>
      <c r="X40" s="302" t="s">
        <v>546</v>
      </c>
      <c r="Y40" s="637">
        <v>0</v>
      </c>
      <c r="Z40" s="645">
        <f t="shared" si="2"/>
        <v>0.5</v>
      </c>
      <c r="AA40" s="637">
        <v>0.4</v>
      </c>
      <c r="AB40" s="302" t="s">
        <v>590</v>
      </c>
      <c r="AC40" s="302" t="s">
        <v>591</v>
      </c>
      <c r="AD40" s="637">
        <v>0.1</v>
      </c>
      <c r="AE40" s="302" t="s">
        <v>508</v>
      </c>
      <c r="AF40" s="302" t="s">
        <v>546</v>
      </c>
      <c r="AG40" s="637">
        <v>0</v>
      </c>
      <c r="AH40" s="645">
        <f t="shared" si="18"/>
        <v>0.5</v>
      </c>
      <c r="AI40" s="637">
        <v>0.4</v>
      </c>
      <c r="AJ40" s="302" t="s">
        <v>590</v>
      </c>
      <c r="AK40" s="302" t="s">
        <v>591</v>
      </c>
      <c r="AL40" s="637">
        <v>0.1</v>
      </c>
      <c r="AM40" s="302" t="s">
        <v>508</v>
      </c>
      <c r="AN40" s="302" t="s">
        <v>546</v>
      </c>
      <c r="AO40" s="637">
        <v>0</v>
      </c>
      <c r="AP40" s="645">
        <f t="shared" si="14"/>
        <v>0.5</v>
      </c>
      <c r="AQ40" s="637">
        <v>0.4</v>
      </c>
      <c r="AR40" s="302" t="s">
        <v>590</v>
      </c>
      <c r="AS40" s="302" t="s">
        <v>591</v>
      </c>
      <c r="AT40" s="637">
        <v>0.1</v>
      </c>
      <c r="AU40" s="302" t="s">
        <v>508</v>
      </c>
      <c r="AV40" s="302" t="s">
        <v>546</v>
      </c>
      <c r="AW40" s="637">
        <v>0</v>
      </c>
      <c r="AX40" s="645">
        <f t="shared" si="15"/>
        <v>0.5</v>
      </c>
      <c r="AY40" s="637">
        <v>0.35</v>
      </c>
      <c r="AZ40" s="302" t="s">
        <v>590</v>
      </c>
      <c r="BA40" s="302" t="s">
        <v>591</v>
      </c>
      <c r="BB40" s="637">
        <v>0.4</v>
      </c>
      <c r="BC40" s="302" t="s">
        <v>508</v>
      </c>
      <c r="BD40" s="302" t="s">
        <v>546</v>
      </c>
      <c r="BE40" s="637">
        <v>0</v>
      </c>
      <c r="BF40" s="434">
        <f t="shared" si="12"/>
        <v>0.75</v>
      </c>
      <c r="BG40" s="587">
        <v>0.4</v>
      </c>
      <c r="BH40" s="302" t="s">
        <v>590</v>
      </c>
      <c r="BI40" s="302" t="s">
        <v>591</v>
      </c>
      <c r="BJ40" s="434">
        <v>0.1</v>
      </c>
      <c r="BK40" s="302" t="s">
        <v>508</v>
      </c>
      <c r="BL40" s="302" t="s">
        <v>546</v>
      </c>
      <c r="BM40" s="434">
        <v>0</v>
      </c>
      <c r="BN40" s="645">
        <f t="shared" si="13"/>
        <v>0.5</v>
      </c>
      <c r="BO40" s="434"/>
      <c r="BP40" s="434">
        <v>0.4</v>
      </c>
      <c r="BQ40" s="302" t="s">
        <v>590</v>
      </c>
      <c r="BR40" s="302" t="s">
        <v>591</v>
      </c>
      <c r="BS40" s="434">
        <v>0.1</v>
      </c>
      <c r="BT40" s="302" t="s">
        <v>508</v>
      </c>
      <c r="BU40" s="302" t="s">
        <v>546</v>
      </c>
      <c r="BV40" s="434">
        <v>0</v>
      </c>
      <c r="BW40" s="645">
        <f t="shared" si="16"/>
        <v>0.5</v>
      </c>
      <c r="BX40" s="434">
        <v>0.4</v>
      </c>
      <c r="BY40" s="302" t="s">
        <v>590</v>
      </c>
      <c r="BZ40" s="302" t="s">
        <v>591</v>
      </c>
      <c r="CA40" s="434">
        <v>0.1</v>
      </c>
      <c r="CB40" s="302" t="s">
        <v>508</v>
      </c>
      <c r="CC40" s="302" t="s">
        <v>546</v>
      </c>
      <c r="CD40" s="434">
        <v>0</v>
      </c>
      <c r="CE40" s="434">
        <f t="shared" si="17"/>
        <v>0.5</v>
      </c>
      <c r="CF40" s="1620" t="s">
        <v>1166</v>
      </c>
      <c r="CG40" s="1620" t="s">
        <v>1166</v>
      </c>
      <c r="CH40" s="1620" t="s">
        <v>1166</v>
      </c>
      <c r="CI40" s="406"/>
      <c r="CJ40" s="642">
        <v>0.75900000000000001</v>
      </c>
      <c r="CK40" s="591" t="s">
        <v>922</v>
      </c>
      <c r="CL40" s="302" t="s">
        <v>590</v>
      </c>
      <c r="CM40" s="302" t="s">
        <v>591</v>
      </c>
      <c r="CN40" s="637">
        <v>0.6</v>
      </c>
      <c r="CO40" s="302" t="s">
        <v>508</v>
      </c>
      <c r="CP40" s="302" t="s">
        <v>546</v>
      </c>
      <c r="CQ40" s="637">
        <v>0</v>
      </c>
    </row>
    <row r="41" spans="1:98" ht="15" x14ac:dyDescent="0.2">
      <c r="A41" s="661" t="s">
        <v>788</v>
      </c>
      <c r="B41" s="440" t="s">
        <v>787</v>
      </c>
      <c r="C41" s="637">
        <v>0.4</v>
      </c>
      <c r="D41" s="440" t="s">
        <v>633</v>
      </c>
      <c r="E41" s="440" t="s">
        <v>634</v>
      </c>
      <c r="F41" s="637">
        <v>0.09</v>
      </c>
      <c r="G41" s="440" t="s">
        <v>631</v>
      </c>
      <c r="H41" s="440" t="s">
        <v>632</v>
      </c>
      <c r="I41" s="637">
        <v>0.01</v>
      </c>
      <c r="J41" s="662">
        <f t="shared" si="10"/>
        <v>0.5</v>
      </c>
      <c r="K41" s="637">
        <v>0.4</v>
      </c>
      <c r="L41" s="440" t="s">
        <v>633</v>
      </c>
      <c r="M41" s="440" t="s">
        <v>634</v>
      </c>
      <c r="N41" s="637">
        <v>0.09</v>
      </c>
      <c r="O41" s="440" t="s">
        <v>631</v>
      </c>
      <c r="P41" s="440" t="s">
        <v>632</v>
      </c>
      <c r="Q41" s="637">
        <v>0.01</v>
      </c>
      <c r="R41" s="662">
        <f t="shared" si="19"/>
        <v>0.5</v>
      </c>
      <c r="S41" s="637">
        <v>0.4</v>
      </c>
      <c r="T41" s="302" t="s">
        <v>633</v>
      </c>
      <c r="U41" s="302" t="s">
        <v>634</v>
      </c>
      <c r="V41" s="637">
        <v>0.09</v>
      </c>
      <c r="W41" s="302" t="s">
        <v>631</v>
      </c>
      <c r="X41" s="302" t="s">
        <v>632</v>
      </c>
      <c r="Y41" s="637">
        <v>0.01</v>
      </c>
      <c r="Z41" s="645">
        <f t="shared" si="2"/>
        <v>0.5</v>
      </c>
      <c r="AA41" s="637">
        <v>0.4</v>
      </c>
      <c r="AB41" s="302" t="s">
        <v>633</v>
      </c>
      <c r="AC41" s="302" t="s">
        <v>634</v>
      </c>
      <c r="AD41" s="637">
        <v>0.09</v>
      </c>
      <c r="AE41" s="302" t="s">
        <v>631</v>
      </c>
      <c r="AF41" s="302" t="s">
        <v>632</v>
      </c>
      <c r="AG41" s="637">
        <v>0.01</v>
      </c>
      <c r="AH41" s="645">
        <f t="shared" si="18"/>
        <v>0.5</v>
      </c>
      <c r="AI41" s="637">
        <v>0.4</v>
      </c>
      <c r="AJ41" s="302" t="s">
        <v>633</v>
      </c>
      <c r="AK41" s="302" t="s">
        <v>634</v>
      </c>
      <c r="AL41" s="637">
        <v>0.09</v>
      </c>
      <c r="AM41" s="302" t="s">
        <v>631</v>
      </c>
      <c r="AN41" s="302" t="s">
        <v>632</v>
      </c>
      <c r="AO41" s="637">
        <v>0.01</v>
      </c>
      <c r="AP41" s="645">
        <f t="shared" si="14"/>
        <v>0.5</v>
      </c>
      <c r="AQ41" s="637">
        <v>0.4</v>
      </c>
      <c r="AR41" s="302" t="s">
        <v>633</v>
      </c>
      <c r="AS41" s="302" t="s">
        <v>634</v>
      </c>
      <c r="AT41" s="637">
        <v>0.09</v>
      </c>
      <c r="AU41" s="302" t="s">
        <v>631</v>
      </c>
      <c r="AV41" s="302" t="s">
        <v>632</v>
      </c>
      <c r="AW41" s="637">
        <v>0.01</v>
      </c>
      <c r="AX41" s="645">
        <f t="shared" si="15"/>
        <v>0.5</v>
      </c>
      <c r="AY41" s="637">
        <v>0.4</v>
      </c>
      <c r="AZ41" s="302" t="s">
        <v>633</v>
      </c>
      <c r="BA41" s="302" t="s">
        <v>634</v>
      </c>
      <c r="BB41" s="637">
        <v>0.09</v>
      </c>
      <c r="BC41" s="302" t="s">
        <v>631</v>
      </c>
      <c r="BD41" s="302" t="s">
        <v>632</v>
      </c>
      <c r="BE41" s="637">
        <v>0.01</v>
      </c>
      <c r="BF41" s="434">
        <f t="shared" si="12"/>
        <v>0.5</v>
      </c>
      <c r="BG41" s="587">
        <v>0.4</v>
      </c>
      <c r="BH41" s="302" t="s">
        <v>633</v>
      </c>
      <c r="BI41" s="302" t="s">
        <v>634</v>
      </c>
      <c r="BJ41" s="434">
        <v>0.09</v>
      </c>
      <c r="BK41" s="302" t="s">
        <v>631</v>
      </c>
      <c r="BL41" s="302" t="s">
        <v>632</v>
      </c>
      <c r="BM41" s="434">
        <v>0.01</v>
      </c>
      <c r="BN41" s="645">
        <f t="shared" si="13"/>
        <v>0.5</v>
      </c>
      <c r="BO41" s="434"/>
      <c r="BP41" s="434">
        <v>0.4</v>
      </c>
      <c r="BQ41" s="302" t="s">
        <v>633</v>
      </c>
      <c r="BR41" s="302" t="s">
        <v>634</v>
      </c>
      <c r="BS41" s="434">
        <v>0.09</v>
      </c>
      <c r="BT41" s="302" t="s">
        <v>631</v>
      </c>
      <c r="BU41" s="302" t="s">
        <v>632</v>
      </c>
      <c r="BV41" s="434">
        <v>0.01</v>
      </c>
      <c r="BW41" s="645">
        <f t="shared" si="16"/>
        <v>0.5</v>
      </c>
      <c r="BX41" s="434">
        <v>0.4</v>
      </c>
      <c r="BY41" s="302" t="s">
        <v>633</v>
      </c>
      <c r="BZ41" s="302" t="s">
        <v>634</v>
      </c>
      <c r="CA41" s="434">
        <v>0.09</v>
      </c>
      <c r="CB41" s="302" t="s">
        <v>631</v>
      </c>
      <c r="CC41" s="302" t="s">
        <v>632</v>
      </c>
      <c r="CD41" s="434">
        <v>0.01</v>
      </c>
      <c r="CE41" s="434">
        <f t="shared" si="17"/>
        <v>0.5</v>
      </c>
      <c r="CF41" s="1620" t="s">
        <v>862</v>
      </c>
      <c r="CG41" s="1620" t="s">
        <v>1166</v>
      </c>
      <c r="CH41" s="1620" t="s">
        <v>1166</v>
      </c>
      <c r="CI41" s="406"/>
      <c r="CJ41" s="642">
        <v>0.67700000000000005</v>
      </c>
      <c r="CK41" s="591" t="s">
        <v>922</v>
      </c>
      <c r="CL41" s="302" t="s">
        <v>633</v>
      </c>
      <c r="CM41" s="302" t="s">
        <v>634</v>
      </c>
      <c r="CN41" s="637">
        <v>0.59</v>
      </c>
      <c r="CO41" s="302" t="s">
        <v>631</v>
      </c>
      <c r="CP41" s="302" t="s">
        <v>632</v>
      </c>
      <c r="CQ41" s="637">
        <v>0.01</v>
      </c>
    </row>
    <row r="42" spans="1:98" s="137" customFormat="1" ht="15" x14ac:dyDescent="0.2">
      <c r="A42" s="661" t="s">
        <v>1213</v>
      </c>
      <c r="B42" s="440" t="s">
        <v>1212</v>
      </c>
      <c r="C42" s="637">
        <v>0.49</v>
      </c>
      <c r="D42" s="440" t="s">
        <v>508</v>
      </c>
      <c r="E42" s="440" t="s">
        <v>509</v>
      </c>
      <c r="F42" s="637">
        <v>0</v>
      </c>
      <c r="G42" s="440" t="s">
        <v>527</v>
      </c>
      <c r="H42" s="440" t="s">
        <v>528</v>
      </c>
      <c r="I42" s="637">
        <v>0.01</v>
      </c>
      <c r="J42" s="662">
        <f t="shared" si="10"/>
        <v>0.5</v>
      </c>
      <c r="K42" s="637">
        <v>0.49</v>
      </c>
      <c r="L42" s="440" t="s">
        <v>508</v>
      </c>
      <c r="M42" s="440" t="s">
        <v>509</v>
      </c>
      <c r="N42" s="637">
        <v>0</v>
      </c>
      <c r="O42" s="440" t="s">
        <v>527</v>
      </c>
      <c r="P42" s="440" t="s">
        <v>528</v>
      </c>
      <c r="Q42" s="637">
        <v>0.01</v>
      </c>
      <c r="R42" s="662">
        <f t="shared" si="19"/>
        <v>0.5</v>
      </c>
      <c r="S42" s="648">
        <v>0.49</v>
      </c>
      <c r="T42" s="707" t="s">
        <v>508</v>
      </c>
      <c r="U42" s="707" t="s">
        <v>509</v>
      </c>
      <c r="V42" s="648">
        <v>0</v>
      </c>
      <c r="W42" s="707" t="s">
        <v>527</v>
      </c>
      <c r="X42" s="707" t="s">
        <v>528</v>
      </c>
      <c r="Y42" s="648">
        <v>0.01</v>
      </c>
      <c r="Z42" s="708">
        <f t="shared" si="2"/>
        <v>0.5</v>
      </c>
      <c r="AA42" s="648">
        <v>0.49</v>
      </c>
      <c r="AB42" s="707" t="s">
        <v>508</v>
      </c>
      <c r="AC42" s="707" t="s">
        <v>509</v>
      </c>
      <c r="AD42" s="648">
        <v>0</v>
      </c>
      <c r="AE42" s="707" t="s">
        <v>527</v>
      </c>
      <c r="AF42" s="707" t="s">
        <v>528</v>
      </c>
      <c r="AG42" s="648">
        <v>0.01</v>
      </c>
      <c r="AH42" s="708">
        <f t="shared" si="18"/>
        <v>0.5</v>
      </c>
      <c r="AI42" s="648">
        <v>0.49</v>
      </c>
      <c r="AJ42" s="707" t="s">
        <v>508</v>
      </c>
      <c r="AK42" s="707" t="s">
        <v>509</v>
      </c>
      <c r="AL42" s="648">
        <v>0</v>
      </c>
      <c r="AM42" s="707" t="s">
        <v>527</v>
      </c>
      <c r="AN42" s="707" t="s">
        <v>528</v>
      </c>
      <c r="AO42" s="648">
        <v>0.01</v>
      </c>
      <c r="AP42" s="708">
        <f t="shared" si="14"/>
        <v>0.5</v>
      </c>
      <c r="AQ42" s="648">
        <v>0.49</v>
      </c>
      <c r="AR42" s="707" t="s">
        <v>508</v>
      </c>
      <c r="AS42" s="707" t="s">
        <v>509</v>
      </c>
      <c r="AT42" s="648">
        <v>0</v>
      </c>
      <c r="AU42" s="707" t="s">
        <v>527</v>
      </c>
      <c r="AV42" s="707" t="s">
        <v>528</v>
      </c>
      <c r="AW42" s="648">
        <v>0.01</v>
      </c>
      <c r="AX42" s="708">
        <f t="shared" si="15"/>
        <v>0.5</v>
      </c>
      <c r="AY42" s="648">
        <f>0.425+0.315</f>
        <v>0.74</v>
      </c>
      <c r="AZ42" s="707" t="s">
        <v>508</v>
      </c>
      <c r="BA42" s="707" t="s">
        <v>509</v>
      </c>
      <c r="BB42" s="648">
        <v>0</v>
      </c>
      <c r="BC42" s="707" t="s">
        <v>527</v>
      </c>
      <c r="BD42" s="707" t="s">
        <v>528</v>
      </c>
      <c r="BE42" s="648">
        <v>0.01</v>
      </c>
      <c r="BF42" s="648">
        <f t="shared" si="12"/>
        <v>0.75</v>
      </c>
      <c r="BG42" s="709">
        <f>0.4+0.09</f>
        <v>0.49</v>
      </c>
      <c r="BH42" s="707" t="s">
        <v>508</v>
      </c>
      <c r="BI42" s="707" t="s">
        <v>509</v>
      </c>
      <c r="BJ42" s="648">
        <v>0</v>
      </c>
      <c r="BK42" s="707" t="s">
        <v>527</v>
      </c>
      <c r="BL42" s="707" t="s">
        <v>528</v>
      </c>
      <c r="BM42" s="648">
        <v>0.01</v>
      </c>
      <c r="BN42" s="708">
        <f t="shared" si="13"/>
        <v>0.5</v>
      </c>
      <c r="BO42" s="648"/>
      <c r="BP42" s="648">
        <f>0.4+0.09</f>
        <v>0.49</v>
      </c>
      <c r="BQ42" s="707" t="s">
        <v>508</v>
      </c>
      <c r="BR42" s="707" t="s">
        <v>509</v>
      </c>
      <c r="BS42" s="648">
        <v>0</v>
      </c>
      <c r="BT42" s="707" t="s">
        <v>527</v>
      </c>
      <c r="BU42" s="707" t="s">
        <v>528</v>
      </c>
      <c r="BV42" s="648">
        <v>0.01</v>
      </c>
      <c r="BW42" s="708">
        <f t="shared" si="16"/>
        <v>0.5</v>
      </c>
      <c r="BX42" s="648">
        <f>0.4+0.09</f>
        <v>0.49</v>
      </c>
      <c r="BY42" s="707" t="s">
        <v>508</v>
      </c>
      <c r="BZ42" s="707" t="s">
        <v>509</v>
      </c>
      <c r="CA42" s="648">
        <v>0</v>
      </c>
      <c r="CB42" s="707" t="s">
        <v>527</v>
      </c>
      <c r="CC42" s="707" t="s">
        <v>528</v>
      </c>
      <c r="CD42" s="648">
        <v>0.01</v>
      </c>
      <c r="CE42" s="648">
        <f t="shared" si="17"/>
        <v>0.5</v>
      </c>
      <c r="CF42" s="1620" t="s">
        <v>862</v>
      </c>
      <c r="CG42" s="1620" t="s">
        <v>1166</v>
      </c>
      <c r="CH42" s="1620" t="s">
        <v>1166</v>
      </c>
      <c r="CI42" s="408" t="s">
        <v>862</v>
      </c>
      <c r="CJ42" s="642">
        <v>0.71599999999999997</v>
      </c>
      <c r="CK42" s="710" t="s">
        <v>922</v>
      </c>
      <c r="CL42" s="707" t="s">
        <v>508</v>
      </c>
      <c r="CM42" s="707" t="s">
        <v>509</v>
      </c>
      <c r="CN42" s="648">
        <v>0</v>
      </c>
      <c r="CO42" s="707" t="s">
        <v>527</v>
      </c>
      <c r="CP42" s="707" t="s">
        <v>528</v>
      </c>
      <c r="CQ42" s="648">
        <v>0.01</v>
      </c>
      <c r="CS42" s="428"/>
      <c r="CT42" s="428"/>
    </row>
    <row r="43" spans="1:98" ht="15.75" customHeight="1" x14ac:dyDescent="0.2">
      <c r="A43" s="661" t="s">
        <v>790</v>
      </c>
      <c r="B43" s="440" t="s">
        <v>789</v>
      </c>
      <c r="C43" s="637">
        <v>0.4</v>
      </c>
      <c r="D43" s="440" t="s">
        <v>609</v>
      </c>
      <c r="E43" s="440" t="s">
        <v>610</v>
      </c>
      <c r="F43" s="637">
        <v>0.09</v>
      </c>
      <c r="G43" s="440" t="s">
        <v>606</v>
      </c>
      <c r="H43" s="440" t="s">
        <v>607</v>
      </c>
      <c r="I43" s="637">
        <v>0.01</v>
      </c>
      <c r="J43" s="662">
        <f t="shared" si="10"/>
        <v>0.5</v>
      </c>
      <c r="K43" s="637">
        <v>0.4</v>
      </c>
      <c r="L43" s="440" t="s">
        <v>609</v>
      </c>
      <c r="M43" s="440" t="s">
        <v>610</v>
      </c>
      <c r="N43" s="637">
        <v>0.09</v>
      </c>
      <c r="O43" s="440" t="s">
        <v>606</v>
      </c>
      <c r="P43" s="440" t="s">
        <v>607</v>
      </c>
      <c r="Q43" s="637">
        <v>0.01</v>
      </c>
      <c r="R43" s="662">
        <f t="shared" si="19"/>
        <v>0.5</v>
      </c>
      <c r="S43" s="637">
        <v>0.4</v>
      </c>
      <c r="T43" s="302" t="s">
        <v>609</v>
      </c>
      <c r="U43" s="302" t="s">
        <v>610</v>
      </c>
      <c r="V43" s="637">
        <v>0.09</v>
      </c>
      <c r="W43" s="302" t="s">
        <v>606</v>
      </c>
      <c r="X43" s="302" t="s">
        <v>607</v>
      </c>
      <c r="Y43" s="637">
        <v>0.01</v>
      </c>
      <c r="Z43" s="645">
        <f t="shared" si="2"/>
        <v>0.5</v>
      </c>
      <c r="AA43" s="637">
        <v>0.4</v>
      </c>
      <c r="AB43" s="302" t="s">
        <v>609</v>
      </c>
      <c r="AC43" s="302" t="s">
        <v>610</v>
      </c>
      <c r="AD43" s="637">
        <v>0.09</v>
      </c>
      <c r="AE43" s="302" t="s">
        <v>606</v>
      </c>
      <c r="AF43" s="302" t="s">
        <v>607</v>
      </c>
      <c r="AG43" s="637">
        <v>0.01</v>
      </c>
      <c r="AH43" s="645">
        <f t="shared" si="18"/>
        <v>0.5</v>
      </c>
      <c r="AI43" s="637">
        <v>0.4</v>
      </c>
      <c r="AJ43" s="302" t="s">
        <v>609</v>
      </c>
      <c r="AK43" s="302" t="s">
        <v>610</v>
      </c>
      <c r="AL43" s="637">
        <v>0.09</v>
      </c>
      <c r="AM43" s="302" t="s">
        <v>606</v>
      </c>
      <c r="AN43" s="302" t="s">
        <v>607</v>
      </c>
      <c r="AO43" s="637">
        <v>0.01</v>
      </c>
      <c r="AP43" s="645">
        <f t="shared" si="14"/>
        <v>0.5</v>
      </c>
      <c r="AQ43" s="637">
        <v>0.4</v>
      </c>
      <c r="AR43" s="302" t="s">
        <v>609</v>
      </c>
      <c r="AS43" s="302" t="s">
        <v>610</v>
      </c>
      <c r="AT43" s="637">
        <v>0.09</v>
      </c>
      <c r="AU43" s="302" t="s">
        <v>606</v>
      </c>
      <c r="AV43" s="302" t="s">
        <v>607</v>
      </c>
      <c r="AW43" s="637">
        <v>0.01</v>
      </c>
      <c r="AX43" s="645">
        <f t="shared" si="15"/>
        <v>0.5</v>
      </c>
      <c r="AY43" s="637">
        <v>0.56000000000000005</v>
      </c>
      <c r="AZ43" s="302" t="s">
        <v>609</v>
      </c>
      <c r="BA43" s="302" t="s">
        <v>610</v>
      </c>
      <c r="BB43" s="637">
        <v>0.17499999999999999</v>
      </c>
      <c r="BC43" s="302" t="s">
        <v>606</v>
      </c>
      <c r="BD43" s="302" t="s">
        <v>607</v>
      </c>
      <c r="BE43" s="637">
        <v>1.4999999999999999E-2</v>
      </c>
      <c r="BF43" s="434">
        <f t="shared" si="12"/>
        <v>0.75000000000000011</v>
      </c>
      <c r="BG43" s="587">
        <v>0.4</v>
      </c>
      <c r="BH43" s="302" t="s">
        <v>609</v>
      </c>
      <c r="BI43" s="302" t="s">
        <v>610</v>
      </c>
      <c r="BJ43" s="434">
        <v>0.09</v>
      </c>
      <c r="BK43" s="302" t="s">
        <v>606</v>
      </c>
      <c r="BL43" s="302" t="s">
        <v>607</v>
      </c>
      <c r="BM43" s="434">
        <v>0.01</v>
      </c>
      <c r="BN43" s="645">
        <f t="shared" si="13"/>
        <v>0.5</v>
      </c>
      <c r="BO43" s="434"/>
      <c r="BP43" s="434">
        <v>0.4</v>
      </c>
      <c r="BQ43" s="302" t="s">
        <v>609</v>
      </c>
      <c r="BR43" s="302" t="s">
        <v>610</v>
      </c>
      <c r="BS43" s="434">
        <v>0.09</v>
      </c>
      <c r="BT43" s="302" t="s">
        <v>606</v>
      </c>
      <c r="BU43" s="302" t="s">
        <v>607</v>
      </c>
      <c r="BV43" s="434">
        <v>0.01</v>
      </c>
      <c r="BW43" s="645">
        <f t="shared" si="16"/>
        <v>0.5</v>
      </c>
      <c r="BX43" s="434">
        <v>0.4</v>
      </c>
      <c r="BY43" s="302" t="s">
        <v>609</v>
      </c>
      <c r="BZ43" s="302" t="s">
        <v>610</v>
      </c>
      <c r="CA43" s="434">
        <v>0.09</v>
      </c>
      <c r="CB43" s="302" t="s">
        <v>606</v>
      </c>
      <c r="CC43" s="302" t="s">
        <v>607</v>
      </c>
      <c r="CD43" s="434">
        <v>0.01</v>
      </c>
      <c r="CE43" s="434">
        <f t="shared" si="17"/>
        <v>0.5</v>
      </c>
      <c r="CF43" s="1620" t="s">
        <v>1166</v>
      </c>
      <c r="CG43" s="1620" t="s">
        <v>1166</v>
      </c>
      <c r="CH43" s="1620" t="s">
        <v>1166</v>
      </c>
      <c r="CI43" s="406"/>
      <c r="CJ43" s="642">
        <v>0.63400000000000001</v>
      </c>
      <c r="CK43" s="591" t="s">
        <v>862</v>
      </c>
      <c r="CL43" s="302" t="s">
        <v>609</v>
      </c>
      <c r="CM43" s="302" t="s">
        <v>610</v>
      </c>
      <c r="CN43" s="637">
        <v>0.59</v>
      </c>
      <c r="CO43" s="302" t="s">
        <v>606</v>
      </c>
      <c r="CP43" s="302" t="s">
        <v>607</v>
      </c>
      <c r="CQ43" s="637">
        <v>0.01</v>
      </c>
    </row>
    <row r="44" spans="1:98" ht="15.75" customHeight="1" x14ac:dyDescent="0.2">
      <c r="A44" s="661" t="s">
        <v>792</v>
      </c>
      <c r="B44" s="440" t="s">
        <v>791</v>
      </c>
      <c r="C44" s="637">
        <v>0.99</v>
      </c>
      <c r="D44" s="440" t="s">
        <v>508</v>
      </c>
      <c r="E44" s="440" t="s">
        <v>660</v>
      </c>
      <c r="F44" s="637">
        <v>0</v>
      </c>
      <c r="G44" s="440" t="s">
        <v>1281</v>
      </c>
      <c r="H44" s="440" t="s">
        <v>1199</v>
      </c>
      <c r="I44" s="637">
        <v>0.01</v>
      </c>
      <c r="J44" s="662">
        <f t="shared" si="10"/>
        <v>1</v>
      </c>
      <c r="K44" s="637">
        <v>0.99</v>
      </c>
      <c r="L44" s="440" t="s">
        <v>508</v>
      </c>
      <c r="M44" s="440" t="s">
        <v>660</v>
      </c>
      <c r="N44" s="637">
        <v>0</v>
      </c>
      <c r="O44" s="440" t="s">
        <v>1281</v>
      </c>
      <c r="P44" s="440" t="s">
        <v>1199</v>
      </c>
      <c r="Q44" s="637">
        <v>0.01</v>
      </c>
      <c r="R44" s="662">
        <f t="shared" si="19"/>
        <v>1</v>
      </c>
      <c r="S44" s="637">
        <v>0.99</v>
      </c>
      <c r="T44" s="302" t="s">
        <v>508</v>
      </c>
      <c r="U44" s="302" t="s">
        <v>660</v>
      </c>
      <c r="V44" s="637">
        <v>0</v>
      </c>
      <c r="W44" s="302" t="s">
        <v>1281</v>
      </c>
      <c r="X44" s="302" t="s">
        <v>1199</v>
      </c>
      <c r="Y44" s="637">
        <v>0.01</v>
      </c>
      <c r="Z44" s="645">
        <f t="shared" si="2"/>
        <v>1</v>
      </c>
      <c r="AA44" s="637">
        <v>0.99</v>
      </c>
      <c r="AB44" s="302" t="s">
        <v>508</v>
      </c>
      <c r="AC44" s="302" t="s">
        <v>660</v>
      </c>
      <c r="AD44" s="637">
        <v>0</v>
      </c>
      <c r="AE44" s="302" t="s">
        <v>1281</v>
      </c>
      <c r="AF44" s="302" t="s">
        <v>1199</v>
      </c>
      <c r="AG44" s="637">
        <v>0.01</v>
      </c>
      <c r="AH44" s="645">
        <f t="shared" si="18"/>
        <v>1</v>
      </c>
      <c r="AI44" s="637">
        <v>0.99</v>
      </c>
      <c r="AJ44" s="302" t="s">
        <v>508</v>
      </c>
      <c r="AK44" s="302" t="s">
        <v>660</v>
      </c>
      <c r="AL44" s="637">
        <v>0</v>
      </c>
      <c r="AM44" s="302" t="s">
        <v>1281</v>
      </c>
      <c r="AN44" s="302" t="s">
        <v>1199</v>
      </c>
      <c r="AO44" s="637">
        <v>0.01</v>
      </c>
      <c r="AP44" s="645">
        <f t="shared" si="14"/>
        <v>1</v>
      </c>
      <c r="AQ44" s="637">
        <v>0.99</v>
      </c>
      <c r="AR44" s="302" t="s">
        <v>508</v>
      </c>
      <c r="AS44" s="302" t="s">
        <v>660</v>
      </c>
      <c r="AT44" s="637">
        <v>0</v>
      </c>
      <c r="AU44" s="302" t="s">
        <v>1281</v>
      </c>
      <c r="AV44" s="302" t="s">
        <v>1199</v>
      </c>
      <c r="AW44" s="637">
        <v>0.01</v>
      </c>
      <c r="AX44" s="645">
        <f t="shared" si="15"/>
        <v>1</v>
      </c>
      <c r="AY44" s="637">
        <v>0.99</v>
      </c>
      <c r="AZ44" s="302" t="s">
        <v>508</v>
      </c>
      <c r="BA44" s="302" t="s">
        <v>660</v>
      </c>
      <c r="BB44" s="637">
        <v>0</v>
      </c>
      <c r="BC44" s="302" t="s">
        <v>661</v>
      </c>
      <c r="BD44" s="302" t="s">
        <v>1199</v>
      </c>
      <c r="BE44" s="637">
        <v>0.01</v>
      </c>
      <c r="BF44" s="434">
        <f t="shared" si="12"/>
        <v>1</v>
      </c>
      <c r="BG44" s="587">
        <v>0.99</v>
      </c>
      <c r="BH44" s="302" t="s">
        <v>508</v>
      </c>
      <c r="BI44" s="302" t="s">
        <v>660</v>
      </c>
      <c r="BJ44" s="434">
        <v>0</v>
      </c>
      <c r="BK44" s="302" t="s">
        <v>661</v>
      </c>
      <c r="BL44" s="302" t="s">
        <v>662</v>
      </c>
      <c r="BM44" s="434">
        <v>0.01</v>
      </c>
      <c r="BN44" s="645">
        <f t="shared" si="13"/>
        <v>1</v>
      </c>
      <c r="BO44" s="434"/>
      <c r="BP44" s="434">
        <v>0.99</v>
      </c>
      <c r="BQ44" s="302" t="s">
        <v>508</v>
      </c>
      <c r="BR44" s="302" t="s">
        <v>660</v>
      </c>
      <c r="BS44" s="434">
        <v>0</v>
      </c>
      <c r="BT44" s="302" t="s">
        <v>661</v>
      </c>
      <c r="BU44" s="302" t="s">
        <v>662</v>
      </c>
      <c r="BV44" s="434">
        <v>0.01</v>
      </c>
      <c r="BW44" s="645">
        <f t="shared" si="16"/>
        <v>1</v>
      </c>
      <c r="BX44" s="434">
        <v>0.49</v>
      </c>
      <c r="BY44" s="302" t="s">
        <v>508</v>
      </c>
      <c r="BZ44" s="302" t="s">
        <v>660</v>
      </c>
      <c r="CA44" s="434">
        <v>0</v>
      </c>
      <c r="CB44" s="302" t="s">
        <v>661</v>
      </c>
      <c r="CC44" s="302" t="s">
        <v>662</v>
      </c>
      <c r="CD44" s="434">
        <v>0.01</v>
      </c>
      <c r="CE44" s="434">
        <f t="shared" si="17"/>
        <v>0.5</v>
      </c>
      <c r="CF44" s="1620" t="s">
        <v>862</v>
      </c>
      <c r="CG44" s="1620" t="s">
        <v>1166</v>
      </c>
      <c r="CH44" s="1620" t="s">
        <v>862</v>
      </c>
      <c r="CI44" s="408" t="s">
        <v>862</v>
      </c>
      <c r="CJ44" s="642">
        <v>0.67400000000000004</v>
      </c>
      <c r="CK44" s="591" t="s">
        <v>922</v>
      </c>
      <c r="CL44" s="302" t="s">
        <v>508</v>
      </c>
      <c r="CM44" s="302" t="s">
        <v>660</v>
      </c>
      <c r="CN44" s="637">
        <v>0</v>
      </c>
      <c r="CO44" s="302" t="s">
        <v>661</v>
      </c>
      <c r="CP44" s="302" t="s">
        <v>662</v>
      </c>
      <c r="CQ44" s="637">
        <v>0.01</v>
      </c>
    </row>
    <row r="45" spans="1:98" ht="15.75" customHeight="1" x14ac:dyDescent="0.2">
      <c r="A45" s="661" t="s">
        <v>794</v>
      </c>
      <c r="B45" s="440" t="s">
        <v>793</v>
      </c>
      <c r="C45" s="637">
        <v>0.49</v>
      </c>
      <c r="D45" s="440" t="s">
        <v>508</v>
      </c>
      <c r="E45" s="440" t="s">
        <v>660</v>
      </c>
      <c r="F45" s="637">
        <v>0</v>
      </c>
      <c r="G45" s="440" t="s">
        <v>671</v>
      </c>
      <c r="H45" s="440" t="s">
        <v>672</v>
      </c>
      <c r="I45" s="637">
        <v>0.01</v>
      </c>
      <c r="J45" s="662">
        <f t="shared" si="10"/>
        <v>0.5</v>
      </c>
      <c r="K45" s="637">
        <v>0.49</v>
      </c>
      <c r="L45" s="440" t="s">
        <v>508</v>
      </c>
      <c r="M45" s="440" t="s">
        <v>660</v>
      </c>
      <c r="N45" s="637">
        <v>0</v>
      </c>
      <c r="O45" s="440" t="s">
        <v>671</v>
      </c>
      <c r="P45" s="440" t="s">
        <v>672</v>
      </c>
      <c r="Q45" s="637">
        <v>0.01</v>
      </c>
      <c r="R45" s="662">
        <f t="shared" si="19"/>
        <v>0.5</v>
      </c>
      <c r="S45" s="637">
        <v>0.49</v>
      </c>
      <c r="T45" s="302" t="s">
        <v>508</v>
      </c>
      <c r="U45" s="302" t="s">
        <v>660</v>
      </c>
      <c r="V45" s="637">
        <v>0</v>
      </c>
      <c r="W45" s="302" t="s">
        <v>671</v>
      </c>
      <c r="X45" s="302" t="s">
        <v>672</v>
      </c>
      <c r="Y45" s="637">
        <v>0.01</v>
      </c>
      <c r="Z45" s="645">
        <f t="shared" si="2"/>
        <v>0.5</v>
      </c>
      <c r="AA45" s="637">
        <v>0.49</v>
      </c>
      <c r="AB45" s="302" t="s">
        <v>508</v>
      </c>
      <c r="AC45" s="302" t="s">
        <v>660</v>
      </c>
      <c r="AD45" s="637">
        <v>0</v>
      </c>
      <c r="AE45" s="302" t="s">
        <v>671</v>
      </c>
      <c r="AF45" s="302" t="s">
        <v>672</v>
      </c>
      <c r="AG45" s="637">
        <v>0.01</v>
      </c>
      <c r="AH45" s="645">
        <f t="shared" si="18"/>
        <v>0.5</v>
      </c>
      <c r="AI45" s="637">
        <v>0.49</v>
      </c>
      <c r="AJ45" s="302" t="s">
        <v>508</v>
      </c>
      <c r="AK45" s="302" t="s">
        <v>660</v>
      </c>
      <c r="AL45" s="637">
        <v>0</v>
      </c>
      <c r="AM45" s="302" t="s">
        <v>671</v>
      </c>
      <c r="AN45" s="302" t="s">
        <v>672</v>
      </c>
      <c r="AO45" s="637">
        <v>0.01</v>
      </c>
      <c r="AP45" s="645">
        <f t="shared" si="14"/>
        <v>0.5</v>
      </c>
      <c r="AQ45" s="637">
        <v>0.49</v>
      </c>
      <c r="AR45" s="302" t="s">
        <v>508</v>
      </c>
      <c r="AS45" s="302" t="s">
        <v>660</v>
      </c>
      <c r="AT45" s="637">
        <v>0</v>
      </c>
      <c r="AU45" s="302" t="s">
        <v>671</v>
      </c>
      <c r="AV45" s="302" t="s">
        <v>672</v>
      </c>
      <c r="AW45" s="637">
        <v>0.01</v>
      </c>
      <c r="AX45" s="645">
        <f t="shared" si="15"/>
        <v>0.5</v>
      </c>
      <c r="AY45" s="637">
        <v>0.74</v>
      </c>
      <c r="AZ45" s="302" t="s">
        <v>508</v>
      </c>
      <c r="BA45" s="302" t="s">
        <v>660</v>
      </c>
      <c r="BB45" s="637">
        <v>0</v>
      </c>
      <c r="BC45" s="302" t="s">
        <v>671</v>
      </c>
      <c r="BD45" s="302" t="s">
        <v>672</v>
      </c>
      <c r="BE45" s="637">
        <v>0.01</v>
      </c>
      <c r="BF45" s="434">
        <f t="shared" si="12"/>
        <v>0.75</v>
      </c>
      <c r="BG45" s="587">
        <v>0.99</v>
      </c>
      <c r="BH45" s="302" t="s">
        <v>508</v>
      </c>
      <c r="BI45" s="302" t="s">
        <v>660</v>
      </c>
      <c r="BJ45" s="434">
        <v>0</v>
      </c>
      <c r="BK45" s="302" t="s">
        <v>671</v>
      </c>
      <c r="BL45" s="302" t="s">
        <v>672</v>
      </c>
      <c r="BM45" s="434">
        <v>0.01</v>
      </c>
      <c r="BN45" s="645">
        <f t="shared" si="13"/>
        <v>1</v>
      </c>
      <c r="BO45" s="434"/>
      <c r="BP45" s="434">
        <v>0.49</v>
      </c>
      <c r="BQ45" s="302" t="s">
        <v>508</v>
      </c>
      <c r="BR45" s="302" t="s">
        <v>660</v>
      </c>
      <c r="BS45" s="434">
        <v>0</v>
      </c>
      <c r="BT45" s="302" t="s">
        <v>671</v>
      </c>
      <c r="BU45" s="302" t="s">
        <v>672</v>
      </c>
      <c r="BV45" s="434">
        <v>0.01</v>
      </c>
      <c r="BW45" s="645">
        <f t="shared" si="16"/>
        <v>0.5</v>
      </c>
      <c r="BX45" s="434">
        <v>0.49</v>
      </c>
      <c r="BY45" s="302" t="s">
        <v>508</v>
      </c>
      <c r="BZ45" s="302" t="s">
        <v>660</v>
      </c>
      <c r="CA45" s="434">
        <v>0</v>
      </c>
      <c r="CB45" s="302" t="s">
        <v>671</v>
      </c>
      <c r="CC45" s="302" t="s">
        <v>672</v>
      </c>
      <c r="CD45" s="434">
        <v>0.01</v>
      </c>
      <c r="CE45" s="434">
        <f t="shared" si="17"/>
        <v>0.5</v>
      </c>
      <c r="CF45" s="1620" t="s">
        <v>862</v>
      </c>
      <c r="CG45" s="1620" t="s">
        <v>1166</v>
      </c>
      <c r="CH45" s="1620" t="s">
        <v>1166</v>
      </c>
      <c r="CI45" s="408" t="s">
        <v>862</v>
      </c>
      <c r="CJ45" s="642">
        <v>0.65200000000000002</v>
      </c>
      <c r="CK45" s="591" t="s">
        <v>922</v>
      </c>
      <c r="CL45" s="302" t="s">
        <v>508</v>
      </c>
      <c r="CM45" s="302" t="s">
        <v>660</v>
      </c>
      <c r="CN45" s="637">
        <v>0</v>
      </c>
      <c r="CO45" s="302" t="s">
        <v>671</v>
      </c>
      <c r="CP45" s="302" t="s">
        <v>672</v>
      </c>
      <c r="CQ45" s="637">
        <v>0.01</v>
      </c>
    </row>
    <row r="46" spans="1:98" ht="15.75" customHeight="1" x14ac:dyDescent="0.2">
      <c r="A46" s="661" t="s">
        <v>796</v>
      </c>
      <c r="B46" s="440" t="s">
        <v>795</v>
      </c>
      <c r="C46" s="637">
        <v>0.4</v>
      </c>
      <c r="D46" s="440" t="s">
        <v>533</v>
      </c>
      <c r="E46" s="440" t="s">
        <v>534</v>
      </c>
      <c r="F46" s="637">
        <v>0.09</v>
      </c>
      <c r="G46" s="440" t="s">
        <v>531</v>
      </c>
      <c r="H46" s="440" t="s">
        <v>532</v>
      </c>
      <c r="I46" s="637">
        <v>0.01</v>
      </c>
      <c r="J46" s="662">
        <f t="shared" si="10"/>
        <v>0.5</v>
      </c>
      <c r="K46" s="637">
        <v>0.4</v>
      </c>
      <c r="L46" s="440" t="s">
        <v>533</v>
      </c>
      <c r="M46" s="440" t="s">
        <v>534</v>
      </c>
      <c r="N46" s="637">
        <v>0.09</v>
      </c>
      <c r="O46" s="440" t="s">
        <v>531</v>
      </c>
      <c r="P46" s="440" t="s">
        <v>532</v>
      </c>
      <c r="Q46" s="637">
        <v>0.01</v>
      </c>
      <c r="R46" s="662">
        <f t="shared" si="19"/>
        <v>0.5</v>
      </c>
      <c r="S46" s="637">
        <v>0.4</v>
      </c>
      <c r="T46" s="302" t="s">
        <v>533</v>
      </c>
      <c r="U46" s="302" t="s">
        <v>534</v>
      </c>
      <c r="V46" s="637">
        <v>0.09</v>
      </c>
      <c r="W46" s="302" t="s">
        <v>531</v>
      </c>
      <c r="X46" s="302" t="s">
        <v>532</v>
      </c>
      <c r="Y46" s="637">
        <v>0.01</v>
      </c>
      <c r="Z46" s="645">
        <f t="shared" si="2"/>
        <v>0.5</v>
      </c>
      <c r="AA46" s="637">
        <v>0.4</v>
      </c>
      <c r="AB46" s="302" t="s">
        <v>533</v>
      </c>
      <c r="AC46" s="302" t="s">
        <v>534</v>
      </c>
      <c r="AD46" s="637">
        <v>0.09</v>
      </c>
      <c r="AE46" s="302" t="s">
        <v>531</v>
      </c>
      <c r="AF46" s="302" t="s">
        <v>532</v>
      </c>
      <c r="AG46" s="637">
        <v>0.01</v>
      </c>
      <c r="AH46" s="645">
        <f t="shared" si="18"/>
        <v>0.5</v>
      </c>
      <c r="AI46" s="637">
        <v>0.4</v>
      </c>
      <c r="AJ46" s="302" t="s">
        <v>533</v>
      </c>
      <c r="AK46" s="302" t="s">
        <v>534</v>
      </c>
      <c r="AL46" s="637">
        <v>0.09</v>
      </c>
      <c r="AM46" s="302" t="s">
        <v>531</v>
      </c>
      <c r="AN46" s="302" t="s">
        <v>532</v>
      </c>
      <c r="AO46" s="637">
        <v>0.01</v>
      </c>
      <c r="AP46" s="645">
        <f t="shared" si="14"/>
        <v>0.5</v>
      </c>
      <c r="AQ46" s="637">
        <v>0.4</v>
      </c>
      <c r="AR46" s="302" t="s">
        <v>533</v>
      </c>
      <c r="AS46" s="302" t="s">
        <v>534</v>
      </c>
      <c r="AT46" s="637">
        <v>0.09</v>
      </c>
      <c r="AU46" s="302" t="s">
        <v>531</v>
      </c>
      <c r="AV46" s="302" t="s">
        <v>532</v>
      </c>
      <c r="AW46" s="637">
        <v>0.01</v>
      </c>
      <c r="AX46" s="645">
        <f t="shared" si="15"/>
        <v>0.5</v>
      </c>
      <c r="AY46" s="637">
        <v>0.4</v>
      </c>
      <c r="AZ46" s="302" t="s">
        <v>533</v>
      </c>
      <c r="BA46" s="302" t="s">
        <v>534</v>
      </c>
      <c r="BB46" s="637">
        <v>0.09</v>
      </c>
      <c r="BC46" s="302" t="s">
        <v>531</v>
      </c>
      <c r="BD46" s="302" t="s">
        <v>532</v>
      </c>
      <c r="BE46" s="637">
        <v>0.01</v>
      </c>
      <c r="BF46" s="434">
        <f t="shared" si="12"/>
        <v>0.5</v>
      </c>
      <c r="BG46" s="587">
        <v>0.4</v>
      </c>
      <c r="BH46" s="302" t="s">
        <v>533</v>
      </c>
      <c r="BI46" s="302" t="s">
        <v>534</v>
      </c>
      <c r="BJ46" s="434">
        <v>0.09</v>
      </c>
      <c r="BK46" s="302" t="s">
        <v>531</v>
      </c>
      <c r="BL46" s="302" t="s">
        <v>532</v>
      </c>
      <c r="BM46" s="434">
        <v>0.01</v>
      </c>
      <c r="BN46" s="645">
        <f t="shared" si="13"/>
        <v>0.5</v>
      </c>
      <c r="BO46" s="434"/>
      <c r="BP46" s="434">
        <v>0.4</v>
      </c>
      <c r="BQ46" s="302" t="s">
        <v>533</v>
      </c>
      <c r="BR46" s="302" t="s">
        <v>534</v>
      </c>
      <c r="BS46" s="434">
        <v>0.09</v>
      </c>
      <c r="BT46" s="302" t="s">
        <v>531</v>
      </c>
      <c r="BU46" s="302" t="s">
        <v>532</v>
      </c>
      <c r="BV46" s="434">
        <v>0.01</v>
      </c>
      <c r="BW46" s="645">
        <f t="shared" si="16"/>
        <v>0.5</v>
      </c>
      <c r="BX46" s="434">
        <v>0.4</v>
      </c>
      <c r="BY46" s="302" t="s">
        <v>533</v>
      </c>
      <c r="BZ46" s="302" t="s">
        <v>534</v>
      </c>
      <c r="CA46" s="434">
        <v>0.09</v>
      </c>
      <c r="CB46" s="302" t="s">
        <v>531</v>
      </c>
      <c r="CC46" s="302" t="s">
        <v>532</v>
      </c>
      <c r="CD46" s="434">
        <v>0.01</v>
      </c>
      <c r="CE46" s="434">
        <f t="shared" si="17"/>
        <v>0.5</v>
      </c>
      <c r="CF46" s="1620" t="s">
        <v>1166</v>
      </c>
      <c r="CG46" s="1620" t="s">
        <v>1166</v>
      </c>
      <c r="CH46" s="1620" t="s">
        <v>1166</v>
      </c>
      <c r="CI46" s="406"/>
      <c r="CJ46" s="642">
        <v>0.73799999999999999</v>
      </c>
      <c r="CK46" s="591" t="s">
        <v>922</v>
      </c>
      <c r="CL46" s="302" t="s">
        <v>533</v>
      </c>
      <c r="CM46" s="302" t="s">
        <v>534</v>
      </c>
      <c r="CN46" s="637">
        <v>0.59</v>
      </c>
      <c r="CO46" s="302" t="s">
        <v>531</v>
      </c>
      <c r="CP46" s="302" t="s">
        <v>532</v>
      </c>
      <c r="CQ46" s="637">
        <v>0.01</v>
      </c>
    </row>
    <row r="47" spans="1:98" ht="15.75" customHeight="1" x14ac:dyDescent="0.2">
      <c r="A47" s="661" t="s">
        <v>798</v>
      </c>
      <c r="B47" s="440" t="s">
        <v>797</v>
      </c>
      <c r="C47" s="637">
        <v>0.3</v>
      </c>
      <c r="D47" s="440" t="s">
        <v>674</v>
      </c>
      <c r="E47" s="440" t="s">
        <v>675</v>
      </c>
      <c r="F47" s="637">
        <v>0.37</v>
      </c>
      <c r="G47" s="440" t="s">
        <v>508</v>
      </c>
      <c r="H47" s="440" t="s">
        <v>508</v>
      </c>
      <c r="I47" s="637">
        <v>0</v>
      </c>
      <c r="J47" s="662">
        <f t="shared" si="10"/>
        <v>0.66999999999999993</v>
      </c>
      <c r="K47" s="637">
        <v>0.3</v>
      </c>
      <c r="L47" s="440" t="s">
        <v>674</v>
      </c>
      <c r="M47" s="440" t="s">
        <v>675</v>
      </c>
      <c r="N47" s="637">
        <v>0.37</v>
      </c>
      <c r="O47" s="440" t="s">
        <v>508</v>
      </c>
      <c r="P47" s="440" t="s">
        <v>508</v>
      </c>
      <c r="Q47" s="637">
        <v>0</v>
      </c>
      <c r="R47" s="662">
        <f t="shared" si="19"/>
        <v>0.66999999999999993</v>
      </c>
      <c r="S47" s="637">
        <v>0.3</v>
      </c>
      <c r="T47" s="302" t="s">
        <v>674</v>
      </c>
      <c r="U47" s="302" t="s">
        <v>675</v>
      </c>
      <c r="V47" s="637">
        <v>0.37</v>
      </c>
      <c r="W47" s="302" t="s">
        <v>508</v>
      </c>
      <c r="X47" s="302" t="s">
        <v>508</v>
      </c>
      <c r="Y47" s="637">
        <v>0</v>
      </c>
      <c r="Z47" s="645">
        <f t="shared" si="2"/>
        <v>0.66999999999999993</v>
      </c>
      <c r="AA47" s="637">
        <v>0.3</v>
      </c>
      <c r="AB47" s="302" t="s">
        <v>674</v>
      </c>
      <c r="AC47" s="302" t="s">
        <v>675</v>
      </c>
      <c r="AD47" s="637">
        <v>0.37</v>
      </c>
      <c r="AE47" s="302" t="s">
        <v>508</v>
      </c>
      <c r="AF47" s="302" t="s">
        <v>508</v>
      </c>
      <c r="AG47" s="637">
        <v>0</v>
      </c>
      <c r="AH47" s="645">
        <f t="shared" si="18"/>
        <v>0.66999999999999993</v>
      </c>
      <c r="AI47" s="637">
        <v>0.3</v>
      </c>
      <c r="AJ47" s="302" t="s">
        <v>674</v>
      </c>
      <c r="AK47" s="302" t="s">
        <v>675</v>
      </c>
      <c r="AL47" s="637">
        <v>0.37</v>
      </c>
      <c r="AM47" s="302" t="s">
        <v>508</v>
      </c>
      <c r="AN47" s="302" t="s">
        <v>508</v>
      </c>
      <c r="AO47" s="637">
        <v>0</v>
      </c>
      <c r="AP47" s="645">
        <f t="shared" si="14"/>
        <v>0.66999999999999993</v>
      </c>
      <c r="AQ47" s="637">
        <v>0.3</v>
      </c>
      <c r="AR47" s="302" t="s">
        <v>674</v>
      </c>
      <c r="AS47" s="302" t="s">
        <v>675</v>
      </c>
      <c r="AT47" s="637">
        <v>0.37</v>
      </c>
      <c r="AU47" s="302" t="s">
        <v>508</v>
      </c>
      <c r="AV47" s="302" t="s">
        <v>508</v>
      </c>
      <c r="AW47" s="637">
        <v>0</v>
      </c>
      <c r="AX47" s="645">
        <f t="shared" si="15"/>
        <v>0.66999999999999993</v>
      </c>
      <c r="AY47" s="637">
        <v>0.48</v>
      </c>
      <c r="AZ47" s="302" t="s">
        <v>674</v>
      </c>
      <c r="BA47" s="302" t="s">
        <v>675</v>
      </c>
      <c r="BB47" s="637">
        <v>0.27</v>
      </c>
      <c r="BC47" s="302" t="s">
        <v>508</v>
      </c>
      <c r="BD47" s="302" t="s">
        <v>508</v>
      </c>
      <c r="BE47" s="637">
        <v>0</v>
      </c>
      <c r="BF47" s="434">
        <f t="shared" si="12"/>
        <v>0.75</v>
      </c>
      <c r="BG47" s="587">
        <v>0.64</v>
      </c>
      <c r="BH47" s="302" t="s">
        <v>674</v>
      </c>
      <c r="BI47" s="302" t="s">
        <v>675</v>
      </c>
      <c r="BJ47" s="434">
        <v>0.36</v>
      </c>
      <c r="BK47" s="302" t="s">
        <v>508</v>
      </c>
      <c r="BL47" s="302" t="s">
        <v>508</v>
      </c>
      <c r="BM47" s="434">
        <v>0</v>
      </c>
      <c r="BN47" s="645">
        <f t="shared" si="13"/>
        <v>1</v>
      </c>
      <c r="BO47" s="434"/>
      <c r="BP47" s="434">
        <v>0.3</v>
      </c>
      <c r="BQ47" s="302" t="s">
        <v>674</v>
      </c>
      <c r="BR47" s="302" t="s">
        <v>675</v>
      </c>
      <c r="BS47" s="434">
        <v>0.37</v>
      </c>
      <c r="BT47" s="302" t="s">
        <v>508</v>
      </c>
      <c r="BU47" s="302" t="s">
        <v>508</v>
      </c>
      <c r="BV47" s="434">
        <v>0</v>
      </c>
      <c r="BW47" s="645">
        <f t="shared" si="16"/>
        <v>0.66999999999999993</v>
      </c>
      <c r="BX47" s="434">
        <v>0.3</v>
      </c>
      <c r="BY47" s="302" t="s">
        <v>674</v>
      </c>
      <c r="BZ47" s="302" t="s">
        <v>675</v>
      </c>
      <c r="CA47" s="434">
        <v>0.2</v>
      </c>
      <c r="CB47" s="302" t="s">
        <v>508</v>
      </c>
      <c r="CC47" s="302" t="s">
        <v>508</v>
      </c>
      <c r="CD47" s="434">
        <v>0</v>
      </c>
      <c r="CE47" s="434">
        <f t="shared" si="17"/>
        <v>0.5</v>
      </c>
      <c r="CF47" s="1620" t="s">
        <v>1166</v>
      </c>
      <c r="CG47" s="1620" t="s">
        <v>1166</v>
      </c>
      <c r="CH47" s="1620" t="s">
        <v>1166</v>
      </c>
      <c r="CI47" s="408" t="s">
        <v>862</v>
      </c>
      <c r="CJ47" s="642">
        <v>0.72599999999999998</v>
      </c>
      <c r="CK47" s="591" t="s">
        <v>922</v>
      </c>
      <c r="CL47" s="302" t="s">
        <v>674</v>
      </c>
      <c r="CM47" s="302" t="s">
        <v>675</v>
      </c>
      <c r="CN47" s="637">
        <v>0.2</v>
      </c>
      <c r="CO47" s="302" t="s">
        <v>508</v>
      </c>
      <c r="CP47" s="302" t="s">
        <v>508</v>
      </c>
      <c r="CQ47" s="637">
        <v>0</v>
      </c>
    </row>
    <row r="48" spans="1:98" ht="15.75" customHeight="1" x14ac:dyDescent="0.2">
      <c r="A48" s="661" t="s">
        <v>800</v>
      </c>
      <c r="B48" s="440" t="s">
        <v>799</v>
      </c>
      <c r="C48" s="637">
        <v>0.4</v>
      </c>
      <c r="D48" s="440" t="s">
        <v>645</v>
      </c>
      <c r="E48" s="440" t="s">
        <v>646</v>
      </c>
      <c r="F48" s="637">
        <v>0.09</v>
      </c>
      <c r="G48" s="440" t="s">
        <v>643</v>
      </c>
      <c r="H48" s="440" t="s">
        <v>1201</v>
      </c>
      <c r="I48" s="637">
        <v>0.01</v>
      </c>
      <c r="J48" s="662">
        <f t="shared" si="10"/>
        <v>0.5</v>
      </c>
      <c r="K48" s="637">
        <v>0.4</v>
      </c>
      <c r="L48" s="440" t="s">
        <v>645</v>
      </c>
      <c r="M48" s="440" t="s">
        <v>646</v>
      </c>
      <c r="N48" s="637">
        <v>0.09</v>
      </c>
      <c r="O48" s="440" t="s">
        <v>643</v>
      </c>
      <c r="P48" s="440" t="s">
        <v>1201</v>
      </c>
      <c r="Q48" s="637">
        <v>0.01</v>
      </c>
      <c r="R48" s="662">
        <f t="shared" si="19"/>
        <v>0.5</v>
      </c>
      <c r="S48" s="637">
        <v>0.4</v>
      </c>
      <c r="T48" s="302" t="s">
        <v>645</v>
      </c>
      <c r="U48" s="302" t="s">
        <v>646</v>
      </c>
      <c r="V48" s="637">
        <v>0.09</v>
      </c>
      <c r="W48" s="302" t="s">
        <v>643</v>
      </c>
      <c r="X48" s="302" t="s">
        <v>1201</v>
      </c>
      <c r="Y48" s="637">
        <v>0.01</v>
      </c>
      <c r="Z48" s="645">
        <f t="shared" si="2"/>
        <v>0.5</v>
      </c>
      <c r="AA48" s="637">
        <v>0.4</v>
      </c>
      <c r="AB48" s="302" t="s">
        <v>645</v>
      </c>
      <c r="AC48" s="302" t="s">
        <v>646</v>
      </c>
      <c r="AD48" s="637">
        <v>0.09</v>
      </c>
      <c r="AE48" s="302" t="s">
        <v>643</v>
      </c>
      <c r="AF48" s="302" t="s">
        <v>1201</v>
      </c>
      <c r="AG48" s="637">
        <v>0.01</v>
      </c>
      <c r="AH48" s="645">
        <f t="shared" si="18"/>
        <v>0.5</v>
      </c>
      <c r="AI48" s="637">
        <v>0.4</v>
      </c>
      <c r="AJ48" s="302" t="s">
        <v>645</v>
      </c>
      <c r="AK48" s="302" t="s">
        <v>646</v>
      </c>
      <c r="AL48" s="637">
        <v>0.09</v>
      </c>
      <c r="AM48" s="302" t="s">
        <v>643</v>
      </c>
      <c r="AN48" s="302" t="s">
        <v>1201</v>
      </c>
      <c r="AO48" s="637">
        <v>0.01</v>
      </c>
      <c r="AP48" s="645">
        <f t="shared" si="14"/>
        <v>0.5</v>
      </c>
      <c r="AQ48" s="637">
        <v>0.4</v>
      </c>
      <c r="AR48" s="302" t="s">
        <v>645</v>
      </c>
      <c r="AS48" s="302" t="s">
        <v>646</v>
      </c>
      <c r="AT48" s="637">
        <v>0.09</v>
      </c>
      <c r="AU48" s="302" t="s">
        <v>643</v>
      </c>
      <c r="AV48" s="302" t="s">
        <v>1201</v>
      </c>
      <c r="AW48" s="637">
        <v>0.01</v>
      </c>
      <c r="AX48" s="645">
        <f t="shared" si="15"/>
        <v>0.5</v>
      </c>
      <c r="AY48" s="637">
        <v>0.4</v>
      </c>
      <c r="AZ48" s="302" t="s">
        <v>645</v>
      </c>
      <c r="BA48" s="302" t="s">
        <v>646</v>
      </c>
      <c r="BB48" s="637">
        <v>0.33999999999999997</v>
      </c>
      <c r="BC48" s="302" t="s">
        <v>643</v>
      </c>
      <c r="BD48" s="302" t="s">
        <v>1201</v>
      </c>
      <c r="BE48" s="637">
        <v>0.01</v>
      </c>
      <c r="BF48" s="434">
        <f t="shared" si="12"/>
        <v>0.75</v>
      </c>
      <c r="BG48" s="587">
        <v>0.4</v>
      </c>
      <c r="BH48" s="302" t="s">
        <v>645</v>
      </c>
      <c r="BI48" s="302" t="s">
        <v>646</v>
      </c>
      <c r="BJ48" s="434">
        <v>0.09</v>
      </c>
      <c r="BK48" s="302" t="s">
        <v>643</v>
      </c>
      <c r="BL48" s="302" t="s">
        <v>644</v>
      </c>
      <c r="BM48" s="434">
        <v>0.01</v>
      </c>
      <c r="BN48" s="645">
        <f t="shared" si="13"/>
        <v>0.5</v>
      </c>
      <c r="BO48" s="434"/>
      <c r="BP48" s="434">
        <v>0.4</v>
      </c>
      <c r="BQ48" s="302" t="s">
        <v>645</v>
      </c>
      <c r="BR48" s="302" t="s">
        <v>646</v>
      </c>
      <c r="BS48" s="434">
        <v>0.09</v>
      </c>
      <c r="BT48" s="302" t="s">
        <v>643</v>
      </c>
      <c r="BU48" s="302" t="s">
        <v>644</v>
      </c>
      <c r="BV48" s="434">
        <v>0.01</v>
      </c>
      <c r="BW48" s="645">
        <f t="shared" si="16"/>
        <v>0.5</v>
      </c>
      <c r="BX48" s="434">
        <v>0.4</v>
      </c>
      <c r="BY48" s="302" t="s">
        <v>645</v>
      </c>
      <c r="BZ48" s="302" t="s">
        <v>646</v>
      </c>
      <c r="CA48" s="434">
        <v>0.09</v>
      </c>
      <c r="CB48" s="302" t="s">
        <v>643</v>
      </c>
      <c r="CC48" s="302" t="s">
        <v>644</v>
      </c>
      <c r="CD48" s="434">
        <v>0.01</v>
      </c>
      <c r="CE48" s="434">
        <f t="shared" si="17"/>
        <v>0.5</v>
      </c>
      <c r="CF48" s="1620" t="s">
        <v>1166</v>
      </c>
      <c r="CG48" s="1620" t="s">
        <v>1166</v>
      </c>
      <c r="CH48" s="1620" t="s">
        <v>1166</v>
      </c>
      <c r="CI48" s="406"/>
      <c r="CJ48" s="642">
        <v>0.69099999999999995</v>
      </c>
      <c r="CK48" s="591" t="s">
        <v>922</v>
      </c>
      <c r="CL48" s="302" t="s">
        <v>645</v>
      </c>
      <c r="CM48" s="302" t="s">
        <v>646</v>
      </c>
      <c r="CN48" s="637">
        <v>0.59</v>
      </c>
      <c r="CO48" s="302" t="s">
        <v>643</v>
      </c>
      <c r="CP48" s="302" t="s">
        <v>644</v>
      </c>
      <c r="CQ48" s="637">
        <v>0.01</v>
      </c>
    </row>
    <row r="49" spans="1:95" ht="15.75" customHeight="1" x14ac:dyDescent="0.2">
      <c r="A49" s="661" t="s">
        <v>802</v>
      </c>
      <c r="B49" s="440" t="s">
        <v>801</v>
      </c>
      <c r="C49" s="637">
        <v>0.4</v>
      </c>
      <c r="D49" s="440" t="s">
        <v>602</v>
      </c>
      <c r="E49" s="440" t="s">
        <v>603</v>
      </c>
      <c r="F49" s="637">
        <v>0.09</v>
      </c>
      <c r="G49" s="440" t="s">
        <v>600</v>
      </c>
      <c r="H49" s="440" t="s">
        <v>601</v>
      </c>
      <c r="I49" s="637">
        <v>0.01</v>
      </c>
      <c r="J49" s="662">
        <f t="shared" si="10"/>
        <v>0.5</v>
      </c>
      <c r="K49" s="637">
        <v>0.4</v>
      </c>
      <c r="L49" s="440" t="s">
        <v>602</v>
      </c>
      <c r="M49" s="440" t="s">
        <v>603</v>
      </c>
      <c r="N49" s="637">
        <v>0.09</v>
      </c>
      <c r="O49" s="440" t="s">
        <v>600</v>
      </c>
      <c r="P49" s="440" t="s">
        <v>601</v>
      </c>
      <c r="Q49" s="637">
        <v>0.01</v>
      </c>
      <c r="R49" s="662">
        <f t="shared" si="19"/>
        <v>0.5</v>
      </c>
      <c r="S49" s="637">
        <v>0.4</v>
      </c>
      <c r="T49" s="302" t="s">
        <v>602</v>
      </c>
      <c r="U49" s="302" t="s">
        <v>603</v>
      </c>
      <c r="V49" s="637">
        <v>0.09</v>
      </c>
      <c r="W49" s="302" t="s">
        <v>600</v>
      </c>
      <c r="X49" s="302" t="s">
        <v>601</v>
      </c>
      <c r="Y49" s="637">
        <v>0.01</v>
      </c>
      <c r="Z49" s="645">
        <f t="shared" si="2"/>
        <v>0.5</v>
      </c>
      <c r="AA49" s="637">
        <v>0.4</v>
      </c>
      <c r="AB49" s="302" t="s">
        <v>602</v>
      </c>
      <c r="AC49" s="302" t="s">
        <v>603</v>
      </c>
      <c r="AD49" s="637">
        <v>0.09</v>
      </c>
      <c r="AE49" s="302" t="s">
        <v>600</v>
      </c>
      <c r="AF49" s="302" t="s">
        <v>601</v>
      </c>
      <c r="AG49" s="637">
        <v>0.01</v>
      </c>
      <c r="AH49" s="645">
        <f t="shared" si="18"/>
        <v>0.5</v>
      </c>
      <c r="AI49" s="637">
        <v>0.4</v>
      </c>
      <c r="AJ49" s="302" t="s">
        <v>602</v>
      </c>
      <c r="AK49" s="302" t="s">
        <v>603</v>
      </c>
      <c r="AL49" s="637">
        <v>0.09</v>
      </c>
      <c r="AM49" s="302" t="s">
        <v>600</v>
      </c>
      <c r="AN49" s="302" t="s">
        <v>601</v>
      </c>
      <c r="AO49" s="637">
        <v>0.01</v>
      </c>
      <c r="AP49" s="645">
        <f t="shared" si="14"/>
        <v>0.5</v>
      </c>
      <c r="AQ49" s="637">
        <v>0.4</v>
      </c>
      <c r="AR49" s="302" t="s">
        <v>602</v>
      </c>
      <c r="AS49" s="302" t="s">
        <v>603</v>
      </c>
      <c r="AT49" s="637">
        <v>0.09</v>
      </c>
      <c r="AU49" s="302" t="s">
        <v>600</v>
      </c>
      <c r="AV49" s="302" t="s">
        <v>601</v>
      </c>
      <c r="AW49" s="637">
        <v>0.01</v>
      </c>
      <c r="AX49" s="645">
        <f t="shared" si="15"/>
        <v>0.5</v>
      </c>
      <c r="AY49" s="637">
        <v>0.4</v>
      </c>
      <c r="AZ49" s="302" t="s">
        <v>602</v>
      </c>
      <c r="BA49" s="302" t="s">
        <v>603</v>
      </c>
      <c r="BB49" s="637">
        <v>0.09</v>
      </c>
      <c r="BC49" s="302" t="s">
        <v>600</v>
      </c>
      <c r="BD49" s="302" t="s">
        <v>601</v>
      </c>
      <c r="BE49" s="637">
        <v>0.01</v>
      </c>
      <c r="BF49" s="434">
        <f t="shared" si="12"/>
        <v>0.5</v>
      </c>
      <c r="BG49" s="587">
        <v>0.4</v>
      </c>
      <c r="BH49" s="302" t="s">
        <v>602</v>
      </c>
      <c r="BI49" s="302" t="s">
        <v>603</v>
      </c>
      <c r="BJ49" s="434">
        <v>0.59</v>
      </c>
      <c r="BK49" s="302" t="s">
        <v>600</v>
      </c>
      <c r="BL49" s="302" t="s">
        <v>601</v>
      </c>
      <c r="BM49" s="434">
        <v>0.01</v>
      </c>
      <c r="BN49" s="645">
        <f t="shared" si="13"/>
        <v>1</v>
      </c>
      <c r="BO49" s="434"/>
      <c r="BP49" s="434">
        <v>0.4</v>
      </c>
      <c r="BQ49" s="302" t="s">
        <v>602</v>
      </c>
      <c r="BR49" s="302" t="s">
        <v>603</v>
      </c>
      <c r="BS49" s="434">
        <v>0.09</v>
      </c>
      <c r="BT49" s="302" t="s">
        <v>600</v>
      </c>
      <c r="BU49" s="302" t="s">
        <v>601</v>
      </c>
      <c r="BV49" s="434">
        <v>0.01</v>
      </c>
      <c r="BW49" s="645">
        <f t="shared" si="16"/>
        <v>0.5</v>
      </c>
      <c r="BX49" s="434">
        <v>0.4</v>
      </c>
      <c r="BY49" s="302" t="s">
        <v>602</v>
      </c>
      <c r="BZ49" s="302" t="s">
        <v>603</v>
      </c>
      <c r="CA49" s="434">
        <v>0.09</v>
      </c>
      <c r="CB49" s="302" t="s">
        <v>600</v>
      </c>
      <c r="CC49" s="302" t="s">
        <v>601</v>
      </c>
      <c r="CD49" s="434">
        <v>0.01</v>
      </c>
      <c r="CE49" s="434">
        <f t="shared" si="17"/>
        <v>0.5</v>
      </c>
      <c r="CF49" s="1620" t="s">
        <v>1166</v>
      </c>
      <c r="CG49" s="1620" t="s">
        <v>1166</v>
      </c>
      <c r="CH49" s="1620" t="s">
        <v>1166</v>
      </c>
      <c r="CI49" s="406"/>
      <c r="CJ49" s="642">
        <v>0.68400000000000005</v>
      </c>
      <c r="CK49" s="591" t="s">
        <v>922</v>
      </c>
      <c r="CL49" s="302" t="s">
        <v>602</v>
      </c>
      <c r="CM49" s="302" t="s">
        <v>603</v>
      </c>
      <c r="CN49" s="637">
        <v>0.59</v>
      </c>
      <c r="CO49" s="302" t="s">
        <v>600</v>
      </c>
      <c r="CP49" s="302" t="s">
        <v>601</v>
      </c>
      <c r="CQ49" s="637">
        <v>0.01</v>
      </c>
    </row>
    <row r="50" spans="1:95" ht="15.75" customHeight="1" x14ac:dyDescent="0.2">
      <c r="A50" s="661" t="s">
        <v>804</v>
      </c>
      <c r="B50" s="440" t="s">
        <v>803</v>
      </c>
      <c r="C50" s="637">
        <v>0.4</v>
      </c>
      <c r="D50" s="440" t="s">
        <v>575</v>
      </c>
      <c r="E50" s="440" t="s">
        <v>576</v>
      </c>
      <c r="F50" s="637">
        <v>0.09</v>
      </c>
      <c r="G50" s="440" t="s">
        <v>572</v>
      </c>
      <c r="H50" s="440" t="s">
        <v>1200</v>
      </c>
      <c r="I50" s="637">
        <v>0.01</v>
      </c>
      <c r="J50" s="662">
        <f t="shared" si="10"/>
        <v>0.5</v>
      </c>
      <c r="K50" s="637">
        <v>0.4</v>
      </c>
      <c r="L50" s="440" t="s">
        <v>575</v>
      </c>
      <c r="M50" s="440" t="s">
        <v>576</v>
      </c>
      <c r="N50" s="637">
        <v>0.09</v>
      </c>
      <c r="O50" s="440" t="s">
        <v>572</v>
      </c>
      <c r="P50" s="440" t="s">
        <v>1200</v>
      </c>
      <c r="Q50" s="637">
        <v>0.01</v>
      </c>
      <c r="R50" s="662">
        <f t="shared" si="19"/>
        <v>0.5</v>
      </c>
      <c r="S50" s="637">
        <v>0.4</v>
      </c>
      <c r="T50" s="302" t="s">
        <v>575</v>
      </c>
      <c r="U50" s="302" t="s">
        <v>576</v>
      </c>
      <c r="V50" s="637">
        <v>0.09</v>
      </c>
      <c r="W50" s="302" t="s">
        <v>572</v>
      </c>
      <c r="X50" s="302" t="s">
        <v>1200</v>
      </c>
      <c r="Y50" s="637">
        <v>0.01</v>
      </c>
      <c r="Z50" s="645">
        <f t="shared" si="2"/>
        <v>0.5</v>
      </c>
      <c r="AA50" s="637">
        <v>0.4</v>
      </c>
      <c r="AB50" s="302" t="s">
        <v>575</v>
      </c>
      <c r="AC50" s="302" t="s">
        <v>576</v>
      </c>
      <c r="AD50" s="637">
        <v>0.09</v>
      </c>
      <c r="AE50" s="302" t="s">
        <v>572</v>
      </c>
      <c r="AF50" s="302" t="s">
        <v>1200</v>
      </c>
      <c r="AG50" s="637">
        <v>0.01</v>
      </c>
      <c r="AH50" s="645">
        <f t="shared" si="18"/>
        <v>0.5</v>
      </c>
      <c r="AI50" s="637">
        <v>0.4</v>
      </c>
      <c r="AJ50" s="302" t="s">
        <v>575</v>
      </c>
      <c r="AK50" s="302" t="s">
        <v>576</v>
      </c>
      <c r="AL50" s="637">
        <v>0.09</v>
      </c>
      <c r="AM50" s="302" t="s">
        <v>572</v>
      </c>
      <c r="AN50" s="302" t="s">
        <v>1200</v>
      </c>
      <c r="AO50" s="637">
        <v>0.01</v>
      </c>
      <c r="AP50" s="645">
        <f t="shared" si="14"/>
        <v>0.5</v>
      </c>
      <c r="AQ50" s="637">
        <v>0.4</v>
      </c>
      <c r="AR50" s="302" t="s">
        <v>575</v>
      </c>
      <c r="AS50" s="302" t="s">
        <v>576</v>
      </c>
      <c r="AT50" s="637">
        <v>0.09</v>
      </c>
      <c r="AU50" s="302" t="s">
        <v>572</v>
      </c>
      <c r="AV50" s="302" t="s">
        <v>1200</v>
      </c>
      <c r="AW50" s="637">
        <v>0.01</v>
      </c>
      <c r="AX50" s="645">
        <f t="shared" si="15"/>
        <v>0.5</v>
      </c>
      <c r="AY50" s="637">
        <v>0.4</v>
      </c>
      <c r="AZ50" s="302" t="s">
        <v>575</v>
      </c>
      <c r="BA50" s="302" t="s">
        <v>576</v>
      </c>
      <c r="BB50" s="637">
        <v>0.09</v>
      </c>
      <c r="BC50" s="302" t="s">
        <v>572</v>
      </c>
      <c r="BD50" s="302" t="s">
        <v>1200</v>
      </c>
      <c r="BE50" s="637">
        <v>0.01</v>
      </c>
      <c r="BF50" s="434">
        <f t="shared" si="12"/>
        <v>0.5</v>
      </c>
      <c r="BG50" s="587">
        <v>0.4</v>
      </c>
      <c r="BH50" s="302" t="s">
        <v>575</v>
      </c>
      <c r="BI50" s="302" t="s">
        <v>576</v>
      </c>
      <c r="BJ50" s="434">
        <v>0.09</v>
      </c>
      <c r="BK50" s="302" t="s">
        <v>572</v>
      </c>
      <c r="BL50" s="302" t="s">
        <v>573</v>
      </c>
      <c r="BM50" s="434">
        <v>0.01</v>
      </c>
      <c r="BN50" s="645">
        <f t="shared" si="13"/>
        <v>0.5</v>
      </c>
      <c r="BO50" s="434"/>
      <c r="BP50" s="434">
        <v>0.4</v>
      </c>
      <c r="BQ50" s="302" t="s">
        <v>575</v>
      </c>
      <c r="BR50" s="302" t="s">
        <v>576</v>
      </c>
      <c r="BS50" s="434">
        <v>0.09</v>
      </c>
      <c r="BT50" s="302" t="s">
        <v>572</v>
      </c>
      <c r="BU50" s="302" t="s">
        <v>573</v>
      </c>
      <c r="BV50" s="434">
        <v>0.01</v>
      </c>
      <c r="BW50" s="645">
        <f t="shared" si="16"/>
        <v>0.5</v>
      </c>
      <c r="BX50" s="434">
        <v>0.4</v>
      </c>
      <c r="BY50" s="302" t="s">
        <v>575</v>
      </c>
      <c r="BZ50" s="302" t="s">
        <v>576</v>
      </c>
      <c r="CA50" s="434">
        <v>0.09</v>
      </c>
      <c r="CB50" s="302" t="s">
        <v>572</v>
      </c>
      <c r="CC50" s="302" t="s">
        <v>573</v>
      </c>
      <c r="CD50" s="434">
        <v>0.01</v>
      </c>
      <c r="CE50" s="434">
        <f t="shared" si="17"/>
        <v>0.5</v>
      </c>
      <c r="CF50" s="1620" t="s">
        <v>1166</v>
      </c>
      <c r="CG50" s="1620" t="s">
        <v>1166</v>
      </c>
      <c r="CH50" s="1620" t="s">
        <v>1166</v>
      </c>
      <c r="CI50" s="406"/>
      <c r="CJ50" s="642">
        <v>0.69799999999999995</v>
      </c>
      <c r="CK50" s="591" t="s">
        <v>922</v>
      </c>
      <c r="CL50" s="302" t="s">
        <v>575</v>
      </c>
      <c r="CM50" s="302" t="s">
        <v>576</v>
      </c>
      <c r="CN50" s="637">
        <v>0.59</v>
      </c>
      <c r="CO50" s="302" t="s">
        <v>572</v>
      </c>
      <c r="CP50" s="302" t="s">
        <v>573</v>
      </c>
      <c r="CQ50" s="637">
        <v>0.01</v>
      </c>
    </row>
    <row r="51" spans="1:95" ht="15.75" customHeight="1" x14ac:dyDescent="0.2">
      <c r="A51" s="661" t="s">
        <v>806</v>
      </c>
      <c r="B51" s="440" t="s">
        <v>805</v>
      </c>
      <c r="C51" s="637">
        <v>0.49</v>
      </c>
      <c r="D51" s="440" t="s">
        <v>508</v>
      </c>
      <c r="E51" s="440" t="s">
        <v>509</v>
      </c>
      <c r="F51" s="637">
        <v>0</v>
      </c>
      <c r="G51" s="440" t="s">
        <v>516</v>
      </c>
      <c r="H51" s="440" t="s">
        <v>517</v>
      </c>
      <c r="I51" s="637">
        <v>0.01</v>
      </c>
      <c r="J51" s="662">
        <f t="shared" si="10"/>
        <v>0.5</v>
      </c>
      <c r="K51" s="637">
        <v>0.49</v>
      </c>
      <c r="L51" s="440" t="s">
        <v>508</v>
      </c>
      <c r="M51" s="440" t="s">
        <v>509</v>
      </c>
      <c r="N51" s="637">
        <v>0</v>
      </c>
      <c r="O51" s="440" t="s">
        <v>516</v>
      </c>
      <c r="P51" s="440" t="s">
        <v>517</v>
      </c>
      <c r="Q51" s="637">
        <v>0.01</v>
      </c>
      <c r="R51" s="662">
        <f t="shared" si="19"/>
        <v>0.5</v>
      </c>
      <c r="S51" s="637">
        <v>0.49</v>
      </c>
      <c r="T51" s="302" t="s">
        <v>508</v>
      </c>
      <c r="U51" s="302" t="s">
        <v>509</v>
      </c>
      <c r="V51" s="637">
        <v>0</v>
      </c>
      <c r="W51" s="302" t="s">
        <v>516</v>
      </c>
      <c r="X51" s="302" t="s">
        <v>517</v>
      </c>
      <c r="Y51" s="637">
        <v>0.01</v>
      </c>
      <c r="Z51" s="645">
        <f t="shared" si="2"/>
        <v>0.5</v>
      </c>
      <c r="AA51" s="637">
        <v>0.49</v>
      </c>
      <c r="AB51" s="302" t="s">
        <v>508</v>
      </c>
      <c r="AC51" s="302" t="s">
        <v>509</v>
      </c>
      <c r="AD51" s="637">
        <v>0</v>
      </c>
      <c r="AE51" s="302" t="s">
        <v>516</v>
      </c>
      <c r="AF51" s="302" t="s">
        <v>517</v>
      </c>
      <c r="AG51" s="637">
        <v>0.01</v>
      </c>
      <c r="AH51" s="645">
        <f t="shared" si="18"/>
        <v>0.5</v>
      </c>
      <c r="AI51" s="637">
        <v>0.49</v>
      </c>
      <c r="AJ51" s="302" t="s">
        <v>508</v>
      </c>
      <c r="AK51" s="302" t="s">
        <v>509</v>
      </c>
      <c r="AL51" s="637">
        <v>0</v>
      </c>
      <c r="AM51" s="302" t="s">
        <v>516</v>
      </c>
      <c r="AN51" s="302" t="s">
        <v>517</v>
      </c>
      <c r="AO51" s="637">
        <v>0.01</v>
      </c>
      <c r="AP51" s="645">
        <f t="shared" si="14"/>
        <v>0.5</v>
      </c>
      <c r="AQ51" s="637">
        <v>0.49</v>
      </c>
      <c r="AR51" s="302" t="s">
        <v>508</v>
      </c>
      <c r="AS51" s="302" t="s">
        <v>509</v>
      </c>
      <c r="AT51" s="637">
        <v>0</v>
      </c>
      <c r="AU51" s="302" t="s">
        <v>516</v>
      </c>
      <c r="AV51" s="302" t="s">
        <v>517</v>
      </c>
      <c r="AW51" s="637">
        <v>0.01</v>
      </c>
      <c r="AX51" s="645">
        <f t="shared" si="15"/>
        <v>0.5</v>
      </c>
      <c r="AY51" s="637">
        <v>0.49</v>
      </c>
      <c r="AZ51" s="302" t="s">
        <v>508</v>
      </c>
      <c r="BA51" s="302" t="s">
        <v>509</v>
      </c>
      <c r="BB51" s="637">
        <v>0</v>
      </c>
      <c r="BC51" s="302" t="s">
        <v>516</v>
      </c>
      <c r="BD51" s="302" t="s">
        <v>517</v>
      </c>
      <c r="BE51" s="637">
        <v>0.01</v>
      </c>
      <c r="BF51" s="434">
        <f t="shared" si="12"/>
        <v>0.5</v>
      </c>
      <c r="BG51" s="587">
        <v>0.49</v>
      </c>
      <c r="BH51" s="302" t="s">
        <v>508</v>
      </c>
      <c r="BI51" s="302" t="s">
        <v>509</v>
      </c>
      <c r="BJ51" s="434">
        <v>0</v>
      </c>
      <c r="BK51" s="302" t="s">
        <v>516</v>
      </c>
      <c r="BL51" s="302" t="s">
        <v>517</v>
      </c>
      <c r="BM51" s="434">
        <v>0.01</v>
      </c>
      <c r="BN51" s="645">
        <f t="shared" si="13"/>
        <v>0.5</v>
      </c>
      <c r="BO51" s="434"/>
      <c r="BP51" s="434">
        <v>0.49</v>
      </c>
      <c r="BQ51" s="302" t="s">
        <v>508</v>
      </c>
      <c r="BR51" s="302" t="s">
        <v>509</v>
      </c>
      <c r="BS51" s="434">
        <v>0</v>
      </c>
      <c r="BT51" s="302" t="s">
        <v>516</v>
      </c>
      <c r="BU51" s="302" t="s">
        <v>517</v>
      </c>
      <c r="BV51" s="434">
        <v>0.01</v>
      </c>
      <c r="BW51" s="645">
        <f t="shared" si="16"/>
        <v>0.5</v>
      </c>
      <c r="BX51" s="434">
        <v>0.49</v>
      </c>
      <c r="BY51" s="302" t="s">
        <v>508</v>
      </c>
      <c r="BZ51" s="302" t="s">
        <v>509</v>
      </c>
      <c r="CA51" s="434">
        <v>0</v>
      </c>
      <c r="CB51" s="302" t="s">
        <v>516</v>
      </c>
      <c r="CC51" s="302" t="s">
        <v>517</v>
      </c>
      <c r="CD51" s="434">
        <v>0.01</v>
      </c>
      <c r="CE51" s="434">
        <f t="shared" si="17"/>
        <v>0.5</v>
      </c>
      <c r="CF51" s="1620" t="s">
        <v>1166</v>
      </c>
      <c r="CG51" s="1620" t="s">
        <v>1166</v>
      </c>
      <c r="CH51" s="1620" t="s">
        <v>1166</v>
      </c>
      <c r="CI51" s="408" t="s">
        <v>862</v>
      </c>
      <c r="CJ51" s="642">
        <v>0.70599999999999996</v>
      </c>
      <c r="CK51" s="591" t="s">
        <v>922</v>
      </c>
      <c r="CL51" s="302" t="s">
        <v>508</v>
      </c>
      <c r="CM51" s="302" t="s">
        <v>509</v>
      </c>
      <c r="CN51" s="637">
        <v>0</v>
      </c>
      <c r="CO51" s="302" t="s">
        <v>516</v>
      </c>
      <c r="CP51" s="302" t="s">
        <v>517</v>
      </c>
      <c r="CQ51" s="637">
        <v>0.01</v>
      </c>
    </row>
    <row r="52" spans="1:95" ht="15.75" customHeight="1" x14ac:dyDescent="0.2">
      <c r="A52" s="661" t="s">
        <v>808</v>
      </c>
      <c r="B52" s="440" t="s">
        <v>807</v>
      </c>
      <c r="C52" s="637">
        <v>0.4</v>
      </c>
      <c r="D52" s="440" t="s">
        <v>615</v>
      </c>
      <c r="E52" s="440" t="s">
        <v>616</v>
      </c>
      <c r="F52" s="637">
        <v>0.09</v>
      </c>
      <c r="G52" s="440" t="s">
        <v>612</v>
      </c>
      <c r="H52" s="440" t="s">
        <v>613</v>
      </c>
      <c r="I52" s="637">
        <v>0.01</v>
      </c>
      <c r="J52" s="662">
        <f t="shared" si="10"/>
        <v>0.5</v>
      </c>
      <c r="K52" s="637">
        <v>0.4</v>
      </c>
      <c r="L52" s="440" t="s">
        <v>615</v>
      </c>
      <c r="M52" s="440" t="s">
        <v>616</v>
      </c>
      <c r="N52" s="637">
        <v>0.09</v>
      </c>
      <c r="O52" s="440" t="s">
        <v>612</v>
      </c>
      <c r="P52" s="440" t="s">
        <v>613</v>
      </c>
      <c r="Q52" s="637">
        <v>0.01</v>
      </c>
      <c r="R52" s="662">
        <f t="shared" si="19"/>
        <v>0.5</v>
      </c>
      <c r="S52" s="637">
        <v>0.4</v>
      </c>
      <c r="T52" s="302" t="s">
        <v>615</v>
      </c>
      <c r="U52" s="302" t="s">
        <v>616</v>
      </c>
      <c r="V52" s="637">
        <v>0.09</v>
      </c>
      <c r="W52" s="302" t="s">
        <v>612</v>
      </c>
      <c r="X52" s="302" t="s">
        <v>613</v>
      </c>
      <c r="Y52" s="637">
        <v>0.01</v>
      </c>
      <c r="Z52" s="645">
        <f t="shared" si="2"/>
        <v>0.5</v>
      </c>
      <c r="AA52" s="637">
        <v>0.4</v>
      </c>
      <c r="AB52" s="302" t="s">
        <v>615</v>
      </c>
      <c r="AC52" s="302" t="s">
        <v>616</v>
      </c>
      <c r="AD52" s="637">
        <v>0.09</v>
      </c>
      <c r="AE52" s="302" t="s">
        <v>612</v>
      </c>
      <c r="AF52" s="302" t="s">
        <v>613</v>
      </c>
      <c r="AG52" s="637">
        <v>0.01</v>
      </c>
      <c r="AH52" s="645">
        <f t="shared" si="18"/>
        <v>0.5</v>
      </c>
      <c r="AI52" s="637">
        <v>0.4</v>
      </c>
      <c r="AJ52" s="302" t="s">
        <v>615</v>
      </c>
      <c r="AK52" s="302" t="s">
        <v>616</v>
      </c>
      <c r="AL52" s="637">
        <v>0.09</v>
      </c>
      <c r="AM52" s="302" t="s">
        <v>612</v>
      </c>
      <c r="AN52" s="302" t="s">
        <v>613</v>
      </c>
      <c r="AO52" s="637">
        <v>0.01</v>
      </c>
      <c r="AP52" s="645">
        <f t="shared" si="14"/>
        <v>0.5</v>
      </c>
      <c r="AQ52" s="637">
        <v>0.4</v>
      </c>
      <c r="AR52" s="302" t="s">
        <v>615</v>
      </c>
      <c r="AS52" s="302" t="s">
        <v>616</v>
      </c>
      <c r="AT52" s="637">
        <v>0.09</v>
      </c>
      <c r="AU52" s="302" t="s">
        <v>612</v>
      </c>
      <c r="AV52" s="302" t="s">
        <v>613</v>
      </c>
      <c r="AW52" s="637">
        <v>0.01</v>
      </c>
      <c r="AX52" s="645">
        <f t="shared" si="15"/>
        <v>0.5</v>
      </c>
      <c r="AY52" s="637">
        <v>0.375</v>
      </c>
      <c r="AZ52" s="302" t="s">
        <v>615</v>
      </c>
      <c r="BA52" s="302" t="s">
        <v>616</v>
      </c>
      <c r="BB52" s="637">
        <v>0.36499999999999999</v>
      </c>
      <c r="BC52" s="302" t="s">
        <v>612</v>
      </c>
      <c r="BD52" s="302" t="s">
        <v>613</v>
      </c>
      <c r="BE52" s="637">
        <v>0.01</v>
      </c>
      <c r="BF52" s="434">
        <f t="shared" si="12"/>
        <v>0.75</v>
      </c>
      <c r="BG52" s="587">
        <v>0.4</v>
      </c>
      <c r="BH52" s="302" t="s">
        <v>615</v>
      </c>
      <c r="BI52" s="302" t="s">
        <v>616</v>
      </c>
      <c r="BJ52" s="434">
        <v>0.09</v>
      </c>
      <c r="BK52" s="302" t="s">
        <v>612</v>
      </c>
      <c r="BL52" s="302" t="s">
        <v>613</v>
      </c>
      <c r="BM52" s="434">
        <v>0.01</v>
      </c>
      <c r="BN52" s="645">
        <f t="shared" si="13"/>
        <v>0.5</v>
      </c>
      <c r="BO52" s="434"/>
      <c r="BP52" s="434">
        <v>0.4</v>
      </c>
      <c r="BQ52" s="302" t="s">
        <v>615</v>
      </c>
      <c r="BR52" s="302" t="s">
        <v>616</v>
      </c>
      <c r="BS52" s="434">
        <v>0.09</v>
      </c>
      <c r="BT52" s="302" t="s">
        <v>612</v>
      </c>
      <c r="BU52" s="302" t="s">
        <v>613</v>
      </c>
      <c r="BV52" s="434">
        <v>0.01</v>
      </c>
      <c r="BW52" s="645">
        <f t="shared" si="16"/>
        <v>0.5</v>
      </c>
      <c r="BX52" s="434">
        <v>0.4</v>
      </c>
      <c r="BY52" s="302" t="s">
        <v>615</v>
      </c>
      <c r="BZ52" s="302" t="s">
        <v>616</v>
      </c>
      <c r="CA52" s="434">
        <v>0.09</v>
      </c>
      <c r="CB52" s="302" t="s">
        <v>612</v>
      </c>
      <c r="CC52" s="302" t="s">
        <v>613</v>
      </c>
      <c r="CD52" s="434">
        <v>0.01</v>
      </c>
      <c r="CE52" s="434">
        <f t="shared" si="17"/>
        <v>0.5</v>
      </c>
      <c r="CF52" s="1620" t="s">
        <v>862</v>
      </c>
      <c r="CG52" s="1620" t="s">
        <v>1166</v>
      </c>
      <c r="CH52" s="1620" t="s">
        <v>1166</v>
      </c>
      <c r="CI52" s="406"/>
      <c r="CJ52" s="642">
        <v>0.70299999999999996</v>
      </c>
      <c r="CK52" s="591" t="s">
        <v>922</v>
      </c>
      <c r="CL52" s="302" t="s">
        <v>615</v>
      </c>
      <c r="CM52" s="302" t="s">
        <v>616</v>
      </c>
      <c r="CN52" s="637">
        <v>0.59</v>
      </c>
      <c r="CO52" s="302" t="s">
        <v>612</v>
      </c>
      <c r="CP52" s="302" t="s">
        <v>613</v>
      </c>
      <c r="CQ52" s="637">
        <v>0.01</v>
      </c>
    </row>
    <row r="53" spans="1:95" ht="15.75" customHeight="1" x14ac:dyDescent="0.2">
      <c r="A53" s="661" t="s">
        <v>810</v>
      </c>
      <c r="B53" s="440" t="s">
        <v>809</v>
      </c>
      <c r="C53" s="637">
        <v>0.4</v>
      </c>
      <c r="D53" s="440" t="s">
        <v>575</v>
      </c>
      <c r="E53" s="440" t="s">
        <v>576</v>
      </c>
      <c r="F53" s="637">
        <v>0.09</v>
      </c>
      <c r="G53" s="440" t="s">
        <v>572</v>
      </c>
      <c r="H53" s="440" t="s">
        <v>1200</v>
      </c>
      <c r="I53" s="637">
        <v>0.01</v>
      </c>
      <c r="J53" s="662">
        <f t="shared" si="10"/>
        <v>0.5</v>
      </c>
      <c r="K53" s="637">
        <v>0.4</v>
      </c>
      <c r="L53" s="440" t="s">
        <v>575</v>
      </c>
      <c r="M53" s="440" t="s">
        <v>576</v>
      </c>
      <c r="N53" s="637">
        <v>0.09</v>
      </c>
      <c r="O53" s="440" t="s">
        <v>572</v>
      </c>
      <c r="P53" s="440" t="s">
        <v>1200</v>
      </c>
      <c r="Q53" s="637">
        <v>0.01</v>
      </c>
      <c r="R53" s="662">
        <f t="shared" si="19"/>
        <v>0.5</v>
      </c>
      <c r="S53" s="637">
        <v>0.4</v>
      </c>
      <c r="T53" s="302" t="s">
        <v>575</v>
      </c>
      <c r="U53" s="302" t="s">
        <v>576</v>
      </c>
      <c r="V53" s="637">
        <v>0.09</v>
      </c>
      <c r="W53" s="302" t="s">
        <v>572</v>
      </c>
      <c r="X53" s="302" t="s">
        <v>1200</v>
      </c>
      <c r="Y53" s="637">
        <v>0.01</v>
      </c>
      <c r="Z53" s="645">
        <f t="shared" si="2"/>
        <v>0.5</v>
      </c>
      <c r="AA53" s="637">
        <v>0.4</v>
      </c>
      <c r="AB53" s="302" t="s">
        <v>575</v>
      </c>
      <c r="AC53" s="302" t="s">
        <v>576</v>
      </c>
      <c r="AD53" s="637">
        <v>0.09</v>
      </c>
      <c r="AE53" s="302" t="s">
        <v>572</v>
      </c>
      <c r="AF53" s="302" t="s">
        <v>1200</v>
      </c>
      <c r="AG53" s="637">
        <v>0.01</v>
      </c>
      <c r="AH53" s="645">
        <f t="shared" si="18"/>
        <v>0.5</v>
      </c>
      <c r="AI53" s="637">
        <v>0.4</v>
      </c>
      <c r="AJ53" s="302" t="s">
        <v>575</v>
      </c>
      <c r="AK53" s="302" t="s">
        <v>576</v>
      </c>
      <c r="AL53" s="637">
        <v>0.09</v>
      </c>
      <c r="AM53" s="302" t="s">
        <v>572</v>
      </c>
      <c r="AN53" s="302" t="s">
        <v>1200</v>
      </c>
      <c r="AO53" s="637">
        <v>0.01</v>
      </c>
      <c r="AP53" s="645">
        <f t="shared" si="14"/>
        <v>0.5</v>
      </c>
      <c r="AQ53" s="637">
        <v>0.4</v>
      </c>
      <c r="AR53" s="302" t="s">
        <v>575</v>
      </c>
      <c r="AS53" s="302" t="s">
        <v>576</v>
      </c>
      <c r="AT53" s="637">
        <v>0.09</v>
      </c>
      <c r="AU53" s="302" t="s">
        <v>572</v>
      </c>
      <c r="AV53" s="302" t="s">
        <v>1200</v>
      </c>
      <c r="AW53" s="637">
        <v>0.01</v>
      </c>
      <c r="AX53" s="645">
        <f t="shared" si="15"/>
        <v>0.5</v>
      </c>
      <c r="AY53" s="637">
        <v>0.4</v>
      </c>
      <c r="AZ53" s="302" t="s">
        <v>575</v>
      </c>
      <c r="BA53" s="302" t="s">
        <v>576</v>
      </c>
      <c r="BB53" s="637">
        <v>0.09</v>
      </c>
      <c r="BC53" s="302" t="s">
        <v>572</v>
      </c>
      <c r="BD53" s="302" t="s">
        <v>1200</v>
      </c>
      <c r="BE53" s="637">
        <v>0.01</v>
      </c>
      <c r="BF53" s="434">
        <f t="shared" si="12"/>
        <v>0.5</v>
      </c>
      <c r="BG53" s="587">
        <v>0.4</v>
      </c>
      <c r="BH53" s="302" t="s">
        <v>575</v>
      </c>
      <c r="BI53" s="302" t="s">
        <v>576</v>
      </c>
      <c r="BJ53" s="434">
        <v>0.09</v>
      </c>
      <c r="BK53" s="302" t="s">
        <v>572</v>
      </c>
      <c r="BL53" s="302" t="s">
        <v>573</v>
      </c>
      <c r="BM53" s="434">
        <v>0.01</v>
      </c>
      <c r="BN53" s="645">
        <f t="shared" si="13"/>
        <v>0.5</v>
      </c>
      <c r="BO53" s="434"/>
      <c r="BP53" s="434">
        <v>0.4</v>
      </c>
      <c r="BQ53" s="302" t="s">
        <v>575</v>
      </c>
      <c r="BR53" s="302" t="s">
        <v>576</v>
      </c>
      <c r="BS53" s="434">
        <v>0.09</v>
      </c>
      <c r="BT53" s="302" t="s">
        <v>572</v>
      </c>
      <c r="BU53" s="302" t="s">
        <v>573</v>
      </c>
      <c r="BV53" s="434">
        <v>0.01</v>
      </c>
      <c r="BW53" s="645">
        <f t="shared" si="16"/>
        <v>0.5</v>
      </c>
      <c r="BX53" s="434">
        <v>0.4</v>
      </c>
      <c r="BY53" s="302" t="s">
        <v>575</v>
      </c>
      <c r="BZ53" s="302" t="s">
        <v>576</v>
      </c>
      <c r="CA53" s="434">
        <v>0.09</v>
      </c>
      <c r="CB53" s="302" t="s">
        <v>572</v>
      </c>
      <c r="CC53" s="302" t="s">
        <v>573</v>
      </c>
      <c r="CD53" s="434">
        <v>0.01</v>
      </c>
      <c r="CE53" s="434">
        <f t="shared" si="17"/>
        <v>0.5</v>
      </c>
      <c r="CF53" s="1620" t="s">
        <v>1166</v>
      </c>
      <c r="CG53" s="1620" t="s">
        <v>1166</v>
      </c>
      <c r="CH53" s="1620" t="s">
        <v>1166</v>
      </c>
      <c r="CI53" s="406"/>
      <c r="CJ53" s="642">
        <v>0.71299999999999997</v>
      </c>
      <c r="CK53" s="591" t="s">
        <v>922</v>
      </c>
      <c r="CL53" s="302" t="s">
        <v>575</v>
      </c>
      <c r="CM53" s="302" t="s">
        <v>576</v>
      </c>
      <c r="CN53" s="637">
        <v>0.59</v>
      </c>
      <c r="CO53" s="302" t="s">
        <v>572</v>
      </c>
      <c r="CP53" s="302" t="s">
        <v>573</v>
      </c>
      <c r="CQ53" s="637">
        <v>0.01</v>
      </c>
    </row>
    <row r="54" spans="1:95" ht="15.75" customHeight="1" x14ac:dyDescent="0.2">
      <c r="A54" s="661" t="s">
        <v>812</v>
      </c>
      <c r="B54" s="440" t="s">
        <v>811</v>
      </c>
      <c r="C54" s="637">
        <v>0.4</v>
      </c>
      <c r="D54" s="440" t="s">
        <v>577</v>
      </c>
      <c r="E54" s="440" t="s">
        <v>578</v>
      </c>
      <c r="F54" s="637">
        <v>0.1</v>
      </c>
      <c r="G54" s="440" t="s">
        <v>508</v>
      </c>
      <c r="H54" s="440" t="s">
        <v>546</v>
      </c>
      <c r="I54" s="637">
        <v>0</v>
      </c>
      <c r="J54" s="662">
        <f t="shared" si="10"/>
        <v>0.5</v>
      </c>
      <c r="K54" s="637">
        <v>0.4</v>
      </c>
      <c r="L54" s="440" t="s">
        <v>577</v>
      </c>
      <c r="M54" s="440" t="s">
        <v>578</v>
      </c>
      <c r="N54" s="637">
        <v>0.1</v>
      </c>
      <c r="O54" s="440" t="s">
        <v>508</v>
      </c>
      <c r="P54" s="440" t="s">
        <v>546</v>
      </c>
      <c r="Q54" s="637">
        <v>0</v>
      </c>
      <c r="R54" s="662">
        <f t="shared" si="19"/>
        <v>0.5</v>
      </c>
      <c r="S54" s="637">
        <v>0.4</v>
      </c>
      <c r="T54" s="302" t="s">
        <v>577</v>
      </c>
      <c r="U54" s="302" t="s">
        <v>578</v>
      </c>
      <c r="V54" s="637">
        <v>0.1</v>
      </c>
      <c r="W54" s="302" t="s">
        <v>508</v>
      </c>
      <c r="X54" s="302" t="s">
        <v>546</v>
      </c>
      <c r="Y54" s="637">
        <v>0</v>
      </c>
      <c r="Z54" s="645">
        <f t="shared" si="2"/>
        <v>0.5</v>
      </c>
      <c r="AA54" s="637">
        <v>0.4</v>
      </c>
      <c r="AB54" s="302" t="s">
        <v>577</v>
      </c>
      <c r="AC54" s="302" t="s">
        <v>578</v>
      </c>
      <c r="AD54" s="637">
        <v>0.1</v>
      </c>
      <c r="AE54" s="302" t="s">
        <v>508</v>
      </c>
      <c r="AF54" s="302" t="s">
        <v>546</v>
      </c>
      <c r="AG54" s="637">
        <v>0</v>
      </c>
      <c r="AH54" s="645">
        <f t="shared" si="18"/>
        <v>0.5</v>
      </c>
      <c r="AI54" s="637">
        <v>0.4</v>
      </c>
      <c r="AJ54" s="302" t="s">
        <v>577</v>
      </c>
      <c r="AK54" s="302" t="s">
        <v>578</v>
      </c>
      <c r="AL54" s="637">
        <v>0.1</v>
      </c>
      <c r="AM54" s="302" t="s">
        <v>508</v>
      </c>
      <c r="AN54" s="302" t="s">
        <v>546</v>
      </c>
      <c r="AO54" s="637">
        <v>0</v>
      </c>
      <c r="AP54" s="645">
        <f t="shared" si="14"/>
        <v>0.5</v>
      </c>
      <c r="AQ54" s="637">
        <v>0.4</v>
      </c>
      <c r="AR54" s="302" t="s">
        <v>577</v>
      </c>
      <c r="AS54" s="302" t="s">
        <v>578</v>
      </c>
      <c r="AT54" s="637">
        <v>0.1</v>
      </c>
      <c r="AU54" s="302" t="s">
        <v>508</v>
      </c>
      <c r="AV54" s="302" t="s">
        <v>546</v>
      </c>
      <c r="AW54" s="637">
        <v>0</v>
      </c>
      <c r="AX54" s="645">
        <f t="shared" si="15"/>
        <v>0.5</v>
      </c>
      <c r="AY54" s="637">
        <v>0.4</v>
      </c>
      <c r="AZ54" s="302" t="s">
        <v>577</v>
      </c>
      <c r="BA54" s="302" t="s">
        <v>578</v>
      </c>
      <c r="BB54" s="637">
        <v>0.1</v>
      </c>
      <c r="BC54" s="302" t="s">
        <v>508</v>
      </c>
      <c r="BD54" s="302" t="s">
        <v>546</v>
      </c>
      <c r="BE54" s="637">
        <v>0</v>
      </c>
      <c r="BF54" s="434">
        <f t="shared" si="12"/>
        <v>0.5</v>
      </c>
      <c r="BG54" s="587">
        <v>0.5</v>
      </c>
      <c r="BH54" s="302" t="s">
        <v>577</v>
      </c>
      <c r="BI54" s="302" t="s">
        <v>578</v>
      </c>
      <c r="BJ54" s="434">
        <v>0.5</v>
      </c>
      <c r="BK54" s="302" t="s">
        <v>508</v>
      </c>
      <c r="BL54" s="302" t="s">
        <v>546</v>
      </c>
      <c r="BM54" s="434">
        <v>0</v>
      </c>
      <c r="BN54" s="645">
        <f t="shared" si="13"/>
        <v>1</v>
      </c>
      <c r="BO54" s="434"/>
      <c r="BP54" s="434">
        <v>0.4</v>
      </c>
      <c r="BQ54" s="302" t="s">
        <v>577</v>
      </c>
      <c r="BR54" s="302" t="s">
        <v>578</v>
      </c>
      <c r="BS54" s="434">
        <v>0.1</v>
      </c>
      <c r="BT54" s="302" t="s">
        <v>508</v>
      </c>
      <c r="BU54" s="302" t="s">
        <v>546</v>
      </c>
      <c r="BV54" s="434">
        <v>0</v>
      </c>
      <c r="BW54" s="645">
        <f t="shared" si="16"/>
        <v>0.5</v>
      </c>
      <c r="BX54" s="434">
        <v>0.4</v>
      </c>
      <c r="BY54" s="302" t="s">
        <v>577</v>
      </c>
      <c r="BZ54" s="302" t="s">
        <v>578</v>
      </c>
      <c r="CA54" s="434">
        <v>0.1</v>
      </c>
      <c r="CB54" s="302" t="s">
        <v>508</v>
      </c>
      <c r="CC54" s="302" t="s">
        <v>546</v>
      </c>
      <c r="CD54" s="434">
        <v>0</v>
      </c>
      <c r="CE54" s="434">
        <f t="shared" si="17"/>
        <v>0.5</v>
      </c>
      <c r="CF54" s="1620" t="s">
        <v>1166</v>
      </c>
      <c r="CG54" s="1620" t="s">
        <v>1166</v>
      </c>
      <c r="CH54" s="1620" t="s">
        <v>1166</v>
      </c>
      <c r="CI54" s="406"/>
      <c r="CJ54" s="642">
        <v>0.68600000000000005</v>
      </c>
      <c r="CK54" s="591" t="s">
        <v>922</v>
      </c>
      <c r="CL54" s="302" t="s">
        <v>577</v>
      </c>
      <c r="CM54" s="302" t="s">
        <v>578</v>
      </c>
      <c r="CN54" s="637">
        <v>0.6</v>
      </c>
      <c r="CO54" s="302" t="s">
        <v>508</v>
      </c>
      <c r="CP54" s="302" t="s">
        <v>546</v>
      </c>
      <c r="CQ54" s="637">
        <v>0</v>
      </c>
    </row>
    <row r="55" spans="1:95" ht="15.75" customHeight="1" x14ac:dyDescent="0.2">
      <c r="A55" s="661" t="s">
        <v>814</v>
      </c>
      <c r="B55" s="440" t="s">
        <v>813</v>
      </c>
      <c r="C55" s="637">
        <v>0.4</v>
      </c>
      <c r="D55" s="440" t="s">
        <v>636</v>
      </c>
      <c r="E55" s="440" t="s">
        <v>637</v>
      </c>
      <c r="F55" s="637">
        <v>0.1</v>
      </c>
      <c r="G55" s="440" t="s">
        <v>508</v>
      </c>
      <c r="H55" s="440" t="s">
        <v>546</v>
      </c>
      <c r="I55" s="637">
        <v>0</v>
      </c>
      <c r="J55" s="662">
        <f t="shared" si="10"/>
        <v>0.5</v>
      </c>
      <c r="K55" s="637">
        <v>0.4</v>
      </c>
      <c r="L55" s="440" t="s">
        <v>636</v>
      </c>
      <c r="M55" s="440" t="s">
        <v>637</v>
      </c>
      <c r="N55" s="637">
        <v>0.1</v>
      </c>
      <c r="O55" s="440" t="s">
        <v>508</v>
      </c>
      <c r="P55" s="440" t="s">
        <v>546</v>
      </c>
      <c r="Q55" s="637">
        <v>0</v>
      </c>
      <c r="R55" s="662">
        <f t="shared" si="19"/>
        <v>0.5</v>
      </c>
      <c r="S55" s="637">
        <v>0.4</v>
      </c>
      <c r="T55" s="302" t="s">
        <v>636</v>
      </c>
      <c r="U55" s="302" t="s">
        <v>637</v>
      </c>
      <c r="V55" s="637">
        <v>0.1</v>
      </c>
      <c r="W55" s="302" t="s">
        <v>508</v>
      </c>
      <c r="X55" s="302" t="s">
        <v>546</v>
      </c>
      <c r="Y55" s="637">
        <v>0</v>
      </c>
      <c r="Z55" s="645">
        <f t="shared" si="2"/>
        <v>0.5</v>
      </c>
      <c r="AA55" s="637">
        <v>0.4</v>
      </c>
      <c r="AB55" s="302" t="s">
        <v>636</v>
      </c>
      <c r="AC55" s="302" t="s">
        <v>637</v>
      </c>
      <c r="AD55" s="637">
        <v>0.1</v>
      </c>
      <c r="AE55" s="302" t="s">
        <v>508</v>
      </c>
      <c r="AF55" s="302" t="s">
        <v>546</v>
      </c>
      <c r="AG55" s="637">
        <v>0</v>
      </c>
      <c r="AH55" s="645">
        <f t="shared" si="18"/>
        <v>0.5</v>
      </c>
      <c r="AI55" s="637">
        <v>0.4</v>
      </c>
      <c r="AJ55" s="302" t="s">
        <v>636</v>
      </c>
      <c r="AK55" s="302" t="s">
        <v>637</v>
      </c>
      <c r="AL55" s="637">
        <v>0.1</v>
      </c>
      <c r="AM55" s="302" t="s">
        <v>508</v>
      </c>
      <c r="AN55" s="302" t="s">
        <v>546</v>
      </c>
      <c r="AO55" s="637">
        <v>0</v>
      </c>
      <c r="AP55" s="645">
        <f t="shared" si="14"/>
        <v>0.5</v>
      </c>
      <c r="AQ55" s="637">
        <v>0.4</v>
      </c>
      <c r="AR55" s="302" t="s">
        <v>636</v>
      </c>
      <c r="AS55" s="302" t="s">
        <v>637</v>
      </c>
      <c r="AT55" s="637">
        <v>0.1</v>
      </c>
      <c r="AU55" s="302" t="s">
        <v>508</v>
      </c>
      <c r="AV55" s="302" t="s">
        <v>546</v>
      </c>
      <c r="AW55" s="637">
        <v>0</v>
      </c>
      <c r="AX55" s="645">
        <f t="shared" si="15"/>
        <v>0.5</v>
      </c>
      <c r="AY55" s="637">
        <v>0.4</v>
      </c>
      <c r="AZ55" s="302" t="s">
        <v>636</v>
      </c>
      <c r="BA55" s="302" t="s">
        <v>637</v>
      </c>
      <c r="BB55" s="637">
        <v>0.1</v>
      </c>
      <c r="BC55" s="302" t="s">
        <v>508</v>
      </c>
      <c r="BD55" s="302" t="s">
        <v>546</v>
      </c>
      <c r="BE55" s="637">
        <v>0</v>
      </c>
      <c r="BF55" s="434">
        <f t="shared" si="12"/>
        <v>0.5</v>
      </c>
      <c r="BG55" s="587">
        <v>0.4</v>
      </c>
      <c r="BH55" s="302" t="s">
        <v>636</v>
      </c>
      <c r="BI55" s="302" t="s">
        <v>637</v>
      </c>
      <c r="BJ55" s="434">
        <v>0.1</v>
      </c>
      <c r="BK55" s="302" t="s">
        <v>508</v>
      </c>
      <c r="BL55" s="302" t="s">
        <v>546</v>
      </c>
      <c r="BM55" s="434">
        <v>0</v>
      </c>
      <c r="BN55" s="645">
        <f t="shared" si="13"/>
        <v>0.5</v>
      </c>
      <c r="BO55" s="434"/>
      <c r="BP55" s="434">
        <v>0.4</v>
      </c>
      <c r="BQ55" s="302" t="s">
        <v>636</v>
      </c>
      <c r="BR55" s="302" t="s">
        <v>637</v>
      </c>
      <c r="BS55" s="434">
        <v>0.1</v>
      </c>
      <c r="BT55" s="302" t="s">
        <v>508</v>
      </c>
      <c r="BU55" s="302" t="s">
        <v>546</v>
      </c>
      <c r="BV55" s="434">
        <v>0</v>
      </c>
      <c r="BW55" s="645">
        <f t="shared" si="16"/>
        <v>0.5</v>
      </c>
      <c r="BX55" s="434">
        <v>0.4</v>
      </c>
      <c r="BY55" s="302" t="s">
        <v>636</v>
      </c>
      <c r="BZ55" s="302" t="s">
        <v>637</v>
      </c>
      <c r="CA55" s="434">
        <v>0.1</v>
      </c>
      <c r="CB55" s="302" t="s">
        <v>508</v>
      </c>
      <c r="CC55" s="302" t="s">
        <v>546</v>
      </c>
      <c r="CD55" s="434">
        <v>0</v>
      </c>
      <c r="CE55" s="434">
        <f t="shared" si="17"/>
        <v>0.5</v>
      </c>
      <c r="CF55" s="1620" t="s">
        <v>1166</v>
      </c>
      <c r="CG55" s="1620" t="s">
        <v>1166</v>
      </c>
      <c r="CH55" s="1620" t="s">
        <v>1166</v>
      </c>
      <c r="CI55" s="406"/>
      <c r="CJ55" s="642">
        <v>0.72199999999999998</v>
      </c>
      <c r="CK55" s="591" t="s">
        <v>922</v>
      </c>
      <c r="CL55" s="302" t="s">
        <v>636</v>
      </c>
      <c r="CM55" s="302" t="s">
        <v>637</v>
      </c>
      <c r="CN55" s="637">
        <v>0.6</v>
      </c>
      <c r="CO55" s="302" t="s">
        <v>508</v>
      </c>
      <c r="CP55" s="302" t="s">
        <v>546</v>
      </c>
      <c r="CQ55" s="637">
        <v>0</v>
      </c>
    </row>
    <row r="56" spans="1:95" ht="15" x14ac:dyDescent="0.2">
      <c r="A56" s="661" t="s">
        <v>816</v>
      </c>
      <c r="B56" s="440" t="s">
        <v>815</v>
      </c>
      <c r="C56" s="637">
        <v>0.49</v>
      </c>
      <c r="D56" s="440" t="s">
        <v>508</v>
      </c>
      <c r="E56" s="440" t="s">
        <v>509</v>
      </c>
      <c r="F56" s="637">
        <v>0</v>
      </c>
      <c r="G56" s="440" t="s">
        <v>536</v>
      </c>
      <c r="H56" s="440" t="s">
        <v>537</v>
      </c>
      <c r="I56" s="637">
        <v>0.01</v>
      </c>
      <c r="J56" s="662">
        <f t="shared" si="10"/>
        <v>0.5</v>
      </c>
      <c r="K56" s="637">
        <v>0.49</v>
      </c>
      <c r="L56" s="440" t="s">
        <v>508</v>
      </c>
      <c r="M56" s="440" t="s">
        <v>509</v>
      </c>
      <c r="N56" s="637">
        <v>0</v>
      </c>
      <c r="O56" s="440" t="s">
        <v>536</v>
      </c>
      <c r="P56" s="440" t="s">
        <v>537</v>
      </c>
      <c r="Q56" s="637">
        <v>0.01</v>
      </c>
      <c r="R56" s="662">
        <f t="shared" si="19"/>
        <v>0.5</v>
      </c>
      <c r="S56" s="637">
        <v>0.49</v>
      </c>
      <c r="T56" s="302" t="s">
        <v>508</v>
      </c>
      <c r="U56" s="302" t="s">
        <v>509</v>
      </c>
      <c r="V56" s="637">
        <v>0</v>
      </c>
      <c r="W56" s="302" t="s">
        <v>536</v>
      </c>
      <c r="X56" s="302" t="s">
        <v>537</v>
      </c>
      <c r="Y56" s="637">
        <v>0.01</v>
      </c>
      <c r="Z56" s="645">
        <f t="shared" si="2"/>
        <v>0.5</v>
      </c>
      <c r="AA56" s="637">
        <v>0.49</v>
      </c>
      <c r="AB56" s="302" t="s">
        <v>508</v>
      </c>
      <c r="AC56" s="302" t="s">
        <v>509</v>
      </c>
      <c r="AD56" s="637">
        <v>0</v>
      </c>
      <c r="AE56" s="302" t="s">
        <v>536</v>
      </c>
      <c r="AF56" s="302" t="s">
        <v>537</v>
      </c>
      <c r="AG56" s="637">
        <v>0.01</v>
      </c>
      <c r="AH56" s="645">
        <f t="shared" si="18"/>
        <v>0.5</v>
      </c>
      <c r="AI56" s="637">
        <v>0.49</v>
      </c>
      <c r="AJ56" s="302" t="s">
        <v>508</v>
      </c>
      <c r="AK56" s="302" t="s">
        <v>509</v>
      </c>
      <c r="AL56" s="637">
        <v>0</v>
      </c>
      <c r="AM56" s="302" t="s">
        <v>536</v>
      </c>
      <c r="AN56" s="302" t="s">
        <v>537</v>
      </c>
      <c r="AO56" s="637">
        <v>0.01</v>
      </c>
      <c r="AP56" s="645">
        <f t="shared" si="14"/>
        <v>0.5</v>
      </c>
      <c r="AQ56" s="637">
        <v>0.49</v>
      </c>
      <c r="AR56" s="302" t="s">
        <v>508</v>
      </c>
      <c r="AS56" s="302" t="s">
        <v>509</v>
      </c>
      <c r="AT56" s="637">
        <v>0</v>
      </c>
      <c r="AU56" s="302" t="s">
        <v>536</v>
      </c>
      <c r="AV56" s="302" t="s">
        <v>537</v>
      </c>
      <c r="AW56" s="637">
        <v>0.01</v>
      </c>
      <c r="AX56" s="645">
        <f t="shared" si="15"/>
        <v>0.5</v>
      </c>
      <c r="AY56" s="637">
        <v>0.49</v>
      </c>
      <c r="AZ56" s="302" t="s">
        <v>508</v>
      </c>
      <c r="BA56" s="302" t="s">
        <v>509</v>
      </c>
      <c r="BB56" s="637">
        <v>0</v>
      </c>
      <c r="BC56" s="302" t="s">
        <v>536</v>
      </c>
      <c r="BD56" s="302" t="s">
        <v>537</v>
      </c>
      <c r="BE56" s="637">
        <v>0.01</v>
      </c>
      <c r="BF56" s="434">
        <f t="shared" si="12"/>
        <v>0.5</v>
      </c>
      <c r="BG56" s="587">
        <v>0.49</v>
      </c>
      <c r="BH56" s="302" t="s">
        <v>508</v>
      </c>
      <c r="BI56" s="302" t="s">
        <v>509</v>
      </c>
      <c r="BJ56" s="434">
        <v>0</v>
      </c>
      <c r="BK56" s="302" t="s">
        <v>536</v>
      </c>
      <c r="BL56" s="302" t="s">
        <v>537</v>
      </c>
      <c r="BM56" s="434">
        <v>0.01</v>
      </c>
      <c r="BN56" s="645">
        <f t="shared" si="13"/>
        <v>0.5</v>
      </c>
      <c r="BO56" s="434"/>
      <c r="BP56" s="434">
        <v>0.49</v>
      </c>
      <c r="BQ56" s="302" t="s">
        <v>508</v>
      </c>
      <c r="BR56" s="302" t="s">
        <v>509</v>
      </c>
      <c r="BS56" s="434">
        <v>0</v>
      </c>
      <c r="BT56" s="302" t="s">
        <v>536</v>
      </c>
      <c r="BU56" s="302" t="s">
        <v>537</v>
      </c>
      <c r="BV56" s="434">
        <v>0.01</v>
      </c>
      <c r="BW56" s="645">
        <f t="shared" si="16"/>
        <v>0.5</v>
      </c>
      <c r="BX56" s="434">
        <v>0.49</v>
      </c>
      <c r="BY56" s="302" t="s">
        <v>508</v>
      </c>
      <c r="BZ56" s="302" t="s">
        <v>509</v>
      </c>
      <c r="CA56" s="434">
        <v>0</v>
      </c>
      <c r="CB56" s="302" t="s">
        <v>536</v>
      </c>
      <c r="CC56" s="302" t="s">
        <v>537</v>
      </c>
      <c r="CD56" s="434">
        <v>0.01</v>
      </c>
      <c r="CE56" s="434">
        <f t="shared" si="17"/>
        <v>0.5</v>
      </c>
      <c r="CF56" s="1620" t="s">
        <v>862</v>
      </c>
      <c r="CG56" s="1620" t="s">
        <v>1166</v>
      </c>
      <c r="CH56" s="1620" t="s">
        <v>1166</v>
      </c>
      <c r="CI56" s="408" t="s">
        <v>862</v>
      </c>
      <c r="CJ56" s="642">
        <v>0.67800000000000005</v>
      </c>
      <c r="CK56" s="591" t="s">
        <v>922</v>
      </c>
      <c r="CL56" s="302" t="s">
        <v>508</v>
      </c>
      <c r="CM56" s="302" t="s">
        <v>509</v>
      </c>
      <c r="CN56" s="637">
        <v>0</v>
      </c>
      <c r="CO56" s="302" t="s">
        <v>536</v>
      </c>
      <c r="CP56" s="302" t="s">
        <v>537</v>
      </c>
      <c r="CQ56" s="637">
        <v>0.01</v>
      </c>
    </row>
    <row r="57" spans="1:95" ht="15" x14ac:dyDescent="0.2">
      <c r="A57" s="661" t="s">
        <v>817</v>
      </c>
      <c r="B57" s="440" t="s">
        <v>539</v>
      </c>
      <c r="C57" s="637">
        <v>0.49</v>
      </c>
      <c r="D57" s="440" t="s">
        <v>508</v>
      </c>
      <c r="E57" s="440" t="s">
        <v>509</v>
      </c>
      <c r="F57" s="637">
        <v>0</v>
      </c>
      <c r="G57" s="440" t="s">
        <v>536</v>
      </c>
      <c r="H57" s="440" t="s">
        <v>537</v>
      </c>
      <c r="I57" s="637">
        <v>0.01</v>
      </c>
      <c r="J57" s="662">
        <f t="shared" si="10"/>
        <v>0.5</v>
      </c>
      <c r="K57" s="637">
        <v>0.49</v>
      </c>
      <c r="L57" s="440" t="s">
        <v>508</v>
      </c>
      <c r="M57" s="440" t="s">
        <v>509</v>
      </c>
      <c r="N57" s="637">
        <v>0</v>
      </c>
      <c r="O57" s="440" t="s">
        <v>536</v>
      </c>
      <c r="P57" s="440" t="s">
        <v>537</v>
      </c>
      <c r="Q57" s="637">
        <v>0.01</v>
      </c>
      <c r="R57" s="662">
        <f t="shared" si="19"/>
        <v>0.5</v>
      </c>
      <c r="S57" s="637">
        <v>0.49</v>
      </c>
      <c r="T57" s="302" t="s">
        <v>508</v>
      </c>
      <c r="U57" s="302" t="s">
        <v>509</v>
      </c>
      <c r="V57" s="637">
        <v>0</v>
      </c>
      <c r="W57" s="302" t="s">
        <v>536</v>
      </c>
      <c r="X57" s="302" t="s">
        <v>537</v>
      </c>
      <c r="Y57" s="637">
        <v>0.01</v>
      </c>
      <c r="Z57" s="645">
        <f t="shared" si="2"/>
        <v>0.5</v>
      </c>
      <c r="AA57" s="637">
        <v>0.49</v>
      </c>
      <c r="AB57" s="302" t="s">
        <v>508</v>
      </c>
      <c r="AC57" s="302" t="s">
        <v>509</v>
      </c>
      <c r="AD57" s="637">
        <v>0</v>
      </c>
      <c r="AE57" s="302" t="s">
        <v>536</v>
      </c>
      <c r="AF57" s="302" t="s">
        <v>537</v>
      </c>
      <c r="AG57" s="637">
        <v>0.01</v>
      </c>
      <c r="AH57" s="645">
        <f t="shared" si="18"/>
        <v>0.5</v>
      </c>
      <c r="AI57" s="637">
        <v>0.49</v>
      </c>
      <c r="AJ57" s="302" t="s">
        <v>508</v>
      </c>
      <c r="AK57" s="302" t="s">
        <v>509</v>
      </c>
      <c r="AL57" s="637">
        <v>0</v>
      </c>
      <c r="AM57" s="302" t="s">
        <v>536</v>
      </c>
      <c r="AN57" s="302" t="s">
        <v>537</v>
      </c>
      <c r="AO57" s="637">
        <v>0.01</v>
      </c>
      <c r="AP57" s="645">
        <f t="shared" si="14"/>
        <v>0.5</v>
      </c>
      <c r="AQ57" s="637">
        <v>0.49</v>
      </c>
      <c r="AR57" s="302" t="s">
        <v>508</v>
      </c>
      <c r="AS57" s="302" t="s">
        <v>509</v>
      </c>
      <c r="AT57" s="637">
        <v>0</v>
      </c>
      <c r="AU57" s="302" t="s">
        <v>536</v>
      </c>
      <c r="AV57" s="302" t="s">
        <v>537</v>
      </c>
      <c r="AW57" s="637">
        <v>0.01</v>
      </c>
      <c r="AX57" s="645">
        <f t="shared" si="15"/>
        <v>0.5</v>
      </c>
      <c r="AY57" s="637">
        <v>0.49</v>
      </c>
      <c r="AZ57" s="302" t="s">
        <v>508</v>
      </c>
      <c r="BA57" s="302" t="s">
        <v>509</v>
      </c>
      <c r="BB57" s="637">
        <v>0</v>
      </c>
      <c r="BC57" s="302" t="s">
        <v>536</v>
      </c>
      <c r="BD57" s="302" t="s">
        <v>537</v>
      </c>
      <c r="BE57" s="637">
        <v>0.01</v>
      </c>
      <c r="BF57" s="434">
        <f t="shared" si="12"/>
        <v>0.5</v>
      </c>
      <c r="BG57" s="587">
        <v>0.49</v>
      </c>
      <c r="BH57" s="302" t="s">
        <v>508</v>
      </c>
      <c r="BI57" s="302" t="s">
        <v>509</v>
      </c>
      <c r="BJ57" s="434">
        <v>0</v>
      </c>
      <c r="BK57" s="302" t="s">
        <v>536</v>
      </c>
      <c r="BL57" s="302" t="s">
        <v>537</v>
      </c>
      <c r="BM57" s="434">
        <v>0.01</v>
      </c>
      <c r="BN57" s="645">
        <f t="shared" si="13"/>
        <v>0.5</v>
      </c>
      <c r="BO57" s="434"/>
      <c r="BP57" s="434">
        <v>0.49</v>
      </c>
      <c r="BQ57" s="302" t="s">
        <v>508</v>
      </c>
      <c r="BR57" s="302" t="s">
        <v>509</v>
      </c>
      <c r="BS57" s="434">
        <v>0</v>
      </c>
      <c r="BT57" s="302" t="s">
        <v>536</v>
      </c>
      <c r="BU57" s="302" t="s">
        <v>537</v>
      </c>
      <c r="BV57" s="434">
        <v>0.01</v>
      </c>
      <c r="BW57" s="645">
        <f t="shared" si="16"/>
        <v>0.5</v>
      </c>
      <c r="BX57" s="434">
        <v>0.49</v>
      </c>
      <c r="BY57" s="302" t="s">
        <v>508</v>
      </c>
      <c r="BZ57" s="302" t="s">
        <v>509</v>
      </c>
      <c r="CA57" s="434">
        <v>0</v>
      </c>
      <c r="CB57" s="302" t="s">
        <v>536</v>
      </c>
      <c r="CC57" s="302" t="s">
        <v>537</v>
      </c>
      <c r="CD57" s="434">
        <v>0.01</v>
      </c>
      <c r="CE57" s="434">
        <f t="shared" si="17"/>
        <v>0.5</v>
      </c>
      <c r="CF57" s="1620" t="s">
        <v>862</v>
      </c>
      <c r="CG57" s="1620" t="s">
        <v>1166</v>
      </c>
      <c r="CH57" s="1620" t="s">
        <v>1166</v>
      </c>
      <c r="CI57" s="408" t="s">
        <v>862</v>
      </c>
      <c r="CJ57" s="642">
        <v>0.68799999999999994</v>
      </c>
      <c r="CK57" s="591" t="s">
        <v>922</v>
      </c>
      <c r="CL57" s="302" t="s">
        <v>508</v>
      </c>
      <c r="CM57" s="302" t="s">
        <v>509</v>
      </c>
      <c r="CN57" s="637">
        <v>0</v>
      </c>
      <c r="CO57" s="302" t="s">
        <v>536</v>
      </c>
      <c r="CP57" s="302" t="s">
        <v>537</v>
      </c>
      <c r="CQ57" s="637">
        <v>0.01</v>
      </c>
    </row>
    <row r="58" spans="1:95" ht="15" x14ac:dyDescent="0.2">
      <c r="A58" s="661" t="s">
        <v>819</v>
      </c>
      <c r="B58" s="440" t="s">
        <v>818</v>
      </c>
      <c r="C58" s="637">
        <v>0.4</v>
      </c>
      <c r="D58" s="440" t="s">
        <v>550</v>
      </c>
      <c r="E58" s="440" t="s">
        <v>551</v>
      </c>
      <c r="F58" s="637">
        <v>0.09</v>
      </c>
      <c r="G58" s="440" t="s">
        <v>548</v>
      </c>
      <c r="H58" s="440" t="s">
        <v>549</v>
      </c>
      <c r="I58" s="637">
        <v>0.01</v>
      </c>
      <c r="J58" s="662">
        <f t="shared" si="10"/>
        <v>0.5</v>
      </c>
      <c r="K58" s="637">
        <v>0.4</v>
      </c>
      <c r="L58" s="440" t="s">
        <v>550</v>
      </c>
      <c r="M58" s="440" t="s">
        <v>551</v>
      </c>
      <c r="N58" s="637">
        <v>0.09</v>
      </c>
      <c r="O58" s="440" t="s">
        <v>548</v>
      </c>
      <c r="P58" s="440" t="s">
        <v>549</v>
      </c>
      <c r="Q58" s="637">
        <v>0.01</v>
      </c>
      <c r="R58" s="662">
        <f t="shared" si="19"/>
        <v>0.5</v>
      </c>
      <c r="S58" s="637">
        <v>0.4</v>
      </c>
      <c r="T58" s="302" t="s">
        <v>550</v>
      </c>
      <c r="U58" s="302" t="s">
        <v>551</v>
      </c>
      <c r="V58" s="637">
        <v>0.09</v>
      </c>
      <c r="W58" s="302" t="s">
        <v>548</v>
      </c>
      <c r="X58" s="302" t="s">
        <v>549</v>
      </c>
      <c r="Y58" s="637">
        <v>0.01</v>
      </c>
      <c r="Z58" s="645">
        <f t="shared" si="2"/>
        <v>0.5</v>
      </c>
      <c r="AA58" s="637">
        <v>0.4</v>
      </c>
      <c r="AB58" s="302" t="s">
        <v>550</v>
      </c>
      <c r="AC58" s="302" t="s">
        <v>551</v>
      </c>
      <c r="AD58" s="637">
        <v>0.09</v>
      </c>
      <c r="AE58" s="302" t="s">
        <v>548</v>
      </c>
      <c r="AF58" s="302" t="s">
        <v>549</v>
      </c>
      <c r="AG58" s="637">
        <v>0.01</v>
      </c>
      <c r="AH58" s="645">
        <f t="shared" si="18"/>
        <v>0.5</v>
      </c>
      <c r="AI58" s="637">
        <v>0.4</v>
      </c>
      <c r="AJ58" s="302" t="s">
        <v>550</v>
      </c>
      <c r="AK58" s="302" t="s">
        <v>551</v>
      </c>
      <c r="AL58" s="637">
        <v>0.09</v>
      </c>
      <c r="AM58" s="302" t="s">
        <v>548</v>
      </c>
      <c r="AN58" s="302" t="s">
        <v>549</v>
      </c>
      <c r="AO58" s="637">
        <v>0.01</v>
      </c>
      <c r="AP58" s="645">
        <f t="shared" si="14"/>
        <v>0.5</v>
      </c>
      <c r="AQ58" s="637">
        <v>0.4</v>
      </c>
      <c r="AR58" s="302" t="s">
        <v>550</v>
      </c>
      <c r="AS58" s="302" t="s">
        <v>551</v>
      </c>
      <c r="AT58" s="637">
        <v>0.09</v>
      </c>
      <c r="AU58" s="302" t="s">
        <v>548</v>
      </c>
      <c r="AV58" s="302" t="s">
        <v>549</v>
      </c>
      <c r="AW58" s="637">
        <v>0.01</v>
      </c>
      <c r="AX58" s="645">
        <f t="shared" si="15"/>
        <v>0.5</v>
      </c>
      <c r="AY58" s="637">
        <v>0.4</v>
      </c>
      <c r="AZ58" s="302" t="s">
        <v>550</v>
      </c>
      <c r="BA58" s="302" t="s">
        <v>551</v>
      </c>
      <c r="BB58" s="637">
        <v>0.09</v>
      </c>
      <c r="BC58" s="302" t="s">
        <v>548</v>
      </c>
      <c r="BD58" s="302" t="s">
        <v>549</v>
      </c>
      <c r="BE58" s="637">
        <v>0.01</v>
      </c>
      <c r="BF58" s="434">
        <f t="shared" si="12"/>
        <v>0.5</v>
      </c>
      <c r="BG58" s="587">
        <v>0.5</v>
      </c>
      <c r="BH58" s="302" t="s">
        <v>550</v>
      </c>
      <c r="BI58" s="302" t="s">
        <v>551</v>
      </c>
      <c r="BJ58" s="434">
        <v>0.49</v>
      </c>
      <c r="BK58" s="302" t="s">
        <v>548</v>
      </c>
      <c r="BL58" s="302" t="s">
        <v>549</v>
      </c>
      <c r="BM58" s="434">
        <v>0.01</v>
      </c>
      <c r="BN58" s="645">
        <f t="shared" si="13"/>
        <v>1</v>
      </c>
      <c r="BO58" s="434"/>
      <c r="BP58" s="434">
        <v>0.4</v>
      </c>
      <c r="BQ58" s="302" t="s">
        <v>550</v>
      </c>
      <c r="BR58" s="302" t="s">
        <v>551</v>
      </c>
      <c r="BS58" s="434">
        <v>0.09</v>
      </c>
      <c r="BT58" s="302" t="s">
        <v>548</v>
      </c>
      <c r="BU58" s="302" t="s">
        <v>549</v>
      </c>
      <c r="BV58" s="434">
        <v>0.01</v>
      </c>
      <c r="BW58" s="645">
        <f t="shared" si="16"/>
        <v>0.5</v>
      </c>
      <c r="BX58" s="434">
        <v>0.4</v>
      </c>
      <c r="BY58" s="302" t="s">
        <v>550</v>
      </c>
      <c r="BZ58" s="302" t="s">
        <v>551</v>
      </c>
      <c r="CA58" s="434">
        <v>0.09</v>
      </c>
      <c r="CB58" s="302" t="s">
        <v>548</v>
      </c>
      <c r="CC58" s="302" t="s">
        <v>549</v>
      </c>
      <c r="CD58" s="434">
        <v>0.01</v>
      </c>
      <c r="CE58" s="434">
        <f t="shared" si="17"/>
        <v>0.5</v>
      </c>
      <c r="CF58" s="1620" t="s">
        <v>862</v>
      </c>
      <c r="CG58" s="1620" t="s">
        <v>1166</v>
      </c>
      <c r="CH58" s="1620" t="s">
        <v>862</v>
      </c>
      <c r="CI58" s="406"/>
      <c r="CJ58" s="642">
        <v>0.68</v>
      </c>
      <c r="CK58" s="591" t="s">
        <v>922</v>
      </c>
      <c r="CL58" s="302" t="s">
        <v>550</v>
      </c>
      <c r="CM58" s="302" t="s">
        <v>551</v>
      </c>
      <c r="CN58" s="637">
        <v>0.59</v>
      </c>
      <c r="CO58" s="302" t="s">
        <v>548</v>
      </c>
      <c r="CP58" s="302" t="s">
        <v>549</v>
      </c>
      <c r="CQ58" s="637">
        <v>0.01</v>
      </c>
    </row>
    <row r="59" spans="1:95" ht="15.75" customHeight="1" x14ac:dyDescent="0.2">
      <c r="A59" s="661" t="s">
        <v>821</v>
      </c>
      <c r="B59" s="440" t="s">
        <v>820</v>
      </c>
      <c r="C59" s="637">
        <v>0.4</v>
      </c>
      <c r="D59" s="440" t="s">
        <v>655</v>
      </c>
      <c r="E59" s="440" t="s">
        <v>656</v>
      </c>
      <c r="F59" s="637">
        <v>0.1</v>
      </c>
      <c r="G59" s="440" t="s">
        <v>508</v>
      </c>
      <c r="H59" s="440" t="s">
        <v>546</v>
      </c>
      <c r="I59" s="637">
        <v>0</v>
      </c>
      <c r="J59" s="662">
        <f t="shared" si="10"/>
        <v>0.5</v>
      </c>
      <c r="K59" s="637">
        <v>0.4</v>
      </c>
      <c r="L59" s="440" t="s">
        <v>655</v>
      </c>
      <c r="M59" s="440" t="s">
        <v>656</v>
      </c>
      <c r="N59" s="637">
        <v>0.1</v>
      </c>
      <c r="O59" s="440" t="s">
        <v>508</v>
      </c>
      <c r="P59" s="440" t="s">
        <v>546</v>
      </c>
      <c r="Q59" s="637">
        <v>0</v>
      </c>
      <c r="R59" s="662">
        <f t="shared" si="19"/>
        <v>0.5</v>
      </c>
      <c r="S59" s="637">
        <v>0.4</v>
      </c>
      <c r="T59" s="302" t="s">
        <v>655</v>
      </c>
      <c r="U59" s="302" t="s">
        <v>656</v>
      </c>
      <c r="V59" s="637">
        <v>0.1</v>
      </c>
      <c r="W59" s="302" t="s">
        <v>508</v>
      </c>
      <c r="X59" s="302" t="s">
        <v>546</v>
      </c>
      <c r="Y59" s="637">
        <v>0</v>
      </c>
      <c r="Z59" s="645">
        <f t="shared" si="2"/>
        <v>0.5</v>
      </c>
      <c r="AA59" s="637">
        <v>0.4</v>
      </c>
      <c r="AB59" s="302" t="s">
        <v>655</v>
      </c>
      <c r="AC59" s="302" t="s">
        <v>656</v>
      </c>
      <c r="AD59" s="637">
        <v>0.1</v>
      </c>
      <c r="AE59" s="302" t="s">
        <v>508</v>
      </c>
      <c r="AF59" s="302" t="s">
        <v>546</v>
      </c>
      <c r="AG59" s="637">
        <v>0</v>
      </c>
      <c r="AH59" s="645">
        <f t="shared" si="18"/>
        <v>0.5</v>
      </c>
      <c r="AI59" s="637">
        <v>0.4</v>
      </c>
      <c r="AJ59" s="302" t="s">
        <v>655</v>
      </c>
      <c r="AK59" s="302" t="s">
        <v>656</v>
      </c>
      <c r="AL59" s="637">
        <v>0.1</v>
      </c>
      <c r="AM59" s="302" t="s">
        <v>508</v>
      </c>
      <c r="AN59" s="302" t="s">
        <v>546</v>
      </c>
      <c r="AO59" s="637">
        <v>0</v>
      </c>
      <c r="AP59" s="645">
        <f t="shared" si="14"/>
        <v>0.5</v>
      </c>
      <c r="AQ59" s="637">
        <v>0.4</v>
      </c>
      <c r="AR59" s="302" t="s">
        <v>655</v>
      </c>
      <c r="AS59" s="302" t="s">
        <v>656</v>
      </c>
      <c r="AT59" s="637">
        <v>0.1</v>
      </c>
      <c r="AU59" s="302" t="s">
        <v>508</v>
      </c>
      <c r="AV59" s="302" t="s">
        <v>546</v>
      </c>
      <c r="AW59" s="637">
        <v>0</v>
      </c>
      <c r="AX59" s="645">
        <f t="shared" si="15"/>
        <v>0.5</v>
      </c>
      <c r="AY59" s="637">
        <v>0.2</v>
      </c>
      <c r="AZ59" s="302" t="s">
        <v>655</v>
      </c>
      <c r="BA59" s="302" t="s">
        <v>656</v>
      </c>
      <c r="BB59" s="637">
        <v>0.55000000000000004</v>
      </c>
      <c r="BC59" s="302" t="s">
        <v>508</v>
      </c>
      <c r="BD59" s="302" t="s">
        <v>546</v>
      </c>
      <c r="BE59" s="637">
        <v>0</v>
      </c>
      <c r="BF59" s="434">
        <f t="shared" si="12"/>
        <v>0.75</v>
      </c>
      <c r="BG59" s="587">
        <v>0.4</v>
      </c>
      <c r="BH59" s="302" t="s">
        <v>655</v>
      </c>
      <c r="BI59" s="302" t="s">
        <v>656</v>
      </c>
      <c r="BJ59" s="434">
        <v>0.1</v>
      </c>
      <c r="BK59" s="302" t="s">
        <v>508</v>
      </c>
      <c r="BL59" s="302" t="s">
        <v>546</v>
      </c>
      <c r="BM59" s="434">
        <v>0</v>
      </c>
      <c r="BN59" s="645">
        <f t="shared" si="13"/>
        <v>0.5</v>
      </c>
      <c r="BO59" s="434"/>
      <c r="BP59" s="434">
        <v>0.4</v>
      </c>
      <c r="BQ59" s="302" t="s">
        <v>655</v>
      </c>
      <c r="BR59" s="302" t="s">
        <v>656</v>
      </c>
      <c r="BS59" s="434">
        <v>0.1</v>
      </c>
      <c r="BT59" s="302" t="s">
        <v>508</v>
      </c>
      <c r="BU59" s="302" t="s">
        <v>546</v>
      </c>
      <c r="BV59" s="434">
        <v>0</v>
      </c>
      <c r="BW59" s="645">
        <f t="shared" si="16"/>
        <v>0.5</v>
      </c>
      <c r="BX59" s="434">
        <v>0.4</v>
      </c>
      <c r="BY59" s="302" t="s">
        <v>655</v>
      </c>
      <c r="BZ59" s="302" t="s">
        <v>656</v>
      </c>
      <c r="CA59" s="434">
        <v>0.1</v>
      </c>
      <c r="CB59" s="302" t="s">
        <v>508</v>
      </c>
      <c r="CC59" s="302" t="s">
        <v>546</v>
      </c>
      <c r="CD59" s="434">
        <v>0</v>
      </c>
      <c r="CE59" s="434">
        <f t="shared" si="17"/>
        <v>0.5</v>
      </c>
      <c r="CF59" s="1620" t="s">
        <v>1166</v>
      </c>
      <c r="CG59" s="1620" t="s">
        <v>1166</v>
      </c>
      <c r="CH59" s="1620" t="s">
        <v>1166</v>
      </c>
      <c r="CI59" s="406"/>
      <c r="CJ59" s="642">
        <v>0.68600000000000005</v>
      </c>
      <c r="CK59" s="591" t="s">
        <v>922</v>
      </c>
      <c r="CL59" s="302" t="s">
        <v>655</v>
      </c>
      <c r="CM59" s="302" t="s">
        <v>656</v>
      </c>
      <c r="CN59" s="637">
        <v>0.6</v>
      </c>
      <c r="CO59" s="302" t="s">
        <v>508</v>
      </c>
      <c r="CP59" s="302" t="s">
        <v>546</v>
      </c>
      <c r="CQ59" s="637">
        <v>0</v>
      </c>
    </row>
    <row r="60" spans="1:95" ht="15.75" customHeight="1" x14ac:dyDescent="0.2">
      <c r="A60" s="661" t="s">
        <v>823</v>
      </c>
      <c r="B60" s="440" t="s">
        <v>822</v>
      </c>
      <c r="C60" s="637">
        <v>0.4</v>
      </c>
      <c r="D60" s="440" t="s">
        <v>609</v>
      </c>
      <c r="E60" s="440" t="s">
        <v>610</v>
      </c>
      <c r="F60" s="637">
        <v>0.09</v>
      </c>
      <c r="G60" s="440" t="s">
        <v>606</v>
      </c>
      <c r="H60" s="440" t="s">
        <v>607</v>
      </c>
      <c r="I60" s="637">
        <v>0.01</v>
      </c>
      <c r="J60" s="662">
        <f t="shared" si="10"/>
        <v>0.5</v>
      </c>
      <c r="K60" s="637">
        <v>0.4</v>
      </c>
      <c r="L60" s="440" t="s">
        <v>609</v>
      </c>
      <c r="M60" s="440" t="s">
        <v>610</v>
      </c>
      <c r="N60" s="637">
        <v>0.09</v>
      </c>
      <c r="O60" s="440" t="s">
        <v>606</v>
      </c>
      <c r="P60" s="440" t="s">
        <v>607</v>
      </c>
      <c r="Q60" s="637">
        <v>0.01</v>
      </c>
      <c r="R60" s="662">
        <f t="shared" si="19"/>
        <v>0.5</v>
      </c>
      <c r="S60" s="637">
        <v>0.4</v>
      </c>
      <c r="T60" s="302" t="s">
        <v>609</v>
      </c>
      <c r="U60" s="302" t="s">
        <v>610</v>
      </c>
      <c r="V60" s="637">
        <v>0.09</v>
      </c>
      <c r="W60" s="302" t="s">
        <v>606</v>
      </c>
      <c r="X60" s="302" t="s">
        <v>607</v>
      </c>
      <c r="Y60" s="637">
        <v>0.01</v>
      </c>
      <c r="Z60" s="645">
        <f t="shared" si="2"/>
        <v>0.5</v>
      </c>
      <c r="AA60" s="637">
        <v>0.4</v>
      </c>
      <c r="AB60" s="302" t="s">
        <v>609</v>
      </c>
      <c r="AC60" s="302" t="s">
        <v>610</v>
      </c>
      <c r="AD60" s="637">
        <v>0.09</v>
      </c>
      <c r="AE60" s="302" t="s">
        <v>606</v>
      </c>
      <c r="AF60" s="302" t="s">
        <v>607</v>
      </c>
      <c r="AG60" s="637">
        <v>0.01</v>
      </c>
      <c r="AH60" s="645">
        <f t="shared" si="18"/>
        <v>0.5</v>
      </c>
      <c r="AI60" s="637">
        <v>0.4</v>
      </c>
      <c r="AJ60" s="302" t="s">
        <v>609</v>
      </c>
      <c r="AK60" s="302" t="s">
        <v>610</v>
      </c>
      <c r="AL60" s="637">
        <v>0.09</v>
      </c>
      <c r="AM60" s="302" t="s">
        <v>606</v>
      </c>
      <c r="AN60" s="302" t="s">
        <v>607</v>
      </c>
      <c r="AO60" s="637">
        <v>0.01</v>
      </c>
      <c r="AP60" s="645">
        <f t="shared" si="14"/>
        <v>0.5</v>
      </c>
      <c r="AQ60" s="637">
        <v>0.4</v>
      </c>
      <c r="AR60" s="302" t="s">
        <v>609</v>
      </c>
      <c r="AS60" s="302" t="s">
        <v>610</v>
      </c>
      <c r="AT60" s="637">
        <v>0.09</v>
      </c>
      <c r="AU60" s="302" t="s">
        <v>606</v>
      </c>
      <c r="AV60" s="302" t="s">
        <v>607</v>
      </c>
      <c r="AW60" s="637">
        <v>0.01</v>
      </c>
      <c r="AX60" s="645">
        <f t="shared" si="15"/>
        <v>0.5</v>
      </c>
      <c r="AY60" s="637">
        <v>0.56000000000000005</v>
      </c>
      <c r="AZ60" s="302" t="s">
        <v>609</v>
      </c>
      <c r="BA60" s="302" t="s">
        <v>610</v>
      </c>
      <c r="BB60" s="637">
        <v>0.17499999999999999</v>
      </c>
      <c r="BC60" s="302" t="s">
        <v>606</v>
      </c>
      <c r="BD60" s="302" t="s">
        <v>607</v>
      </c>
      <c r="BE60" s="637">
        <v>1.4999999999999999E-2</v>
      </c>
      <c r="BF60" s="434">
        <f t="shared" si="12"/>
        <v>0.75000000000000011</v>
      </c>
      <c r="BG60" s="587">
        <v>0.4</v>
      </c>
      <c r="BH60" s="302" t="s">
        <v>609</v>
      </c>
      <c r="BI60" s="302" t="s">
        <v>610</v>
      </c>
      <c r="BJ60" s="434">
        <v>0.09</v>
      </c>
      <c r="BK60" s="302" t="s">
        <v>606</v>
      </c>
      <c r="BL60" s="302" t="s">
        <v>607</v>
      </c>
      <c r="BM60" s="434">
        <v>0.01</v>
      </c>
      <c r="BN60" s="645">
        <f t="shared" si="13"/>
        <v>0.5</v>
      </c>
      <c r="BO60" s="434"/>
      <c r="BP60" s="434">
        <v>0.4</v>
      </c>
      <c r="BQ60" s="302" t="s">
        <v>609</v>
      </c>
      <c r="BR60" s="302" t="s">
        <v>610</v>
      </c>
      <c r="BS60" s="434">
        <v>0.09</v>
      </c>
      <c r="BT60" s="302" t="s">
        <v>606</v>
      </c>
      <c r="BU60" s="302" t="s">
        <v>607</v>
      </c>
      <c r="BV60" s="434">
        <v>0.01</v>
      </c>
      <c r="BW60" s="645">
        <f t="shared" si="16"/>
        <v>0.5</v>
      </c>
      <c r="BX60" s="434">
        <v>0.4</v>
      </c>
      <c r="BY60" s="302" t="s">
        <v>609</v>
      </c>
      <c r="BZ60" s="302" t="s">
        <v>610</v>
      </c>
      <c r="CA60" s="434">
        <v>0.09</v>
      </c>
      <c r="CB60" s="302" t="s">
        <v>606</v>
      </c>
      <c r="CC60" s="302" t="s">
        <v>607</v>
      </c>
      <c r="CD60" s="434">
        <v>0.01</v>
      </c>
      <c r="CE60" s="434">
        <f t="shared" si="17"/>
        <v>0.5</v>
      </c>
      <c r="CF60" s="1620" t="s">
        <v>1166</v>
      </c>
      <c r="CG60" s="1620" t="s">
        <v>1166</v>
      </c>
      <c r="CH60" s="1620" t="s">
        <v>1166</v>
      </c>
      <c r="CI60" s="406"/>
      <c r="CJ60" s="642">
        <v>0.65100000000000002</v>
      </c>
      <c r="CK60" s="591" t="s">
        <v>862</v>
      </c>
      <c r="CL60" s="302" t="s">
        <v>609</v>
      </c>
      <c r="CM60" s="302" t="s">
        <v>610</v>
      </c>
      <c r="CN60" s="637">
        <v>0.59</v>
      </c>
      <c r="CO60" s="302" t="s">
        <v>606</v>
      </c>
      <c r="CP60" s="302" t="s">
        <v>607</v>
      </c>
      <c r="CQ60" s="637">
        <v>0.01</v>
      </c>
    </row>
    <row r="61" spans="1:95" ht="15.75" customHeight="1" x14ac:dyDescent="0.2">
      <c r="A61" s="661" t="s">
        <v>0</v>
      </c>
      <c r="B61" s="440" t="s">
        <v>824</v>
      </c>
      <c r="C61" s="637">
        <v>0.3</v>
      </c>
      <c r="D61" s="440" t="s">
        <v>674</v>
      </c>
      <c r="E61" s="440" t="s">
        <v>30</v>
      </c>
      <c r="F61" s="637">
        <v>0.37</v>
      </c>
      <c r="G61" s="440" t="s">
        <v>508</v>
      </c>
      <c r="H61" s="440" t="s">
        <v>508</v>
      </c>
      <c r="I61" s="637">
        <v>0</v>
      </c>
      <c r="J61" s="662">
        <f t="shared" si="10"/>
        <v>0.66999999999999993</v>
      </c>
      <c r="K61" s="637">
        <v>0.3</v>
      </c>
      <c r="L61" s="440" t="s">
        <v>674</v>
      </c>
      <c r="M61" s="440" t="s">
        <v>30</v>
      </c>
      <c r="N61" s="637">
        <v>0.37</v>
      </c>
      <c r="O61" s="440" t="s">
        <v>508</v>
      </c>
      <c r="P61" s="440" t="s">
        <v>508</v>
      </c>
      <c r="Q61" s="637">
        <v>0</v>
      </c>
      <c r="R61" s="662">
        <f t="shared" si="19"/>
        <v>0.66999999999999993</v>
      </c>
      <c r="S61" s="637">
        <v>0.3</v>
      </c>
      <c r="T61" s="302" t="s">
        <v>674</v>
      </c>
      <c r="U61" s="302" t="s">
        <v>30</v>
      </c>
      <c r="V61" s="637">
        <v>0.37</v>
      </c>
      <c r="W61" s="302" t="s">
        <v>508</v>
      </c>
      <c r="X61" s="302" t="s">
        <v>508</v>
      </c>
      <c r="Y61" s="637">
        <v>0</v>
      </c>
      <c r="Z61" s="645">
        <f t="shared" si="2"/>
        <v>0.66999999999999993</v>
      </c>
      <c r="AA61" s="637">
        <v>0.3</v>
      </c>
      <c r="AB61" s="302" t="s">
        <v>674</v>
      </c>
      <c r="AC61" s="302" t="s">
        <v>30</v>
      </c>
      <c r="AD61" s="637">
        <v>0.37</v>
      </c>
      <c r="AE61" s="302" t="s">
        <v>508</v>
      </c>
      <c r="AF61" s="302" t="s">
        <v>508</v>
      </c>
      <c r="AG61" s="637">
        <v>0</v>
      </c>
      <c r="AH61" s="645">
        <f t="shared" si="18"/>
        <v>0.66999999999999993</v>
      </c>
      <c r="AI61" s="637">
        <v>0.3</v>
      </c>
      <c r="AJ61" s="302" t="s">
        <v>674</v>
      </c>
      <c r="AK61" s="302" t="s">
        <v>30</v>
      </c>
      <c r="AL61" s="637">
        <v>0.37</v>
      </c>
      <c r="AM61" s="302" t="s">
        <v>508</v>
      </c>
      <c r="AN61" s="302" t="s">
        <v>508</v>
      </c>
      <c r="AO61" s="637">
        <v>0</v>
      </c>
      <c r="AP61" s="645">
        <f t="shared" si="14"/>
        <v>0.66999999999999993</v>
      </c>
      <c r="AQ61" s="637">
        <v>0.3</v>
      </c>
      <c r="AR61" s="302" t="s">
        <v>674</v>
      </c>
      <c r="AS61" s="302" t="s">
        <v>30</v>
      </c>
      <c r="AT61" s="637">
        <v>0.37</v>
      </c>
      <c r="AU61" s="302" t="s">
        <v>508</v>
      </c>
      <c r="AV61" s="302" t="s">
        <v>508</v>
      </c>
      <c r="AW61" s="637">
        <v>0</v>
      </c>
      <c r="AX61" s="645">
        <f t="shared" si="15"/>
        <v>0.66999999999999993</v>
      </c>
      <c r="AY61" s="637">
        <v>0.48</v>
      </c>
      <c r="AZ61" s="302" t="s">
        <v>674</v>
      </c>
      <c r="BA61" s="302" t="s">
        <v>30</v>
      </c>
      <c r="BB61" s="637">
        <v>0.27</v>
      </c>
      <c r="BC61" s="302" t="s">
        <v>508</v>
      </c>
      <c r="BD61" s="302" t="s">
        <v>508</v>
      </c>
      <c r="BE61" s="637">
        <v>0</v>
      </c>
      <c r="BF61" s="434">
        <f t="shared" si="12"/>
        <v>0.75</v>
      </c>
      <c r="BG61" s="587">
        <v>0.64</v>
      </c>
      <c r="BH61" s="302" t="s">
        <v>673</v>
      </c>
      <c r="BI61" s="302" t="s">
        <v>30</v>
      </c>
      <c r="BJ61" s="434">
        <v>0.36</v>
      </c>
      <c r="BK61" s="302" t="s">
        <v>508</v>
      </c>
      <c r="BL61" s="302" t="s">
        <v>508</v>
      </c>
      <c r="BM61" s="434">
        <v>0</v>
      </c>
      <c r="BN61" s="645">
        <f t="shared" si="13"/>
        <v>1</v>
      </c>
      <c r="BO61" s="434"/>
      <c r="BP61" s="434">
        <v>0.3</v>
      </c>
      <c r="BQ61" s="302" t="s">
        <v>673</v>
      </c>
      <c r="BR61" s="302" t="s">
        <v>30</v>
      </c>
      <c r="BS61" s="434">
        <v>0.37</v>
      </c>
      <c r="BT61" s="302" t="s">
        <v>508</v>
      </c>
      <c r="BU61" s="302" t="s">
        <v>508</v>
      </c>
      <c r="BV61" s="434">
        <v>0</v>
      </c>
      <c r="BW61" s="645">
        <f t="shared" si="16"/>
        <v>0.66999999999999993</v>
      </c>
      <c r="BX61" s="434">
        <v>0.3</v>
      </c>
      <c r="BY61" s="302" t="s">
        <v>673</v>
      </c>
      <c r="BZ61" s="302" t="s">
        <v>30</v>
      </c>
      <c r="CA61" s="434">
        <v>0.2</v>
      </c>
      <c r="CB61" s="302" t="s">
        <v>508</v>
      </c>
      <c r="CC61" s="302" t="s">
        <v>508</v>
      </c>
      <c r="CD61" s="434">
        <v>0</v>
      </c>
      <c r="CE61" s="434">
        <f t="shared" si="17"/>
        <v>0.5</v>
      </c>
      <c r="CF61" s="1620" t="s">
        <v>1166</v>
      </c>
      <c r="CG61" s="1620" t="s">
        <v>1166</v>
      </c>
      <c r="CH61" s="1620" t="s">
        <v>1166</v>
      </c>
      <c r="CI61" s="406"/>
      <c r="CJ61" s="642">
        <v>0.68899999999999995</v>
      </c>
      <c r="CK61" s="591" t="s">
        <v>922</v>
      </c>
      <c r="CL61" s="302" t="s">
        <v>673</v>
      </c>
      <c r="CM61" s="302" t="s">
        <v>30</v>
      </c>
      <c r="CN61" s="637">
        <v>0.2</v>
      </c>
      <c r="CO61" s="302" t="s">
        <v>508</v>
      </c>
      <c r="CP61" s="302" t="s">
        <v>508</v>
      </c>
      <c r="CQ61" s="637">
        <v>0</v>
      </c>
    </row>
    <row r="62" spans="1:95" ht="15.75" customHeight="1" x14ac:dyDescent="0.2">
      <c r="A62" s="661" t="s">
        <v>2</v>
      </c>
      <c r="B62" s="440" t="s">
        <v>1</v>
      </c>
      <c r="C62" s="637">
        <v>0.4</v>
      </c>
      <c r="D62" s="440" t="s">
        <v>575</v>
      </c>
      <c r="E62" s="440" t="s">
        <v>576</v>
      </c>
      <c r="F62" s="637">
        <v>0.09</v>
      </c>
      <c r="G62" s="440" t="s">
        <v>572</v>
      </c>
      <c r="H62" s="440" t="s">
        <v>1200</v>
      </c>
      <c r="I62" s="637">
        <v>0.01</v>
      </c>
      <c r="J62" s="662">
        <f t="shared" si="10"/>
        <v>0.5</v>
      </c>
      <c r="K62" s="637">
        <v>0.4</v>
      </c>
      <c r="L62" s="440" t="s">
        <v>575</v>
      </c>
      <c r="M62" s="440" t="s">
        <v>576</v>
      </c>
      <c r="N62" s="637">
        <v>0.09</v>
      </c>
      <c r="O62" s="440" t="s">
        <v>572</v>
      </c>
      <c r="P62" s="440" t="s">
        <v>1200</v>
      </c>
      <c r="Q62" s="637">
        <v>0.01</v>
      </c>
      <c r="R62" s="662">
        <f t="shared" si="19"/>
        <v>0.5</v>
      </c>
      <c r="S62" s="637">
        <v>0.4</v>
      </c>
      <c r="T62" s="302" t="s">
        <v>575</v>
      </c>
      <c r="U62" s="302" t="s">
        <v>576</v>
      </c>
      <c r="V62" s="637">
        <v>0.09</v>
      </c>
      <c r="W62" s="302" t="s">
        <v>572</v>
      </c>
      <c r="X62" s="302" t="s">
        <v>1200</v>
      </c>
      <c r="Y62" s="637">
        <v>0.01</v>
      </c>
      <c r="Z62" s="645">
        <f t="shared" si="2"/>
        <v>0.5</v>
      </c>
      <c r="AA62" s="637">
        <v>0.4</v>
      </c>
      <c r="AB62" s="302" t="s">
        <v>575</v>
      </c>
      <c r="AC62" s="302" t="s">
        <v>576</v>
      </c>
      <c r="AD62" s="637">
        <v>0.09</v>
      </c>
      <c r="AE62" s="302" t="s">
        <v>572</v>
      </c>
      <c r="AF62" s="302" t="s">
        <v>1200</v>
      </c>
      <c r="AG62" s="637">
        <v>0.01</v>
      </c>
      <c r="AH62" s="645">
        <f t="shared" si="18"/>
        <v>0.5</v>
      </c>
      <c r="AI62" s="637">
        <v>0.4</v>
      </c>
      <c r="AJ62" s="302" t="s">
        <v>575</v>
      </c>
      <c r="AK62" s="302" t="s">
        <v>576</v>
      </c>
      <c r="AL62" s="637">
        <v>0.09</v>
      </c>
      <c r="AM62" s="302" t="s">
        <v>572</v>
      </c>
      <c r="AN62" s="302" t="s">
        <v>1200</v>
      </c>
      <c r="AO62" s="637">
        <v>0.01</v>
      </c>
      <c r="AP62" s="645">
        <f t="shared" ref="AP62:AP67" si="20">+AI62+AL62+AO62</f>
        <v>0.5</v>
      </c>
      <c r="AQ62" s="637">
        <v>0.4</v>
      </c>
      <c r="AR62" s="302" t="s">
        <v>575</v>
      </c>
      <c r="AS62" s="302" t="s">
        <v>576</v>
      </c>
      <c r="AT62" s="637">
        <v>0.09</v>
      </c>
      <c r="AU62" s="302" t="s">
        <v>572</v>
      </c>
      <c r="AV62" s="302" t="s">
        <v>1200</v>
      </c>
      <c r="AW62" s="637">
        <v>0.01</v>
      </c>
      <c r="AX62" s="645">
        <f t="shared" ref="AX62:AX67" si="21">+AQ62+AT62+AW62</f>
        <v>0.5</v>
      </c>
      <c r="AY62" s="637">
        <v>0.4</v>
      </c>
      <c r="AZ62" s="302" t="s">
        <v>575</v>
      </c>
      <c r="BA62" s="302" t="s">
        <v>576</v>
      </c>
      <c r="BB62" s="637">
        <v>0.09</v>
      </c>
      <c r="BC62" s="302" t="s">
        <v>572</v>
      </c>
      <c r="BD62" s="302" t="s">
        <v>1200</v>
      </c>
      <c r="BE62" s="637">
        <v>0.01</v>
      </c>
      <c r="BF62" s="434">
        <f t="shared" ref="BF62:BF67" si="22">+AY62+BB62+BE62</f>
        <v>0.5</v>
      </c>
      <c r="BG62" s="587">
        <v>0.4</v>
      </c>
      <c r="BH62" s="302" t="s">
        <v>575</v>
      </c>
      <c r="BI62" s="302" t="s">
        <v>576</v>
      </c>
      <c r="BJ62" s="434">
        <v>0.09</v>
      </c>
      <c r="BK62" s="302" t="s">
        <v>572</v>
      </c>
      <c r="BL62" s="302" t="s">
        <v>573</v>
      </c>
      <c r="BM62" s="434">
        <v>0.01</v>
      </c>
      <c r="BN62" s="645">
        <f t="shared" ref="BN62:BN67" si="23">+BG62+BJ62+BM62</f>
        <v>0.5</v>
      </c>
      <c r="BO62" s="434"/>
      <c r="BP62" s="434">
        <v>0.4</v>
      </c>
      <c r="BQ62" s="302" t="s">
        <v>575</v>
      </c>
      <c r="BR62" s="302" t="s">
        <v>576</v>
      </c>
      <c r="BS62" s="434">
        <v>0.09</v>
      </c>
      <c r="BT62" s="302" t="s">
        <v>572</v>
      </c>
      <c r="BU62" s="302" t="s">
        <v>573</v>
      </c>
      <c r="BV62" s="434">
        <v>0.01</v>
      </c>
      <c r="BW62" s="645">
        <f t="shared" ref="BW62:BW67" si="24">+BP62+BS62+BV62</f>
        <v>0.5</v>
      </c>
      <c r="BX62" s="434">
        <v>0.4</v>
      </c>
      <c r="BY62" s="302" t="s">
        <v>575</v>
      </c>
      <c r="BZ62" s="302" t="s">
        <v>576</v>
      </c>
      <c r="CA62" s="434">
        <v>0.09</v>
      </c>
      <c r="CB62" s="302" t="s">
        <v>572</v>
      </c>
      <c r="CC62" s="302" t="s">
        <v>573</v>
      </c>
      <c r="CD62" s="434">
        <v>0.01</v>
      </c>
      <c r="CE62" s="434">
        <f t="shared" ref="CE62:CE67" si="25">+BX62+CA62+CD62</f>
        <v>0.5</v>
      </c>
      <c r="CF62" s="1620" t="s">
        <v>1166</v>
      </c>
      <c r="CG62" s="1620" t="s">
        <v>1166</v>
      </c>
      <c r="CH62" s="1620" t="s">
        <v>1166</v>
      </c>
      <c r="CI62" s="406"/>
      <c r="CJ62" s="642">
        <v>0.70799999999999996</v>
      </c>
      <c r="CK62" s="591" t="s">
        <v>922</v>
      </c>
      <c r="CL62" s="302" t="s">
        <v>575</v>
      </c>
      <c r="CM62" s="302" t="s">
        <v>576</v>
      </c>
      <c r="CN62" s="637">
        <v>0.59</v>
      </c>
      <c r="CO62" s="302" t="s">
        <v>572</v>
      </c>
      <c r="CP62" s="302" t="s">
        <v>573</v>
      </c>
      <c r="CQ62" s="637">
        <v>0.01</v>
      </c>
    </row>
    <row r="63" spans="1:95" ht="15" x14ac:dyDescent="0.2">
      <c r="A63" s="661" t="s">
        <v>4</v>
      </c>
      <c r="B63" s="440" t="s">
        <v>3</v>
      </c>
      <c r="C63" s="637">
        <v>1</v>
      </c>
      <c r="D63" s="440" t="s">
        <v>508</v>
      </c>
      <c r="E63" s="440" t="s">
        <v>509</v>
      </c>
      <c r="F63" s="637">
        <v>0</v>
      </c>
      <c r="G63" s="440" t="s">
        <v>508</v>
      </c>
      <c r="H63" s="440" t="s">
        <v>546</v>
      </c>
      <c r="I63" s="637">
        <v>0</v>
      </c>
      <c r="J63" s="662">
        <f t="shared" si="10"/>
        <v>1</v>
      </c>
      <c r="K63" s="637">
        <v>1</v>
      </c>
      <c r="L63" s="440" t="s">
        <v>508</v>
      </c>
      <c r="M63" s="440" t="s">
        <v>509</v>
      </c>
      <c r="N63" s="637">
        <v>0</v>
      </c>
      <c r="O63" s="440" t="s">
        <v>508</v>
      </c>
      <c r="P63" s="440" t="s">
        <v>546</v>
      </c>
      <c r="Q63" s="637">
        <v>0</v>
      </c>
      <c r="R63" s="662">
        <f t="shared" ref="R63:R83" si="26">+K63+N63+Q63</f>
        <v>1</v>
      </c>
      <c r="S63" s="637">
        <v>1</v>
      </c>
      <c r="T63" s="302" t="s">
        <v>508</v>
      </c>
      <c r="U63" s="302" t="s">
        <v>509</v>
      </c>
      <c r="V63" s="637">
        <v>0</v>
      </c>
      <c r="W63" s="302" t="s">
        <v>508</v>
      </c>
      <c r="X63" s="302" t="s">
        <v>546</v>
      </c>
      <c r="Y63" s="637">
        <v>0</v>
      </c>
      <c r="Z63" s="645">
        <f t="shared" si="2"/>
        <v>1</v>
      </c>
      <c r="AA63" s="637">
        <v>1</v>
      </c>
      <c r="AB63" s="302" t="s">
        <v>508</v>
      </c>
      <c r="AC63" s="302" t="s">
        <v>509</v>
      </c>
      <c r="AD63" s="637">
        <v>0</v>
      </c>
      <c r="AE63" s="302" t="s">
        <v>508</v>
      </c>
      <c r="AF63" s="302" t="s">
        <v>546</v>
      </c>
      <c r="AG63" s="637">
        <v>0</v>
      </c>
      <c r="AH63" s="645">
        <f t="shared" si="18"/>
        <v>1</v>
      </c>
      <c r="AI63" s="637">
        <v>1</v>
      </c>
      <c r="AJ63" s="302" t="s">
        <v>508</v>
      </c>
      <c r="AK63" s="302" t="s">
        <v>509</v>
      </c>
      <c r="AL63" s="637">
        <v>0</v>
      </c>
      <c r="AM63" s="302" t="s">
        <v>508</v>
      </c>
      <c r="AN63" s="302" t="s">
        <v>546</v>
      </c>
      <c r="AO63" s="637">
        <v>0</v>
      </c>
      <c r="AP63" s="645">
        <f t="shared" si="20"/>
        <v>1</v>
      </c>
      <c r="AQ63" s="637">
        <v>1</v>
      </c>
      <c r="AR63" s="302" t="s">
        <v>508</v>
      </c>
      <c r="AS63" s="302" t="s">
        <v>509</v>
      </c>
      <c r="AT63" s="637">
        <v>0</v>
      </c>
      <c r="AU63" s="302" t="s">
        <v>508</v>
      </c>
      <c r="AV63" s="302" t="s">
        <v>546</v>
      </c>
      <c r="AW63" s="637">
        <v>0</v>
      </c>
      <c r="AX63" s="645">
        <f t="shared" si="21"/>
        <v>1</v>
      </c>
      <c r="AY63" s="637">
        <v>1</v>
      </c>
      <c r="AZ63" s="302" t="s">
        <v>508</v>
      </c>
      <c r="BA63" s="302" t="s">
        <v>509</v>
      </c>
      <c r="BB63" s="637">
        <v>0</v>
      </c>
      <c r="BC63" s="302" t="s">
        <v>508</v>
      </c>
      <c r="BD63" s="302" t="s">
        <v>546</v>
      </c>
      <c r="BE63" s="637">
        <v>0</v>
      </c>
      <c r="BF63" s="434">
        <f t="shared" si="22"/>
        <v>1</v>
      </c>
      <c r="BG63" s="587">
        <v>1</v>
      </c>
      <c r="BH63" s="302" t="s">
        <v>508</v>
      </c>
      <c r="BI63" s="302" t="s">
        <v>509</v>
      </c>
      <c r="BJ63" s="434">
        <v>0</v>
      </c>
      <c r="BK63" s="302" t="s">
        <v>508</v>
      </c>
      <c r="BL63" s="302" t="s">
        <v>546</v>
      </c>
      <c r="BM63" s="434">
        <v>0</v>
      </c>
      <c r="BN63" s="645">
        <f t="shared" si="23"/>
        <v>1</v>
      </c>
      <c r="BO63" s="434"/>
      <c r="BP63" s="434">
        <v>1</v>
      </c>
      <c r="BQ63" s="302" t="s">
        <v>508</v>
      </c>
      <c r="BR63" s="302" t="s">
        <v>509</v>
      </c>
      <c r="BS63" s="434">
        <v>0</v>
      </c>
      <c r="BT63" s="302" t="s">
        <v>508</v>
      </c>
      <c r="BU63" s="302" t="s">
        <v>546</v>
      </c>
      <c r="BV63" s="434">
        <v>0</v>
      </c>
      <c r="BW63" s="645">
        <f t="shared" si="24"/>
        <v>1</v>
      </c>
      <c r="BX63" s="434">
        <v>0.5</v>
      </c>
      <c r="BY63" s="302" t="s">
        <v>508</v>
      </c>
      <c r="BZ63" s="302" t="s">
        <v>509</v>
      </c>
      <c r="CA63" s="434">
        <v>0</v>
      </c>
      <c r="CB63" s="302" t="s">
        <v>508</v>
      </c>
      <c r="CC63" s="302" t="s">
        <v>546</v>
      </c>
      <c r="CD63" s="434">
        <v>0</v>
      </c>
      <c r="CE63" s="434">
        <f t="shared" si="25"/>
        <v>0.5</v>
      </c>
      <c r="CF63" s="1620" t="s">
        <v>862</v>
      </c>
      <c r="CG63" s="1620" t="s">
        <v>1166</v>
      </c>
      <c r="CH63" s="1620" t="s">
        <v>1166</v>
      </c>
      <c r="CI63" s="408" t="s">
        <v>862</v>
      </c>
      <c r="CJ63" s="642">
        <v>0.64300000000000002</v>
      </c>
      <c r="CK63" s="591" t="s">
        <v>922</v>
      </c>
      <c r="CL63" s="302" t="s">
        <v>508</v>
      </c>
      <c r="CM63" s="302" t="s">
        <v>509</v>
      </c>
      <c r="CN63" s="637">
        <v>0</v>
      </c>
      <c r="CO63" s="302" t="s">
        <v>508</v>
      </c>
      <c r="CP63" s="302" t="s">
        <v>546</v>
      </c>
      <c r="CQ63" s="637">
        <v>0</v>
      </c>
    </row>
    <row r="64" spans="1:95" ht="15.75" customHeight="1" x14ac:dyDescent="0.2">
      <c r="A64" s="661" t="s">
        <v>6</v>
      </c>
      <c r="B64" s="440" t="s">
        <v>5</v>
      </c>
      <c r="C64" s="637">
        <v>0.4</v>
      </c>
      <c r="D64" s="440" t="s">
        <v>577</v>
      </c>
      <c r="E64" s="440" t="s">
        <v>578</v>
      </c>
      <c r="F64" s="637">
        <v>0.1</v>
      </c>
      <c r="G64" s="440" t="s">
        <v>508</v>
      </c>
      <c r="H64" s="440" t="s">
        <v>546</v>
      </c>
      <c r="I64" s="637">
        <v>0</v>
      </c>
      <c r="J64" s="662">
        <f t="shared" si="10"/>
        <v>0.5</v>
      </c>
      <c r="K64" s="637">
        <v>0.4</v>
      </c>
      <c r="L64" s="440" t="s">
        <v>577</v>
      </c>
      <c r="M64" s="440" t="s">
        <v>578</v>
      </c>
      <c r="N64" s="637">
        <v>0.1</v>
      </c>
      <c r="O64" s="440" t="s">
        <v>508</v>
      </c>
      <c r="P64" s="440" t="s">
        <v>546</v>
      </c>
      <c r="Q64" s="637">
        <v>0</v>
      </c>
      <c r="R64" s="662">
        <f t="shared" si="26"/>
        <v>0.5</v>
      </c>
      <c r="S64" s="637">
        <v>0.4</v>
      </c>
      <c r="T64" s="302" t="s">
        <v>577</v>
      </c>
      <c r="U64" s="302" t="s">
        <v>578</v>
      </c>
      <c r="V64" s="637">
        <v>0.1</v>
      </c>
      <c r="W64" s="302" t="s">
        <v>508</v>
      </c>
      <c r="X64" s="302" t="s">
        <v>546</v>
      </c>
      <c r="Y64" s="637">
        <v>0</v>
      </c>
      <c r="Z64" s="645">
        <f t="shared" si="2"/>
        <v>0.5</v>
      </c>
      <c r="AA64" s="637">
        <v>0.4</v>
      </c>
      <c r="AB64" s="302" t="s">
        <v>577</v>
      </c>
      <c r="AC64" s="302" t="s">
        <v>578</v>
      </c>
      <c r="AD64" s="637">
        <v>0.1</v>
      </c>
      <c r="AE64" s="302" t="s">
        <v>508</v>
      </c>
      <c r="AF64" s="302" t="s">
        <v>546</v>
      </c>
      <c r="AG64" s="637">
        <v>0</v>
      </c>
      <c r="AH64" s="645">
        <f t="shared" si="18"/>
        <v>0.5</v>
      </c>
      <c r="AI64" s="637">
        <v>0.4</v>
      </c>
      <c r="AJ64" s="302" t="s">
        <v>577</v>
      </c>
      <c r="AK64" s="302" t="s">
        <v>578</v>
      </c>
      <c r="AL64" s="637">
        <v>0.1</v>
      </c>
      <c r="AM64" s="302" t="s">
        <v>508</v>
      </c>
      <c r="AN64" s="302" t="s">
        <v>546</v>
      </c>
      <c r="AO64" s="637">
        <v>0</v>
      </c>
      <c r="AP64" s="645">
        <f t="shared" si="20"/>
        <v>0.5</v>
      </c>
      <c r="AQ64" s="637">
        <v>0.4</v>
      </c>
      <c r="AR64" s="302" t="s">
        <v>577</v>
      </c>
      <c r="AS64" s="302" t="s">
        <v>578</v>
      </c>
      <c r="AT64" s="637">
        <v>0.1</v>
      </c>
      <c r="AU64" s="302" t="s">
        <v>508</v>
      </c>
      <c r="AV64" s="302" t="s">
        <v>546</v>
      </c>
      <c r="AW64" s="637">
        <v>0</v>
      </c>
      <c r="AX64" s="645">
        <f t="shared" si="21"/>
        <v>0.5</v>
      </c>
      <c r="AY64" s="637">
        <v>0.4</v>
      </c>
      <c r="AZ64" s="302" t="s">
        <v>577</v>
      </c>
      <c r="BA64" s="302" t="s">
        <v>578</v>
      </c>
      <c r="BB64" s="637">
        <v>0.1</v>
      </c>
      <c r="BC64" s="302" t="s">
        <v>508</v>
      </c>
      <c r="BD64" s="302" t="s">
        <v>546</v>
      </c>
      <c r="BE64" s="637">
        <v>0</v>
      </c>
      <c r="BF64" s="434">
        <f t="shared" si="22"/>
        <v>0.5</v>
      </c>
      <c r="BG64" s="587">
        <v>0.5</v>
      </c>
      <c r="BH64" s="302" t="s">
        <v>577</v>
      </c>
      <c r="BI64" s="302" t="s">
        <v>578</v>
      </c>
      <c r="BJ64" s="434">
        <v>0.5</v>
      </c>
      <c r="BK64" s="302" t="s">
        <v>508</v>
      </c>
      <c r="BL64" s="302" t="s">
        <v>546</v>
      </c>
      <c r="BM64" s="434">
        <v>0</v>
      </c>
      <c r="BN64" s="645">
        <f t="shared" si="23"/>
        <v>1</v>
      </c>
      <c r="BO64" s="434"/>
      <c r="BP64" s="434">
        <v>0.4</v>
      </c>
      <c r="BQ64" s="302" t="s">
        <v>577</v>
      </c>
      <c r="BR64" s="302" t="s">
        <v>578</v>
      </c>
      <c r="BS64" s="434">
        <v>0.1</v>
      </c>
      <c r="BT64" s="302" t="s">
        <v>508</v>
      </c>
      <c r="BU64" s="302" t="s">
        <v>546</v>
      </c>
      <c r="BV64" s="434">
        <v>0</v>
      </c>
      <c r="BW64" s="645">
        <f t="shared" si="24"/>
        <v>0.5</v>
      </c>
      <c r="BX64" s="434">
        <v>0.4</v>
      </c>
      <c r="BY64" s="302" t="s">
        <v>577</v>
      </c>
      <c r="BZ64" s="302" t="s">
        <v>578</v>
      </c>
      <c r="CA64" s="434">
        <v>0.1</v>
      </c>
      <c r="CB64" s="302" t="s">
        <v>508</v>
      </c>
      <c r="CC64" s="302" t="s">
        <v>546</v>
      </c>
      <c r="CD64" s="434">
        <v>0</v>
      </c>
      <c r="CE64" s="434">
        <f t="shared" si="25"/>
        <v>0.5</v>
      </c>
      <c r="CF64" s="1620" t="s">
        <v>1166</v>
      </c>
      <c r="CG64" s="1620" t="s">
        <v>1166</v>
      </c>
      <c r="CH64" s="1620" t="s">
        <v>1166</v>
      </c>
      <c r="CI64" s="406"/>
      <c r="CJ64" s="642">
        <v>0.68600000000000005</v>
      </c>
      <c r="CK64" s="591" t="s">
        <v>922</v>
      </c>
      <c r="CL64" s="302" t="s">
        <v>577</v>
      </c>
      <c r="CM64" s="302" t="s">
        <v>578</v>
      </c>
      <c r="CN64" s="637">
        <v>0.6</v>
      </c>
      <c r="CO64" s="302" t="s">
        <v>508</v>
      </c>
      <c r="CP64" s="302" t="s">
        <v>546</v>
      </c>
      <c r="CQ64" s="637">
        <v>0</v>
      </c>
    </row>
    <row r="65" spans="1:98" ht="15.75" customHeight="1" x14ac:dyDescent="0.2">
      <c r="A65" s="661" t="s">
        <v>8</v>
      </c>
      <c r="B65" s="440" t="s">
        <v>7</v>
      </c>
      <c r="C65" s="637">
        <v>0.99</v>
      </c>
      <c r="D65" s="440" t="s">
        <v>508</v>
      </c>
      <c r="E65" s="440" t="s">
        <v>660</v>
      </c>
      <c r="F65" s="637">
        <v>0</v>
      </c>
      <c r="G65" s="440" t="s">
        <v>669</v>
      </c>
      <c r="H65" s="440" t="s">
        <v>670</v>
      </c>
      <c r="I65" s="637">
        <v>0.01</v>
      </c>
      <c r="J65" s="662">
        <f t="shared" si="10"/>
        <v>1</v>
      </c>
      <c r="K65" s="637">
        <v>0.99</v>
      </c>
      <c r="L65" s="440" t="s">
        <v>508</v>
      </c>
      <c r="M65" s="440" t="s">
        <v>660</v>
      </c>
      <c r="N65" s="637">
        <v>0</v>
      </c>
      <c r="O65" s="440" t="s">
        <v>669</v>
      </c>
      <c r="P65" s="440" t="s">
        <v>670</v>
      </c>
      <c r="Q65" s="637">
        <v>0.01</v>
      </c>
      <c r="R65" s="662">
        <f t="shared" si="26"/>
        <v>1</v>
      </c>
      <c r="S65" s="637">
        <v>0.99</v>
      </c>
      <c r="T65" s="302" t="s">
        <v>508</v>
      </c>
      <c r="U65" s="302" t="s">
        <v>660</v>
      </c>
      <c r="V65" s="637">
        <v>0</v>
      </c>
      <c r="W65" s="302" t="s">
        <v>669</v>
      </c>
      <c r="X65" s="302" t="s">
        <v>670</v>
      </c>
      <c r="Y65" s="637">
        <v>0.01</v>
      </c>
      <c r="Z65" s="645">
        <f t="shared" si="2"/>
        <v>1</v>
      </c>
      <c r="AA65" s="637">
        <v>0.99</v>
      </c>
      <c r="AB65" s="302" t="s">
        <v>508</v>
      </c>
      <c r="AC65" s="302" t="s">
        <v>660</v>
      </c>
      <c r="AD65" s="637">
        <v>0</v>
      </c>
      <c r="AE65" s="302" t="s">
        <v>669</v>
      </c>
      <c r="AF65" s="302" t="s">
        <v>670</v>
      </c>
      <c r="AG65" s="637">
        <v>0.01</v>
      </c>
      <c r="AH65" s="645">
        <f t="shared" si="18"/>
        <v>1</v>
      </c>
      <c r="AI65" s="637">
        <v>0.99</v>
      </c>
      <c r="AJ65" s="302" t="s">
        <v>508</v>
      </c>
      <c r="AK65" s="302" t="s">
        <v>660</v>
      </c>
      <c r="AL65" s="637">
        <v>0</v>
      </c>
      <c r="AM65" s="302" t="s">
        <v>669</v>
      </c>
      <c r="AN65" s="302" t="s">
        <v>670</v>
      </c>
      <c r="AO65" s="637">
        <v>0.01</v>
      </c>
      <c r="AP65" s="645">
        <f t="shared" si="20"/>
        <v>1</v>
      </c>
      <c r="AQ65" s="637">
        <v>0.99</v>
      </c>
      <c r="AR65" s="302" t="s">
        <v>508</v>
      </c>
      <c r="AS65" s="302" t="s">
        <v>660</v>
      </c>
      <c r="AT65" s="637">
        <v>0</v>
      </c>
      <c r="AU65" s="302" t="s">
        <v>669</v>
      </c>
      <c r="AV65" s="302" t="s">
        <v>670</v>
      </c>
      <c r="AW65" s="637">
        <v>0.01</v>
      </c>
      <c r="AX65" s="645">
        <f t="shared" si="21"/>
        <v>1</v>
      </c>
      <c r="AY65" s="637">
        <v>0.99</v>
      </c>
      <c r="AZ65" s="302" t="s">
        <v>508</v>
      </c>
      <c r="BA65" s="302" t="s">
        <v>660</v>
      </c>
      <c r="BB65" s="637">
        <v>0</v>
      </c>
      <c r="BC65" s="302" t="s">
        <v>669</v>
      </c>
      <c r="BD65" s="302" t="s">
        <v>670</v>
      </c>
      <c r="BE65" s="637">
        <v>0.01</v>
      </c>
      <c r="BF65" s="434">
        <f t="shared" si="22"/>
        <v>1</v>
      </c>
      <c r="BG65" s="587">
        <v>0.99</v>
      </c>
      <c r="BH65" s="302" t="s">
        <v>508</v>
      </c>
      <c r="BI65" s="302" t="s">
        <v>660</v>
      </c>
      <c r="BJ65" s="434">
        <v>0</v>
      </c>
      <c r="BK65" s="302" t="s">
        <v>669</v>
      </c>
      <c r="BL65" s="302" t="s">
        <v>670</v>
      </c>
      <c r="BM65" s="434">
        <v>0.01</v>
      </c>
      <c r="BN65" s="645">
        <f t="shared" si="23"/>
        <v>1</v>
      </c>
      <c r="BO65" s="434"/>
      <c r="BP65" s="434">
        <v>0.99</v>
      </c>
      <c r="BQ65" s="302" t="s">
        <v>508</v>
      </c>
      <c r="BR65" s="302" t="s">
        <v>660</v>
      </c>
      <c r="BS65" s="434">
        <v>0</v>
      </c>
      <c r="BT65" s="302" t="s">
        <v>669</v>
      </c>
      <c r="BU65" s="302" t="s">
        <v>670</v>
      </c>
      <c r="BV65" s="434">
        <v>0.01</v>
      </c>
      <c r="BW65" s="645">
        <f t="shared" si="24"/>
        <v>1</v>
      </c>
      <c r="BX65" s="434">
        <v>0.49</v>
      </c>
      <c r="BY65" s="302" t="s">
        <v>508</v>
      </c>
      <c r="BZ65" s="302" t="s">
        <v>660</v>
      </c>
      <c r="CA65" s="434">
        <v>0</v>
      </c>
      <c r="CB65" s="302" t="s">
        <v>669</v>
      </c>
      <c r="CC65" s="302" t="s">
        <v>670</v>
      </c>
      <c r="CD65" s="434">
        <v>0.01</v>
      </c>
      <c r="CE65" s="434">
        <f t="shared" si="25"/>
        <v>0.5</v>
      </c>
      <c r="CF65" s="1621" t="s">
        <v>862</v>
      </c>
      <c r="CG65" s="1621" t="s">
        <v>1166</v>
      </c>
      <c r="CH65" s="1621" t="s">
        <v>862</v>
      </c>
      <c r="CI65" s="408" t="s">
        <v>862</v>
      </c>
      <c r="CJ65" s="642">
        <v>0.68</v>
      </c>
      <c r="CK65" s="591" t="s">
        <v>922</v>
      </c>
      <c r="CL65" s="302" t="s">
        <v>508</v>
      </c>
      <c r="CM65" s="302" t="s">
        <v>660</v>
      </c>
      <c r="CN65" s="637">
        <v>0</v>
      </c>
      <c r="CO65" s="302" t="s">
        <v>669</v>
      </c>
      <c r="CP65" s="302" t="s">
        <v>670</v>
      </c>
      <c r="CQ65" s="637">
        <v>0.01</v>
      </c>
    </row>
    <row r="66" spans="1:98" ht="15.75" customHeight="1" x14ac:dyDescent="0.2">
      <c r="A66" s="661" t="s">
        <v>10</v>
      </c>
      <c r="B66" s="440" t="s">
        <v>9</v>
      </c>
      <c r="C66" s="637">
        <v>0.4</v>
      </c>
      <c r="D66" s="440" t="s">
        <v>655</v>
      </c>
      <c r="E66" s="440" t="s">
        <v>656</v>
      </c>
      <c r="F66" s="637">
        <v>0.1</v>
      </c>
      <c r="G66" s="440" t="s">
        <v>508</v>
      </c>
      <c r="H66" s="440" t="s">
        <v>546</v>
      </c>
      <c r="I66" s="637">
        <v>0</v>
      </c>
      <c r="J66" s="662">
        <f t="shared" si="10"/>
        <v>0.5</v>
      </c>
      <c r="K66" s="637">
        <v>0.4</v>
      </c>
      <c r="L66" s="440" t="s">
        <v>655</v>
      </c>
      <c r="M66" s="440" t="s">
        <v>656</v>
      </c>
      <c r="N66" s="637">
        <v>0.1</v>
      </c>
      <c r="O66" s="440" t="s">
        <v>508</v>
      </c>
      <c r="P66" s="440" t="s">
        <v>546</v>
      </c>
      <c r="Q66" s="637">
        <v>0</v>
      </c>
      <c r="R66" s="662">
        <f t="shared" si="26"/>
        <v>0.5</v>
      </c>
      <c r="S66" s="637">
        <v>0.4</v>
      </c>
      <c r="T66" s="302" t="s">
        <v>655</v>
      </c>
      <c r="U66" s="302" t="s">
        <v>656</v>
      </c>
      <c r="V66" s="637">
        <v>0.1</v>
      </c>
      <c r="W66" s="302" t="s">
        <v>508</v>
      </c>
      <c r="X66" s="302" t="s">
        <v>546</v>
      </c>
      <c r="Y66" s="637">
        <v>0</v>
      </c>
      <c r="Z66" s="645">
        <f t="shared" si="2"/>
        <v>0.5</v>
      </c>
      <c r="AA66" s="637">
        <v>0.4</v>
      </c>
      <c r="AB66" s="302" t="s">
        <v>655</v>
      </c>
      <c r="AC66" s="302" t="s">
        <v>656</v>
      </c>
      <c r="AD66" s="637">
        <v>0.1</v>
      </c>
      <c r="AE66" s="302" t="s">
        <v>508</v>
      </c>
      <c r="AF66" s="302" t="s">
        <v>546</v>
      </c>
      <c r="AG66" s="637">
        <v>0</v>
      </c>
      <c r="AH66" s="645">
        <f t="shared" si="18"/>
        <v>0.5</v>
      </c>
      <c r="AI66" s="637">
        <v>0.4</v>
      </c>
      <c r="AJ66" s="302" t="s">
        <v>655</v>
      </c>
      <c r="AK66" s="302" t="s">
        <v>656</v>
      </c>
      <c r="AL66" s="637">
        <v>0.1</v>
      </c>
      <c r="AM66" s="302" t="s">
        <v>508</v>
      </c>
      <c r="AN66" s="302" t="s">
        <v>546</v>
      </c>
      <c r="AO66" s="637">
        <v>0</v>
      </c>
      <c r="AP66" s="645">
        <f t="shared" si="20"/>
        <v>0.5</v>
      </c>
      <c r="AQ66" s="637">
        <v>0.4</v>
      </c>
      <c r="AR66" s="302" t="s">
        <v>655</v>
      </c>
      <c r="AS66" s="302" t="s">
        <v>656</v>
      </c>
      <c r="AT66" s="637">
        <v>0.1</v>
      </c>
      <c r="AU66" s="302" t="s">
        <v>508</v>
      </c>
      <c r="AV66" s="302" t="s">
        <v>546</v>
      </c>
      <c r="AW66" s="637">
        <v>0</v>
      </c>
      <c r="AX66" s="645">
        <f t="shared" si="21"/>
        <v>0.5</v>
      </c>
      <c r="AY66" s="637">
        <v>0.2</v>
      </c>
      <c r="AZ66" s="302" t="s">
        <v>655</v>
      </c>
      <c r="BA66" s="302" t="s">
        <v>656</v>
      </c>
      <c r="BB66" s="637">
        <v>0.55000000000000004</v>
      </c>
      <c r="BC66" s="302" t="s">
        <v>508</v>
      </c>
      <c r="BD66" s="302" t="s">
        <v>546</v>
      </c>
      <c r="BE66" s="637">
        <v>0</v>
      </c>
      <c r="BF66" s="434">
        <f t="shared" si="22"/>
        <v>0.75</v>
      </c>
      <c r="BG66" s="587">
        <v>0.4</v>
      </c>
      <c r="BH66" s="302" t="s">
        <v>655</v>
      </c>
      <c r="BI66" s="302" t="s">
        <v>656</v>
      </c>
      <c r="BJ66" s="434">
        <v>0.1</v>
      </c>
      <c r="BK66" s="302" t="s">
        <v>508</v>
      </c>
      <c r="BL66" s="302" t="s">
        <v>546</v>
      </c>
      <c r="BM66" s="434">
        <v>0</v>
      </c>
      <c r="BN66" s="645">
        <f t="shared" si="23"/>
        <v>0.5</v>
      </c>
      <c r="BO66" s="434"/>
      <c r="BP66" s="434">
        <v>0.4</v>
      </c>
      <c r="BQ66" s="302" t="s">
        <v>655</v>
      </c>
      <c r="BR66" s="302" t="s">
        <v>656</v>
      </c>
      <c r="BS66" s="434">
        <v>0.1</v>
      </c>
      <c r="BT66" s="302" t="s">
        <v>508</v>
      </c>
      <c r="BU66" s="302" t="s">
        <v>546</v>
      </c>
      <c r="BV66" s="434">
        <v>0</v>
      </c>
      <c r="BW66" s="645">
        <f t="shared" si="24"/>
        <v>0.5</v>
      </c>
      <c r="BX66" s="434">
        <v>0.4</v>
      </c>
      <c r="BY66" s="302" t="s">
        <v>655</v>
      </c>
      <c r="BZ66" s="302" t="s">
        <v>656</v>
      </c>
      <c r="CA66" s="434">
        <v>0.1</v>
      </c>
      <c r="CB66" s="302" t="s">
        <v>508</v>
      </c>
      <c r="CC66" s="302" t="s">
        <v>546</v>
      </c>
      <c r="CD66" s="434">
        <v>0</v>
      </c>
      <c r="CE66" s="434">
        <f t="shared" si="25"/>
        <v>0.5</v>
      </c>
      <c r="CF66" s="1620" t="s">
        <v>1166</v>
      </c>
      <c r="CG66" s="1620" t="s">
        <v>1166</v>
      </c>
      <c r="CH66" s="1620" t="s">
        <v>1166</v>
      </c>
      <c r="CI66" s="406"/>
      <c r="CJ66" s="642">
        <v>0.753</v>
      </c>
      <c r="CK66" s="591" t="s">
        <v>922</v>
      </c>
      <c r="CL66" s="302" t="s">
        <v>655</v>
      </c>
      <c r="CM66" s="302" t="s">
        <v>656</v>
      </c>
      <c r="CN66" s="637">
        <v>0.6</v>
      </c>
      <c r="CO66" s="302" t="s">
        <v>508</v>
      </c>
      <c r="CP66" s="302" t="s">
        <v>546</v>
      </c>
      <c r="CQ66" s="637">
        <v>0</v>
      </c>
    </row>
    <row r="67" spans="1:98" ht="15.75" customHeight="1" x14ac:dyDescent="0.2">
      <c r="A67" s="661" t="s">
        <v>12</v>
      </c>
      <c r="B67" s="440" t="s">
        <v>11</v>
      </c>
      <c r="C67" s="637">
        <v>0.3</v>
      </c>
      <c r="D67" s="440" t="s">
        <v>674</v>
      </c>
      <c r="E67" s="440" t="s">
        <v>675</v>
      </c>
      <c r="F67" s="637">
        <v>0.37</v>
      </c>
      <c r="G67" s="440" t="s">
        <v>508</v>
      </c>
      <c r="H67" s="440" t="s">
        <v>508</v>
      </c>
      <c r="I67" s="637">
        <v>0</v>
      </c>
      <c r="J67" s="662">
        <f t="shared" si="10"/>
        <v>0.66999999999999993</v>
      </c>
      <c r="K67" s="637">
        <v>0.3</v>
      </c>
      <c r="L67" s="440" t="s">
        <v>674</v>
      </c>
      <c r="M67" s="440" t="s">
        <v>675</v>
      </c>
      <c r="N67" s="637">
        <v>0.37</v>
      </c>
      <c r="O67" s="440" t="s">
        <v>508</v>
      </c>
      <c r="P67" s="440" t="s">
        <v>508</v>
      </c>
      <c r="Q67" s="637">
        <v>0</v>
      </c>
      <c r="R67" s="662">
        <f t="shared" si="26"/>
        <v>0.66999999999999993</v>
      </c>
      <c r="S67" s="637">
        <v>0.3</v>
      </c>
      <c r="T67" s="302" t="s">
        <v>674</v>
      </c>
      <c r="U67" s="302" t="s">
        <v>675</v>
      </c>
      <c r="V67" s="637">
        <v>0.37</v>
      </c>
      <c r="W67" s="302" t="s">
        <v>508</v>
      </c>
      <c r="X67" s="302" t="s">
        <v>508</v>
      </c>
      <c r="Y67" s="637">
        <v>0</v>
      </c>
      <c r="Z67" s="645">
        <f t="shared" si="2"/>
        <v>0.66999999999999993</v>
      </c>
      <c r="AA67" s="637">
        <v>0.3</v>
      </c>
      <c r="AB67" s="302" t="s">
        <v>674</v>
      </c>
      <c r="AC67" s="302" t="s">
        <v>675</v>
      </c>
      <c r="AD67" s="637">
        <v>0.37</v>
      </c>
      <c r="AE67" s="302" t="s">
        <v>508</v>
      </c>
      <c r="AF67" s="302" t="s">
        <v>508</v>
      </c>
      <c r="AG67" s="637">
        <v>0</v>
      </c>
      <c r="AH67" s="645">
        <f t="shared" si="18"/>
        <v>0.66999999999999993</v>
      </c>
      <c r="AI67" s="637">
        <v>0.3</v>
      </c>
      <c r="AJ67" s="302" t="s">
        <v>674</v>
      </c>
      <c r="AK67" s="302" t="s">
        <v>675</v>
      </c>
      <c r="AL67" s="637">
        <v>0.37</v>
      </c>
      <c r="AM67" s="302" t="s">
        <v>508</v>
      </c>
      <c r="AN67" s="302" t="s">
        <v>508</v>
      </c>
      <c r="AO67" s="637">
        <v>0</v>
      </c>
      <c r="AP67" s="645">
        <f t="shared" si="20"/>
        <v>0.66999999999999993</v>
      </c>
      <c r="AQ67" s="637">
        <v>0.3</v>
      </c>
      <c r="AR67" s="302" t="s">
        <v>674</v>
      </c>
      <c r="AS67" s="302" t="s">
        <v>675</v>
      </c>
      <c r="AT67" s="637">
        <v>0.37</v>
      </c>
      <c r="AU67" s="302" t="s">
        <v>508</v>
      </c>
      <c r="AV67" s="302" t="s">
        <v>508</v>
      </c>
      <c r="AW67" s="637">
        <v>0</v>
      </c>
      <c r="AX67" s="645">
        <f t="shared" si="21"/>
        <v>0.66999999999999993</v>
      </c>
      <c r="AY67" s="637">
        <v>0.48</v>
      </c>
      <c r="AZ67" s="302" t="s">
        <v>674</v>
      </c>
      <c r="BA67" s="302" t="s">
        <v>675</v>
      </c>
      <c r="BB67" s="637">
        <v>0.27</v>
      </c>
      <c r="BC67" s="302" t="s">
        <v>508</v>
      </c>
      <c r="BD67" s="302" t="s">
        <v>508</v>
      </c>
      <c r="BE67" s="637">
        <v>0</v>
      </c>
      <c r="BF67" s="434">
        <f t="shared" si="22"/>
        <v>0.75</v>
      </c>
      <c r="BG67" s="587">
        <v>0.64</v>
      </c>
      <c r="BH67" s="302" t="s">
        <v>674</v>
      </c>
      <c r="BI67" s="302" t="s">
        <v>675</v>
      </c>
      <c r="BJ67" s="434">
        <v>0.36</v>
      </c>
      <c r="BK67" s="302" t="s">
        <v>508</v>
      </c>
      <c r="BL67" s="302" t="s">
        <v>508</v>
      </c>
      <c r="BM67" s="434">
        <v>0</v>
      </c>
      <c r="BN67" s="645">
        <f t="shared" si="23"/>
        <v>1</v>
      </c>
      <c r="BO67" s="434"/>
      <c r="BP67" s="434">
        <v>0.3</v>
      </c>
      <c r="BQ67" s="302" t="s">
        <v>674</v>
      </c>
      <c r="BR67" s="302" t="s">
        <v>675</v>
      </c>
      <c r="BS67" s="434">
        <v>0.37</v>
      </c>
      <c r="BT67" s="302" t="s">
        <v>508</v>
      </c>
      <c r="BU67" s="302" t="s">
        <v>508</v>
      </c>
      <c r="BV67" s="434">
        <v>0</v>
      </c>
      <c r="BW67" s="645">
        <f t="shared" si="24"/>
        <v>0.66999999999999993</v>
      </c>
      <c r="BX67" s="434">
        <v>0.3</v>
      </c>
      <c r="BY67" s="302" t="s">
        <v>674</v>
      </c>
      <c r="BZ67" s="302" t="s">
        <v>675</v>
      </c>
      <c r="CA67" s="434">
        <v>0.2</v>
      </c>
      <c r="CB67" s="302" t="s">
        <v>508</v>
      </c>
      <c r="CC67" s="302" t="s">
        <v>508</v>
      </c>
      <c r="CD67" s="434">
        <v>0</v>
      </c>
      <c r="CE67" s="434">
        <f t="shared" si="25"/>
        <v>0.5</v>
      </c>
      <c r="CF67" s="1620" t="s">
        <v>862</v>
      </c>
      <c r="CG67" s="1620" t="s">
        <v>1166</v>
      </c>
      <c r="CH67" s="1620" t="s">
        <v>1166</v>
      </c>
      <c r="CI67" s="408" t="s">
        <v>862</v>
      </c>
      <c r="CJ67" s="642">
        <v>0.747</v>
      </c>
      <c r="CK67" s="591" t="s">
        <v>922</v>
      </c>
      <c r="CL67" s="302" t="s">
        <v>674</v>
      </c>
      <c r="CM67" s="302" t="s">
        <v>675</v>
      </c>
      <c r="CN67" s="637">
        <v>0.2</v>
      </c>
      <c r="CO67" s="302" t="s">
        <v>508</v>
      </c>
      <c r="CP67" s="302" t="s">
        <v>508</v>
      </c>
      <c r="CQ67" s="637">
        <v>0</v>
      </c>
    </row>
    <row r="68" spans="1:98" ht="15.75" customHeight="1" x14ac:dyDescent="0.2">
      <c r="A68" s="661" t="s">
        <v>2333</v>
      </c>
      <c r="B68" s="440" t="s">
        <v>2308</v>
      </c>
      <c r="C68" s="637">
        <v>0.49</v>
      </c>
      <c r="D68" s="440" t="s">
        <v>508</v>
      </c>
      <c r="E68" s="440" t="s">
        <v>509</v>
      </c>
      <c r="F68" s="637">
        <v>0</v>
      </c>
      <c r="G68" s="440" t="s">
        <v>2673</v>
      </c>
      <c r="H68" s="440" t="s">
        <v>2683</v>
      </c>
      <c r="I68" s="637">
        <v>0.01</v>
      </c>
      <c r="J68" s="662">
        <f t="shared" si="10"/>
        <v>0.5</v>
      </c>
      <c r="K68" s="637">
        <v>0.49</v>
      </c>
      <c r="L68" s="440" t="s">
        <v>508</v>
      </c>
      <c r="M68" s="440" t="s">
        <v>509</v>
      </c>
      <c r="N68" s="637">
        <v>0</v>
      </c>
      <c r="O68" s="440" t="s">
        <v>2673</v>
      </c>
      <c r="P68" s="440" t="s">
        <v>2683</v>
      </c>
      <c r="Q68" s="637">
        <v>0.01</v>
      </c>
      <c r="R68" s="662">
        <f>+K68+N68+Q68</f>
        <v>0.5</v>
      </c>
      <c r="S68" s="711">
        <v>0.49</v>
      </c>
      <c r="T68" s="712" t="s">
        <v>508</v>
      </c>
      <c r="U68" s="712" t="s">
        <v>509</v>
      </c>
      <c r="V68" s="711">
        <v>0</v>
      </c>
      <c r="W68" s="712" t="s">
        <v>2673</v>
      </c>
      <c r="X68" s="712" t="s">
        <v>2683</v>
      </c>
      <c r="Y68" s="711">
        <v>0.01</v>
      </c>
      <c r="Z68" s="713">
        <f>+S68+V68+Y68</f>
        <v>0.5</v>
      </c>
      <c r="AA68" s="711">
        <v>0.5</v>
      </c>
      <c r="AB68" s="712" t="s">
        <v>508</v>
      </c>
      <c r="AC68" s="712" t="s">
        <v>509</v>
      </c>
      <c r="AD68" s="711">
        <v>0</v>
      </c>
      <c r="AE68" s="712" t="s">
        <v>508</v>
      </c>
      <c r="AF68" s="712" t="s">
        <v>546</v>
      </c>
      <c r="AG68" s="711">
        <v>0</v>
      </c>
      <c r="AH68" s="713">
        <f>+AA68+AD68+AG68</f>
        <v>0.5</v>
      </c>
      <c r="AI68" s="711">
        <v>0.5</v>
      </c>
      <c r="AJ68" s="712" t="s">
        <v>508</v>
      </c>
      <c r="AK68" s="712" t="s">
        <v>509</v>
      </c>
      <c r="AL68" s="711">
        <v>0</v>
      </c>
      <c r="AM68" s="712" t="s">
        <v>508</v>
      </c>
      <c r="AN68" s="712" t="s">
        <v>546</v>
      </c>
      <c r="AO68" s="711">
        <v>0</v>
      </c>
      <c r="AP68" s="713">
        <f>+AI68+AL68+AO68</f>
        <v>0.5</v>
      </c>
      <c r="AQ68" s="711">
        <v>0.5</v>
      </c>
      <c r="AR68" s="712" t="s">
        <v>508</v>
      </c>
      <c r="AS68" s="712" t="s">
        <v>509</v>
      </c>
      <c r="AT68" s="711">
        <v>0</v>
      </c>
      <c r="AU68" s="712" t="s">
        <v>508</v>
      </c>
      <c r="AV68" s="712" t="s">
        <v>546</v>
      </c>
      <c r="AW68" s="711">
        <v>0</v>
      </c>
      <c r="AX68" s="713">
        <f>+AQ68+AT68+AW68</f>
        <v>0.5</v>
      </c>
      <c r="AY68" s="711">
        <v>0.5</v>
      </c>
      <c r="AZ68" s="712" t="s">
        <v>508</v>
      </c>
      <c r="BA68" s="712" t="s">
        <v>509</v>
      </c>
      <c r="BB68" s="711">
        <v>0</v>
      </c>
      <c r="BC68" s="712" t="s">
        <v>508</v>
      </c>
      <c r="BD68" s="712" t="s">
        <v>546</v>
      </c>
      <c r="BE68" s="711">
        <v>0</v>
      </c>
      <c r="BF68" s="713">
        <f>+AY68+BB68+BE68</f>
        <v>0.5</v>
      </c>
      <c r="BG68" s="711">
        <v>0.5</v>
      </c>
      <c r="BH68" s="712" t="s">
        <v>508</v>
      </c>
      <c r="BI68" s="712" t="s">
        <v>509</v>
      </c>
      <c r="BJ68" s="711">
        <v>0</v>
      </c>
      <c r="BK68" s="712" t="s">
        <v>508</v>
      </c>
      <c r="BL68" s="712" t="s">
        <v>546</v>
      </c>
      <c r="BM68" s="711">
        <v>0</v>
      </c>
      <c r="BN68" s="713">
        <f>+BG68+BJ68+BM68</f>
        <v>0.5</v>
      </c>
      <c r="BO68" s="711"/>
      <c r="BP68" s="711">
        <v>0.5</v>
      </c>
      <c r="BQ68" s="712" t="s">
        <v>508</v>
      </c>
      <c r="BR68" s="712" t="s">
        <v>509</v>
      </c>
      <c r="BS68" s="711">
        <v>0</v>
      </c>
      <c r="BT68" s="712" t="s">
        <v>508</v>
      </c>
      <c r="BU68" s="712" t="s">
        <v>546</v>
      </c>
      <c r="BV68" s="711">
        <v>0</v>
      </c>
      <c r="BW68" s="713">
        <f>+BP68+BS68+BV68</f>
        <v>0.5</v>
      </c>
      <c r="BX68" s="711">
        <v>0.5</v>
      </c>
      <c r="BY68" s="712" t="s">
        <v>508</v>
      </c>
      <c r="BZ68" s="712" t="s">
        <v>509</v>
      </c>
      <c r="CA68" s="711">
        <v>0</v>
      </c>
      <c r="CB68" s="712" t="s">
        <v>508</v>
      </c>
      <c r="CC68" s="712" t="s">
        <v>546</v>
      </c>
      <c r="CD68" s="711">
        <v>0</v>
      </c>
      <c r="CE68" s="713">
        <f>+BX68+CA68+CD68</f>
        <v>0.5</v>
      </c>
      <c r="CF68" s="1620" t="s">
        <v>862</v>
      </c>
      <c r="CG68" s="1620" t="s">
        <v>1166</v>
      </c>
      <c r="CH68" s="1620" t="s">
        <v>1166</v>
      </c>
      <c r="CI68" s="408" t="s">
        <v>862</v>
      </c>
      <c r="CJ68" s="642">
        <v>0.64800000000000002</v>
      </c>
      <c r="CK68" s="591" t="s">
        <v>922</v>
      </c>
      <c r="CL68" s="302" t="s">
        <v>508</v>
      </c>
      <c r="CM68" s="302" t="s">
        <v>509</v>
      </c>
      <c r="CN68" s="637">
        <v>0</v>
      </c>
      <c r="CO68" s="302" t="s">
        <v>508</v>
      </c>
      <c r="CP68" s="302" t="s">
        <v>546</v>
      </c>
      <c r="CQ68" s="637">
        <v>0</v>
      </c>
    </row>
    <row r="69" spans="1:98" ht="15.75" customHeight="1" x14ac:dyDescent="0.2">
      <c r="A69" s="661" t="s">
        <v>14</v>
      </c>
      <c r="B69" s="440" t="s">
        <v>13</v>
      </c>
      <c r="C69" s="637">
        <v>0.4</v>
      </c>
      <c r="D69" s="440" t="s">
        <v>590</v>
      </c>
      <c r="E69" s="440" t="s">
        <v>591</v>
      </c>
      <c r="F69" s="637">
        <v>0.1</v>
      </c>
      <c r="G69" s="440" t="s">
        <v>508</v>
      </c>
      <c r="H69" s="440" t="s">
        <v>546</v>
      </c>
      <c r="I69" s="637">
        <v>0</v>
      </c>
      <c r="J69" s="662">
        <f t="shared" si="10"/>
        <v>0.5</v>
      </c>
      <c r="K69" s="637">
        <v>0.4</v>
      </c>
      <c r="L69" s="440" t="s">
        <v>590</v>
      </c>
      <c r="M69" s="440" t="s">
        <v>591</v>
      </c>
      <c r="N69" s="637">
        <v>0.1</v>
      </c>
      <c r="O69" s="440" t="s">
        <v>508</v>
      </c>
      <c r="P69" s="440" t="s">
        <v>546</v>
      </c>
      <c r="Q69" s="637">
        <v>0</v>
      </c>
      <c r="R69" s="662">
        <f t="shared" si="26"/>
        <v>0.5</v>
      </c>
      <c r="S69" s="637">
        <v>0.4</v>
      </c>
      <c r="T69" s="302" t="s">
        <v>590</v>
      </c>
      <c r="U69" s="302" t="s">
        <v>591</v>
      </c>
      <c r="V69" s="637">
        <v>0.1</v>
      </c>
      <c r="W69" s="302" t="s">
        <v>508</v>
      </c>
      <c r="X69" s="302" t="s">
        <v>546</v>
      </c>
      <c r="Y69" s="637">
        <v>0</v>
      </c>
      <c r="Z69" s="645">
        <f t="shared" ref="Z69:Z96" si="27">+S69+V69+Y69</f>
        <v>0.5</v>
      </c>
      <c r="AA69" s="637">
        <v>0.4</v>
      </c>
      <c r="AB69" s="302" t="s">
        <v>590</v>
      </c>
      <c r="AC69" s="302" t="s">
        <v>591</v>
      </c>
      <c r="AD69" s="637">
        <v>0.1</v>
      </c>
      <c r="AE69" s="302" t="s">
        <v>508</v>
      </c>
      <c r="AF69" s="302" t="s">
        <v>546</v>
      </c>
      <c r="AG69" s="637">
        <v>0</v>
      </c>
      <c r="AH69" s="645">
        <f t="shared" ref="AH69:AH96" si="28">+AA69+AD69+AG69</f>
        <v>0.5</v>
      </c>
      <c r="AI69" s="637">
        <v>0.4</v>
      </c>
      <c r="AJ69" s="302" t="s">
        <v>590</v>
      </c>
      <c r="AK69" s="302" t="s">
        <v>591</v>
      </c>
      <c r="AL69" s="637">
        <v>0.1</v>
      </c>
      <c r="AM69" s="302" t="s">
        <v>508</v>
      </c>
      <c r="AN69" s="302" t="s">
        <v>546</v>
      </c>
      <c r="AO69" s="637">
        <v>0</v>
      </c>
      <c r="AP69" s="645">
        <f t="shared" ref="AP69:AP72" si="29">+AI69+AL69+AO69</f>
        <v>0.5</v>
      </c>
      <c r="AQ69" s="637">
        <v>0.4</v>
      </c>
      <c r="AR69" s="302" t="s">
        <v>590</v>
      </c>
      <c r="AS69" s="302" t="s">
        <v>591</v>
      </c>
      <c r="AT69" s="637">
        <v>0.1</v>
      </c>
      <c r="AU69" s="302" t="s">
        <v>508</v>
      </c>
      <c r="AV69" s="302" t="s">
        <v>546</v>
      </c>
      <c r="AW69" s="637">
        <v>0</v>
      </c>
      <c r="AX69" s="645">
        <f t="shared" ref="AX69:AX73" si="30">+AQ69+AT69+AW69</f>
        <v>0.5</v>
      </c>
      <c r="AY69" s="637">
        <v>0.35</v>
      </c>
      <c r="AZ69" s="302" t="s">
        <v>590</v>
      </c>
      <c r="BA69" s="302" t="s">
        <v>591</v>
      </c>
      <c r="BB69" s="637">
        <v>0.4</v>
      </c>
      <c r="BC69" s="302" t="s">
        <v>508</v>
      </c>
      <c r="BD69" s="302" t="s">
        <v>546</v>
      </c>
      <c r="BE69" s="637">
        <v>0</v>
      </c>
      <c r="BF69" s="434">
        <f t="shared" ref="BF69:BF73" si="31">+AY69+BB69+BE69</f>
        <v>0.75</v>
      </c>
      <c r="BG69" s="587">
        <v>0.4</v>
      </c>
      <c r="BH69" s="302" t="s">
        <v>590</v>
      </c>
      <c r="BI69" s="302" t="s">
        <v>591</v>
      </c>
      <c r="BJ69" s="434">
        <v>0.1</v>
      </c>
      <c r="BK69" s="302" t="s">
        <v>508</v>
      </c>
      <c r="BL69" s="302" t="s">
        <v>546</v>
      </c>
      <c r="BM69" s="434">
        <v>0</v>
      </c>
      <c r="BN69" s="645">
        <f t="shared" ref="BN69:BN73" si="32">+BG69+BJ69+BM69</f>
        <v>0.5</v>
      </c>
      <c r="BO69" s="434"/>
      <c r="BP69" s="434">
        <v>0.4</v>
      </c>
      <c r="BQ69" s="302" t="s">
        <v>590</v>
      </c>
      <c r="BR69" s="302" t="s">
        <v>591</v>
      </c>
      <c r="BS69" s="434">
        <v>0.1</v>
      </c>
      <c r="BT69" s="302" t="s">
        <v>508</v>
      </c>
      <c r="BU69" s="302" t="s">
        <v>546</v>
      </c>
      <c r="BV69" s="434">
        <v>0</v>
      </c>
      <c r="BW69" s="645">
        <f t="shared" ref="BW69:BW73" si="33">+BP69+BS69+BV69</f>
        <v>0.5</v>
      </c>
      <c r="BX69" s="434">
        <v>0.4</v>
      </c>
      <c r="BY69" s="302" t="s">
        <v>590</v>
      </c>
      <c r="BZ69" s="302" t="s">
        <v>591</v>
      </c>
      <c r="CA69" s="434">
        <v>0.1</v>
      </c>
      <c r="CB69" s="302" t="s">
        <v>508</v>
      </c>
      <c r="CC69" s="302" t="s">
        <v>546</v>
      </c>
      <c r="CD69" s="434">
        <v>0</v>
      </c>
      <c r="CE69" s="434">
        <f t="shared" ref="CE69:CE73" si="34">+BX69+CA69+CD69</f>
        <v>0.5</v>
      </c>
      <c r="CF69" s="1620" t="s">
        <v>862</v>
      </c>
      <c r="CG69" s="1620" t="s">
        <v>1166</v>
      </c>
      <c r="CH69" s="1620" t="s">
        <v>1166</v>
      </c>
      <c r="CI69" s="406"/>
      <c r="CJ69" s="642">
        <v>0.71699999999999997</v>
      </c>
      <c r="CK69" s="591" t="s">
        <v>922</v>
      </c>
      <c r="CL69" s="302" t="s">
        <v>590</v>
      </c>
      <c r="CM69" s="302" t="s">
        <v>591</v>
      </c>
      <c r="CN69" s="637">
        <v>0.6</v>
      </c>
      <c r="CO69" s="302" t="s">
        <v>508</v>
      </c>
      <c r="CP69" s="302" t="s">
        <v>546</v>
      </c>
      <c r="CQ69" s="637">
        <v>0</v>
      </c>
    </row>
    <row r="70" spans="1:98" ht="15" x14ac:dyDescent="0.2">
      <c r="A70" s="661" t="s">
        <v>16</v>
      </c>
      <c r="B70" s="440" t="s">
        <v>563</v>
      </c>
      <c r="C70" s="637">
        <v>0.49</v>
      </c>
      <c r="D70" s="440" t="s">
        <v>508</v>
      </c>
      <c r="E70" s="440" t="s">
        <v>509</v>
      </c>
      <c r="F70" s="637">
        <v>0</v>
      </c>
      <c r="G70" s="440" t="s">
        <v>564</v>
      </c>
      <c r="H70" s="440" t="s">
        <v>565</v>
      </c>
      <c r="I70" s="637">
        <v>0.01</v>
      </c>
      <c r="J70" s="662">
        <f t="shared" si="10"/>
        <v>0.5</v>
      </c>
      <c r="K70" s="637">
        <v>0.49</v>
      </c>
      <c r="L70" s="440" t="s">
        <v>508</v>
      </c>
      <c r="M70" s="440" t="s">
        <v>509</v>
      </c>
      <c r="N70" s="637">
        <v>0</v>
      </c>
      <c r="O70" s="440" t="s">
        <v>564</v>
      </c>
      <c r="P70" s="440" t="s">
        <v>565</v>
      </c>
      <c r="Q70" s="637">
        <v>0.01</v>
      </c>
      <c r="R70" s="662">
        <f t="shared" si="26"/>
        <v>0.5</v>
      </c>
      <c r="S70" s="637">
        <v>0.49</v>
      </c>
      <c r="T70" s="302" t="s">
        <v>508</v>
      </c>
      <c r="U70" s="302" t="s">
        <v>509</v>
      </c>
      <c r="V70" s="637">
        <v>0</v>
      </c>
      <c r="W70" s="302" t="s">
        <v>564</v>
      </c>
      <c r="X70" s="302" t="s">
        <v>565</v>
      </c>
      <c r="Y70" s="637">
        <v>0.01</v>
      </c>
      <c r="Z70" s="645">
        <f t="shared" si="27"/>
        <v>0.5</v>
      </c>
      <c r="AA70" s="637">
        <v>0.49</v>
      </c>
      <c r="AB70" s="302" t="s">
        <v>508</v>
      </c>
      <c r="AC70" s="302" t="s">
        <v>509</v>
      </c>
      <c r="AD70" s="637">
        <v>0</v>
      </c>
      <c r="AE70" s="302" t="s">
        <v>564</v>
      </c>
      <c r="AF70" s="302" t="s">
        <v>565</v>
      </c>
      <c r="AG70" s="637">
        <v>0.01</v>
      </c>
      <c r="AH70" s="645">
        <f t="shared" si="28"/>
        <v>0.5</v>
      </c>
      <c r="AI70" s="637">
        <v>0.49</v>
      </c>
      <c r="AJ70" s="302" t="s">
        <v>508</v>
      </c>
      <c r="AK70" s="302" t="s">
        <v>509</v>
      </c>
      <c r="AL70" s="637">
        <v>0</v>
      </c>
      <c r="AM70" s="302" t="s">
        <v>564</v>
      </c>
      <c r="AN70" s="302" t="s">
        <v>565</v>
      </c>
      <c r="AO70" s="637">
        <v>0.01</v>
      </c>
      <c r="AP70" s="645">
        <f t="shared" si="29"/>
        <v>0.5</v>
      </c>
      <c r="AQ70" s="637">
        <v>0.49</v>
      </c>
      <c r="AR70" s="302" t="s">
        <v>508</v>
      </c>
      <c r="AS70" s="302" t="s">
        <v>509</v>
      </c>
      <c r="AT70" s="637">
        <v>0</v>
      </c>
      <c r="AU70" s="302" t="s">
        <v>564</v>
      </c>
      <c r="AV70" s="302" t="s">
        <v>565</v>
      </c>
      <c r="AW70" s="637">
        <v>0.01</v>
      </c>
      <c r="AX70" s="645">
        <f t="shared" si="30"/>
        <v>0.5</v>
      </c>
      <c r="AY70" s="637">
        <v>0.49</v>
      </c>
      <c r="AZ70" s="302" t="s">
        <v>508</v>
      </c>
      <c r="BA70" s="302" t="s">
        <v>509</v>
      </c>
      <c r="BB70" s="637">
        <v>0</v>
      </c>
      <c r="BC70" s="302" t="s">
        <v>564</v>
      </c>
      <c r="BD70" s="302" t="s">
        <v>565</v>
      </c>
      <c r="BE70" s="637">
        <v>0.01</v>
      </c>
      <c r="BF70" s="434">
        <f t="shared" si="31"/>
        <v>0.5</v>
      </c>
      <c r="BG70" s="587">
        <v>0.49</v>
      </c>
      <c r="BH70" s="302" t="s">
        <v>508</v>
      </c>
      <c r="BI70" s="302" t="s">
        <v>509</v>
      </c>
      <c r="BJ70" s="434">
        <v>0</v>
      </c>
      <c r="BK70" s="302" t="s">
        <v>564</v>
      </c>
      <c r="BL70" s="302" t="s">
        <v>565</v>
      </c>
      <c r="BM70" s="434">
        <v>0.01</v>
      </c>
      <c r="BN70" s="645">
        <f t="shared" si="32"/>
        <v>0.5</v>
      </c>
      <c r="BO70" s="434"/>
      <c r="BP70" s="434">
        <v>0.49</v>
      </c>
      <c r="BQ70" s="302" t="s">
        <v>508</v>
      </c>
      <c r="BR70" s="302" t="s">
        <v>509</v>
      </c>
      <c r="BS70" s="434">
        <v>0</v>
      </c>
      <c r="BT70" s="302" t="s">
        <v>564</v>
      </c>
      <c r="BU70" s="302" t="s">
        <v>565</v>
      </c>
      <c r="BV70" s="434">
        <v>0.01</v>
      </c>
      <c r="BW70" s="645">
        <f t="shared" si="33"/>
        <v>0.5</v>
      </c>
      <c r="BX70" s="434">
        <v>0.49</v>
      </c>
      <c r="BY70" s="302" t="s">
        <v>508</v>
      </c>
      <c r="BZ70" s="302" t="s">
        <v>509</v>
      </c>
      <c r="CA70" s="434">
        <v>0</v>
      </c>
      <c r="CB70" s="302" t="s">
        <v>564</v>
      </c>
      <c r="CC70" s="302" t="s">
        <v>565</v>
      </c>
      <c r="CD70" s="434">
        <v>0.01</v>
      </c>
      <c r="CE70" s="434">
        <f t="shared" si="34"/>
        <v>0.5</v>
      </c>
      <c r="CF70" s="1620" t="s">
        <v>862</v>
      </c>
      <c r="CG70" s="1620" t="s">
        <v>1166</v>
      </c>
      <c r="CH70" s="1620" t="s">
        <v>1166</v>
      </c>
      <c r="CI70" s="408" t="s">
        <v>862</v>
      </c>
      <c r="CJ70" s="642">
        <v>0.66800000000000004</v>
      </c>
      <c r="CK70" s="591" t="s">
        <v>922</v>
      </c>
      <c r="CL70" s="302" t="s">
        <v>508</v>
      </c>
      <c r="CM70" s="302" t="s">
        <v>509</v>
      </c>
      <c r="CN70" s="637">
        <v>0</v>
      </c>
      <c r="CO70" s="302" t="s">
        <v>564</v>
      </c>
      <c r="CP70" s="302" t="s">
        <v>565</v>
      </c>
      <c r="CQ70" s="637">
        <v>0.01</v>
      </c>
    </row>
    <row r="71" spans="1:98" ht="15.75" customHeight="1" x14ac:dyDescent="0.2">
      <c r="A71" s="661" t="s">
        <v>18</v>
      </c>
      <c r="B71" s="440" t="s">
        <v>17</v>
      </c>
      <c r="C71" s="637">
        <v>0.4</v>
      </c>
      <c r="D71" s="440" t="s">
        <v>602</v>
      </c>
      <c r="E71" s="440" t="s">
        <v>603</v>
      </c>
      <c r="F71" s="637">
        <v>0.09</v>
      </c>
      <c r="G71" s="440" t="s">
        <v>600</v>
      </c>
      <c r="H71" s="440" t="s">
        <v>601</v>
      </c>
      <c r="I71" s="637">
        <v>0.01</v>
      </c>
      <c r="J71" s="662">
        <f t="shared" ref="J71:J134" si="35">C71+F71+I71</f>
        <v>0.5</v>
      </c>
      <c r="K71" s="637">
        <v>0.4</v>
      </c>
      <c r="L71" s="440" t="s">
        <v>602</v>
      </c>
      <c r="M71" s="440" t="s">
        <v>603</v>
      </c>
      <c r="N71" s="637">
        <v>0.09</v>
      </c>
      <c r="O71" s="440" t="s">
        <v>600</v>
      </c>
      <c r="P71" s="440" t="s">
        <v>601</v>
      </c>
      <c r="Q71" s="637">
        <v>0.01</v>
      </c>
      <c r="R71" s="662">
        <f t="shared" si="26"/>
        <v>0.5</v>
      </c>
      <c r="S71" s="637">
        <v>0.4</v>
      </c>
      <c r="T71" s="302" t="s">
        <v>602</v>
      </c>
      <c r="U71" s="302" t="s">
        <v>603</v>
      </c>
      <c r="V71" s="637">
        <v>0.09</v>
      </c>
      <c r="W71" s="302" t="s">
        <v>600</v>
      </c>
      <c r="X71" s="302" t="s">
        <v>601</v>
      </c>
      <c r="Y71" s="637">
        <v>0.01</v>
      </c>
      <c r="Z71" s="645">
        <f t="shared" si="27"/>
        <v>0.5</v>
      </c>
      <c r="AA71" s="637">
        <v>0.4</v>
      </c>
      <c r="AB71" s="302" t="s">
        <v>602</v>
      </c>
      <c r="AC71" s="302" t="s">
        <v>603</v>
      </c>
      <c r="AD71" s="637">
        <v>0.09</v>
      </c>
      <c r="AE71" s="302" t="s">
        <v>600</v>
      </c>
      <c r="AF71" s="302" t="s">
        <v>601</v>
      </c>
      <c r="AG71" s="637">
        <v>0.01</v>
      </c>
      <c r="AH71" s="645">
        <f t="shared" si="28"/>
        <v>0.5</v>
      </c>
      <c r="AI71" s="637">
        <v>0.4</v>
      </c>
      <c r="AJ71" s="302" t="s">
        <v>602</v>
      </c>
      <c r="AK71" s="302" t="s">
        <v>603</v>
      </c>
      <c r="AL71" s="637">
        <v>0.09</v>
      </c>
      <c r="AM71" s="302" t="s">
        <v>600</v>
      </c>
      <c r="AN71" s="302" t="s">
        <v>601</v>
      </c>
      <c r="AO71" s="637">
        <v>0.01</v>
      </c>
      <c r="AP71" s="645">
        <f t="shared" si="29"/>
        <v>0.5</v>
      </c>
      <c r="AQ71" s="637">
        <v>0.4</v>
      </c>
      <c r="AR71" s="302" t="s">
        <v>602</v>
      </c>
      <c r="AS71" s="302" t="s">
        <v>603</v>
      </c>
      <c r="AT71" s="637">
        <v>0.09</v>
      </c>
      <c r="AU71" s="302" t="s">
        <v>600</v>
      </c>
      <c r="AV71" s="302" t="s">
        <v>601</v>
      </c>
      <c r="AW71" s="637">
        <v>0.01</v>
      </c>
      <c r="AX71" s="645">
        <f t="shared" si="30"/>
        <v>0.5</v>
      </c>
      <c r="AY71" s="637">
        <v>0.4</v>
      </c>
      <c r="AZ71" s="302" t="s">
        <v>602</v>
      </c>
      <c r="BA71" s="302" t="s">
        <v>603</v>
      </c>
      <c r="BB71" s="637">
        <v>0.09</v>
      </c>
      <c r="BC71" s="302" t="s">
        <v>600</v>
      </c>
      <c r="BD71" s="302" t="s">
        <v>601</v>
      </c>
      <c r="BE71" s="637">
        <v>0.01</v>
      </c>
      <c r="BF71" s="434">
        <f t="shared" si="31"/>
        <v>0.5</v>
      </c>
      <c r="BG71" s="587">
        <v>0.4</v>
      </c>
      <c r="BH71" s="302" t="s">
        <v>602</v>
      </c>
      <c r="BI71" s="302" t="s">
        <v>603</v>
      </c>
      <c r="BJ71" s="434">
        <v>0.59</v>
      </c>
      <c r="BK71" s="302" t="s">
        <v>600</v>
      </c>
      <c r="BL71" s="302" t="s">
        <v>601</v>
      </c>
      <c r="BM71" s="434">
        <v>0.01</v>
      </c>
      <c r="BN71" s="645">
        <f t="shared" si="32"/>
        <v>1</v>
      </c>
      <c r="BO71" s="434"/>
      <c r="BP71" s="434">
        <v>0.4</v>
      </c>
      <c r="BQ71" s="302" t="s">
        <v>602</v>
      </c>
      <c r="BR71" s="302" t="s">
        <v>603</v>
      </c>
      <c r="BS71" s="434">
        <v>0.09</v>
      </c>
      <c r="BT71" s="302" t="s">
        <v>600</v>
      </c>
      <c r="BU71" s="302" t="s">
        <v>601</v>
      </c>
      <c r="BV71" s="434">
        <v>0.01</v>
      </c>
      <c r="BW71" s="645">
        <f t="shared" si="33"/>
        <v>0.5</v>
      </c>
      <c r="BX71" s="434">
        <v>0.4</v>
      </c>
      <c r="BY71" s="302" t="s">
        <v>602</v>
      </c>
      <c r="BZ71" s="302" t="s">
        <v>603</v>
      </c>
      <c r="CA71" s="434">
        <v>0.09</v>
      </c>
      <c r="CB71" s="302" t="s">
        <v>600</v>
      </c>
      <c r="CC71" s="302" t="s">
        <v>601</v>
      </c>
      <c r="CD71" s="434">
        <v>0.01</v>
      </c>
      <c r="CE71" s="434">
        <f t="shared" si="34"/>
        <v>0.5</v>
      </c>
      <c r="CF71" s="1620" t="s">
        <v>862</v>
      </c>
      <c r="CG71" s="1620" t="s">
        <v>1166</v>
      </c>
      <c r="CH71" s="1620" t="s">
        <v>1166</v>
      </c>
      <c r="CI71" s="406"/>
      <c r="CJ71" s="642">
        <v>0.69399999999999995</v>
      </c>
      <c r="CK71" s="591" t="s">
        <v>922</v>
      </c>
      <c r="CL71" s="302" t="s">
        <v>602</v>
      </c>
      <c r="CM71" s="302" t="s">
        <v>603</v>
      </c>
      <c r="CN71" s="637">
        <v>0.59</v>
      </c>
      <c r="CO71" s="302" t="s">
        <v>600</v>
      </c>
      <c r="CP71" s="302" t="s">
        <v>601</v>
      </c>
      <c r="CQ71" s="637">
        <v>0.01</v>
      </c>
    </row>
    <row r="72" spans="1:98" ht="15" x14ac:dyDescent="0.2">
      <c r="A72" s="661" t="s">
        <v>20</v>
      </c>
      <c r="B72" s="776" t="s">
        <v>547</v>
      </c>
      <c r="C72" s="637">
        <v>0.49</v>
      </c>
      <c r="D72" s="440" t="s">
        <v>508</v>
      </c>
      <c r="E72" s="440" t="s">
        <v>509</v>
      </c>
      <c r="F72" s="637">
        <v>0</v>
      </c>
      <c r="G72" s="440" t="s">
        <v>548</v>
      </c>
      <c r="H72" s="440" t="s">
        <v>549</v>
      </c>
      <c r="I72" s="637">
        <v>0.01</v>
      </c>
      <c r="J72" s="662">
        <f t="shared" si="35"/>
        <v>0.5</v>
      </c>
      <c r="K72" s="637">
        <v>0.49</v>
      </c>
      <c r="L72" s="440" t="s">
        <v>508</v>
      </c>
      <c r="M72" s="440" t="s">
        <v>509</v>
      </c>
      <c r="N72" s="637">
        <v>0</v>
      </c>
      <c r="O72" s="440" t="s">
        <v>548</v>
      </c>
      <c r="P72" s="440" t="s">
        <v>549</v>
      </c>
      <c r="Q72" s="637">
        <v>0.01</v>
      </c>
      <c r="R72" s="662">
        <f t="shared" si="26"/>
        <v>0.5</v>
      </c>
      <c r="S72" s="637">
        <v>0.49</v>
      </c>
      <c r="T72" s="302" t="s">
        <v>508</v>
      </c>
      <c r="U72" s="302" t="s">
        <v>509</v>
      </c>
      <c r="V72" s="637">
        <v>0</v>
      </c>
      <c r="W72" s="302" t="s">
        <v>548</v>
      </c>
      <c r="X72" s="302" t="s">
        <v>549</v>
      </c>
      <c r="Y72" s="637">
        <v>0.01</v>
      </c>
      <c r="Z72" s="645">
        <f t="shared" si="27"/>
        <v>0.5</v>
      </c>
      <c r="AA72" s="637">
        <v>0.49</v>
      </c>
      <c r="AB72" s="302" t="s">
        <v>508</v>
      </c>
      <c r="AC72" s="302" t="s">
        <v>509</v>
      </c>
      <c r="AD72" s="637">
        <v>0</v>
      </c>
      <c r="AE72" s="302" t="s">
        <v>548</v>
      </c>
      <c r="AF72" s="302" t="s">
        <v>549</v>
      </c>
      <c r="AG72" s="637">
        <v>0.01</v>
      </c>
      <c r="AH72" s="645">
        <f t="shared" si="28"/>
        <v>0.5</v>
      </c>
      <c r="AI72" s="637">
        <v>0.49</v>
      </c>
      <c r="AJ72" s="302" t="s">
        <v>508</v>
      </c>
      <c r="AK72" s="302" t="s">
        <v>509</v>
      </c>
      <c r="AL72" s="637">
        <v>0</v>
      </c>
      <c r="AM72" s="302" t="s">
        <v>548</v>
      </c>
      <c r="AN72" s="302" t="s">
        <v>549</v>
      </c>
      <c r="AO72" s="637">
        <v>0.01</v>
      </c>
      <c r="AP72" s="645">
        <f t="shared" si="29"/>
        <v>0.5</v>
      </c>
      <c r="AQ72" s="637">
        <v>0.49</v>
      </c>
      <c r="AR72" s="302" t="s">
        <v>508</v>
      </c>
      <c r="AS72" s="302" t="s">
        <v>509</v>
      </c>
      <c r="AT72" s="637">
        <v>0</v>
      </c>
      <c r="AU72" s="302" t="s">
        <v>548</v>
      </c>
      <c r="AV72" s="302" t="s">
        <v>549</v>
      </c>
      <c r="AW72" s="637">
        <v>0.01</v>
      </c>
      <c r="AX72" s="645">
        <f t="shared" si="30"/>
        <v>0.5</v>
      </c>
      <c r="AY72" s="637">
        <v>0.49</v>
      </c>
      <c r="AZ72" s="302" t="s">
        <v>508</v>
      </c>
      <c r="BA72" s="302" t="s">
        <v>509</v>
      </c>
      <c r="BB72" s="637">
        <v>0</v>
      </c>
      <c r="BC72" s="302" t="s">
        <v>548</v>
      </c>
      <c r="BD72" s="302" t="s">
        <v>549</v>
      </c>
      <c r="BE72" s="637">
        <v>0.01</v>
      </c>
      <c r="BF72" s="434">
        <f t="shared" si="31"/>
        <v>0.5</v>
      </c>
      <c r="BG72" s="587">
        <v>0.99</v>
      </c>
      <c r="BH72" s="302" t="s">
        <v>508</v>
      </c>
      <c r="BI72" s="302" t="s">
        <v>509</v>
      </c>
      <c r="BJ72" s="434">
        <v>0</v>
      </c>
      <c r="BK72" s="302" t="s">
        <v>548</v>
      </c>
      <c r="BL72" s="302" t="s">
        <v>549</v>
      </c>
      <c r="BM72" s="434">
        <v>0.01</v>
      </c>
      <c r="BN72" s="645">
        <f t="shared" si="32"/>
        <v>1</v>
      </c>
      <c r="BO72" s="434"/>
      <c r="BP72" s="434">
        <v>0.49</v>
      </c>
      <c r="BQ72" s="302" t="s">
        <v>508</v>
      </c>
      <c r="BR72" s="302" t="s">
        <v>509</v>
      </c>
      <c r="BS72" s="434">
        <v>0</v>
      </c>
      <c r="BT72" s="302" t="s">
        <v>548</v>
      </c>
      <c r="BU72" s="302" t="s">
        <v>549</v>
      </c>
      <c r="BV72" s="434">
        <v>0.01</v>
      </c>
      <c r="BW72" s="645">
        <f t="shared" si="33"/>
        <v>0.5</v>
      </c>
      <c r="BX72" s="434">
        <v>0.49</v>
      </c>
      <c r="BY72" s="302" t="s">
        <v>508</v>
      </c>
      <c r="BZ72" s="302" t="s">
        <v>509</v>
      </c>
      <c r="CA72" s="434">
        <v>0</v>
      </c>
      <c r="CB72" s="302" t="s">
        <v>548</v>
      </c>
      <c r="CC72" s="302" t="s">
        <v>549</v>
      </c>
      <c r="CD72" s="434">
        <v>0.01</v>
      </c>
      <c r="CE72" s="434">
        <f t="shared" si="34"/>
        <v>0.5</v>
      </c>
      <c r="CF72" s="1620" t="s">
        <v>862</v>
      </c>
      <c r="CG72" s="1620" t="s">
        <v>1166</v>
      </c>
      <c r="CH72" s="1620" t="s">
        <v>862</v>
      </c>
      <c r="CI72" s="408" t="s">
        <v>862</v>
      </c>
      <c r="CJ72" s="642">
        <v>0.68600000000000005</v>
      </c>
      <c r="CK72" s="591" t="s">
        <v>922</v>
      </c>
      <c r="CL72" s="302" t="s">
        <v>508</v>
      </c>
      <c r="CM72" s="302" t="s">
        <v>509</v>
      </c>
      <c r="CN72" s="637">
        <v>0</v>
      </c>
      <c r="CO72" s="302" t="s">
        <v>548</v>
      </c>
      <c r="CP72" s="302" t="s">
        <v>549</v>
      </c>
      <c r="CQ72" s="637">
        <v>0.01</v>
      </c>
    </row>
    <row r="73" spans="1:98" ht="15.75" customHeight="1" x14ac:dyDescent="0.2">
      <c r="A73" s="661" t="s">
        <v>22</v>
      </c>
      <c r="B73" s="440" t="s">
        <v>21</v>
      </c>
      <c r="C73" s="637">
        <v>0.4</v>
      </c>
      <c r="D73" s="440" t="s">
        <v>550</v>
      </c>
      <c r="E73" s="440" t="s">
        <v>551</v>
      </c>
      <c r="F73" s="637">
        <v>0.09</v>
      </c>
      <c r="G73" s="440" t="s">
        <v>548</v>
      </c>
      <c r="H73" s="440" t="s">
        <v>549</v>
      </c>
      <c r="I73" s="637">
        <v>0.01</v>
      </c>
      <c r="J73" s="662">
        <f t="shared" si="35"/>
        <v>0.5</v>
      </c>
      <c r="K73" s="637">
        <v>0.4</v>
      </c>
      <c r="L73" s="440" t="s">
        <v>550</v>
      </c>
      <c r="M73" s="440" t="s">
        <v>551</v>
      </c>
      <c r="N73" s="637">
        <v>0.09</v>
      </c>
      <c r="O73" s="440" t="s">
        <v>548</v>
      </c>
      <c r="P73" s="440" t="s">
        <v>549</v>
      </c>
      <c r="Q73" s="637">
        <v>0.01</v>
      </c>
      <c r="R73" s="662">
        <f t="shared" si="26"/>
        <v>0.5</v>
      </c>
      <c r="S73" s="637">
        <v>0.4</v>
      </c>
      <c r="T73" s="302" t="s">
        <v>550</v>
      </c>
      <c r="U73" s="302" t="s">
        <v>551</v>
      </c>
      <c r="V73" s="637">
        <v>0.09</v>
      </c>
      <c r="W73" s="302" t="s">
        <v>548</v>
      </c>
      <c r="X73" s="302" t="s">
        <v>549</v>
      </c>
      <c r="Y73" s="637">
        <v>0.01</v>
      </c>
      <c r="Z73" s="645">
        <f t="shared" si="27"/>
        <v>0.5</v>
      </c>
      <c r="AA73" s="637">
        <v>0.4</v>
      </c>
      <c r="AB73" s="302" t="s">
        <v>550</v>
      </c>
      <c r="AC73" s="302" t="s">
        <v>551</v>
      </c>
      <c r="AD73" s="637">
        <v>0.09</v>
      </c>
      <c r="AE73" s="302" t="s">
        <v>548</v>
      </c>
      <c r="AF73" s="302" t="s">
        <v>549</v>
      </c>
      <c r="AG73" s="637">
        <v>0.01</v>
      </c>
      <c r="AH73" s="645">
        <f t="shared" si="28"/>
        <v>0.5</v>
      </c>
      <c r="AI73" s="637">
        <v>0.4</v>
      </c>
      <c r="AJ73" s="302" t="s">
        <v>550</v>
      </c>
      <c r="AK73" s="302" t="s">
        <v>551</v>
      </c>
      <c r="AL73" s="637">
        <v>0.09</v>
      </c>
      <c r="AM73" s="302" t="s">
        <v>548</v>
      </c>
      <c r="AN73" s="302" t="s">
        <v>549</v>
      </c>
      <c r="AO73" s="637">
        <v>0.01</v>
      </c>
      <c r="AP73" s="645">
        <f t="shared" ref="AP73:AP78" si="36">+AI73+AL73+AO73</f>
        <v>0.5</v>
      </c>
      <c r="AQ73" s="637">
        <v>0.4</v>
      </c>
      <c r="AR73" s="302" t="s">
        <v>550</v>
      </c>
      <c r="AS73" s="302" t="s">
        <v>551</v>
      </c>
      <c r="AT73" s="637">
        <v>0.09</v>
      </c>
      <c r="AU73" s="302" t="s">
        <v>548</v>
      </c>
      <c r="AV73" s="302" t="s">
        <v>549</v>
      </c>
      <c r="AW73" s="637">
        <v>0.01</v>
      </c>
      <c r="AX73" s="645">
        <f t="shared" si="30"/>
        <v>0.5</v>
      </c>
      <c r="AY73" s="637">
        <v>0.4</v>
      </c>
      <c r="AZ73" s="302" t="s">
        <v>550</v>
      </c>
      <c r="BA73" s="302" t="s">
        <v>551</v>
      </c>
      <c r="BB73" s="637">
        <v>0.09</v>
      </c>
      <c r="BC73" s="302" t="s">
        <v>548</v>
      </c>
      <c r="BD73" s="302" t="s">
        <v>549</v>
      </c>
      <c r="BE73" s="637">
        <v>0.01</v>
      </c>
      <c r="BF73" s="434">
        <f t="shared" si="31"/>
        <v>0.5</v>
      </c>
      <c r="BG73" s="587">
        <v>0.5</v>
      </c>
      <c r="BH73" s="302" t="s">
        <v>550</v>
      </c>
      <c r="BI73" s="302" t="s">
        <v>551</v>
      </c>
      <c r="BJ73" s="434">
        <v>0.49</v>
      </c>
      <c r="BK73" s="302" t="s">
        <v>548</v>
      </c>
      <c r="BL73" s="302" t="s">
        <v>549</v>
      </c>
      <c r="BM73" s="434">
        <v>0.01</v>
      </c>
      <c r="BN73" s="645">
        <f t="shared" si="32"/>
        <v>1</v>
      </c>
      <c r="BO73" s="434"/>
      <c r="BP73" s="434">
        <v>0.4</v>
      </c>
      <c r="BQ73" s="302" t="s">
        <v>550</v>
      </c>
      <c r="BR73" s="302" t="s">
        <v>551</v>
      </c>
      <c r="BS73" s="434">
        <v>0.09</v>
      </c>
      <c r="BT73" s="302" t="s">
        <v>548</v>
      </c>
      <c r="BU73" s="302" t="s">
        <v>549</v>
      </c>
      <c r="BV73" s="434">
        <v>0.01</v>
      </c>
      <c r="BW73" s="645">
        <f t="shared" si="33"/>
        <v>0.5</v>
      </c>
      <c r="BX73" s="434">
        <v>0.4</v>
      </c>
      <c r="BY73" s="302" t="s">
        <v>550</v>
      </c>
      <c r="BZ73" s="302" t="s">
        <v>551</v>
      </c>
      <c r="CA73" s="434">
        <v>0.09</v>
      </c>
      <c r="CB73" s="302" t="s">
        <v>548</v>
      </c>
      <c r="CC73" s="302" t="s">
        <v>549</v>
      </c>
      <c r="CD73" s="434">
        <v>0.01</v>
      </c>
      <c r="CE73" s="434">
        <f t="shared" si="34"/>
        <v>0.5</v>
      </c>
      <c r="CF73" s="1620" t="s">
        <v>1166</v>
      </c>
      <c r="CG73" s="1620" t="s">
        <v>1166</v>
      </c>
      <c r="CH73" s="1620" t="s">
        <v>1166</v>
      </c>
      <c r="CI73" s="406"/>
      <c r="CJ73" s="642">
        <v>0.66300000000000003</v>
      </c>
      <c r="CK73" s="591" t="s">
        <v>922</v>
      </c>
      <c r="CL73" s="302" t="s">
        <v>550</v>
      </c>
      <c r="CM73" s="302" t="s">
        <v>551</v>
      </c>
      <c r="CN73" s="637">
        <v>0.59</v>
      </c>
      <c r="CO73" s="302" t="s">
        <v>548</v>
      </c>
      <c r="CP73" s="302" t="s">
        <v>549</v>
      </c>
      <c r="CQ73" s="637">
        <v>0.01</v>
      </c>
    </row>
    <row r="74" spans="1:98" ht="15.75" customHeight="1" x14ac:dyDescent="0.2">
      <c r="A74" s="661" t="s">
        <v>24</v>
      </c>
      <c r="B74" s="440" t="s">
        <v>23</v>
      </c>
      <c r="C74" s="637">
        <v>0.49</v>
      </c>
      <c r="D74" s="440" t="s">
        <v>508</v>
      </c>
      <c r="E74" s="440" t="s">
        <v>660</v>
      </c>
      <c r="F74" s="637">
        <v>0</v>
      </c>
      <c r="G74" s="440" t="s">
        <v>665</v>
      </c>
      <c r="H74" s="440" t="s">
        <v>666</v>
      </c>
      <c r="I74" s="637">
        <v>0.01</v>
      </c>
      <c r="J74" s="662">
        <f t="shared" si="35"/>
        <v>0.5</v>
      </c>
      <c r="K74" s="637">
        <v>0.49</v>
      </c>
      <c r="L74" s="440" t="s">
        <v>508</v>
      </c>
      <c r="M74" s="440" t="s">
        <v>660</v>
      </c>
      <c r="N74" s="637">
        <v>0</v>
      </c>
      <c r="O74" s="440" t="s">
        <v>665</v>
      </c>
      <c r="P74" s="440" t="s">
        <v>666</v>
      </c>
      <c r="Q74" s="637">
        <v>0.01</v>
      </c>
      <c r="R74" s="662">
        <f t="shared" si="26"/>
        <v>0.5</v>
      </c>
      <c r="S74" s="637">
        <v>0.49</v>
      </c>
      <c r="T74" s="302" t="s">
        <v>508</v>
      </c>
      <c r="U74" s="302" t="s">
        <v>660</v>
      </c>
      <c r="V74" s="637">
        <v>0</v>
      </c>
      <c r="W74" s="302" t="s">
        <v>665</v>
      </c>
      <c r="X74" s="302" t="s">
        <v>666</v>
      </c>
      <c r="Y74" s="637">
        <v>0.01</v>
      </c>
      <c r="Z74" s="645">
        <f t="shared" si="27"/>
        <v>0.5</v>
      </c>
      <c r="AA74" s="637">
        <v>0.49</v>
      </c>
      <c r="AB74" s="302" t="s">
        <v>508</v>
      </c>
      <c r="AC74" s="302" t="s">
        <v>660</v>
      </c>
      <c r="AD74" s="637">
        <v>0</v>
      </c>
      <c r="AE74" s="302" t="s">
        <v>665</v>
      </c>
      <c r="AF74" s="302" t="s">
        <v>666</v>
      </c>
      <c r="AG74" s="637">
        <v>0.01</v>
      </c>
      <c r="AH74" s="645">
        <f t="shared" si="28"/>
        <v>0.5</v>
      </c>
      <c r="AI74" s="637">
        <v>0.49</v>
      </c>
      <c r="AJ74" s="302" t="s">
        <v>508</v>
      </c>
      <c r="AK74" s="302" t="s">
        <v>660</v>
      </c>
      <c r="AL74" s="637">
        <v>0</v>
      </c>
      <c r="AM74" s="302" t="s">
        <v>665</v>
      </c>
      <c r="AN74" s="302" t="s">
        <v>666</v>
      </c>
      <c r="AO74" s="637">
        <v>0.01</v>
      </c>
      <c r="AP74" s="645">
        <f t="shared" si="36"/>
        <v>0.5</v>
      </c>
      <c r="AQ74" s="637">
        <v>0.49</v>
      </c>
      <c r="AR74" s="302" t="s">
        <v>508</v>
      </c>
      <c r="AS74" s="302" t="s">
        <v>660</v>
      </c>
      <c r="AT74" s="637">
        <v>0</v>
      </c>
      <c r="AU74" s="302" t="s">
        <v>665</v>
      </c>
      <c r="AV74" s="302" t="s">
        <v>666</v>
      </c>
      <c r="AW74" s="637">
        <v>0.01</v>
      </c>
      <c r="AX74" s="645">
        <f t="shared" ref="AX74:AX79" si="37">+AQ74+AT74+AW74</f>
        <v>0.5</v>
      </c>
      <c r="AY74" s="637">
        <v>0.49</v>
      </c>
      <c r="AZ74" s="302" t="s">
        <v>508</v>
      </c>
      <c r="BA74" s="302" t="s">
        <v>660</v>
      </c>
      <c r="BB74" s="637">
        <v>0</v>
      </c>
      <c r="BC74" s="302" t="s">
        <v>665</v>
      </c>
      <c r="BD74" s="302" t="s">
        <v>666</v>
      </c>
      <c r="BE74" s="637">
        <v>0.01</v>
      </c>
      <c r="BF74" s="434">
        <f t="shared" ref="BF74:BF79" si="38">+AY74+BB74+BE74</f>
        <v>0.5</v>
      </c>
      <c r="BG74" s="587">
        <v>0.49</v>
      </c>
      <c r="BH74" s="302" t="s">
        <v>508</v>
      </c>
      <c r="BI74" s="302" t="s">
        <v>660</v>
      </c>
      <c r="BJ74" s="434">
        <v>0</v>
      </c>
      <c r="BK74" s="302" t="s">
        <v>665</v>
      </c>
      <c r="BL74" s="302" t="s">
        <v>666</v>
      </c>
      <c r="BM74" s="434">
        <v>0.01</v>
      </c>
      <c r="BN74" s="645">
        <f t="shared" ref="BN74:BN79" si="39">+BG74+BJ74+BM74</f>
        <v>0.5</v>
      </c>
      <c r="BO74" s="434"/>
      <c r="BP74" s="434">
        <v>0.49</v>
      </c>
      <c r="BQ74" s="302" t="s">
        <v>508</v>
      </c>
      <c r="BR74" s="302" t="s">
        <v>660</v>
      </c>
      <c r="BS74" s="434">
        <v>0</v>
      </c>
      <c r="BT74" s="302" t="s">
        <v>665</v>
      </c>
      <c r="BU74" s="302" t="s">
        <v>666</v>
      </c>
      <c r="BV74" s="434">
        <v>0.01</v>
      </c>
      <c r="BW74" s="645">
        <f t="shared" ref="BW74:BW79" si="40">+BP74+BS74+BV74</f>
        <v>0.5</v>
      </c>
      <c r="BX74" s="434">
        <v>0.49</v>
      </c>
      <c r="BY74" s="302" t="s">
        <v>508</v>
      </c>
      <c r="BZ74" s="302" t="s">
        <v>660</v>
      </c>
      <c r="CA74" s="434">
        <v>0</v>
      </c>
      <c r="CB74" s="302" t="s">
        <v>665</v>
      </c>
      <c r="CC74" s="302" t="s">
        <v>666</v>
      </c>
      <c r="CD74" s="434">
        <v>0.01</v>
      </c>
      <c r="CE74" s="434">
        <f t="shared" ref="CE74:CE79" si="41">+BX74+CA74+CD74</f>
        <v>0.5</v>
      </c>
      <c r="CF74" s="1621" t="s">
        <v>862</v>
      </c>
      <c r="CG74" s="1621" t="s">
        <v>1166</v>
      </c>
      <c r="CH74" s="1621" t="s">
        <v>862</v>
      </c>
      <c r="CI74" s="408" t="s">
        <v>862</v>
      </c>
      <c r="CJ74" s="642">
        <v>0.65800000000000003</v>
      </c>
      <c r="CK74" s="591" t="s">
        <v>922</v>
      </c>
      <c r="CL74" s="302" t="s">
        <v>508</v>
      </c>
      <c r="CM74" s="302" t="s">
        <v>660</v>
      </c>
      <c r="CN74" s="637">
        <v>0</v>
      </c>
      <c r="CO74" s="302" t="s">
        <v>665</v>
      </c>
      <c r="CP74" s="302" t="s">
        <v>666</v>
      </c>
      <c r="CQ74" s="637">
        <v>0.01</v>
      </c>
    </row>
    <row r="75" spans="1:98" s="509" customFormat="1" ht="15.75" customHeight="1" x14ac:dyDescent="0.2">
      <c r="A75" s="661" t="s">
        <v>1180</v>
      </c>
      <c r="B75" s="440" t="s">
        <v>1185</v>
      </c>
      <c r="C75" s="637">
        <v>0.49</v>
      </c>
      <c r="D75" s="440" t="s">
        <v>508</v>
      </c>
      <c r="E75" s="440" t="s">
        <v>509</v>
      </c>
      <c r="F75" s="637">
        <v>0</v>
      </c>
      <c r="G75" s="440" t="s">
        <v>1282</v>
      </c>
      <c r="H75" s="440" t="s">
        <v>1283</v>
      </c>
      <c r="I75" s="637">
        <v>0.01</v>
      </c>
      <c r="J75" s="662">
        <f t="shared" si="35"/>
        <v>0.5</v>
      </c>
      <c r="K75" s="637">
        <v>0.49</v>
      </c>
      <c r="L75" s="440" t="s">
        <v>508</v>
      </c>
      <c r="M75" s="440" t="s">
        <v>509</v>
      </c>
      <c r="N75" s="637">
        <v>0</v>
      </c>
      <c r="O75" s="440" t="s">
        <v>1282</v>
      </c>
      <c r="P75" s="440" t="s">
        <v>1283</v>
      </c>
      <c r="Q75" s="637">
        <v>0.01</v>
      </c>
      <c r="R75" s="662">
        <f t="shared" si="26"/>
        <v>0.5</v>
      </c>
      <c r="S75" s="637">
        <v>0.49</v>
      </c>
      <c r="T75" s="440" t="s">
        <v>508</v>
      </c>
      <c r="U75" s="440" t="s">
        <v>509</v>
      </c>
      <c r="V75" s="637">
        <v>0</v>
      </c>
      <c r="W75" s="302" t="s">
        <v>1282</v>
      </c>
      <c r="X75" s="302" t="s">
        <v>1283</v>
      </c>
      <c r="Y75" s="637">
        <v>0.01</v>
      </c>
      <c r="Z75" s="662">
        <f t="shared" si="27"/>
        <v>0.5</v>
      </c>
      <c r="AA75" s="637">
        <v>0.49</v>
      </c>
      <c r="AB75" s="440" t="s">
        <v>508</v>
      </c>
      <c r="AC75" s="440" t="s">
        <v>509</v>
      </c>
      <c r="AD75" s="637">
        <v>0</v>
      </c>
      <c r="AE75" s="302" t="s">
        <v>1282</v>
      </c>
      <c r="AF75" s="302" t="s">
        <v>1283</v>
      </c>
      <c r="AG75" s="637">
        <v>0.01</v>
      </c>
      <c r="AH75" s="662">
        <f t="shared" si="28"/>
        <v>0.5</v>
      </c>
      <c r="AI75" s="637">
        <v>0.49</v>
      </c>
      <c r="AJ75" s="440" t="s">
        <v>508</v>
      </c>
      <c r="AK75" s="440" t="s">
        <v>509</v>
      </c>
      <c r="AL75" s="637">
        <v>0</v>
      </c>
      <c r="AM75" s="302" t="s">
        <v>1282</v>
      </c>
      <c r="AN75" s="302" t="s">
        <v>1283</v>
      </c>
      <c r="AO75" s="637">
        <v>0.01</v>
      </c>
      <c r="AP75" s="662">
        <f t="shared" si="36"/>
        <v>0.5</v>
      </c>
      <c r="AQ75" s="637">
        <v>0.49</v>
      </c>
      <c r="AR75" s="440" t="s">
        <v>508</v>
      </c>
      <c r="AS75" s="440" t="s">
        <v>509</v>
      </c>
      <c r="AT75" s="637">
        <v>0</v>
      </c>
      <c r="AU75" s="302" t="s">
        <v>1282</v>
      </c>
      <c r="AV75" s="302" t="s">
        <v>1283</v>
      </c>
      <c r="AW75" s="637">
        <v>0.01</v>
      </c>
      <c r="AX75" s="662">
        <f t="shared" si="37"/>
        <v>0.5</v>
      </c>
      <c r="AY75" s="637">
        <v>0.49</v>
      </c>
      <c r="AZ75" s="440" t="s">
        <v>508</v>
      </c>
      <c r="BA75" s="440" t="s">
        <v>509</v>
      </c>
      <c r="BB75" s="637">
        <v>0</v>
      </c>
      <c r="BC75" s="440" t="s">
        <v>559</v>
      </c>
      <c r="BD75" s="440" t="s">
        <v>560</v>
      </c>
      <c r="BE75" s="637">
        <v>0.01</v>
      </c>
      <c r="BF75" s="637">
        <f t="shared" si="38"/>
        <v>0.5</v>
      </c>
      <c r="BG75" s="663">
        <v>0.49</v>
      </c>
      <c r="BH75" s="440" t="s">
        <v>561</v>
      </c>
      <c r="BI75" s="440" t="s">
        <v>1203</v>
      </c>
      <c r="BJ75" s="637">
        <v>0</v>
      </c>
      <c r="BK75" s="440" t="s">
        <v>559</v>
      </c>
      <c r="BL75" s="440" t="s">
        <v>560</v>
      </c>
      <c r="BM75" s="637">
        <v>0.01</v>
      </c>
      <c r="BN75" s="662">
        <f t="shared" si="39"/>
        <v>0.5</v>
      </c>
      <c r="BO75" s="637"/>
      <c r="BP75" s="637">
        <v>0.49</v>
      </c>
      <c r="BQ75" s="440" t="s">
        <v>561</v>
      </c>
      <c r="BR75" s="440" t="s">
        <v>1203</v>
      </c>
      <c r="BS75" s="637">
        <v>0</v>
      </c>
      <c r="BT75" s="440" t="s">
        <v>559</v>
      </c>
      <c r="BU75" s="440" t="s">
        <v>560</v>
      </c>
      <c r="BV75" s="637">
        <v>0.01</v>
      </c>
      <c r="BW75" s="662">
        <f t="shared" si="40"/>
        <v>0.5</v>
      </c>
      <c r="BX75" s="637">
        <v>0.49</v>
      </c>
      <c r="BY75" s="440" t="s">
        <v>561</v>
      </c>
      <c r="BZ75" s="440" t="s">
        <v>562</v>
      </c>
      <c r="CA75" s="637">
        <v>0</v>
      </c>
      <c r="CB75" s="440" t="s">
        <v>559</v>
      </c>
      <c r="CC75" s="440" t="s">
        <v>560</v>
      </c>
      <c r="CD75" s="637">
        <v>0.01</v>
      </c>
      <c r="CE75" s="637">
        <f t="shared" si="41"/>
        <v>0.5</v>
      </c>
      <c r="CF75" s="1621" t="s">
        <v>862</v>
      </c>
      <c r="CG75" s="1621" t="s">
        <v>1166</v>
      </c>
      <c r="CH75" s="1621" t="s">
        <v>1166</v>
      </c>
      <c r="CI75" s="664" t="s">
        <v>862</v>
      </c>
      <c r="CJ75" s="642">
        <v>0.67600000000000005</v>
      </c>
      <c r="CK75" s="665" t="s">
        <v>922</v>
      </c>
      <c r="CL75" s="440" t="s">
        <v>508</v>
      </c>
      <c r="CM75" s="440" t="s">
        <v>509</v>
      </c>
      <c r="CN75" s="637">
        <v>0</v>
      </c>
      <c r="CO75" s="440" t="s">
        <v>559</v>
      </c>
      <c r="CP75" s="440" t="s">
        <v>560</v>
      </c>
      <c r="CQ75" s="637">
        <v>0.01</v>
      </c>
      <c r="CS75" s="428"/>
      <c r="CT75" s="428"/>
    </row>
    <row r="76" spans="1:98" ht="15.75" customHeight="1" x14ac:dyDescent="0.2">
      <c r="A76" s="661" t="s">
        <v>33</v>
      </c>
      <c r="B76" s="440" t="s">
        <v>32</v>
      </c>
      <c r="C76" s="637">
        <v>0.4</v>
      </c>
      <c r="D76" s="440" t="s">
        <v>602</v>
      </c>
      <c r="E76" s="440" t="s">
        <v>603</v>
      </c>
      <c r="F76" s="637">
        <v>0.09</v>
      </c>
      <c r="G76" s="440" t="s">
        <v>600</v>
      </c>
      <c r="H76" s="440" t="s">
        <v>601</v>
      </c>
      <c r="I76" s="637">
        <v>0.01</v>
      </c>
      <c r="J76" s="662">
        <f t="shared" si="35"/>
        <v>0.5</v>
      </c>
      <c r="K76" s="637">
        <v>0.4</v>
      </c>
      <c r="L76" s="440" t="s">
        <v>602</v>
      </c>
      <c r="M76" s="440" t="s">
        <v>603</v>
      </c>
      <c r="N76" s="637">
        <v>0.09</v>
      </c>
      <c r="O76" s="440" t="s">
        <v>600</v>
      </c>
      <c r="P76" s="440" t="s">
        <v>601</v>
      </c>
      <c r="Q76" s="637">
        <v>0.01</v>
      </c>
      <c r="R76" s="662">
        <f t="shared" si="26"/>
        <v>0.5</v>
      </c>
      <c r="S76" s="637">
        <v>0.4</v>
      </c>
      <c r="T76" s="302" t="s">
        <v>602</v>
      </c>
      <c r="U76" s="302" t="s">
        <v>603</v>
      </c>
      <c r="V76" s="637">
        <v>0.09</v>
      </c>
      <c r="W76" s="302" t="s">
        <v>600</v>
      </c>
      <c r="X76" s="302" t="s">
        <v>601</v>
      </c>
      <c r="Y76" s="637">
        <v>0.01</v>
      </c>
      <c r="Z76" s="645">
        <f t="shared" si="27"/>
        <v>0.5</v>
      </c>
      <c r="AA76" s="637">
        <v>0.4</v>
      </c>
      <c r="AB76" s="302" t="s">
        <v>602</v>
      </c>
      <c r="AC76" s="302" t="s">
        <v>603</v>
      </c>
      <c r="AD76" s="637">
        <v>0.09</v>
      </c>
      <c r="AE76" s="302" t="s">
        <v>600</v>
      </c>
      <c r="AF76" s="302" t="s">
        <v>601</v>
      </c>
      <c r="AG76" s="637">
        <v>0.01</v>
      </c>
      <c r="AH76" s="645">
        <f t="shared" si="28"/>
        <v>0.5</v>
      </c>
      <c r="AI76" s="637">
        <v>0.4</v>
      </c>
      <c r="AJ76" s="302" t="s">
        <v>602</v>
      </c>
      <c r="AK76" s="302" t="s">
        <v>603</v>
      </c>
      <c r="AL76" s="637">
        <v>0.09</v>
      </c>
      <c r="AM76" s="302" t="s">
        <v>600</v>
      </c>
      <c r="AN76" s="302" t="s">
        <v>601</v>
      </c>
      <c r="AO76" s="637">
        <v>0.01</v>
      </c>
      <c r="AP76" s="645">
        <f t="shared" si="36"/>
        <v>0.5</v>
      </c>
      <c r="AQ76" s="637">
        <v>0.4</v>
      </c>
      <c r="AR76" s="302" t="s">
        <v>602</v>
      </c>
      <c r="AS76" s="302" t="s">
        <v>603</v>
      </c>
      <c r="AT76" s="637">
        <v>0.09</v>
      </c>
      <c r="AU76" s="302" t="s">
        <v>600</v>
      </c>
      <c r="AV76" s="302" t="s">
        <v>601</v>
      </c>
      <c r="AW76" s="637">
        <v>0.01</v>
      </c>
      <c r="AX76" s="645">
        <f t="shared" si="37"/>
        <v>0.5</v>
      </c>
      <c r="AY76" s="637">
        <v>0.4</v>
      </c>
      <c r="AZ76" s="302" t="s">
        <v>602</v>
      </c>
      <c r="BA76" s="302" t="s">
        <v>603</v>
      </c>
      <c r="BB76" s="637">
        <v>0.09</v>
      </c>
      <c r="BC76" s="302" t="s">
        <v>600</v>
      </c>
      <c r="BD76" s="302" t="s">
        <v>601</v>
      </c>
      <c r="BE76" s="637">
        <v>0.01</v>
      </c>
      <c r="BF76" s="434">
        <f t="shared" si="38"/>
        <v>0.5</v>
      </c>
      <c r="BG76" s="587">
        <v>0.4</v>
      </c>
      <c r="BH76" s="302" t="s">
        <v>602</v>
      </c>
      <c r="BI76" s="302" t="s">
        <v>603</v>
      </c>
      <c r="BJ76" s="434">
        <v>0.59</v>
      </c>
      <c r="BK76" s="302" t="s">
        <v>600</v>
      </c>
      <c r="BL76" s="302" t="s">
        <v>601</v>
      </c>
      <c r="BM76" s="434">
        <v>0.01</v>
      </c>
      <c r="BN76" s="645">
        <f t="shared" si="39"/>
        <v>1</v>
      </c>
      <c r="BO76" s="434"/>
      <c r="BP76" s="434">
        <v>0.4</v>
      </c>
      <c r="BQ76" s="302" t="s">
        <v>602</v>
      </c>
      <c r="BR76" s="302" t="s">
        <v>603</v>
      </c>
      <c r="BS76" s="434">
        <v>0.09</v>
      </c>
      <c r="BT76" s="302" t="s">
        <v>600</v>
      </c>
      <c r="BU76" s="302" t="s">
        <v>601</v>
      </c>
      <c r="BV76" s="434">
        <v>0.01</v>
      </c>
      <c r="BW76" s="645">
        <f t="shared" si="40"/>
        <v>0.5</v>
      </c>
      <c r="BX76" s="434">
        <v>0.4</v>
      </c>
      <c r="BY76" s="302" t="s">
        <v>602</v>
      </c>
      <c r="BZ76" s="302" t="s">
        <v>603</v>
      </c>
      <c r="CA76" s="434">
        <v>0.09</v>
      </c>
      <c r="CB76" s="302" t="s">
        <v>600</v>
      </c>
      <c r="CC76" s="302" t="s">
        <v>601</v>
      </c>
      <c r="CD76" s="434">
        <v>0.01</v>
      </c>
      <c r="CE76" s="434">
        <f t="shared" si="41"/>
        <v>0.5</v>
      </c>
      <c r="CF76" s="1620" t="s">
        <v>1166</v>
      </c>
      <c r="CG76" s="1620" t="s">
        <v>1166</v>
      </c>
      <c r="CH76" s="1620" t="s">
        <v>1166</v>
      </c>
      <c r="CI76" s="406"/>
      <c r="CJ76" s="642">
        <v>0.65600000000000003</v>
      </c>
      <c r="CK76" s="591" t="s">
        <v>922</v>
      </c>
      <c r="CL76" s="302" t="s">
        <v>602</v>
      </c>
      <c r="CM76" s="302" t="s">
        <v>603</v>
      </c>
      <c r="CN76" s="637">
        <v>0.59</v>
      </c>
      <c r="CO76" s="302" t="s">
        <v>600</v>
      </c>
      <c r="CP76" s="302" t="s">
        <v>601</v>
      </c>
      <c r="CQ76" s="637">
        <v>0.01</v>
      </c>
    </row>
    <row r="77" spans="1:98" ht="15.75" customHeight="1" x14ac:dyDescent="0.2">
      <c r="A77" s="661" t="s">
        <v>35</v>
      </c>
      <c r="B77" s="440" t="s">
        <v>34</v>
      </c>
      <c r="C77" s="637">
        <v>0.99</v>
      </c>
      <c r="D77" s="440" t="s">
        <v>508</v>
      </c>
      <c r="E77" s="440" t="s">
        <v>660</v>
      </c>
      <c r="F77" s="637">
        <v>0</v>
      </c>
      <c r="G77" s="440" t="s">
        <v>669</v>
      </c>
      <c r="H77" s="440" t="s">
        <v>670</v>
      </c>
      <c r="I77" s="637">
        <v>0.01</v>
      </c>
      <c r="J77" s="662">
        <f t="shared" si="35"/>
        <v>1</v>
      </c>
      <c r="K77" s="637">
        <v>0.99</v>
      </c>
      <c r="L77" s="440" t="s">
        <v>508</v>
      </c>
      <c r="M77" s="440" t="s">
        <v>660</v>
      </c>
      <c r="N77" s="637">
        <v>0</v>
      </c>
      <c r="O77" s="440" t="s">
        <v>669</v>
      </c>
      <c r="P77" s="440" t="s">
        <v>670</v>
      </c>
      <c r="Q77" s="637">
        <v>0.01</v>
      </c>
      <c r="R77" s="662">
        <f t="shared" si="26"/>
        <v>1</v>
      </c>
      <c r="S77" s="637">
        <v>0.99</v>
      </c>
      <c r="T77" s="302" t="s">
        <v>508</v>
      </c>
      <c r="U77" s="302" t="s">
        <v>660</v>
      </c>
      <c r="V77" s="637">
        <v>0</v>
      </c>
      <c r="W77" s="302" t="s">
        <v>669</v>
      </c>
      <c r="X77" s="302" t="s">
        <v>670</v>
      </c>
      <c r="Y77" s="637">
        <v>0.01</v>
      </c>
      <c r="Z77" s="645">
        <f t="shared" si="27"/>
        <v>1</v>
      </c>
      <c r="AA77" s="637">
        <v>0.99</v>
      </c>
      <c r="AB77" s="302" t="s">
        <v>508</v>
      </c>
      <c r="AC77" s="302" t="s">
        <v>660</v>
      </c>
      <c r="AD77" s="637">
        <v>0</v>
      </c>
      <c r="AE77" s="302" t="s">
        <v>669</v>
      </c>
      <c r="AF77" s="302" t="s">
        <v>670</v>
      </c>
      <c r="AG77" s="637">
        <v>0.01</v>
      </c>
      <c r="AH77" s="645">
        <f t="shared" si="28"/>
        <v>1</v>
      </c>
      <c r="AI77" s="637">
        <v>0.99</v>
      </c>
      <c r="AJ77" s="302" t="s">
        <v>508</v>
      </c>
      <c r="AK77" s="302" t="s">
        <v>660</v>
      </c>
      <c r="AL77" s="637">
        <v>0</v>
      </c>
      <c r="AM77" s="302" t="s">
        <v>669</v>
      </c>
      <c r="AN77" s="302" t="s">
        <v>670</v>
      </c>
      <c r="AO77" s="637">
        <v>0.01</v>
      </c>
      <c r="AP77" s="645">
        <f t="shared" si="36"/>
        <v>1</v>
      </c>
      <c r="AQ77" s="637">
        <v>0.99</v>
      </c>
      <c r="AR77" s="302" t="s">
        <v>508</v>
      </c>
      <c r="AS77" s="302" t="s">
        <v>660</v>
      </c>
      <c r="AT77" s="637">
        <v>0</v>
      </c>
      <c r="AU77" s="302" t="s">
        <v>669</v>
      </c>
      <c r="AV77" s="302" t="s">
        <v>670</v>
      </c>
      <c r="AW77" s="637">
        <v>0.01</v>
      </c>
      <c r="AX77" s="645">
        <f t="shared" si="37"/>
        <v>1</v>
      </c>
      <c r="AY77" s="637">
        <v>0.99</v>
      </c>
      <c r="AZ77" s="302" t="s">
        <v>508</v>
      </c>
      <c r="BA77" s="302" t="s">
        <v>660</v>
      </c>
      <c r="BB77" s="637">
        <v>0</v>
      </c>
      <c r="BC77" s="302" t="s">
        <v>669</v>
      </c>
      <c r="BD77" s="302" t="s">
        <v>670</v>
      </c>
      <c r="BE77" s="637">
        <v>0.01</v>
      </c>
      <c r="BF77" s="434">
        <f t="shared" si="38"/>
        <v>1</v>
      </c>
      <c r="BG77" s="587">
        <v>0.99</v>
      </c>
      <c r="BH77" s="302" t="s">
        <v>508</v>
      </c>
      <c r="BI77" s="302" t="s">
        <v>660</v>
      </c>
      <c r="BJ77" s="434">
        <v>0</v>
      </c>
      <c r="BK77" s="302" t="s">
        <v>669</v>
      </c>
      <c r="BL77" s="302" t="s">
        <v>670</v>
      </c>
      <c r="BM77" s="434">
        <v>0.01</v>
      </c>
      <c r="BN77" s="645">
        <f t="shared" si="39"/>
        <v>1</v>
      </c>
      <c r="BO77" s="434"/>
      <c r="BP77" s="434">
        <v>0.99</v>
      </c>
      <c r="BQ77" s="302" t="s">
        <v>508</v>
      </c>
      <c r="BR77" s="302" t="s">
        <v>660</v>
      </c>
      <c r="BS77" s="434">
        <v>0</v>
      </c>
      <c r="BT77" s="302" t="s">
        <v>669</v>
      </c>
      <c r="BU77" s="302" t="s">
        <v>670</v>
      </c>
      <c r="BV77" s="434">
        <v>0.01</v>
      </c>
      <c r="BW77" s="645">
        <f t="shared" si="40"/>
        <v>1</v>
      </c>
      <c r="BX77" s="434">
        <v>0.49</v>
      </c>
      <c r="BY77" s="302" t="s">
        <v>508</v>
      </c>
      <c r="BZ77" s="302" t="s">
        <v>660</v>
      </c>
      <c r="CA77" s="434">
        <v>0</v>
      </c>
      <c r="CB77" s="302" t="s">
        <v>669</v>
      </c>
      <c r="CC77" s="302" t="s">
        <v>670</v>
      </c>
      <c r="CD77" s="434">
        <v>0.01</v>
      </c>
      <c r="CE77" s="434">
        <f t="shared" si="41"/>
        <v>0.5</v>
      </c>
      <c r="CF77" s="1620" t="s">
        <v>862</v>
      </c>
      <c r="CG77" s="1620" t="s">
        <v>1166</v>
      </c>
      <c r="CH77" s="1620" t="s">
        <v>1166</v>
      </c>
      <c r="CI77" s="408" t="s">
        <v>862</v>
      </c>
      <c r="CJ77" s="642">
        <v>0.66300000000000003</v>
      </c>
      <c r="CK77" s="591" t="s">
        <v>922</v>
      </c>
      <c r="CL77" s="302" t="s">
        <v>508</v>
      </c>
      <c r="CM77" s="302" t="s">
        <v>660</v>
      </c>
      <c r="CN77" s="637">
        <v>0</v>
      </c>
      <c r="CO77" s="302" t="s">
        <v>669</v>
      </c>
      <c r="CP77" s="302" t="s">
        <v>670</v>
      </c>
      <c r="CQ77" s="637">
        <v>0.01</v>
      </c>
    </row>
    <row r="78" spans="1:98" ht="15.75" customHeight="1" x14ac:dyDescent="0.2">
      <c r="A78" s="661" t="s">
        <v>37</v>
      </c>
      <c r="B78" s="776" t="s">
        <v>36</v>
      </c>
      <c r="C78" s="637">
        <v>0.49</v>
      </c>
      <c r="D78" s="440" t="s">
        <v>508</v>
      </c>
      <c r="E78" s="440" t="s">
        <v>509</v>
      </c>
      <c r="F78" s="637">
        <v>0</v>
      </c>
      <c r="G78" s="440" t="s">
        <v>564</v>
      </c>
      <c r="H78" s="440" t="s">
        <v>565</v>
      </c>
      <c r="I78" s="637">
        <v>0.01</v>
      </c>
      <c r="J78" s="662">
        <f t="shared" si="35"/>
        <v>0.5</v>
      </c>
      <c r="K78" s="637">
        <v>0.49</v>
      </c>
      <c r="L78" s="440" t="s">
        <v>508</v>
      </c>
      <c r="M78" s="440" t="s">
        <v>509</v>
      </c>
      <c r="N78" s="637">
        <v>0</v>
      </c>
      <c r="O78" s="440" t="s">
        <v>564</v>
      </c>
      <c r="P78" s="440" t="s">
        <v>565</v>
      </c>
      <c r="Q78" s="637">
        <v>0.01</v>
      </c>
      <c r="R78" s="662">
        <f t="shared" si="26"/>
        <v>0.5</v>
      </c>
      <c r="S78" s="637">
        <v>0.49</v>
      </c>
      <c r="T78" s="302" t="s">
        <v>508</v>
      </c>
      <c r="U78" s="302" t="s">
        <v>509</v>
      </c>
      <c r="V78" s="637">
        <v>0</v>
      </c>
      <c r="W78" s="302" t="s">
        <v>564</v>
      </c>
      <c r="X78" s="302" t="s">
        <v>565</v>
      </c>
      <c r="Y78" s="637">
        <v>0.01</v>
      </c>
      <c r="Z78" s="645">
        <f t="shared" si="27"/>
        <v>0.5</v>
      </c>
      <c r="AA78" s="637">
        <v>0.49</v>
      </c>
      <c r="AB78" s="302" t="s">
        <v>508</v>
      </c>
      <c r="AC78" s="302" t="s">
        <v>509</v>
      </c>
      <c r="AD78" s="637">
        <v>0</v>
      </c>
      <c r="AE78" s="302" t="s">
        <v>564</v>
      </c>
      <c r="AF78" s="302" t="s">
        <v>565</v>
      </c>
      <c r="AG78" s="637">
        <v>0.01</v>
      </c>
      <c r="AH78" s="645">
        <f t="shared" si="28"/>
        <v>0.5</v>
      </c>
      <c r="AI78" s="637">
        <v>0.49</v>
      </c>
      <c r="AJ78" s="302" t="s">
        <v>508</v>
      </c>
      <c r="AK78" s="302" t="s">
        <v>509</v>
      </c>
      <c r="AL78" s="637">
        <v>0</v>
      </c>
      <c r="AM78" s="302" t="s">
        <v>564</v>
      </c>
      <c r="AN78" s="302" t="s">
        <v>565</v>
      </c>
      <c r="AO78" s="637">
        <v>0.01</v>
      </c>
      <c r="AP78" s="645">
        <f t="shared" si="36"/>
        <v>0.5</v>
      </c>
      <c r="AQ78" s="637">
        <v>0.49</v>
      </c>
      <c r="AR78" s="302" t="s">
        <v>508</v>
      </c>
      <c r="AS78" s="302" t="s">
        <v>509</v>
      </c>
      <c r="AT78" s="637">
        <v>0</v>
      </c>
      <c r="AU78" s="302" t="s">
        <v>564</v>
      </c>
      <c r="AV78" s="302" t="s">
        <v>565</v>
      </c>
      <c r="AW78" s="637">
        <v>0.01</v>
      </c>
      <c r="AX78" s="645">
        <f t="shared" si="37"/>
        <v>0.5</v>
      </c>
      <c r="AY78" s="637">
        <v>0.49</v>
      </c>
      <c r="AZ78" s="302" t="s">
        <v>508</v>
      </c>
      <c r="BA78" s="302" t="s">
        <v>509</v>
      </c>
      <c r="BB78" s="637">
        <v>0</v>
      </c>
      <c r="BC78" s="302" t="s">
        <v>564</v>
      </c>
      <c r="BD78" s="302" t="s">
        <v>565</v>
      </c>
      <c r="BE78" s="637">
        <v>0.01</v>
      </c>
      <c r="BF78" s="434">
        <f t="shared" si="38"/>
        <v>0.5</v>
      </c>
      <c r="BG78" s="587">
        <v>0.49</v>
      </c>
      <c r="BH78" s="302" t="s">
        <v>508</v>
      </c>
      <c r="BI78" s="302" t="s">
        <v>509</v>
      </c>
      <c r="BJ78" s="434">
        <v>0</v>
      </c>
      <c r="BK78" s="302" t="s">
        <v>564</v>
      </c>
      <c r="BL78" s="302" t="s">
        <v>565</v>
      </c>
      <c r="BM78" s="434">
        <v>0.01</v>
      </c>
      <c r="BN78" s="645">
        <f t="shared" si="39"/>
        <v>0.5</v>
      </c>
      <c r="BO78" s="434"/>
      <c r="BP78" s="434">
        <v>0.49</v>
      </c>
      <c r="BQ78" s="302" t="s">
        <v>508</v>
      </c>
      <c r="BR78" s="302" t="s">
        <v>509</v>
      </c>
      <c r="BS78" s="434">
        <v>0</v>
      </c>
      <c r="BT78" s="302" t="s">
        <v>564</v>
      </c>
      <c r="BU78" s="302" t="s">
        <v>565</v>
      </c>
      <c r="BV78" s="434">
        <v>0.01</v>
      </c>
      <c r="BW78" s="645">
        <f t="shared" si="40"/>
        <v>0.5</v>
      </c>
      <c r="BX78" s="434">
        <v>0.49</v>
      </c>
      <c r="BY78" s="302" t="s">
        <v>508</v>
      </c>
      <c r="BZ78" s="302" t="s">
        <v>509</v>
      </c>
      <c r="CA78" s="434">
        <v>0</v>
      </c>
      <c r="CB78" s="302" t="s">
        <v>564</v>
      </c>
      <c r="CC78" s="302" t="s">
        <v>565</v>
      </c>
      <c r="CD78" s="434">
        <v>0.01</v>
      </c>
      <c r="CE78" s="434">
        <f t="shared" si="41"/>
        <v>0.5</v>
      </c>
      <c r="CF78" s="1620" t="s">
        <v>862</v>
      </c>
      <c r="CG78" s="1620" t="s">
        <v>1166</v>
      </c>
      <c r="CH78" s="1620" t="s">
        <v>1166</v>
      </c>
      <c r="CI78" s="408" t="s">
        <v>862</v>
      </c>
      <c r="CJ78" s="642">
        <v>0.64900000000000002</v>
      </c>
      <c r="CK78" s="591" t="s">
        <v>922</v>
      </c>
      <c r="CL78" s="302" t="s">
        <v>508</v>
      </c>
      <c r="CM78" s="302" t="s">
        <v>509</v>
      </c>
      <c r="CN78" s="637">
        <v>0</v>
      </c>
      <c r="CO78" s="302" t="s">
        <v>564</v>
      </c>
      <c r="CP78" s="302" t="s">
        <v>565</v>
      </c>
      <c r="CQ78" s="637">
        <v>0.01</v>
      </c>
    </row>
    <row r="79" spans="1:98" ht="15.75" customHeight="1" x14ac:dyDescent="0.2">
      <c r="A79" s="661" t="s">
        <v>39</v>
      </c>
      <c r="B79" s="440" t="s">
        <v>38</v>
      </c>
      <c r="C79" s="637">
        <v>0.3</v>
      </c>
      <c r="D79" s="440" t="s">
        <v>674</v>
      </c>
      <c r="E79" s="440" t="s">
        <v>675</v>
      </c>
      <c r="F79" s="637">
        <v>0.37</v>
      </c>
      <c r="G79" s="440" t="s">
        <v>508</v>
      </c>
      <c r="H79" s="440" t="s">
        <v>508</v>
      </c>
      <c r="I79" s="637">
        <v>0</v>
      </c>
      <c r="J79" s="662">
        <f t="shared" si="35"/>
        <v>0.66999999999999993</v>
      </c>
      <c r="K79" s="637">
        <v>0.3</v>
      </c>
      <c r="L79" s="440" t="s">
        <v>674</v>
      </c>
      <c r="M79" s="440" t="s">
        <v>675</v>
      </c>
      <c r="N79" s="637">
        <v>0.37</v>
      </c>
      <c r="O79" s="440" t="s">
        <v>508</v>
      </c>
      <c r="P79" s="440" t="s">
        <v>508</v>
      </c>
      <c r="Q79" s="637">
        <v>0</v>
      </c>
      <c r="R79" s="662">
        <f t="shared" si="26"/>
        <v>0.66999999999999993</v>
      </c>
      <c r="S79" s="637">
        <v>0.3</v>
      </c>
      <c r="T79" s="302" t="s">
        <v>674</v>
      </c>
      <c r="U79" s="302" t="s">
        <v>675</v>
      </c>
      <c r="V79" s="637">
        <v>0.37</v>
      </c>
      <c r="W79" s="302" t="s">
        <v>508</v>
      </c>
      <c r="X79" s="302" t="s">
        <v>508</v>
      </c>
      <c r="Y79" s="637">
        <v>0</v>
      </c>
      <c r="Z79" s="645">
        <f t="shared" si="27"/>
        <v>0.66999999999999993</v>
      </c>
      <c r="AA79" s="637">
        <v>0.3</v>
      </c>
      <c r="AB79" s="302" t="s">
        <v>674</v>
      </c>
      <c r="AC79" s="302" t="s">
        <v>675</v>
      </c>
      <c r="AD79" s="637">
        <v>0.37</v>
      </c>
      <c r="AE79" s="302" t="s">
        <v>508</v>
      </c>
      <c r="AF79" s="302" t="s">
        <v>508</v>
      </c>
      <c r="AG79" s="637">
        <v>0</v>
      </c>
      <c r="AH79" s="645">
        <f t="shared" si="28"/>
        <v>0.66999999999999993</v>
      </c>
      <c r="AI79" s="637">
        <v>0.3</v>
      </c>
      <c r="AJ79" s="302" t="s">
        <v>674</v>
      </c>
      <c r="AK79" s="302" t="s">
        <v>675</v>
      </c>
      <c r="AL79" s="637">
        <v>0.37</v>
      </c>
      <c r="AM79" s="302" t="s">
        <v>508</v>
      </c>
      <c r="AN79" s="302" t="s">
        <v>508</v>
      </c>
      <c r="AO79" s="637">
        <v>0</v>
      </c>
      <c r="AP79" s="645">
        <f t="shared" ref="AP79:AP84" si="42">+AI79+AL79+AO79</f>
        <v>0.66999999999999993</v>
      </c>
      <c r="AQ79" s="637">
        <v>0.3</v>
      </c>
      <c r="AR79" s="302" t="s">
        <v>674</v>
      </c>
      <c r="AS79" s="302" t="s">
        <v>675</v>
      </c>
      <c r="AT79" s="637">
        <v>0.37</v>
      </c>
      <c r="AU79" s="302" t="s">
        <v>508</v>
      </c>
      <c r="AV79" s="302" t="s">
        <v>508</v>
      </c>
      <c r="AW79" s="637">
        <v>0</v>
      </c>
      <c r="AX79" s="645">
        <f t="shared" si="37"/>
        <v>0.66999999999999993</v>
      </c>
      <c r="AY79" s="637">
        <v>0.48</v>
      </c>
      <c r="AZ79" s="302" t="s">
        <v>674</v>
      </c>
      <c r="BA79" s="302" t="s">
        <v>675</v>
      </c>
      <c r="BB79" s="637">
        <v>0.27</v>
      </c>
      <c r="BC79" s="302" t="s">
        <v>508</v>
      </c>
      <c r="BD79" s="302" t="s">
        <v>508</v>
      </c>
      <c r="BE79" s="637">
        <v>0</v>
      </c>
      <c r="BF79" s="434">
        <f t="shared" si="38"/>
        <v>0.75</v>
      </c>
      <c r="BG79" s="587">
        <v>0.64</v>
      </c>
      <c r="BH79" s="302" t="s">
        <v>674</v>
      </c>
      <c r="BI79" s="302" t="s">
        <v>675</v>
      </c>
      <c r="BJ79" s="434">
        <v>0.36</v>
      </c>
      <c r="BK79" s="302" t="s">
        <v>508</v>
      </c>
      <c r="BL79" s="302" t="s">
        <v>508</v>
      </c>
      <c r="BM79" s="434">
        <v>0</v>
      </c>
      <c r="BN79" s="645">
        <f t="shared" si="39"/>
        <v>1</v>
      </c>
      <c r="BO79" s="434"/>
      <c r="BP79" s="434">
        <v>0.3</v>
      </c>
      <c r="BQ79" s="302" t="s">
        <v>674</v>
      </c>
      <c r="BR79" s="302" t="s">
        <v>675</v>
      </c>
      <c r="BS79" s="434">
        <v>0.37</v>
      </c>
      <c r="BT79" s="302" t="s">
        <v>508</v>
      </c>
      <c r="BU79" s="302" t="s">
        <v>508</v>
      </c>
      <c r="BV79" s="434">
        <v>0</v>
      </c>
      <c r="BW79" s="645">
        <f t="shared" si="40"/>
        <v>0.66999999999999993</v>
      </c>
      <c r="BX79" s="434">
        <v>0.3</v>
      </c>
      <c r="BY79" s="302" t="s">
        <v>674</v>
      </c>
      <c r="BZ79" s="302" t="s">
        <v>675</v>
      </c>
      <c r="CA79" s="434">
        <v>0.2</v>
      </c>
      <c r="CB79" s="302" t="s">
        <v>508</v>
      </c>
      <c r="CC79" s="302" t="s">
        <v>508</v>
      </c>
      <c r="CD79" s="434">
        <v>0</v>
      </c>
      <c r="CE79" s="434">
        <f t="shared" si="41"/>
        <v>0.5</v>
      </c>
      <c r="CF79" s="1620" t="s">
        <v>1166</v>
      </c>
      <c r="CG79" s="1620" t="s">
        <v>1166</v>
      </c>
      <c r="CH79" s="1620" t="s">
        <v>1166</v>
      </c>
      <c r="CI79" s="408" t="s">
        <v>862</v>
      </c>
      <c r="CJ79" s="642">
        <v>0.76200000000000001</v>
      </c>
      <c r="CK79" s="591" t="s">
        <v>922</v>
      </c>
      <c r="CL79" s="302" t="s">
        <v>674</v>
      </c>
      <c r="CM79" s="302" t="s">
        <v>675</v>
      </c>
      <c r="CN79" s="637">
        <v>0.2</v>
      </c>
      <c r="CO79" s="302" t="s">
        <v>508</v>
      </c>
      <c r="CP79" s="302" t="s">
        <v>508</v>
      </c>
      <c r="CQ79" s="637">
        <v>0</v>
      </c>
    </row>
    <row r="80" spans="1:98" ht="15" x14ac:dyDescent="0.2">
      <c r="A80" s="661" t="s">
        <v>41</v>
      </c>
      <c r="B80" s="440" t="s">
        <v>40</v>
      </c>
      <c r="C80" s="637">
        <v>0.4</v>
      </c>
      <c r="D80" s="440" t="s">
        <v>533</v>
      </c>
      <c r="E80" s="440" t="s">
        <v>534</v>
      </c>
      <c r="F80" s="637">
        <v>0.09</v>
      </c>
      <c r="G80" s="440" t="s">
        <v>531</v>
      </c>
      <c r="H80" s="440" t="s">
        <v>532</v>
      </c>
      <c r="I80" s="637">
        <v>0.01</v>
      </c>
      <c r="J80" s="662">
        <f t="shared" si="35"/>
        <v>0.5</v>
      </c>
      <c r="K80" s="637">
        <v>0.4</v>
      </c>
      <c r="L80" s="440" t="s">
        <v>533</v>
      </c>
      <c r="M80" s="440" t="s">
        <v>534</v>
      </c>
      <c r="N80" s="637">
        <v>0.09</v>
      </c>
      <c r="O80" s="440" t="s">
        <v>531</v>
      </c>
      <c r="P80" s="440" t="s">
        <v>532</v>
      </c>
      <c r="Q80" s="637">
        <v>0.01</v>
      </c>
      <c r="R80" s="662">
        <f t="shared" si="26"/>
        <v>0.5</v>
      </c>
      <c r="S80" s="637">
        <v>0.4</v>
      </c>
      <c r="T80" s="302" t="s">
        <v>533</v>
      </c>
      <c r="U80" s="302" t="s">
        <v>534</v>
      </c>
      <c r="V80" s="637">
        <v>0.09</v>
      </c>
      <c r="W80" s="302" t="s">
        <v>531</v>
      </c>
      <c r="X80" s="302" t="s">
        <v>532</v>
      </c>
      <c r="Y80" s="637">
        <v>0.01</v>
      </c>
      <c r="Z80" s="645">
        <f t="shared" si="27"/>
        <v>0.5</v>
      </c>
      <c r="AA80" s="637">
        <v>0.4</v>
      </c>
      <c r="AB80" s="302" t="s">
        <v>533</v>
      </c>
      <c r="AC80" s="302" t="s">
        <v>534</v>
      </c>
      <c r="AD80" s="637">
        <v>0.09</v>
      </c>
      <c r="AE80" s="302" t="s">
        <v>531</v>
      </c>
      <c r="AF80" s="302" t="s">
        <v>532</v>
      </c>
      <c r="AG80" s="637">
        <v>0.01</v>
      </c>
      <c r="AH80" s="645">
        <f t="shared" si="28"/>
        <v>0.5</v>
      </c>
      <c r="AI80" s="637">
        <v>0.4</v>
      </c>
      <c r="AJ80" s="302" t="s">
        <v>533</v>
      </c>
      <c r="AK80" s="302" t="s">
        <v>534</v>
      </c>
      <c r="AL80" s="637">
        <v>0.09</v>
      </c>
      <c r="AM80" s="302" t="s">
        <v>531</v>
      </c>
      <c r="AN80" s="302" t="s">
        <v>532</v>
      </c>
      <c r="AO80" s="637">
        <v>0.01</v>
      </c>
      <c r="AP80" s="645">
        <f t="shared" si="42"/>
        <v>0.5</v>
      </c>
      <c r="AQ80" s="637">
        <v>0.4</v>
      </c>
      <c r="AR80" s="302" t="s">
        <v>533</v>
      </c>
      <c r="AS80" s="302" t="s">
        <v>534</v>
      </c>
      <c r="AT80" s="637">
        <v>0.09</v>
      </c>
      <c r="AU80" s="302" t="s">
        <v>531</v>
      </c>
      <c r="AV80" s="302" t="s">
        <v>532</v>
      </c>
      <c r="AW80" s="637">
        <v>0.01</v>
      </c>
      <c r="AX80" s="645">
        <f t="shared" ref="AX80:AX85" si="43">+AQ80+AT80+AW80</f>
        <v>0.5</v>
      </c>
      <c r="AY80" s="637">
        <v>0.4</v>
      </c>
      <c r="AZ80" s="302" t="s">
        <v>533</v>
      </c>
      <c r="BA80" s="302" t="s">
        <v>534</v>
      </c>
      <c r="BB80" s="637">
        <v>0.09</v>
      </c>
      <c r="BC80" s="302" t="s">
        <v>531</v>
      </c>
      <c r="BD80" s="302" t="s">
        <v>532</v>
      </c>
      <c r="BE80" s="637">
        <v>0.01</v>
      </c>
      <c r="BF80" s="434">
        <f t="shared" ref="BF80:BF85" si="44">+AY80+BB80+BE80</f>
        <v>0.5</v>
      </c>
      <c r="BG80" s="587">
        <v>0.4</v>
      </c>
      <c r="BH80" s="302" t="s">
        <v>533</v>
      </c>
      <c r="BI80" s="302" t="s">
        <v>534</v>
      </c>
      <c r="BJ80" s="434">
        <v>0.09</v>
      </c>
      <c r="BK80" s="302" t="s">
        <v>531</v>
      </c>
      <c r="BL80" s="302" t="s">
        <v>532</v>
      </c>
      <c r="BM80" s="434">
        <v>0.01</v>
      </c>
      <c r="BN80" s="645">
        <f t="shared" ref="BN80:BN85" si="45">+BG80+BJ80+BM80</f>
        <v>0.5</v>
      </c>
      <c r="BO80" s="434"/>
      <c r="BP80" s="434">
        <v>0.4</v>
      </c>
      <c r="BQ80" s="302" t="s">
        <v>533</v>
      </c>
      <c r="BR80" s="302" t="s">
        <v>534</v>
      </c>
      <c r="BS80" s="434">
        <v>0.09</v>
      </c>
      <c r="BT80" s="302" t="s">
        <v>531</v>
      </c>
      <c r="BU80" s="302" t="s">
        <v>532</v>
      </c>
      <c r="BV80" s="434">
        <v>0.01</v>
      </c>
      <c r="BW80" s="645">
        <f t="shared" ref="BW80:BW85" si="46">+BP80+BS80+BV80</f>
        <v>0.5</v>
      </c>
      <c r="BX80" s="434">
        <v>0.4</v>
      </c>
      <c r="BY80" s="302" t="s">
        <v>533</v>
      </c>
      <c r="BZ80" s="302" t="s">
        <v>534</v>
      </c>
      <c r="CA80" s="434">
        <v>0.09</v>
      </c>
      <c r="CB80" s="302" t="s">
        <v>531</v>
      </c>
      <c r="CC80" s="302" t="s">
        <v>532</v>
      </c>
      <c r="CD80" s="434">
        <v>0.01</v>
      </c>
      <c r="CE80" s="434">
        <f t="shared" ref="CE80:CE85" si="47">+BX80+CA80+CD80</f>
        <v>0.5</v>
      </c>
      <c r="CF80" s="1620" t="s">
        <v>862</v>
      </c>
      <c r="CG80" s="1620" t="s">
        <v>1166</v>
      </c>
      <c r="CH80" s="1620" t="s">
        <v>1166</v>
      </c>
      <c r="CI80" s="406"/>
      <c r="CJ80" s="642">
        <v>0.70199999999999996</v>
      </c>
      <c r="CK80" s="591" t="s">
        <v>922</v>
      </c>
      <c r="CL80" s="302" t="s">
        <v>533</v>
      </c>
      <c r="CM80" s="302" t="s">
        <v>534</v>
      </c>
      <c r="CN80" s="637">
        <v>0.59</v>
      </c>
      <c r="CO80" s="302" t="s">
        <v>531</v>
      </c>
      <c r="CP80" s="302" t="s">
        <v>532</v>
      </c>
      <c r="CQ80" s="637">
        <v>0.01</v>
      </c>
    </row>
    <row r="81" spans="1:98" ht="15.75" customHeight="1" x14ac:dyDescent="0.2">
      <c r="A81" s="661" t="s">
        <v>43</v>
      </c>
      <c r="B81" s="440" t="s">
        <v>42</v>
      </c>
      <c r="C81" s="637">
        <v>0.4</v>
      </c>
      <c r="D81" s="440" t="s">
        <v>557</v>
      </c>
      <c r="E81" s="440" t="s">
        <v>558</v>
      </c>
      <c r="F81" s="637">
        <v>0.09</v>
      </c>
      <c r="G81" s="440" t="s">
        <v>554</v>
      </c>
      <c r="H81" s="776" t="s">
        <v>555</v>
      </c>
      <c r="I81" s="637">
        <v>0.01</v>
      </c>
      <c r="J81" s="662">
        <f t="shared" si="35"/>
        <v>0.5</v>
      </c>
      <c r="K81" s="637">
        <v>0.4</v>
      </c>
      <c r="L81" s="440" t="s">
        <v>557</v>
      </c>
      <c r="M81" s="440" t="s">
        <v>558</v>
      </c>
      <c r="N81" s="637">
        <v>0.09</v>
      </c>
      <c r="O81" s="440" t="s">
        <v>554</v>
      </c>
      <c r="P81" s="776" t="s">
        <v>555</v>
      </c>
      <c r="Q81" s="637">
        <v>0.01</v>
      </c>
      <c r="R81" s="662">
        <f t="shared" si="26"/>
        <v>0.5</v>
      </c>
      <c r="S81" s="637">
        <v>0.4</v>
      </c>
      <c r="T81" s="302" t="s">
        <v>557</v>
      </c>
      <c r="U81" s="302" t="s">
        <v>558</v>
      </c>
      <c r="V81" s="637">
        <v>0.09</v>
      </c>
      <c r="W81" s="302" t="s">
        <v>554</v>
      </c>
      <c r="X81" s="435" t="s">
        <v>555</v>
      </c>
      <c r="Y81" s="637">
        <v>0.01</v>
      </c>
      <c r="Z81" s="645">
        <f t="shared" si="27"/>
        <v>0.5</v>
      </c>
      <c r="AA81" s="637">
        <v>0.4</v>
      </c>
      <c r="AB81" s="302" t="s">
        <v>557</v>
      </c>
      <c r="AC81" s="302" t="s">
        <v>558</v>
      </c>
      <c r="AD81" s="637">
        <v>0.09</v>
      </c>
      <c r="AE81" s="302" t="s">
        <v>554</v>
      </c>
      <c r="AF81" s="435" t="s">
        <v>555</v>
      </c>
      <c r="AG81" s="637">
        <v>0.01</v>
      </c>
      <c r="AH81" s="645">
        <f t="shared" si="28"/>
        <v>0.5</v>
      </c>
      <c r="AI81" s="637">
        <v>0.4</v>
      </c>
      <c r="AJ81" s="302" t="s">
        <v>557</v>
      </c>
      <c r="AK81" s="302" t="s">
        <v>558</v>
      </c>
      <c r="AL81" s="637">
        <v>0.09</v>
      </c>
      <c r="AM81" s="302" t="s">
        <v>554</v>
      </c>
      <c r="AN81" s="435" t="s">
        <v>555</v>
      </c>
      <c r="AO81" s="637">
        <v>0.01</v>
      </c>
      <c r="AP81" s="645">
        <f t="shared" si="42"/>
        <v>0.5</v>
      </c>
      <c r="AQ81" s="637">
        <v>0.4</v>
      </c>
      <c r="AR81" s="302" t="s">
        <v>557</v>
      </c>
      <c r="AS81" s="302" t="s">
        <v>558</v>
      </c>
      <c r="AT81" s="637">
        <v>0.09</v>
      </c>
      <c r="AU81" s="302" t="s">
        <v>554</v>
      </c>
      <c r="AV81" s="435" t="s">
        <v>555</v>
      </c>
      <c r="AW81" s="637">
        <v>0.01</v>
      </c>
      <c r="AX81" s="645">
        <f t="shared" si="43"/>
        <v>0.5</v>
      </c>
      <c r="AY81" s="637">
        <v>0.4</v>
      </c>
      <c r="AZ81" s="302" t="s">
        <v>557</v>
      </c>
      <c r="BA81" s="302" t="s">
        <v>558</v>
      </c>
      <c r="BB81" s="637">
        <v>0.09</v>
      </c>
      <c r="BC81" s="302" t="s">
        <v>554</v>
      </c>
      <c r="BD81" s="435" t="s">
        <v>555</v>
      </c>
      <c r="BE81" s="637">
        <v>0.01</v>
      </c>
      <c r="BF81" s="434">
        <f t="shared" si="44"/>
        <v>0.5</v>
      </c>
      <c r="BG81" s="587">
        <v>0.4</v>
      </c>
      <c r="BH81" s="302" t="s">
        <v>557</v>
      </c>
      <c r="BI81" s="302" t="s">
        <v>558</v>
      </c>
      <c r="BJ81" s="434">
        <v>0.59</v>
      </c>
      <c r="BK81" s="302" t="s">
        <v>554</v>
      </c>
      <c r="BL81" s="435" t="s">
        <v>555</v>
      </c>
      <c r="BM81" s="434">
        <v>0.01</v>
      </c>
      <c r="BN81" s="645">
        <f t="shared" si="45"/>
        <v>1</v>
      </c>
      <c r="BO81" s="434"/>
      <c r="BP81" s="434">
        <v>0.4</v>
      </c>
      <c r="BQ81" s="302" t="s">
        <v>557</v>
      </c>
      <c r="BR81" s="302" t="s">
        <v>558</v>
      </c>
      <c r="BS81" s="434">
        <v>0.09</v>
      </c>
      <c r="BT81" s="302" t="s">
        <v>554</v>
      </c>
      <c r="BU81" s="435" t="s">
        <v>555</v>
      </c>
      <c r="BV81" s="434">
        <v>0.01</v>
      </c>
      <c r="BW81" s="645">
        <f t="shared" si="46"/>
        <v>0.5</v>
      </c>
      <c r="BX81" s="434">
        <v>0.4</v>
      </c>
      <c r="BY81" s="302" t="s">
        <v>557</v>
      </c>
      <c r="BZ81" s="302" t="s">
        <v>558</v>
      </c>
      <c r="CA81" s="434">
        <v>0.09</v>
      </c>
      <c r="CB81" s="302" t="s">
        <v>554</v>
      </c>
      <c r="CC81" s="435" t="s">
        <v>555</v>
      </c>
      <c r="CD81" s="434">
        <v>0.01</v>
      </c>
      <c r="CE81" s="434">
        <f t="shared" si="47"/>
        <v>0.5</v>
      </c>
      <c r="CF81" s="1620" t="s">
        <v>862</v>
      </c>
      <c r="CG81" s="1620" t="s">
        <v>1166</v>
      </c>
      <c r="CH81" s="1620" t="s">
        <v>1166</v>
      </c>
      <c r="CI81" s="406"/>
      <c r="CJ81" s="642">
        <v>0.66600000000000004</v>
      </c>
      <c r="CK81" s="591" t="s">
        <v>922</v>
      </c>
      <c r="CL81" s="302" t="s">
        <v>557</v>
      </c>
      <c r="CM81" s="302" t="s">
        <v>558</v>
      </c>
      <c r="CN81" s="637">
        <v>0.59</v>
      </c>
      <c r="CO81" s="302" t="s">
        <v>554</v>
      </c>
      <c r="CP81" s="435" t="s">
        <v>555</v>
      </c>
      <c r="CQ81" s="637">
        <v>0.01</v>
      </c>
    </row>
    <row r="82" spans="1:98" ht="15.75" customHeight="1" x14ac:dyDescent="0.2">
      <c r="A82" s="661" t="s">
        <v>45</v>
      </c>
      <c r="B82" s="440" t="s">
        <v>44</v>
      </c>
      <c r="C82" s="637">
        <v>0.4</v>
      </c>
      <c r="D82" s="440" t="s">
        <v>583</v>
      </c>
      <c r="E82" s="440" t="s">
        <v>584</v>
      </c>
      <c r="F82" s="637">
        <v>0.09</v>
      </c>
      <c r="G82" s="440" t="s">
        <v>2218</v>
      </c>
      <c r="H82" s="440" t="s">
        <v>2219</v>
      </c>
      <c r="I82" s="637">
        <v>0.01</v>
      </c>
      <c r="J82" s="662">
        <f t="shared" si="35"/>
        <v>0.5</v>
      </c>
      <c r="K82" s="637">
        <v>0.4</v>
      </c>
      <c r="L82" s="440" t="s">
        <v>583</v>
      </c>
      <c r="M82" s="440" t="s">
        <v>584</v>
      </c>
      <c r="N82" s="637">
        <v>0.09</v>
      </c>
      <c r="O82" s="440" t="s">
        <v>2218</v>
      </c>
      <c r="P82" s="440" t="s">
        <v>2219</v>
      </c>
      <c r="Q82" s="637">
        <v>0.01</v>
      </c>
      <c r="R82" s="662">
        <f t="shared" si="26"/>
        <v>0.5</v>
      </c>
      <c r="S82" s="637">
        <v>0.4</v>
      </c>
      <c r="T82" s="302" t="s">
        <v>583</v>
      </c>
      <c r="U82" s="302" t="s">
        <v>584</v>
      </c>
      <c r="V82" s="637">
        <v>0.09</v>
      </c>
      <c r="W82" s="302" t="s">
        <v>2218</v>
      </c>
      <c r="X82" s="302" t="s">
        <v>2219</v>
      </c>
      <c r="Y82" s="637">
        <v>0.01</v>
      </c>
      <c r="Z82" s="645">
        <f t="shared" si="27"/>
        <v>0.5</v>
      </c>
      <c r="AA82" s="637">
        <v>0.4</v>
      </c>
      <c r="AB82" s="302" t="s">
        <v>583</v>
      </c>
      <c r="AC82" s="302" t="s">
        <v>584</v>
      </c>
      <c r="AD82" s="637">
        <v>0.09</v>
      </c>
      <c r="AE82" s="302" t="s">
        <v>2218</v>
      </c>
      <c r="AF82" s="302" t="s">
        <v>2219</v>
      </c>
      <c r="AG82" s="637">
        <v>0.01</v>
      </c>
      <c r="AH82" s="645">
        <f t="shared" si="28"/>
        <v>0.5</v>
      </c>
      <c r="AI82" s="637">
        <v>0.4</v>
      </c>
      <c r="AJ82" s="302" t="s">
        <v>583</v>
      </c>
      <c r="AK82" s="302" t="s">
        <v>584</v>
      </c>
      <c r="AL82" s="637">
        <v>0.09</v>
      </c>
      <c r="AM82" s="302" t="s">
        <v>2218</v>
      </c>
      <c r="AN82" s="302" t="s">
        <v>2219</v>
      </c>
      <c r="AO82" s="637">
        <v>0.01</v>
      </c>
      <c r="AP82" s="645">
        <f t="shared" si="42"/>
        <v>0.5</v>
      </c>
      <c r="AQ82" s="637">
        <v>0.4</v>
      </c>
      <c r="AR82" s="302" t="s">
        <v>583</v>
      </c>
      <c r="AS82" s="302" t="s">
        <v>584</v>
      </c>
      <c r="AT82" s="637">
        <v>0.09</v>
      </c>
      <c r="AU82" s="302" t="s">
        <v>580</v>
      </c>
      <c r="AV82" s="302" t="s">
        <v>581</v>
      </c>
      <c r="AW82" s="637">
        <v>0.01</v>
      </c>
      <c r="AX82" s="645">
        <f t="shared" si="43"/>
        <v>0.5</v>
      </c>
      <c r="AY82" s="637">
        <v>0.4</v>
      </c>
      <c r="AZ82" s="302" t="s">
        <v>583</v>
      </c>
      <c r="BA82" s="302" t="s">
        <v>584</v>
      </c>
      <c r="BB82" s="637">
        <v>0.09</v>
      </c>
      <c r="BC82" s="302" t="s">
        <v>580</v>
      </c>
      <c r="BD82" s="302" t="s">
        <v>581</v>
      </c>
      <c r="BE82" s="637">
        <v>0.01</v>
      </c>
      <c r="BF82" s="434">
        <f t="shared" si="44"/>
        <v>0.5</v>
      </c>
      <c r="BG82" s="587">
        <v>0.4</v>
      </c>
      <c r="BH82" s="302" t="s">
        <v>583</v>
      </c>
      <c r="BI82" s="302" t="s">
        <v>584</v>
      </c>
      <c r="BJ82" s="434">
        <v>0.09</v>
      </c>
      <c r="BK82" s="302" t="s">
        <v>580</v>
      </c>
      <c r="BL82" s="302" t="s">
        <v>581</v>
      </c>
      <c r="BM82" s="434">
        <v>0.01</v>
      </c>
      <c r="BN82" s="645">
        <f t="shared" si="45"/>
        <v>0.5</v>
      </c>
      <c r="BO82" s="434"/>
      <c r="BP82" s="434">
        <v>0.4</v>
      </c>
      <c r="BQ82" s="302" t="s">
        <v>583</v>
      </c>
      <c r="BR82" s="302" t="s">
        <v>584</v>
      </c>
      <c r="BS82" s="434">
        <v>0.09</v>
      </c>
      <c r="BT82" s="302" t="s">
        <v>580</v>
      </c>
      <c r="BU82" s="302" t="s">
        <v>581</v>
      </c>
      <c r="BV82" s="434">
        <v>0.01</v>
      </c>
      <c r="BW82" s="645">
        <f t="shared" si="46"/>
        <v>0.5</v>
      </c>
      <c r="BX82" s="434">
        <v>0.4</v>
      </c>
      <c r="BY82" s="302" t="s">
        <v>583</v>
      </c>
      <c r="BZ82" s="302" t="s">
        <v>584</v>
      </c>
      <c r="CA82" s="434">
        <v>0.09</v>
      </c>
      <c r="CB82" s="302" t="s">
        <v>580</v>
      </c>
      <c r="CC82" s="302" t="s">
        <v>581</v>
      </c>
      <c r="CD82" s="434">
        <v>0.01</v>
      </c>
      <c r="CE82" s="434">
        <f t="shared" si="47"/>
        <v>0.5</v>
      </c>
      <c r="CF82" s="1620" t="s">
        <v>862</v>
      </c>
      <c r="CG82" s="1620" t="s">
        <v>1166</v>
      </c>
      <c r="CH82" s="1620" t="s">
        <v>1166</v>
      </c>
      <c r="CI82" s="406"/>
      <c r="CJ82" s="642">
        <v>0.70699999999999996</v>
      </c>
      <c r="CK82" s="591" t="s">
        <v>922</v>
      </c>
      <c r="CL82" s="302" t="s">
        <v>583</v>
      </c>
      <c r="CM82" s="302" t="s">
        <v>584</v>
      </c>
      <c r="CN82" s="637">
        <v>0.59</v>
      </c>
      <c r="CO82" s="302" t="s">
        <v>580</v>
      </c>
      <c r="CP82" s="302" t="s">
        <v>581</v>
      </c>
      <c r="CQ82" s="637">
        <v>0.01</v>
      </c>
    </row>
    <row r="83" spans="1:98" ht="15.75" customHeight="1" x14ac:dyDescent="0.2">
      <c r="A83" s="661" t="s">
        <v>47</v>
      </c>
      <c r="B83" s="440" t="s">
        <v>46</v>
      </c>
      <c r="C83" s="637">
        <v>0.4</v>
      </c>
      <c r="D83" s="440" t="s">
        <v>590</v>
      </c>
      <c r="E83" s="440" t="s">
        <v>591</v>
      </c>
      <c r="F83" s="637">
        <v>0.1</v>
      </c>
      <c r="G83" s="440" t="s">
        <v>508</v>
      </c>
      <c r="H83" s="440" t="s">
        <v>546</v>
      </c>
      <c r="I83" s="637">
        <v>0</v>
      </c>
      <c r="J83" s="662">
        <f t="shared" si="35"/>
        <v>0.5</v>
      </c>
      <c r="K83" s="637">
        <v>0.4</v>
      </c>
      <c r="L83" s="440" t="s">
        <v>590</v>
      </c>
      <c r="M83" s="440" t="s">
        <v>591</v>
      </c>
      <c r="N83" s="637">
        <v>0.1</v>
      </c>
      <c r="O83" s="440" t="s">
        <v>508</v>
      </c>
      <c r="P83" s="440" t="s">
        <v>546</v>
      </c>
      <c r="Q83" s="637">
        <v>0</v>
      </c>
      <c r="R83" s="662">
        <f t="shared" si="26"/>
        <v>0.5</v>
      </c>
      <c r="S83" s="637">
        <v>0.4</v>
      </c>
      <c r="T83" s="302" t="s">
        <v>590</v>
      </c>
      <c r="U83" s="302" t="s">
        <v>591</v>
      </c>
      <c r="V83" s="637">
        <v>0.1</v>
      </c>
      <c r="W83" s="302" t="s">
        <v>508</v>
      </c>
      <c r="X83" s="302" t="s">
        <v>546</v>
      </c>
      <c r="Y83" s="637">
        <v>0</v>
      </c>
      <c r="Z83" s="645">
        <f t="shared" si="27"/>
        <v>0.5</v>
      </c>
      <c r="AA83" s="637">
        <v>0.4</v>
      </c>
      <c r="AB83" s="302" t="s">
        <v>590</v>
      </c>
      <c r="AC83" s="302" t="s">
        <v>591</v>
      </c>
      <c r="AD83" s="637">
        <v>0.1</v>
      </c>
      <c r="AE83" s="302" t="s">
        <v>508</v>
      </c>
      <c r="AF83" s="302" t="s">
        <v>546</v>
      </c>
      <c r="AG83" s="637">
        <v>0</v>
      </c>
      <c r="AH83" s="645">
        <f t="shared" si="28"/>
        <v>0.5</v>
      </c>
      <c r="AI83" s="637">
        <v>0.4</v>
      </c>
      <c r="AJ83" s="302" t="s">
        <v>590</v>
      </c>
      <c r="AK83" s="302" t="s">
        <v>591</v>
      </c>
      <c r="AL83" s="637">
        <v>0.1</v>
      </c>
      <c r="AM83" s="302" t="s">
        <v>508</v>
      </c>
      <c r="AN83" s="302" t="s">
        <v>546</v>
      </c>
      <c r="AO83" s="637">
        <v>0</v>
      </c>
      <c r="AP83" s="645">
        <f t="shared" si="42"/>
        <v>0.5</v>
      </c>
      <c r="AQ83" s="637">
        <v>0.4</v>
      </c>
      <c r="AR83" s="302" t="s">
        <v>590</v>
      </c>
      <c r="AS83" s="302" t="s">
        <v>591</v>
      </c>
      <c r="AT83" s="637">
        <v>0.1</v>
      </c>
      <c r="AU83" s="302" t="s">
        <v>508</v>
      </c>
      <c r="AV83" s="302" t="s">
        <v>546</v>
      </c>
      <c r="AW83" s="637">
        <v>0</v>
      </c>
      <c r="AX83" s="645">
        <f t="shared" si="43"/>
        <v>0.5</v>
      </c>
      <c r="AY83" s="637">
        <v>0.35</v>
      </c>
      <c r="AZ83" s="302" t="s">
        <v>590</v>
      </c>
      <c r="BA83" s="302" t="s">
        <v>591</v>
      </c>
      <c r="BB83" s="637">
        <v>0.4</v>
      </c>
      <c r="BC83" s="302" t="s">
        <v>508</v>
      </c>
      <c r="BD83" s="302" t="s">
        <v>546</v>
      </c>
      <c r="BE83" s="637">
        <v>0</v>
      </c>
      <c r="BF83" s="434">
        <f t="shared" si="44"/>
        <v>0.75</v>
      </c>
      <c r="BG83" s="587">
        <v>0.4</v>
      </c>
      <c r="BH83" s="302" t="s">
        <v>590</v>
      </c>
      <c r="BI83" s="302" t="s">
        <v>591</v>
      </c>
      <c r="BJ83" s="434">
        <v>0.1</v>
      </c>
      <c r="BK83" s="302" t="s">
        <v>508</v>
      </c>
      <c r="BL83" s="302" t="s">
        <v>546</v>
      </c>
      <c r="BM83" s="434">
        <v>0</v>
      </c>
      <c r="BN83" s="645">
        <f t="shared" si="45"/>
        <v>0.5</v>
      </c>
      <c r="BO83" s="434"/>
      <c r="BP83" s="434">
        <v>0.4</v>
      </c>
      <c r="BQ83" s="302" t="s">
        <v>590</v>
      </c>
      <c r="BR83" s="302" t="s">
        <v>591</v>
      </c>
      <c r="BS83" s="434">
        <v>0.1</v>
      </c>
      <c r="BT83" s="302" t="s">
        <v>508</v>
      </c>
      <c r="BU83" s="302" t="s">
        <v>546</v>
      </c>
      <c r="BV83" s="434">
        <v>0</v>
      </c>
      <c r="BW83" s="645">
        <f t="shared" si="46"/>
        <v>0.5</v>
      </c>
      <c r="BX83" s="434">
        <v>0.4</v>
      </c>
      <c r="BY83" s="302" t="s">
        <v>590</v>
      </c>
      <c r="BZ83" s="302" t="s">
        <v>591</v>
      </c>
      <c r="CA83" s="434">
        <v>0.1</v>
      </c>
      <c r="CB83" s="302" t="s">
        <v>508</v>
      </c>
      <c r="CC83" s="302" t="s">
        <v>546</v>
      </c>
      <c r="CD83" s="434">
        <v>0</v>
      </c>
      <c r="CE83" s="434">
        <f t="shared" si="47"/>
        <v>0.5</v>
      </c>
      <c r="CF83" s="1620" t="s">
        <v>1166</v>
      </c>
      <c r="CG83" s="1620" t="s">
        <v>1166</v>
      </c>
      <c r="CH83" s="1620" t="s">
        <v>1166</v>
      </c>
      <c r="CI83" s="406"/>
      <c r="CJ83" s="642">
        <v>0.71299999999999997</v>
      </c>
      <c r="CK83" s="591" t="s">
        <v>922</v>
      </c>
      <c r="CL83" s="302" t="s">
        <v>590</v>
      </c>
      <c r="CM83" s="302" t="s">
        <v>591</v>
      </c>
      <c r="CN83" s="637">
        <v>0.6</v>
      </c>
      <c r="CO83" s="302" t="s">
        <v>508</v>
      </c>
      <c r="CP83" s="302" t="s">
        <v>546</v>
      </c>
      <c r="CQ83" s="637">
        <v>0</v>
      </c>
    </row>
    <row r="84" spans="1:98" ht="15.75" customHeight="1" x14ac:dyDescent="0.2">
      <c r="A84" s="661" t="s">
        <v>49</v>
      </c>
      <c r="B84" s="440" t="s">
        <v>48</v>
      </c>
      <c r="C84" s="637">
        <v>0.4</v>
      </c>
      <c r="D84" s="440" t="s">
        <v>619</v>
      </c>
      <c r="E84" s="440" t="s">
        <v>620</v>
      </c>
      <c r="F84" s="637">
        <v>0.1</v>
      </c>
      <c r="G84" s="440" t="s">
        <v>508</v>
      </c>
      <c r="H84" s="440" t="s">
        <v>546</v>
      </c>
      <c r="I84" s="637">
        <v>0</v>
      </c>
      <c r="J84" s="662">
        <f t="shared" si="35"/>
        <v>0.5</v>
      </c>
      <c r="K84" s="637">
        <v>0.4</v>
      </c>
      <c r="L84" s="440" t="s">
        <v>619</v>
      </c>
      <c r="M84" s="440" t="s">
        <v>620</v>
      </c>
      <c r="N84" s="637">
        <v>0.1</v>
      </c>
      <c r="O84" s="440" t="s">
        <v>508</v>
      </c>
      <c r="P84" s="440" t="s">
        <v>546</v>
      </c>
      <c r="Q84" s="637">
        <v>0</v>
      </c>
      <c r="R84" s="662">
        <f t="shared" ref="R84:R96" si="48">+K84+N84+Q84</f>
        <v>0.5</v>
      </c>
      <c r="S84" s="637">
        <v>0.4</v>
      </c>
      <c r="T84" s="302" t="s">
        <v>619</v>
      </c>
      <c r="U84" s="302" t="s">
        <v>620</v>
      </c>
      <c r="V84" s="637">
        <v>0.1</v>
      </c>
      <c r="W84" s="302" t="s">
        <v>508</v>
      </c>
      <c r="X84" s="302" t="s">
        <v>546</v>
      </c>
      <c r="Y84" s="637">
        <v>0</v>
      </c>
      <c r="Z84" s="645">
        <f t="shared" si="27"/>
        <v>0.5</v>
      </c>
      <c r="AA84" s="637">
        <v>0.4</v>
      </c>
      <c r="AB84" s="302" t="s">
        <v>619</v>
      </c>
      <c r="AC84" s="302" t="s">
        <v>620</v>
      </c>
      <c r="AD84" s="637">
        <v>0.1</v>
      </c>
      <c r="AE84" s="302" t="s">
        <v>508</v>
      </c>
      <c r="AF84" s="302" t="s">
        <v>546</v>
      </c>
      <c r="AG84" s="637">
        <v>0</v>
      </c>
      <c r="AH84" s="645">
        <f t="shared" si="28"/>
        <v>0.5</v>
      </c>
      <c r="AI84" s="637">
        <v>0.4</v>
      </c>
      <c r="AJ84" s="302" t="s">
        <v>619</v>
      </c>
      <c r="AK84" s="302" t="s">
        <v>620</v>
      </c>
      <c r="AL84" s="637">
        <v>0.1</v>
      </c>
      <c r="AM84" s="302" t="s">
        <v>508</v>
      </c>
      <c r="AN84" s="302" t="s">
        <v>546</v>
      </c>
      <c r="AO84" s="637">
        <v>0</v>
      </c>
      <c r="AP84" s="645">
        <f t="shared" si="42"/>
        <v>0.5</v>
      </c>
      <c r="AQ84" s="637">
        <v>0.4</v>
      </c>
      <c r="AR84" s="302" t="s">
        <v>619</v>
      </c>
      <c r="AS84" s="302" t="s">
        <v>620</v>
      </c>
      <c r="AT84" s="637">
        <v>0.1</v>
      </c>
      <c r="AU84" s="302" t="s">
        <v>508</v>
      </c>
      <c r="AV84" s="302" t="s">
        <v>546</v>
      </c>
      <c r="AW84" s="637">
        <v>0</v>
      </c>
      <c r="AX84" s="645">
        <f t="shared" si="43"/>
        <v>0.5</v>
      </c>
      <c r="AY84" s="637">
        <v>0.4</v>
      </c>
      <c r="AZ84" s="302" t="s">
        <v>619</v>
      </c>
      <c r="BA84" s="302" t="s">
        <v>620</v>
      </c>
      <c r="BB84" s="637">
        <v>0.1</v>
      </c>
      <c r="BC84" s="302" t="s">
        <v>508</v>
      </c>
      <c r="BD84" s="302" t="s">
        <v>546</v>
      </c>
      <c r="BE84" s="637">
        <v>0</v>
      </c>
      <c r="BF84" s="434">
        <f t="shared" si="44"/>
        <v>0.5</v>
      </c>
      <c r="BG84" s="587">
        <v>0.6</v>
      </c>
      <c r="BH84" s="302" t="s">
        <v>619</v>
      </c>
      <c r="BI84" s="302" t="s">
        <v>620</v>
      </c>
      <c r="BJ84" s="434">
        <v>0.4</v>
      </c>
      <c r="BK84" s="302" t="s">
        <v>508</v>
      </c>
      <c r="BL84" s="302" t="s">
        <v>546</v>
      </c>
      <c r="BM84" s="434">
        <v>0</v>
      </c>
      <c r="BN84" s="645">
        <f t="shared" si="45"/>
        <v>1</v>
      </c>
      <c r="BO84" s="434"/>
      <c r="BP84" s="434">
        <v>0.4</v>
      </c>
      <c r="BQ84" s="302" t="s">
        <v>619</v>
      </c>
      <c r="BR84" s="302" t="s">
        <v>620</v>
      </c>
      <c r="BS84" s="434">
        <v>0.1</v>
      </c>
      <c r="BT84" s="302" t="s">
        <v>508</v>
      </c>
      <c r="BU84" s="302" t="s">
        <v>546</v>
      </c>
      <c r="BV84" s="434">
        <v>0</v>
      </c>
      <c r="BW84" s="645">
        <f t="shared" si="46"/>
        <v>0.5</v>
      </c>
      <c r="BX84" s="434">
        <v>0.4</v>
      </c>
      <c r="BY84" s="302" t="s">
        <v>619</v>
      </c>
      <c r="BZ84" s="302" t="s">
        <v>620</v>
      </c>
      <c r="CA84" s="434">
        <v>0.1</v>
      </c>
      <c r="CB84" s="302" t="s">
        <v>508</v>
      </c>
      <c r="CC84" s="302" t="s">
        <v>546</v>
      </c>
      <c r="CD84" s="434">
        <v>0</v>
      </c>
      <c r="CE84" s="434">
        <f t="shared" si="47"/>
        <v>0.5</v>
      </c>
      <c r="CF84" s="1620" t="s">
        <v>1166</v>
      </c>
      <c r="CG84" s="1620" t="s">
        <v>1166</v>
      </c>
      <c r="CH84" s="1620" t="s">
        <v>1166</v>
      </c>
      <c r="CI84" s="406"/>
      <c r="CJ84" s="642">
        <v>0.64600000000000002</v>
      </c>
      <c r="CK84" s="591" t="s">
        <v>922</v>
      </c>
      <c r="CL84" s="302" t="s">
        <v>619</v>
      </c>
      <c r="CM84" s="302" t="s">
        <v>620</v>
      </c>
      <c r="CN84" s="637">
        <v>0.6</v>
      </c>
      <c r="CO84" s="302" t="s">
        <v>508</v>
      </c>
      <c r="CP84" s="302" t="s">
        <v>546</v>
      </c>
      <c r="CQ84" s="637">
        <v>0</v>
      </c>
    </row>
    <row r="85" spans="1:98" ht="15" x14ac:dyDescent="0.2">
      <c r="A85" s="661" t="s">
        <v>51</v>
      </c>
      <c r="B85" s="440" t="s">
        <v>592</v>
      </c>
      <c r="C85" s="637">
        <v>0.49</v>
      </c>
      <c r="D85" s="440" t="s">
        <v>508</v>
      </c>
      <c r="E85" s="440" t="s">
        <v>509</v>
      </c>
      <c r="F85" s="637">
        <v>0</v>
      </c>
      <c r="G85" s="440" t="s">
        <v>593</v>
      </c>
      <c r="H85" s="440" t="s">
        <v>594</v>
      </c>
      <c r="I85" s="637">
        <v>0.01</v>
      </c>
      <c r="J85" s="662">
        <f t="shared" si="35"/>
        <v>0.5</v>
      </c>
      <c r="K85" s="637">
        <v>0.49</v>
      </c>
      <c r="L85" s="440" t="s">
        <v>508</v>
      </c>
      <c r="M85" s="440" t="s">
        <v>509</v>
      </c>
      <c r="N85" s="637">
        <v>0</v>
      </c>
      <c r="O85" s="440" t="s">
        <v>593</v>
      </c>
      <c r="P85" s="440" t="s">
        <v>594</v>
      </c>
      <c r="Q85" s="637">
        <v>0.01</v>
      </c>
      <c r="R85" s="662">
        <f t="shared" si="48"/>
        <v>0.5</v>
      </c>
      <c r="S85" s="637">
        <v>0.49</v>
      </c>
      <c r="T85" s="302" t="s">
        <v>508</v>
      </c>
      <c r="U85" s="302" t="s">
        <v>509</v>
      </c>
      <c r="V85" s="637">
        <v>0</v>
      </c>
      <c r="W85" s="302" t="s">
        <v>593</v>
      </c>
      <c r="X85" s="302" t="s">
        <v>594</v>
      </c>
      <c r="Y85" s="637">
        <v>0.01</v>
      </c>
      <c r="Z85" s="645">
        <f t="shared" si="27"/>
        <v>0.5</v>
      </c>
      <c r="AA85" s="637">
        <v>0.49</v>
      </c>
      <c r="AB85" s="302" t="s">
        <v>508</v>
      </c>
      <c r="AC85" s="302" t="s">
        <v>509</v>
      </c>
      <c r="AD85" s="637">
        <v>0</v>
      </c>
      <c r="AE85" s="302" t="s">
        <v>593</v>
      </c>
      <c r="AF85" s="302" t="s">
        <v>594</v>
      </c>
      <c r="AG85" s="637">
        <v>0.01</v>
      </c>
      <c r="AH85" s="645">
        <f t="shared" si="28"/>
        <v>0.5</v>
      </c>
      <c r="AI85" s="637">
        <v>0.49</v>
      </c>
      <c r="AJ85" s="302" t="s">
        <v>508</v>
      </c>
      <c r="AK85" s="302" t="s">
        <v>509</v>
      </c>
      <c r="AL85" s="637">
        <v>0</v>
      </c>
      <c r="AM85" s="302" t="s">
        <v>593</v>
      </c>
      <c r="AN85" s="302" t="s">
        <v>594</v>
      </c>
      <c r="AO85" s="637">
        <v>0.01</v>
      </c>
      <c r="AP85" s="645">
        <f t="shared" ref="AP85:AP90" si="49">+AI85+AL85+AO85</f>
        <v>0.5</v>
      </c>
      <c r="AQ85" s="637">
        <v>0.49</v>
      </c>
      <c r="AR85" s="302" t="s">
        <v>508</v>
      </c>
      <c r="AS85" s="302" t="s">
        <v>509</v>
      </c>
      <c r="AT85" s="637">
        <v>0</v>
      </c>
      <c r="AU85" s="302" t="s">
        <v>593</v>
      </c>
      <c r="AV85" s="302" t="s">
        <v>594</v>
      </c>
      <c r="AW85" s="637">
        <v>0.01</v>
      </c>
      <c r="AX85" s="645">
        <f t="shared" si="43"/>
        <v>0.5</v>
      </c>
      <c r="AY85" s="637">
        <v>0.49</v>
      </c>
      <c r="AZ85" s="302" t="s">
        <v>508</v>
      </c>
      <c r="BA85" s="302" t="s">
        <v>509</v>
      </c>
      <c r="BB85" s="637">
        <v>0</v>
      </c>
      <c r="BC85" s="302" t="s">
        <v>593</v>
      </c>
      <c r="BD85" s="302" t="s">
        <v>594</v>
      </c>
      <c r="BE85" s="637">
        <v>0.01</v>
      </c>
      <c r="BF85" s="434">
        <f t="shared" si="44"/>
        <v>0.5</v>
      </c>
      <c r="BG85" s="587">
        <v>0.49</v>
      </c>
      <c r="BH85" s="302" t="s">
        <v>508</v>
      </c>
      <c r="BI85" s="302" t="s">
        <v>509</v>
      </c>
      <c r="BJ85" s="434">
        <v>0</v>
      </c>
      <c r="BK85" s="302" t="s">
        <v>593</v>
      </c>
      <c r="BL85" s="302" t="s">
        <v>594</v>
      </c>
      <c r="BM85" s="434">
        <v>0.01</v>
      </c>
      <c r="BN85" s="645">
        <f t="shared" si="45"/>
        <v>0.5</v>
      </c>
      <c r="BO85" s="434"/>
      <c r="BP85" s="434">
        <v>0.49</v>
      </c>
      <c r="BQ85" s="302" t="s">
        <v>508</v>
      </c>
      <c r="BR85" s="302" t="s">
        <v>509</v>
      </c>
      <c r="BS85" s="434">
        <v>0</v>
      </c>
      <c r="BT85" s="302" t="s">
        <v>593</v>
      </c>
      <c r="BU85" s="302" t="s">
        <v>594</v>
      </c>
      <c r="BV85" s="434">
        <v>0.01</v>
      </c>
      <c r="BW85" s="645">
        <f t="shared" si="46"/>
        <v>0.5</v>
      </c>
      <c r="BX85" s="434">
        <v>0.49</v>
      </c>
      <c r="BY85" s="302" t="s">
        <v>508</v>
      </c>
      <c r="BZ85" s="302" t="s">
        <v>509</v>
      </c>
      <c r="CA85" s="434">
        <v>0</v>
      </c>
      <c r="CB85" s="302" t="s">
        <v>593</v>
      </c>
      <c r="CC85" s="302" t="s">
        <v>594</v>
      </c>
      <c r="CD85" s="434">
        <v>0.01</v>
      </c>
      <c r="CE85" s="434">
        <f t="shared" si="47"/>
        <v>0.5</v>
      </c>
      <c r="CF85" s="1620" t="s">
        <v>862</v>
      </c>
      <c r="CG85" s="1620" t="s">
        <v>862</v>
      </c>
      <c r="CH85" s="1620" t="s">
        <v>1166</v>
      </c>
      <c r="CI85" s="408" t="s">
        <v>862</v>
      </c>
      <c r="CJ85" s="642">
        <v>0.66</v>
      </c>
      <c r="CK85" s="591" t="s">
        <v>922</v>
      </c>
      <c r="CL85" s="302" t="s">
        <v>508</v>
      </c>
      <c r="CM85" s="302" t="s">
        <v>509</v>
      </c>
      <c r="CN85" s="637">
        <v>0</v>
      </c>
      <c r="CO85" s="302" t="s">
        <v>593</v>
      </c>
      <c r="CP85" s="302" t="s">
        <v>594</v>
      </c>
      <c r="CQ85" s="637">
        <v>0.01</v>
      </c>
    </row>
    <row r="86" spans="1:98" ht="15.75" customHeight="1" x14ac:dyDescent="0.2">
      <c r="A86" s="661" t="s">
        <v>55</v>
      </c>
      <c r="B86" s="440" t="s">
        <v>54</v>
      </c>
      <c r="C86" s="637">
        <v>0.4</v>
      </c>
      <c r="D86" s="440" t="s">
        <v>645</v>
      </c>
      <c r="E86" s="440" t="s">
        <v>646</v>
      </c>
      <c r="F86" s="637">
        <v>0.09</v>
      </c>
      <c r="G86" s="440" t="s">
        <v>643</v>
      </c>
      <c r="H86" s="440" t="s">
        <v>1201</v>
      </c>
      <c r="I86" s="637">
        <v>0.01</v>
      </c>
      <c r="J86" s="662">
        <f t="shared" si="35"/>
        <v>0.5</v>
      </c>
      <c r="K86" s="637">
        <v>0.4</v>
      </c>
      <c r="L86" s="440" t="s">
        <v>645</v>
      </c>
      <c r="M86" s="440" t="s">
        <v>646</v>
      </c>
      <c r="N86" s="637">
        <v>0.09</v>
      </c>
      <c r="O86" s="440" t="s">
        <v>643</v>
      </c>
      <c r="P86" s="440" t="s">
        <v>1201</v>
      </c>
      <c r="Q86" s="637">
        <v>0.01</v>
      </c>
      <c r="R86" s="662">
        <f t="shared" si="48"/>
        <v>0.5</v>
      </c>
      <c r="S86" s="637">
        <v>0.4</v>
      </c>
      <c r="T86" s="302" t="s">
        <v>645</v>
      </c>
      <c r="U86" s="302" t="s">
        <v>646</v>
      </c>
      <c r="V86" s="637">
        <v>0.09</v>
      </c>
      <c r="W86" s="302" t="s">
        <v>643</v>
      </c>
      <c r="X86" s="302" t="s">
        <v>1201</v>
      </c>
      <c r="Y86" s="637">
        <v>0.01</v>
      </c>
      <c r="Z86" s="645">
        <f t="shared" si="27"/>
        <v>0.5</v>
      </c>
      <c r="AA86" s="637">
        <v>0.4</v>
      </c>
      <c r="AB86" s="302" t="s">
        <v>645</v>
      </c>
      <c r="AC86" s="302" t="s">
        <v>646</v>
      </c>
      <c r="AD86" s="637">
        <v>0.09</v>
      </c>
      <c r="AE86" s="302" t="s">
        <v>643</v>
      </c>
      <c r="AF86" s="302" t="s">
        <v>1201</v>
      </c>
      <c r="AG86" s="637">
        <v>0.01</v>
      </c>
      <c r="AH86" s="645">
        <f t="shared" si="28"/>
        <v>0.5</v>
      </c>
      <c r="AI86" s="637">
        <v>0.4</v>
      </c>
      <c r="AJ86" s="302" t="s">
        <v>645</v>
      </c>
      <c r="AK86" s="302" t="s">
        <v>646</v>
      </c>
      <c r="AL86" s="637">
        <v>0.09</v>
      </c>
      <c r="AM86" s="302" t="s">
        <v>643</v>
      </c>
      <c r="AN86" s="302" t="s">
        <v>1201</v>
      </c>
      <c r="AO86" s="637">
        <v>0.01</v>
      </c>
      <c r="AP86" s="645">
        <f t="shared" si="49"/>
        <v>0.5</v>
      </c>
      <c r="AQ86" s="637">
        <v>0.4</v>
      </c>
      <c r="AR86" s="302" t="s">
        <v>645</v>
      </c>
      <c r="AS86" s="302" t="s">
        <v>646</v>
      </c>
      <c r="AT86" s="637">
        <v>0.09</v>
      </c>
      <c r="AU86" s="302" t="s">
        <v>643</v>
      </c>
      <c r="AV86" s="302" t="s">
        <v>1201</v>
      </c>
      <c r="AW86" s="637">
        <v>0.01</v>
      </c>
      <c r="AX86" s="645">
        <f t="shared" ref="AX86:AX91" si="50">+AQ86+AT86+AW86</f>
        <v>0.5</v>
      </c>
      <c r="AY86" s="637">
        <v>0.4</v>
      </c>
      <c r="AZ86" s="302" t="s">
        <v>645</v>
      </c>
      <c r="BA86" s="302" t="s">
        <v>646</v>
      </c>
      <c r="BB86" s="637">
        <v>0.33999999999999997</v>
      </c>
      <c r="BC86" s="302" t="s">
        <v>643</v>
      </c>
      <c r="BD86" s="302" t="s">
        <v>1201</v>
      </c>
      <c r="BE86" s="637">
        <v>0.01</v>
      </c>
      <c r="BF86" s="434">
        <f t="shared" ref="BF86:BF91" si="51">+AY86+BB86+BE86</f>
        <v>0.75</v>
      </c>
      <c r="BG86" s="587">
        <v>0.4</v>
      </c>
      <c r="BH86" s="302" t="s">
        <v>645</v>
      </c>
      <c r="BI86" s="302" t="s">
        <v>646</v>
      </c>
      <c r="BJ86" s="434">
        <v>0.09</v>
      </c>
      <c r="BK86" s="302" t="s">
        <v>643</v>
      </c>
      <c r="BL86" s="302" t="s">
        <v>644</v>
      </c>
      <c r="BM86" s="434">
        <v>0.01</v>
      </c>
      <c r="BN86" s="645">
        <f t="shared" ref="BN86:BN91" si="52">+BG86+BJ86+BM86</f>
        <v>0.5</v>
      </c>
      <c r="BO86" s="434"/>
      <c r="BP86" s="434">
        <v>0.4</v>
      </c>
      <c r="BQ86" s="302" t="s">
        <v>645</v>
      </c>
      <c r="BR86" s="302" t="s">
        <v>646</v>
      </c>
      <c r="BS86" s="434">
        <v>0.09</v>
      </c>
      <c r="BT86" s="302" t="s">
        <v>643</v>
      </c>
      <c r="BU86" s="302" t="s">
        <v>644</v>
      </c>
      <c r="BV86" s="434">
        <v>0.01</v>
      </c>
      <c r="BW86" s="645">
        <f t="shared" ref="BW86:BW91" si="53">+BP86+BS86+BV86</f>
        <v>0.5</v>
      </c>
      <c r="BX86" s="434">
        <v>0.4</v>
      </c>
      <c r="BY86" s="302" t="s">
        <v>645</v>
      </c>
      <c r="BZ86" s="302" t="s">
        <v>646</v>
      </c>
      <c r="CA86" s="434">
        <v>0.09</v>
      </c>
      <c r="CB86" s="302" t="s">
        <v>643</v>
      </c>
      <c r="CC86" s="302" t="s">
        <v>644</v>
      </c>
      <c r="CD86" s="434">
        <v>0.01</v>
      </c>
      <c r="CE86" s="434">
        <f t="shared" ref="CE86:CE91" si="54">+BX86+CA86+CD86</f>
        <v>0.5</v>
      </c>
      <c r="CF86" s="1620" t="s">
        <v>1166</v>
      </c>
      <c r="CG86" s="1620" t="s">
        <v>1166</v>
      </c>
      <c r="CH86" s="1620" t="s">
        <v>1166</v>
      </c>
      <c r="CI86" s="406"/>
      <c r="CJ86" s="642">
        <v>0.68700000000000006</v>
      </c>
      <c r="CK86" s="591" t="s">
        <v>922</v>
      </c>
      <c r="CL86" s="302" t="s">
        <v>645</v>
      </c>
      <c r="CM86" s="302" t="s">
        <v>646</v>
      </c>
      <c r="CN86" s="637">
        <v>0.59</v>
      </c>
      <c r="CO86" s="302" t="s">
        <v>643</v>
      </c>
      <c r="CP86" s="302" t="s">
        <v>644</v>
      </c>
      <c r="CQ86" s="637">
        <v>0.01</v>
      </c>
    </row>
    <row r="87" spans="1:98" s="509" customFormat="1" ht="15.75" customHeight="1" x14ac:dyDescent="0.2">
      <c r="A87" s="661" t="s">
        <v>1182</v>
      </c>
      <c r="B87" s="440" t="s">
        <v>1181</v>
      </c>
      <c r="C87" s="637">
        <v>0.4</v>
      </c>
      <c r="D87" s="440" t="s">
        <v>647</v>
      </c>
      <c r="E87" s="440" t="s">
        <v>648</v>
      </c>
      <c r="F87" s="637">
        <v>0.1</v>
      </c>
      <c r="G87" s="440" t="s">
        <v>508</v>
      </c>
      <c r="H87" s="440" t="s">
        <v>546</v>
      </c>
      <c r="I87" s="637">
        <v>0</v>
      </c>
      <c r="J87" s="662">
        <f t="shared" si="35"/>
        <v>0.5</v>
      </c>
      <c r="K87" s="637">
        <v>0.4</v>
      </c>
      <c r="L87" s="440" t="s">
        <v>647</v>
      </c>
      <c r="M87" s="440" t="s">
        <v>648</v>
      </c>
      <c r="N87" s="637">
        <v>0.1</v>
      </c>
      <c r="O87" s="440" t="s">
        <v>508</v>
      </c>
      <c r="P87" s="440" t="s">
        <v>546</v>
      </c>
      <c r="Q87" s="637">
        <v>0</v>
      </c>
      <c r="R87" s="662">
        <f t="shared" si="48"/>
        <v>0.5</v>
      </c>
      <c r="S87" s="637">
        <v>0.4</v>
      </c>
      <c r="T87" s="440" t="s">
        <v>647</v>
      </c>
      <c r="U87" s="440" t="s">
        <v>648</v>
      </c>
      <c r="V87" s="637">
        <v>0.1</v>
      </c>
      <c r="W87" s="440" t="s">
        <v>508</v>
      </c>
      <c r="X87" s="440" t="s">
        <v>546</v>
      </c>
      <c r="Y87" s="637">
        <v>0</v>
      </c>
      <c r="Z87" s="662">
        <f t="shared" si="27"/>
        <v>0.5</v>
      </c>
      <c r="AA87" s="637">
        <v>0.4</v>
      </c>
      <c r="AB87" s="440" t="s">
        <v>647</v>
      </c>
      <c r="AC87" s="440" t="s">
        <v>648</v>
      </c>
      <c r="AD87" s="637">
        <v>0.1</v>
      </c>
      <c r="AE87" s="440" t="s">
        <v>508</v>
      </c>
      <c r="AF87" s="440" t="s">
        <v>546</v>
      </c>
      <c r="AG87" s="637">
        <v>0</v>
      </c>
      <c r="AH87" s="662">
        <f t="shared" si="28"/>
        <v>0.5</v>
      </c>
      <c r="AI87" s="637">
        <v>0.4</v>
      </c>
      <c r="AJ87" s="440" t="s">
        <v>647</v>
      </c>
      <c r="AK87" s="440" t="s">
        <v>648</v>
      </c>
      <c r="AL87" s="637">
        <v>0.1</v>
      </c>
      <c r="AM87" s="440" t="s">
        <v>508</v>
      </c>
      <c r="AN87" s="440" t="s">
        <v>546</v>
      </c>
      <c r="AO87" s="637">
        <v>0</v>
      </c>
      <c r="AP87" s="662">
        <f t="shared" si="49"/>
        <v>0.5</v>
      </c>
      <c r="AQ87" s="637">
        <v>0.4</v>
      </c>
      <c r="AR87" s="440" t="s">
        <v>647</v>
      </c>
      <c r="AS87" s="440" t="s">
        <v>648</v>
      </c>
      <c r="AT87" s="637">
        <v>0.1</v>
      </c>
      <c r="AU87" s="440" t="s">
        <v>508</v>
      </c>
      <c r="AV87" s="440" t="s">
        <v>546</v>
      </c>
      <c r="AW87" s="637">
        <v>0</v>
      </c>
      <c r="AX87" s="662">
        <f t="shared" si="50"/>
        <v>0.5</v>
      </c>
      <c r="AY87" s="637">
        <v>0.4</v>
      </c>
      <c r="AZ87" s="440" t="s">
        <v>647</v>
      </c>
      <c r="BA87" s="440" t="s">
        <v>648</v>
      </c>
      <c r="BB87" s="637">
        <v>0.1</v>
      </c>
      <c r="BC87" s="440" t="s">
        <v>508</v>
      </c>
      <c r="BD87" s="440" t="s">
        <v>546</v>
      </c>
      <c r="BE87" s="637">
        <v>0</v>
      </c>
      <c r="BF87" s="637">
        <f t="shared" si="51"/>
        <v>0.5</v>
      </c>
      <c r="BG87" s="663">
        <v>0.8</v>
      </c>
      <c r="BH87" s="440" t="s">
        <v>647</v>
      </c>
      <c r="BI87" s="440" t="s">
        <v>648</v>
      </c>
      <c r="BJ87" s="637">
        <v>0.2</v>
      </c>
      <c r="BK87" s="440" t="s">
        <v>508</v>
      </c>
      <c r="BL87" s="440" t="s">
        <v>546</v>
      </c>
      <c r="BM87" s="637">
        <v>0</v>
      </c>
      <c r="BN87" s="662">
        <f t="shared" si="52"/>
        <v>1</v>
      </c>
      <c r="BO87" s="637"/>
      <c r="BP87" s="637">
        <v>0.4</v>
      </c>
      <c r="BQ87" s="440" t="s">
        <v>647</v>
      </c>
      <c r="BR87" s="440" t="s">
        <v>648</v>
      </c>
      <c r="BS87" s="637">
        <v>0.1</v>
      </c>
      <c r="BT87" s="440" t="s">
        <v>508</v>
      </c>
      <c r="BU87" s="440" t="s">
        <v>546</v>
      </c>
      <c r="BV87" s="637">
        <v>0</v>
      </c>
      <c r="BW87" s="662">
        <f t="shared" si="53"/>
        <v>0.5</v>
      </c>
      <c r="BX87" s="637">
        <v>0.4</v>
      </c>
      <c r="BY87" s="440" t="s">
        <v>647</v>
      </c>
      <c r="BZ87" s="440" t="s">
        <v>648</v>
      </c>
      <c r="CA87" s="637">
        <v>0.1</v>
      </c>
      <c r="CB87" s="440" t="s">
        <v>508</v>
      </c>
      <c r="CC87" s="440" t="s">
        <v>546</v>
      </c>
      <c r="CD87" s="637">
        <v>0</v>
      </c>
      <c r="CE87" s="637">
        <f t="shared" si="54"/>
        <v>0.5</v>
      </c>
      <c r="CF87" s="1620" t="s">
        <v>862</v>
      </c>
      <c r="CG87" s="1620" t="s">
        <v>862</v>
      </c>
      <c r="CH87" s="1620" t="s">
        <v>1166</v>
      </c>
      <c r="CI87" s="666"/>
      <c r="CJ87" s="642">
        <v>0.64100000000000001</v>
      </c>
      <c r="CK87" s="665" t="s">
        <v>922</v>
      </c>
      <c r="CL87" s="440" t="s">
        <v>647</v>
      </c>
      <c r="CM87" s="440" t="s">
        <v>648</v>
      </c>
      <c r="CN87" s="637">
        <v>0.6</v>
      </c>
      <c r="CO87" s="440" t="s">
        <v>508</v>
      </c>
      <c r="CP87" s="440" t="s">
        <v>546</v>
      </c>
      <c r="CQ87" s="637">
        <v>0</v>
      </c>
      <c r="CS87" s="428"/>
      <c r="CT87" s="428"/>
    </row>
    <row r="88" spans="1:98" ht="15.75" customHeight="1" x14ac:dyDescent="0.2">
      <c r="A88" s="661" t="s">
        <v>57</v>
      </c>
      <c r="B88" s="440" t="s">
        <v>56</v>
      </c>
      <c r="C88" s="637">
        <v>0.4</v>
      </c>
      <c r="D88" s="440" t="s">
        <v>569</v>
      </c>
      <c r="E88" s="440" t="s">
        <v>570</v>
      </c>
      <c r="F88" s="637">
        <v>0.09</v>
      </c>
      <c r="G88" s="440" t="s">
        <v>567</v>
      </c>
      <c r="H88" s="440" t="s">
        <v>568</v>
      </c>
      <c r="I88" s="637">
        <v>0.01</v>
      </c>
      <c r="J88" s="662">
        <f t="shared" si="35"/>
        <v>0.5</v>
      </c>
      <c r="K88" s="637">
        <v>0.4</v>
      </c>
      <c r="L88" s="440" t="s">
        <v>569</v>
      </c>
      <c r="M88" s="440" t="s">
        <v>570</v>
      </c>
      <c r="N88" s="637">
        <v>0.09</v>
      </c>
      <c r="O88" s="440" t="s">
        <v>567</v>
      </c>
      <c r="P88" s="440" t="s">
        <v>568</v>
      </c>
      <c r="Q88" s="637">
        <v>0.01</v>
      </c>
      <c r="R88" s="662">
        <f t="shared" si="48"/>
        <v>0.5</v>
      </c>
      <c r="S88" s="637">
        <v>0.4</v>
      </c>
      <c r="T88" s="302" t="s">
        <v>569</v>
      </c>
      <c r="U88" s="302" t="s">
        <v>570</v>
      </c>
      <c r="V88" s="637">
        <v>0.09</v>
      </c>
      <c r="W88" s="302" t="s">
        <v>567</v>
      </c>
      <c r="X88" s="302" t="s">
        <v>568</v>
      </c>
      <c r="Y88" s="637">
        <v>0.01</v>
      </c>
      <c r="Z88" s="645">
        <f t="shared" si="27"/>
        <v>0.5</v>
      </c>
      <c r="AA88" s="637">
        <v>0.4</v>
      </c>
      <c r="AB88" s="302" t="s">
        <v>569</v>
      </c>
      <c r="AC88" s="302" t="s">
        <v>570</v>
      </c>
      <c r="AD88" s="637">
        <v>0.09</v>
      </c>
      <c r="AE88" s="302" t="s">
        <v>567</v>
      </c>
      <c r="AF88" s="302" t="s">
        <v>568</v>
      </c>
      <c r="AG88" s="637">
        <v>0.01</v>
      </c>
      <c r="AH88" s="645">
        <f t="shared" si="28"/>
        <v>0.5</v>
      </c>
      <c r="AI88" s="637">
        <v>0.4</v>
      </c>
      <c r="AJ88" s="302" t="s">
        <v>569</v>
      </c>
      <c r="AK88" s="302" t="s">
        <v>570</v>
      </c>
      <c r="AL88" s="637">
        <v>0.09</v>
      </c>
      <c r="AM88" s="302" t="s">
        <v>567</v>
      </c>
      <c r="AN88" s="302" t="s">
        <v>568</v>
      </c>
      <c r="AO88" s="637">
        <v>0.01</v>
      </c>
      <c r="AP88" s="645">
        <f t="shared" si="49"/>
        <v>0.5</v>
      </c>
      <c r="AQ88" s="637">
        <v>0.4</v>
      </c>
      <c r="AR88" s="302" t="s">
        <v>569</v>
      </c>
      <c r="AS88" s="302" t="s">
        <v>570</v>
      </c>
      <c r="AT88" s="637">
        <v>0.09</v>
      </c>
      <c r="AU88" s="302" t="s">
        <v>567</v>
      </c>
      <c r="AV88" s="302" t="s">
        <v>568</v>
      </c>
      <c r="AW88" s="637">
        <v>0.01</v>
      </c>
      <c r="AX88" s="645">
        <f t="shared" si="50"/>
        <v>0.5</v>
      </c>
      <c r="AY88" s="637">
        <v>0.44</v>
      </c>
      <c r="AZ88" s="302" t="s">
        <v>569</v>
      </c>
      <c r="BA88" s="302" t="s">
        <v>570</v>
      </c>
      <c r="BB88" s="637">
        <v>0.26</v>
      </c>
      <c r="BC88" s="302" t="s">
        <v>567</v>
      </c>
      <c r="BD88" s="302" t="s">
        <v>568</v>
      </c>
      <c r="BE88" s="637">
        <v>0.05</v>
      </c>
      <c r="BF88" s="434">
        <f t="shared" si="51"/>
        <v>0.75</v>
      </c>
      <c r="BG88" s="587">
        <v>0.4</v>
      </c>
      <c r="BH88" s="302" t="s">
        <v>569</v>
      </c>
      <c r="BI88" s="302" t="s">
        <v>570</v>
      </c>
      <c r="BJ88" s="434">
        <v>0.09</v>
      </c>
      <c r="BK88" s="302" t="s">
        <v>567</v>
      </c>
      <c r="BL88" s="302" t="s">
        <v>568</v>
      </c>
      <c r="BM88" s="434">
        <v>0.01</v>
      </c>
      <c r="BN88" s="645">
        <f t="shared" si="52"/>
        <v>0.5</v>
      </c>
      <c r="BO88" s="434"/>
      <c r="BP88" s="434">
        <v>0.4</v>
      </c>
      <c r="BQ88" s="302" t="s">
        <v>569</v>
      </c>
      <c r="BR88" s="302" t="s">
        <v>570</v>
      </c>
      <c r="BS88" s="434">
        <v>0.09</v>
      </c>
      <c r="BT88" s="302" t="s">
        <v>567</v>
      </c>
      <c r="BU88" s="302" t="s">
        <v>568</v>
      </c>
      <c r="BV88" s="434">
        <v>0.01</v>
      </c>
      <c r="BW88" s="645">
        <f t="shared" si="53"/>
        <v>0.5</v>
      </c>
      <c r="BX88" s="434">
        <v>0.4</v>
      </c>
      <c r="BY88" s="302" t="s">
        <v>569</v>
      </c>
      <c r="BZ88" s="302" t="s">
        <v>570</v>
      </c>
      <c r="CA88" s="434">
        <v>0.09</v>
      </c>
      <c r="CB88" s="302" t="s">
        <v>567</v>
      </c>
      <c r="CC88" s="302" t="s">
        <v>568</v>
      </c>
      <c r="CD88" s="434">
        <v>0.01</v>
      </c>
      <c r="CE88" s="434">
        <f t="shared" si="54"/>
        <v>0.5</v>
      </c>
      <c r="CF88" s="1620" t="s">
        <v>1166</v>
      </c>
      <c r="CG88" s="1620" t="s">
        <v>1166</v>
      </c>
      <c r="CH88" s="1620" t="s">
        <v>1166</v>
      </c>
      <c r="CI88" s="406"/>
      <c r="CJ88" s="642">
        <v>0.69899999999999995</v>
      </c>
      <c r="CK88" s="591" t="s">
        <v>922</v>
      </c>
      <c r="CL88" s="302" t="s">
        <v>569</v>
      </c>
      <c r="CM88" s="302" t="s">
        <v>570</v>
      </c>
      <c r="CN88" s="637">
        <v>0.59</v>
      </c>
      <c r="CO88" s="302" t="s">
        <v>567</v>
      </c>
      <c r="CP88" s="302" t="s">
        <v>568</v>
      </c>
      <c r="CQ88" s="637">
        <v>0.01</v>
      </c>
    </row>
    <row r="89" spans="1:98" ht="15.75" customHeight="1" x14ac:dyDescent="0.2">
      <c r="A89" s="661" t="s">
        <v>59</v>
      </c>
      <c r="B89" s="440" t="s">
        <v>58</v>
      </c>
      <c r="C89" s="637">
        <v>0.4</v>
      </c>
      <c r="D89" s="440" t="s">
        <v>583</v>
      </c>
      <c r="E89" s="440" t="s">
        <v>584</v>
      </c>
      <c r="F89" s="637">
        <v>0.09</v>
      </c>
      <c r="G89" s="440" t="s">
        <v>2218</v>
      </c>
      <c r="H89" s="440" t="s">
        <v>2219</v>
      </c>
      <c r="I89" s="637">
        <v>0.01</v>
      </c>
      <c r="J89" s="662">
        <f t="shared" si="35"/>
        <v>0.5</v>
      </c>
      <c r="K89" s="637">
        <v>0.4</v>
      </c>
      <c r="L89" s="440" t="s">
        <v>583</v>
      </c>
      <c r="M89" s="440" t="s">
        <v>584</v>
      </c>
      <c r="N89" s="637">
        <v>0.09</v>
      </c>
      <c r="O89" s="440" t="s">
        <v>2218</v>
      </c>
      <c r="P89" s="440" t="s">
        <v>2219</v>
      </c>
      <c r="Q89" s="637">
        <v>0.01</v>
      </c>
      <c r="R89" s="662">
        <f t="shared" si="48"/>
        <v>0.5</v>
      </c>
      <c r="S89" s="637">
        <v>0.4</v>
      </c>
      <c r="T89" s="302" t="s">
        <v>583</v>
      </c>
      <c r="U89" s="302" t="s">
        <v>584</v>
      </c>
      <c r="V89" s="637">
        <v>0.09</v>
      </c>
      <c r="W89" s="302" t="s">
        <v>2218</v>
      </c>
      <c r="X89" s="302" t="s">
        <v>2219</v>
      </c>
      <c r="Y89" s="637">
        <v>0.01</v>
      </c>
      <c r="Z89" s="645">
        <f t="shared" si="27"/>
        <v>0.5</v>
      </c>
      <c r="AA89" s="637">
        <v>0.4</v>
      </c>
      <c r="AB89" s="302" t="s">
        <v>583</v>
      </c>
      <c r="AC89" s="302" t="s">
        <v>584</v>
      </c>
      <c r="AD89" s="637">
        <v>0.09</v>
      </c>
      <c r="AE89" s="302" t="s">
        <v>2218</v>
      </c>
      <c r="AF89" s="302" t="s">
        <v>2219</v>
      </c>
      <c r="AG89" s="637">
        <v>0.01</v>
      </c>
      <c r="AH89" s="645">
        <f t="shared" si="28"/>
        <v>0.5</v>
      </c>
      <c r="AI89" s="637">
        <v>0.4</v>
      </c>
      <c r="AJ89" s="302" t="s">
        <v>583</v>
      </c>
      <c r="AK89" s="302" t="s">
        <v>584</v>
      </c>
      <c r="AL89" s="637">
        <v>0.09</v>
      </c>
      <c r="AM89" s="302" t="s">
        <v>2218</v>
      </c>
      <c r="AN89" s="302" t="s">
        <v>2219</v>
      </c>
      <c r="AO89" s="637">
        <v>0.01</v>
      </c>
      <c r="AP89" s="645">
        <f t="shared" si="49"/>
        <v>0.5</v>
      </c>
      <c r="AQ89" s="637">
        <v>0.4</v>
      </c>
      <c r="AR89" s="302" t="s">
        <v>583</v>
      </c>
      <c r="AS89" s="302" t="s">
        <v>584</v>
      </c>
      <c r="AT89" s="637">
        <v>0.09</v>
      </c>
      <c r="AU89" s="302" t="s">
        <v>580</v>
      </c>
      <c r="AV89" s="302" t="s">
        <v>581</v>
      </c>
      <c r="AW89" s="637">
        <v>0.01</v>
      </c>
      <c r="AX89" s="645">
        <f t="shared" si="50"/>
        <v>0.5</v>
      </c>
      <c r="AY89" s="637">
        <v>0.4</v>
      </c>
      <c r="AZ89" s="302" t="s">
        <v>583</v>
      </c>
      <c r="BA89" s="302" t="s">
        <v>584</v>
      </c>
      <c r="BB89" s="637">
        <v>0.09</v>
      </c>
      <c r="BC89" s="302" t="s">
        <v>580</v>
      </c>
      <c r="BD89" s="302" t="s">
        <v>581</v>
      </c>
      <c r="BE89" s="637">
        <v>0.01</v>
      </c>
      <c r="BF89" s="434">
        <f t="shared" si="51"/>
        <v>0.5</v>
      </c>
      <c r="BG89" s="587">
        <v>0.4</v>
      </c>
      <c r="BH89" s="302" t="s">
        <v>583</v>
      </c>
      <c r="BI89" s="302" t="s">
        <v>584</v>
      </c>
      <c r="BJ89" s="434">
        <v>0.09</v>
      </c>
      <c r="BK89" s="302" t="s">
        <v>580</v>
      </c>
      <c r="BL89" s="302" t="s">
        <v>581</v>
      </c>
      <c r="BM89" s="434">
        <v>0.01</v>
      </c>
      <c r="BN89" s="645">
        <f t="shared" si="52"/>
        <v>0.5</v>
      </c>
      <c r="BO89" s="434"/>
      <c r="BP89" s="434">
        <v>0.4</v>
      </c>
      <c r="BQ89" s="302" t="s">
        <v>583</v>
      </c>
      <c r="BR89" s="302" t="s">
        <v>584</v>
      </c>
      <c r="BS89" s="434">
        <v>0.09</v>
      </c>
      <c r="BT89" s="302" t="s">
        <v>580</v>
      </c>
      <c r="BU89" s="302" t="s">
        <v>581</v>
      </c>
      <c r="BV89" s="434">
        <v>0.01</v>
      </c>
      <c r="BW89" s="645">
        <f t="shared" si="53"/>
        <v>0.5</v>
      </c>
      <c r="BX89" s="434">
        <v>0.4</v>
      </c>
      <c r="BY89" s="302" t="s">
        <v>583</v>
      </c>
      <c r="BZ89" s="302" t="s">
        <v>584</v>
      </c>
      <c r="CA89" s="434">
        <v>0.09</v>
      </c>
      <c r="CB89" s="302" t="s">
        <v>580</v>
      </c>
      <c r="CC89" s="302" t="s">
        <v>581</v>
      </c>
      <c r="CD89" s="434">
        <v>0.01</v>
      </c>
      <c r="CE89" s="434">
        <f t="shared" si="54"/>
        <v>0.5</v>
      </c>
      <c r="CF89" s="1620" t="s">
        <v>862</v>
      </c>
      <c r="CG89" s="1620" t="s">
        <v>862</v>
      </c>
      <c r="CH89" s="1620" t="s">
        <v>1166</v>
      </c>
      <c r="CI89" s="406"/>
      <c r="CJ89" s="642">
        <v>0.72099999999999997</v>
      </c>
      <c r="CK89" s="591" t="s">
        <v>922</v>
      </c>
      <c r="CL89" s="302" t="s">
        <v>583</v>
      </c>
      <c r="CM89" s="302" t="s">
        <v>584</v>
      </c>
      <c r="CN89" s="637">
        <v>0.59</v>
      </c>
      <c r="CO89" s="302" t="s">
        <v>580</v>
      </c>
      <c r="CP89" s="302" t="s">
        <v>581</v>
      </c>
      <c r="CQ89" s="637">
        <v>0.01</v>
      </c>
    </row>
    <row r="90" spans="1:98" ht="15.75" customHeight="1" x14ac:dyDescent="0.2">
      <c r="A90" s="661" t="s">
        <v>61</v>
      </c>
      <c r="B90" s="440" t="s">
        <v>60</v>
      </c>
      <c r="C90" s="637">
        <v>0.4</v>
      </c>
      <c r="D90" s="440" t="s">
        <v>649</v>
      </c>
      <c r="E90" s="440" t="s">
        <v>650</v>
      </c>
      <c r="F90" s="637">
        <v>0.1</v>
      </c>
      <c r="G90" s="440" t="s">
        <v>508</v>
      </c>
      <c r="H90" s="440" t="s">
        <v>546</v>
      </c>
      <c r="I90" s="637">
        <v>0</v>
      </c>
      <c r="J90" s="662">
        <f t="shared" si="35"/>
        <v>0.5</v>
      </c>
      <c r="K90" s="637">
        <v>0.4</v>
      </c>
      <c r="L90" s="440" t="s">
        <v>649</v>
      </c>
      <c r="M90" s="440" t="s">
        <v>650</v>
      </c>
      <c r="N90" s="637">
        <v>0.1</v>
      </c>
      <c r="O90" s="440" t="s">
        <v>508</v>
      </c>
      <c r="P90" s="440" t="s">
        <v>546</v>
      </c>
      <c r="Q90" s="637">
        <v>0</v>
      </c>
      <c r="R90" s="662">
        <f t="shared" si="48"/>
        <v>0.5</v>
      </c>
      <c r="S90" s="637">
        <v>0.4</v>
      </c>
      <c r="T90" s="302" t="s">
        <v>649</v>
      </c>
      <c r="U90" s="302" t="s">
        <v>650</v>
      </c>
      <c r="V90" s="637">
        <v>0.1</v>
      </c>
      <c r="W90" s="302" t="s">
        <v>508</v>
      </c>
      <c r="X90" s="302" t="s">
        <v>546</v>
      </c>
      <c r="Y90" s="637">
        <v>0</v>
      </c>
      <c r="Z90" s="645">
        <f t="shared" si="27"/>
        <v>0.5</v>
      </c>
      <c r="AA90" s="637">
        <v>0.4</v>
      </c>
      <c r="AB90" s="302" t="s">
        <v>649</v>
      </c>
      <c r="AC90" s="302" t="s">
        <v>650</v>
      </c>
      <c r="AD90" s="637">
        <v>0.1</v>
      </c>
      <c r="AE90" s="302" t="s">
        <v>508</v>
      </c>
      <c r="AF90" s="302" t="s">
        <v>546</v>
      </c>
      <c r="AG90" s="637">
        <v>0</v>
      </c>
      <c r="AH90" s="645">
        <f t="shared" si="28"/>
        <v>0.5</v>
      </c>
      <c r="AI90" s="637">
        <v>0.4</v>
      </c>
      <c r="AJ90" s="302" t="s">
        <v>649</v>
      </c>
      <c r="AK90" s="302" t="s">
        <v>650</v>
      </c>
      <c r="AL90" s="637">
        <v>0.1</v>
      </c>
      <c r="AM90" s="302" t="s">
        <v>508</v>
      </c>
      <c r="AN90" s="302" t="s">
        <v>546</v>
      </c>
      <c r="AO90" s="637">
        <v>0</v>
      </c>
      <c r="AP90" s="645">
        <f t="shared" si="49"/>
        <v>0.5</v>
      </c>
      <c r="AQ90" s="637">
        <v>0.4</v>
      </c>
      <c r="AR90" s="302" t="s">
        <v>649</v>
      </c>
      <c r="AS90" s="302" t="s">
        <v>650</v>
      </c>
      <c r="AT90" s="637">
        <v>0.1</v>
      </c>
      <c r="AU90" s="302" t="s">
        <v>508</v>
      </c>
      <c r="AV90" s="302" t="s">
        <v>546</v>
      </c>
      <c r="AW90" s="637">
        <v>0</v>
      </c>
      <c r="AX90" s="645">
        <f t="shared" si="50"/>
        <v>0.5</v>
      </c>
      <c r="AY90" s="637">
        <v>0.4</v>
      </c>
      <c r="AZ90" s="302" t="s">
        <v>649</v>
      </c>
      <c r="BA90" s="302" t="s">
        <v>650</v>
      </c>
      <c r="BB90" s="637">
        <v>0.1</v>
      </c>
      <c r="BC90" s="302" t="s">
        <v>508</v>
      </c>
      <c r="BD90" s="302" t="s">
        <v>546</v>
      </c>
      <c r="BE90" s="637">
        <v>0</v>
      </c>
      <c r="BF90" s="434">
        <f t="shared" si="51"/>
        <v>0.5</v>
      </c>
      <c r="BG90" s="587">
        <v>0.3</v>
      </c>
      <c r="BH90" s="302" t="s">
        <v>649</v>
      </c>
      <c r="BI90" s="302" t="s">
        <v>650</v>
      </c>
      <c r="BJ90" s="434">
        <v>0.7</v>
      </c>
      <c r="BK90" s="302" t="s">
        <v>508</v>
      </c>
      <c r="BL90" s="302" t="s">
        <v>546</v>
      </c>
      <c r="BM90" s="434">
        <v>0</v>
      </c>
      <c r="BN90" s="645">
        <f t="shared" si="52"/>
        <v>1</v>
      </c>
      <c r="BO90" s="434"/>
      <c r="BP90" s="434">
        <v>0.4</v>
      </c>
      <c r="BQ90" s="302" t="s">
        <v>649</v>
      </c>
      <c r="BR90" s="302" t="s">
        <v>650</v>
      </c>
      <c r="BS90" s="434">
        <v>0.1</v>
      </c>
      <c r="BT90" s="302" t="s">
        <v>508</v>
      </c>
      <c r="BU90" s="302" t="s">
        <v>546</v>
      </c>
      <c r="BV90" s="434">
        <v>0</v>
      </c>
      <c r="BW90" s="645">
        <f t="shared" si="53"/>
        <v>0.5</v>
      </c>
      <c r="BX90" s="434">
        <v>0.4</v>
      </c>
      <c r="BY90" s="302" t="s">
        <v>649</v>
      </c>
      <c r="BZ90" s="302" t="s">
        <v>650</v>
      </c>
      <c r="CA90" s="434">
        <v>0.1</v>
      </c>
      <c r="CB90" s="302" t="s">
        <v>508</v>
      </c>
      <c r="CC90" s="302" t="s">
        <v>546</v>
      </c>
      <c r="CD90" s="434">
        <v>0</v>
      </c>
      <c r="CE90" s="434">
        <f t="shared" si="54"/>
        <v>0.5</v>
      </c>
      <c r="CF90" s="1621" t="s">
        <v>1166</v>
      </c>
      <c r="CG90" s="1621" t="s">
        <v>1166</v>
      </c>
      <c r="CH90" s="1621" t="s">
        <v>1166</v>
      </c>
      <c r="CI90" s="406"/>
      <c r="CJ90" s="642">
        <v>0.751</v>
      </c>
      <c r="CK90" s="591" t="s">
        <v>922</v>
      </c>
      <c r="CL90" s="302" t="s">
        <v>649</v>
      </c>
      <c r="CM90" s="302" t="s">
        <v>650</v>
      </c>
      <c r="CN90" s="637">
        <v>0.6</v>
      </c>
      <c r="CO90" s="302" t="s">
        <v>508</v>
      </c>
      <c r="CP90" s="302" t="s">
        <v>546</v>
      </c>
      <c r="CQ90" s="637">
        <v>0</v>
      </c>
    </row>
    <row r="91" spans="1:98" ht="15.75" customHeight="1" x14ac:dyDescent="0.2">
      <c r="A91" s="661" t="s">
        <v>63</v>
      </c>
      <c r="B91" s="440" t="s">
        <v>62</v>
      </c>
      <c r="C91" s="637">
        <v>0.3</v>
      </c>
      <c r="D91" s="440" t="s">
        <v>674</v>
      </c>
      <c r="E91" s="440" t="s">
        <v>675</v>
      </c>
      <c r="F91" s="637">
        <v>0.37</v>
      </c>
      <c r="G91" s="440" t="s">
        <v>508</v>
      </c>
      <c r="H91" s="440" t="s">
        <v>508</v>
      </c>
      <c r="I91" s="637">
        <v>0</v>
      </c>
      <c r="J91" s="662">
        <f t="shared" si="35"/>
        <v>0.66999999999999993</v>
      </c>
      <c r="K91" s="637">
        <v>0.3</v>
      </c>
      <c r="L91" s="440" t="s">
        <v>674</v>
      </c>
      <c r="M91" s="440" t="s">
        <v>675</v>
      </c>
      <c r="N91" s="637">
        <v>0.37</v>
      </c>
      <c r="O91" s="440" t="s">
        <v>508</v>
      </c>
      <c r="P91" s="440" t="s">
        <v>508</v>
      </c>
      <c r="Q91" s="637">
        <v>0</v>
      </c>
      <c r="R91" s="662">
        <f t="shared" si="48"/>
        <v>0.66999999999999993</v>
      </c>
      <c r="S91" s="637">
        <v>0.3</v>
      </c>
      <c r="T91" s="302" t="s">
        <v>674</v>
      </c>
      <c r="U91" s="302" t="s">
        <v>675</v>
      </c>
      <c r="V91" s="637">
        <v>0.37</v>
      </c>
      <c r="W91" s="302" t="s">
        <v>508</v>
      </c>
      <c r="X91" s="302" t="s">
        <v>508</v>
      </c>
      <c r="Y91" s="637">
        <v>0</v>
      </c>
      <c r="Z91" s="645">
        <f t="shared" si="27"/>
        <v>0.66999999999999993</v>
      </c>
      <c r="AA91" s="637">
        <v>0.3</v>
      </c>
      <c r="AB91" s="302" t="s">
        <v>674</v>
      </c>
      <c r="AC91" s="302" t="s">
        <v>675</v>
      </c>
      <c r="AD91" s="637">
        <v>0.37</v>
      </c>
      <c r="AE91" s="302" t="s">
        <v>508</v>
      </c>
      <c r="AF91" s="302" t="s">
        <v>508</v>
      </c>
      <c r="AG91" s="637">
        <v>0</v>
      </c>
      <c r="AH91" s="645">
        <f t="shared" si="28"/>
        <v>0.66999999999999993</v>
      </c>
      <c r="AI91" s="637">
        <v>0.3</v>
      </c>
      <c r="AJ91" s="302" t="s">
        <v>674</v>
      </c>
      <c r="AK91" s="302" t="s">
        <v>675</v>
      </c>
      <c r="AL91" s="637">
        <v>0.37</v>
      </c>
      <c r="AM91" s="302" t="s">
        <v>508</v>
      </c>
      <c r="AN91" s="302" t="s">
        <v>508</v>
      </c>
      <c r="AO91" s="637">
        <v>0</v>
      </c>
      <c r="AP91" s="645">
        <f t="shared" ref="AP91:AP96" si="55">+AI91+AL91+AO91</f>
        <v>0.66999999999999993</v>
      </c>
      <c r="AQ91" s="637">
        <v>0.3</v>
      </c>
      <c r="AR91" s="302" t="s">
        <v>674</v>
      </c>
      <c r="AS91" s="302" t="s">
        <v>675</v>
      </c>
      <c r="AT91" s="637">
        <v>0.37</v>
      </c>
      <c r="AU91" s="302" t="s">
        <v>508</v>
      </c>
      <c r="AV91" s="302" t="s">
        <v>508</v>
      </c>
      <c r="AW91" s="637">
        <v>0</v>
      </c>
      <c r="AX91" s="645">
        <f t="shared" si="50"/>
        <v>0.66999999999999993</v>
      </c>
      <c r="AY91" s="637">
        <v>0.48</v>
      </c>
      <c r="AZ91" s="302" t="s">
        <v>674</v>
      </c>
      <c r="BA91" s="302" t="s">
        <v>675</v>
      </c>
      <c r="BB91" s="637">
        <v>0.27</v>
      </c>
      <c r="BC91" s="302" t="s">
        <v>508</v>
      </c>
      <c r="BD91" s="302" t="s">
        <v>508</v>
      </c>
      <c r="BE91" s="637">
        <v>0</v>
      </c>
      <c r="BF91" s="434">
        <f t="shared" si="51"/>
        <v>0.75</v>
      </c>
      <c r="BG91" s="587">
        <v>0.64</v>
      </c>
      <c r="BH91" s="302" t="s">
        <v>674</v>
      </c>
      <c r="BI91" s="302" t="s">
        <v>675</v>
      </c>
      <c r="BJ91" s="434">
        <v>0.36</v>
      </c>
      <c r="BK91" s="302" t="s">
        <v>508</v>
      </c>
      <c r="BL91" s="302" t="s">
        <v>508</v>
      </c>
      <c r="BM91" s="434">
        <v>0</v>
      </c>
      <c r="BN91" s="645">
        <f t="shared" si="52"/>
        <v>1</v>
      </c>
      <c r="BO91" s="434"/>
      <c r="BP91" s="434">
        <v>0.3</v>
      </c>
      <c r="BQ91" s="302" t="s">
        <v>674</v>
      </c>
      <c r="BR91" s="302" t="s">
        <v>675</v>
      </c>
      <c r="BS91" s="434">
        <v>0.37</v>
      </c>
      <c r="BT91" s="302" t="s">
        <v>508</v>
      </c>
      <c r="BU91" s="302" t="s">
        <v>508</v>
      </c>
      <c r="BV91" s="434">
        <v>0</v>
      </c>
      <c r="BW91" s="645">
        <f t="shared" si="53"/>
        <v>0.66999999999999993</v>
      </c>
      <c r="BX91" s="434">
        <v>0.3</v>
      </c>
      <c r="BY91" s="302" t="s">
        <v>674</v>
      </c>
      <c r="BZ91" s="302" t="s">
        <v>675</v>
      </c>
      <c r="CA91" s="434">
        <v>0.2</v>
      </c>
      <c r="CB91" s="302" t="s">
        <v>508</v>
      </c>
      <c r="CC91" s="302" t="s">
        <v>508</v>
      </c>
      <c r="CD91" s="434">
        <v>0</v>
      </c>
      <c r="CE91" s="434">
        <f t="shared" si="54"/>
        <v>0.5</v>
      </c>
      <c r="CF91" s="1620" t="s">
        <v>1166</v>
      </c>
      <c r="CG91" s="1620" t="s">
        <v>1166</v>
      </c>
      <c r="CH91" s="1620" t="s">
        <v>1166</v>
      </c>
      <c r="CI91" s="408" t="s">
        <v>862</v>
      </c>
      <c r="CJ91" s="642">
        <v>0.754</v>
      </c>
      <c r="CK91" s="591" t="s">
        <v>922</v>
      </c>
      <c r="CL91" s="302" t="s">
        <v>674</v>
      </c>
      <c r="CM91" s="302" t="s">
        <v>675</v>
      </c>
      <c r="CN91" s="637">
        <v>0.2</v>
      </c>
      <c r="CO91" s="302" t="s">
        <v>508</v>
      </c>
      <c r="CP91" s="302" t="s">
        <v>508</v>
      </c>
      <c r="CQ91" s="637">
        <v>0</v>
      </c>
    </row>
    <row r="92" spans="1:98" ht="15.75" customHeight="1" x14ac:dyDescent="0.2">
      <c r="A92" s="661" t="s">
        <v>65</v>
      </c>
      <c r="B92" s="440" t="s">
        <v>64</v>
      </c>
      <c r="C92" s="637">
        <v>0.4</v>
      </c>
      <c r="D92" s="440" t="s">
        <v>575</v>
      </c>
      <c r="E92" s="440" t="s">
        <v>576</v>
      </c>
      <c r="F92" s="637">
        <v>0.09</v>
      </c>
      <c r="G92" s="440" t="s">
        <v>572</v>
      </c>
      <c r="H92" s="440" t="s">
        <v>1200</v>
      </c>
      <c r="I92" s="637">
        <v>0.01</v>
      </c>
      <c r="J92" s="662">
        <f t="shared" si="35"/>
        <v>0.5</v>
      </c>
      <c r="K92" s="637">
        <v>0.4</v>
      </c>
      <c r="L92" s="440" t="s">
        <v>575</v>
      </c>
      <c r="M92" s="440" t="s">
        <v>576</v>
      </c>
      <c r="N92" s="637">
        <v>0.09</v>
      </c>
      <c r="O92" s="440" t="s">
        <v>572</v>
      </c>
      <c r="P92" s="440" t="s">
        <v>1200</v>
      </c>
      <c r="Q92" s="637">
        <v>0.01</v>
      </c>
      <c r="R92" s="662">
        <f t="shared" si="48"/>
        <v>0.5</v>
      </c>
      <c r="S92" s="637">
        <v>0.4</v>
      </c>
      <c r="T92" s="302" t="s">
        <v>575</v>
      </c>
      <c r="U92" s="302" t="s">
        <v>576</v>
      </c>
      <c r="V92" s="637">
        <v>0.09</v>
      </c>
      <c r="W92" s="302" t="s">
        <v>572</v>
      </c>
      <c r="X92" s="302" t="s">
        <v>1200</v>
      </c>
      <c r="Y92" s="637">
        <v>0.01</v>
      </c>
      <c r="Z92" s="645">
        <f t="shared" si="27"/>
        <v>0.5</v>
      </c>
      <c r="AA92" s="637">
        <v>0.4</v>
      </c>
      <c r="AB92" s="302" t="s">
        <v>575</v>
      </c>
      <c r="AC92" s="302" t="s">
        <v>576</v>
      </c>
      <c r="AD92" s="637">
        <v>0.09</v>
      </c>
      <c r="AE92" s="302" t="s">
        <v>572</v>
      </c>
      <c r="AF92" s="302" t="s">
        <v>1200</v>
      </c>
      <c r="AG92" s="637">
        <v>0.01</v>
      </c>
      <c r="AH92" s="645">
        <f t="shared" si="28"/>
        <v>0.5</v>
      </c>
      <c r="AI92" s="637">
        <v>0.4</v>
      </c>
      <c r="AJ92" s="302" t="s">
        <v>575</v>
      </c>
      <c r="AK92" s="302" t="s">
        <v>576</v>
      </c>
      <c r="AL92" s="637">
        <v>0.09</v>
      </c>
      <c r="AM92" s="302" t="s">
        <v>572</v>
      </c>
      <c r="AN92" s="302" t="s">
        <v>1200</v>
      </c>
      <c r="AO92" s="637">
        <v>0.01</v>
      </c>
      <c r="AP92" s="645">
        <f t="shared" si="55"/>
        <v>0.5</v>
      </c>
      <c r="AQ92" s="637">
        <v>0.4</v>
      </c>
      <c r="AR92" s="302" t="s">
        <v>575</v>
      </c>
      <c r="AS92" s="302" t="s">
        <v>576</v>
      </c>
      <c r="AT92" s="637">
        <v>0.09</v>
      </c>
      <c r="AU92" s="302" t="s">
        <v>572</v>
      </c>
      <c r="AV92" s="302" t="s">
        <v>1200</v>
      </c>
      <c r="AW92" s="637">
        <v>0.01</v>
      </c>
      <c r="AX92" s="645">
        <f t="shared" ref="AX92:AX97" si="56">+AQ92+AT92+AW92</f>
        <v>0.5</v>
      </c>
      <c r="AY92" s="637">
        <v>0.4</v>
      </c>
      <c r="AZ92" s="302" t="s">
        <v>575</v>
      </c>
      <c r="BA92" s="302" t="s">
        <v>576</v>
      </c>
      <c r="BB92" s="637">
        <v>0.09</v>
      </c>
      <c r="BC92" s="302" t="s">
        <v>572</v>
      </c>
      <c r="BD92" s="302" t="s">
        <v>1200</v>
      </c>
      <c r="BE92" s="637">
        <v>0.01</v>
      </c>
      <c r="BF92" s="434">
        <f t="shared" ref="BF92:BF97" si="57">+AY92+BB92+BE92</f>
        <v>0.5</v>
      </c>
      <c r="BG92" s="587">
        <v>0.4</v>
      </c>
      <c r="BH92" s="302" t="s">
        <v>575</v>
      </c>
      <c r="BI92" s="302" t="s">
        <v>576</v>
      </c>
      <c r="BJ92" s="434">
        <v>0.09</v>
      </c>
      <c r="BK92" s="302" t="s">
        <v>572</v>
      </c>
      <c r="BL92" s="302" t="s">
        <v>573</v>
      </c>
      <c r="BM92" s="434">
        <v>0.01</v>
      </c>
      <c r="BN92" s="645">
        <f t="shared" ref="BN92:BN97" si="58">+BG92+BJ92+BM92</f>
        <v>0.5</v>
      </c>
      <c r="BO92" s="434"/>
      <c r="BP92" s="434">
        <v>0.4</v>
      </c>
      <c r="BQ92" s="302" t="s">
        <v>575</v>
      </c>
      <c r="BR92" s="302" t="s">
        <v>576</v>
      </c>
      <c r="BS92" s="434">
        <v>0.09</v>
      </c>
      <c r="BT92" s="302" t="s">
        <v>572</v>
      </c>
      <c r="BU92" s="302" t="s">
        <v>573</v>
      </c>
      <c r="BV92" s="434">
        <v>0.01</v>
      </c>
      <c r="BW92" s="645">
        <f t="shared" ref="BW92:BW97" si="59">+BP92+BS92+BV92</f>
        <v>0.5</v>
      </c>
      <c r="BX92" s="434">
        <v>0.4</v>
      </c>
      <c r="BY92" s="302" t="s">
        <v>575</v>
      </c>
      <c r="BZ92" s="302" t="s">
        <v>576</v>
      </c>
      <c r="CA92" s="434">
        <v>0.09</v>
      </c>
      <c r="CB92" s="302" t="s">
        <v>572</v>
      </c>
      <c r="CC92" s="302" t="s">
        <v>573</v>
      </c>
      <c r="CD92" s="434">
        <v>0.01</v>
      </c>
      <c r="CE92" s="434">
        <f t="shared" ref="CE92:CE97" si="60">+BX92+CA92+CD92</f>
        <v>0.5</v>
      </c>
      <c r="CF92" s="1620" t="s">
        <v>1166</v>
      </c>
      <c r="CG92" s="1620" t="s">
        <v>1166</v>
      </c>
      <c r="CH92" s="1620" t="s">
        <v>1166</v>
      </c>
      <c r="CI92" s="406"/>
      <c r="CJ92" s="642">
        <v>0.72599999999999998</v>
      </c>
      <c r="CK92" s="591" t="s">
        <v>922</v>
      </c>
      <c r="CL92" s="302" t="s">
        <v>575</v>
      </c>
      <c r="CM92" s="302" t="s">
        <v>576</v>
      </c>
      <c r="CN92" s="637">
        <v>0.59</v>
      </c>
      <c r="CO92" s="302" t="s">
        <v>572</v>
      </c>
      <c r="CP92" s="302" t="s">
        <v>573</v>
      </c>
      <c r="CQ92" s="637">
        <v>0.01</v>
      </c>
    </row>
    <row r="93" spans="1:98" ht="15.75" customHeight="1" x14ac:dyDescent="0.2">
      <c r="A93" s="661" t="s">
        <v>67</v>
      </c>
      <c r="B93" s="440" t="s">
        <v>66</v>
      </c>
      <c r="C93" s="637">
        <v>0.4</v>
      </c>
      <c r="D93" s="440" t="s">
        <v>649</v>
      </c>
      <c r="E93" s="440" t="s">
        <v>650</v>
      </c>
      <c r="F93" s="637">
        <v>0.1</v>
      </c>
      <c r="G93" s="440" t="s">
        <v>508</v>
      </c>
      <c r="H93" s="440" t="s">
        <v>546</v>
      </c>
      <c r="I93" s="637">
        <v>0</v>
      </c>
      <c r="J93" s="662">
        <f t="shared" si="35"/>
        <v>0.5</v>
      </c>
      <c r="K93" s="637">
        <v>0.4</v>
      </c>
      <c r="L93" s="440" t="s">
        <v>649</v>
      </c>
      <c r="M93" s="440" t="s">
        <v>650</v>
      </c>
      <c r="N93" s="637">
        <v>0.1</v>
      </c>
      <c r="O93" s="440" t="s">
        <v>508</v>
      </c>
      <c r="P93" s="440" t="s">
        <v>546</v>
      </c>
      <c r="Q93" s="637">
        <v>0</v>
      </c>
      <c r="R93" s="662">
        <f t="shared" si="48"/>
        <v>0.5</v>
      </c>
      <c r="S93" s="637">
        <v>0.4</v>
      </c>
      <c r="T93" s="302" t="s">
        <v>649</v>
      </c>
      <c r="U93" s="302" t="s">
        <v>650</v>
      </c>
      <c r="V93" s="637">
        <v>0.1</v>
      </c>
      <c r="W93" s="302" t="s">
        <v>508</v>
      </c>
      <c r="X93" s="302" t="s">
        <v>546</v>
      </c>
      <c r="Y93" s="637">
        <v>0</v>
      </c>
      <c r="Z93" s="645">
        <f t="shared" si="27"/>
        <v>0.5</v>
      </c>
      <c r="AA93" s="637">
        <v>0.4</v>
      </c>
      <c r="AB93" s="302" t="s">
        <v>649</v>
      </c>
      <c r="AC93" s="302" t="s">
        <v>650</v>
      </c>
      <c r="AD93" s="637">
        <v>0.1</v>
      </c>
      <c r="AE93" s="302" t="s">
        <v>508</v>
      </c>
      <c r="AF93" s="302" t="s">
        <v>546</v>
      </c>
      <c r="AG93" s="637">
        <v>0</v>
      </c>
      <c r="AH93" s="645">
        <f t="shared" si="28"/>
        <v>0.5</v>
      </c>
      <c r="AI93" s="637">
        <v>0.4</v>
      </c>
      <c r="AJ93" s="302" t="s">
        <v>649</v>
      </c>
      <c r="AK93" s="302" t="s">
        <v>650</v>
      </c>
      <c r="AL93" s="637">
        <v>0.1</v>
      </c>
      <c r="AM93" s="302" t="s">
        <v>508</v>
      </c>
      <c r="AN93" s="302" t="s">
        <v>546</v>
      </c>
      <c r="AO93" s="637">
        <v>0</v>
      </c>
      <c r="AP93" s="645">
        <f t="shared" si="55"/>
        <v>0.5</v>
      </c>
      <c r="AQ93" s="637">
        <v>0.4</v>
      </c>
      <c r="AR93" s="302" t="s">
        <v>649</v>
      </c>
      <c r="AS93" s="302" t="s">
        <v>650</v>
      </c>
      <c r="AT93" s="637">
        <v>0.1</v>
      </c>
      <c r="AU93" s="302" t="s">
        <v>508</v>
      </c>
      <c r="AV93" s="302" t="s">
        <v>546</v>
      </c>
      <c r="AW93" s="637">
        <v>0</v>
      </c>
      <c r="AX93" s="645">
        <f t="shared" si="56"/>
        <v>0.5</v>
      </c>
      <c r="AY93" s="637">
        <v>0.4</v>
      </c>
      <c r="AZ93" s="302" t="s">
        <v>649</v>
      </c>
      <c r="BA93" s="302" t="s">
        <v>650</v>
      </c>
      <c r="BB93" s="637">
        <v>0.1</v>
      </c>
      <c r="BC93" s="302" t="s">
        <v>508</v>
      </c>
      <c r="BD93" s="302" t="s">
        <v>546</v>
      </c>
      <c r="BE93" s="637">
        <v>0</v>
      </c>
      <c r="BF93" s="434">
        <f t="shared" si="57"/>
        <v>0.5</v>
      </c>
      <c r="BG93" s="587">
        <v>0.3</v>
      </c>
      <c r="BH93" s="302" t="s">
        <v>649</v>
      </c>
      <c r="BI93" s="302" t="s">
        <v>650</v>
      </c>
      <c r="BJ93" s="434">
        <v>0.7</v>
      </c>
      <c r="BK93" s="302" t="s">
        <v>508</v>
      </c>
      <c r="BL93" s="302" t="s">
        <v>546</v>
      </c>
      <c r="BM93" s="434">
        <v>0</v>
      </c>
      <c r="BN93" s="645">
        <f t="shared" si="58"/>
        <v>1</v>
      </c>
      <c r="BO93" s="434"/>
      <c r="BP93" s="434">
        <v>0.4</v>
      </c>
      <c r="BQ93" s="302" t="s">
        <v>649</v>
      </c>
      <c r="BR93" s="302" t="s">
        <v>650</v>
      </c>
      <c r="BS93" s="434">
        <v>0.1</v>
      </c>
      <c r="BT93" s="302" t="s">
        <v>508</v>
      </c>
      <c r="BU93" s="302" t="s">
        <v>546</v>
      </c>
      <c r="BV93" s="434">
        <v>0</v>
      </c>
      <c r="BW93" s="645">
        <f t="shared" si="59"/>
        <v>0.5</v>
      </c>
      <c r="BX93" s="434">
        <v>0.4</v>
      </c>
      <c r="BY93" s="302" t="s">
        <v>649</v>
      </c>
      <c r="BZ93" s="302" t="s">
        <v>650</v>
      </c>
      <c r="CA93" s="434">
        <v>0.1</v>
      </c>
      <c r="CB93" s="302" t="s">
        <v>508</v>
      </c>
      <c r="CC93" s="302" t="s">
        <v>546</v>
      </c>
      <c r="CD93" s="434">
        <v>0</v>
      </c>
      <c r="CE93" s="434">
        <f t="shared" si="60"/>
        <v>0.5</v>
      </c>
      <c r="CF93" s="1620" t="s">
        <v>1166</v>
      </c>
      <c r="CG93" s="1620" t="s">
        <v>1166</v>
      </c>
      <c r="CH93" s="1620" t="s">
        <v>1166</v>
      </c>
      <c r="CI93" s="406"/>
      <c r="CJ93" s="642">
        <v>0.746</v>
      </c>
      <c r="CK93" s="591" t="s">
        <v>922</v>
      </c>
      <c r="CL93" s="302" t="s">
        <v>649</v>
      </c>
      <c r="CM93" s="302" t="s">
        <v>650</v>
      </c>
      <c r="CN93" s="637">
        <v>0.6</v>
      </c>
      <c r="CO93" s="302" t="s">
        <v>508</v>
      </c>
      <c r="CP93" s="302" t="s">
        <v>546</v>
      </c>
      <c r="CQ93" s="637">
        <v>0</v>
      </c>
    </row>
    <row r="94" spans="1:98" ht="15.75" customHeight="1" x14ac:dyDescent="0.2">
      <c r="A94" s="661" t="s">
        <v>69</v>
      </c>
      <c r="B94" s="440" t="s">
        <v>68</v>
      </c>
      <c r="C94" s="637">
        <v>0.4</v>
      </c>
      <c r="D94" s="440" t="s">
        <v>550</v>
      </c>
      <c r="E94" s="440" t="s">
        <v>551</v>
      </c>
      <c r="F94" s="637">
        <v>0.09</v>
      </c>
      <c r="G94" s="440" t="s">
        <v>548</v>
      </c>
      <c r="H94" s="440" t="s">
        <v>549</v>
      </c>
      <c r="I94" s="637">
        <v>0.01</v>
      </c>
      <c r="J94" s="662">
        <f t="shared" si="35"/>
        <v>0.5</v>
      </c>
      <c r="K94" s="637">
        <v>0.4</v>
      </c>
      <c r="L94" s="440" t="s">
        <v>550</v>
      </c>
      <c r="M94" s="440" t="s">
        <v>551</v>
      </c>
      <c r="N94" s="637">
        <v>0.09</v>
      </c>
      <c r="O94" s="440" t="s">
        <v>548</v>
      </c>
      <c r="P94" s="440" t="s">
        <v>549</v>
      </c>
      <c r="Q94" s="637">
        <v>0.01</v>
      </c>
      <c r="R94" s="662">
        <f t="shared" si="48"/>
        <v>0.5</v>
      </c>
      <c r="S94" s="637">
        <v>0.4</v>
      </c>
      <c r="T94" s="302" t="s">
        <v>550</v>
      </c>
      <c r="U94" s="302" t="s">
        <v>551</v>
      </c>
      <c r="V94" s="637">
        <v>0.09</v>
      </c>
      <c r="W94" s="302" t="s">
        <v>548</v>
      </c>
      <c r="X94" s="302" t="s">
        <v>549</v>
      </c>
      <c r="Y94" s="637">
        <v>0.01</v>
      </c>
      <c r="Z94" s="645">
        <f t="shared" si="27"/>
        <v>0.5</v>
      </c>
      <c r="AA94" s="637">
        <v>0.4</v>
      </c>
      <c r="AB94" s="302" t="s">
        <v>550</v>
      </c>
      <c r="AC94" s="302" t="s">
        <v>551</v>
      </c>
      <c r="AD94" s="637">
        <v>0.09</v>
      </c>
      <c r="AE94" s="302" t="s">
        <v>548</v>
      </c>
      <c r="AF94" s="302" t="s">
        <v>549</v>
      </c>
      <c r="AG94" s="637">
        <v>0.01</v>
      </c>
      <c r="AH94" s="645">
        <f t="shared" si="28"/>
        <v>0.5</v>
      </c>
      <c r="AI94" s="637">
        <v>0.4</v>
      </c>
      <c r="AJ94" s="302" t="s">
        <v>550</v>
      </c>
      <c r="AK94" s="302" t="s">
        <v>551</v>
      </c>
      <c r="AL94" s="637">
        <v>0.09</v>
      </c>
      <c r="AM94" s="302" t="s">
        <v>548</v>
      </c>
      <c r="AN94" s="302" t="s">
        <v>549</v>
      </c>
      <c r="AO94" s="637">
        <v>0.01</v>
      </c>
      <c r="AP94" s="645">
        <f t="shared" si="55"/>
        <v>0.5</v>
      </c>
      <c r="AQ94" s="637">
        <v>0.4</v>
      </c>
      <c r="AR94" s="302" t="s">
        <v>550</v>
      </c>
      <c r="AS94" s="302" t="s">
        <v>551</v>
      </c>
      <c r="AT94" s="637">
        <v>0.09</v>
      </c>
      <c r="AU94" s="302" t="s">
        <v>548</v>
      </c>
      <c r="AV94" s="302" t="s">
        <v>549</v>
      </c>
      <c r="AW94" s="637">
        <v>0.01</v>
      </c>
      <c r="AX94" s="645">
        <f t="shared" si="56"/>
        <v>0.5</v>
      </c>
      <c r="AY94" s="637">
        <v>0.4</v>
      </c>
      <c r="AZ94" s="302" t="s">
        <v>550</v>
      </c>
      <c r="BA94" s="302" t="s">
        <v>551</v>
      </c>
      <c r="BB94" s="637">
        <v>0.09</v>
      </c>
      <c r="BC94" s="302" t="s">
        <v>548</v>
      </c>
      <c r="BD94" s="302" t="s">
        <v>549</v>
      </c>
      <c r="BE94" s="637">
        <v>0.01</v>
      </c>
      <c r="BF94" s="434">
        <f t="shared" si="57"/>
        <v>0.5</v>
      </c>
      <c r="BG94" s="587">
        <v>0.5</v>
      </c>
      <c r="BH94" s="302" t="s">
        <v>550</v>
      </c>
      <c r="BI94" s="302" t="s">
        <v>551</v>
      </c>
      <c r="BJ94" s="434">
        <v>0.49</v>
      </c>
      <c r="BK94" s="302" t="s">
        <v>548</v>
      </c>
      <c r="BL94" s="302" t="s">
        <v>549</v>
      </c>
      <c r="BM94" s="434">
        <v>0.01</v>
      </c>
      <c r="BN94" s="645">
        <f t="shared" si="58"/>
        <v>1</v>
      </c>
      <c r="BO94" s="434"/>
      <c r="BP94" s="434">
        <v>0.4</v>
      </c>
      <c r="BQ94" s="302" t="s">
        <v>550</v>
      </c>
      <c r="BR94" s="302" t="s">
        <v>551</v>
      </c>
      <c r="BS94" s="434">
        <v>0.09</v>
      </c>
      <c r="BT94" s="302" t="s">
        <v>548</v>
      </c>
      <c r="BU94" s="302" t="s">
        <v>549</v>
      </c>
      <c r="BV94" s="434">
        <v>0.01</v>
      </c>
      <c r="BW94" s="645">
        <f t="shared" si="59"/>
        <v>0.5</v>
      </c>
      <c r="BX94" s="434">
        <v>0.4</v>
      </c>
      <c r="BY94" s="302" t="s">
        <v>550</v>
      </c>
      <c r="BZ94" s="302" t="s">
        <v>551</v>
      </c>
      <c r="CA94" s="434">
        <v>0.09</v>
      </c>
      <c r="CB94" s="302" t="s">
        <v>548</v>
      </c>
      <c r="CC94" s="302" t="s">
        <v>549</v>
      </c>
      <c r="CD94" s="434">
        <v>0.01</v>
      </c>
      <c r="CE94" s="434">
        <f t="shared" si="60"/>
        <v>0.5</v>
      </c>
      <c r="CF94" s="1620" t="s">
        <v>1166</v>
      </c>
      <c r="CG94" s="1620" t="s">
        <v>1166</v>
      </c>
      <c r="CH94" s="1620" t="s">
        <v>1166</v>
      </c>
      <c r="CI94" s="406"/>
      <c r="CJ94" s="642">
        <v>0.67700000000000005</v>
      </c>
      <c r="CK94" s="591" t="s">
        <v>922</v>
      </c>
      <c r="CL94" s="302" t="s">
        <v>550</v>
      </c>
      <c r="CM94" s="302" t="s">
        <v>551</v>
      </c>
      <c r="CN94" s="637">
        <v>0.59</v>
      </c>
      <c r="CO94" s="302" t="s">
        <v>548</v>
      </c>
      <c r="CP94" s="302" t="s">
        <v>549</v>
      </c>
      <c r="CQ94" s="637">
        <v>0.01</v>
      </c>
    </row>
    <row r="95" spans="1:98" ht="15.75" customHeight="1" x14ac:dyDescent="0.2">
      <c r="A95" s="661" t="s">
        <v>71</v>
      </c>
      <c r="B95" s="440" t="s">
        <v>70</v>
      </c>
      <c r="C95" s="637">
        <v>0.4</v>
      </c>
      <c r="D95" s="440" t="s">
        <v>557</v>
      </c>
      <c r="E95" s="440" t="s">
        <v>558</v>
      </c>
      <c r="F95" s="637">
        <v>0.09</v>
      </c>
      <c r="G95" s="440" t="s">
        <v>554</v>
      </c>
      <c r="H95" s="440" t="s">
        <v>555</v>
      </c>
      <c r="I95" s="637">
        <v>0.01</v>
      </c>
      <c r="J95" s="662">
        <f t="shared" si="35"/>
        <v>0.5</v>
      </c>
      <c r="K95" s="637">
        <v>0.4</v>
      </c>
      <c r="L95" s="440" t="s">
        <v>557</v>
      </c>
      <c r="M95" s="440" t="s">
        <v>558</v>
      </c>
      <c r="N95" s="637">
        <v>0.09</v>
      </c>
      <c r="O95" s="440" t="s">
        <v>554</v>
      </c>
      <c r="P95" s="440" t="s">
        <v>555</v>
      </c>
      <c r="Q95" s="637">
        <v>0.01</v>
      </c>
      <c r="R95" s="662">
        <f t="shared" si="48"/>
        <v>0.5</v>
      </c>
      <c r="S95" s="637">
        <v>0.4</v>
      </c>
      <c r="T95" s="302" t="s">
        <v>557</v>
      </c>
      <c r="U95" s="302" t="s">
        <v>558</v>
      </c>
      <c r="V95" s="637">
        <v>0.09</v>
      </c>
      <c r="W95" s="302" t="s">
        <v>554</v>
      </c>
      <c r="X95" s="302" t="s">
        <v>555</v>
      </c>
      <c r="Y95" s="637">
        <v>0.01</v>
      </c>
      <c r="Z95" s="645">
        <f t="shared" si="27"/>
        <v>0.5</v>
      </c>
      <c r="AA95" s="637">
        <v>0.4</v>
      </c>
      <c r="AB95" s="302" t="s">
        <v>557</v>
      </c>
      <c r="AC95" s="302" t="s">
        <v>558</v>
      </c>
      <c r="AD95" s="637">
        <v>0.09</v>
      </c>
      <c r="AE95" s="302" t="s">
        <v>554</v>
      </c>
      <c r="AF95" s="302" t="s">
        <v>555</v>
      </c>
      <c r="AG95" s="637">
        <v>0.01</v>
      </c>
      <c r="AH95" s="645">
        <f t="shared" si="28"/>
        <v>0.5</v>
      </c>
      <c r="AI95" s="637">
        <v>0.4</v>
      </c>
      <c r="AJ95" s="302" t="s">
        <v>557</v>
      </c>
      <c r="AK95" s="302" t="s">
        <v>558</v>
      </c>
      <c r="AL95" s="637">
        <v>0.09</v>
      </c>
      <c r="AM95" s="302" t="s">
        <v>554</v>
      </c>
      <c r="AN95" s="302" t="s">
        <v>555</v>
      </c>
      <c r="AO95" s="637">
        <v>0.01</v>
      </c>
      <c r="AP95" s="645">
        <f t="shared" si="55"/>
        <v>0.5</v>
      </c>
      <c r="AQ95" s="637">
        <v>0.4</v>
      </c>
      <c r="AR95" s="302" t="s">
        <v>557</v>
      </c>
      <c r="AS95" s="302" t="s">
        <v>558</v>
      </c>
      <c r="AT95" s="637">
        <v>0.09</v>
      </c>
      <c r="AU95" s="302" t="s">
        <v>554</v>
      </c>
      <c r="AV95" s="302" t="s">
        <v>555</v>
      </c>
      <c r="AW95" s="637">
        <v>0.01</v>
      </c>
      <c r="AX95" s="645">
        <f t="shared" si="56"/>
        <v>0.5</v>
      </c>
      <c r="AY95" s="637">
        <v>0.4</v>
      </c>
      <c r="AZ95" s="302" t="s">
        <v>557</v>
      </c>
      <c r="BA95" s="302" t="s">
        <v>558</v>
      </c>
      <c r="BB95" s="637">
        <v>0.09</v>
      </c>
      <c r="BC95" s="302" t="s">
        <v>554</v>
      </c>
      <c r="BD95" s="302" t="s">
        <v>555</v>
      </c>
      <c r="BE95" s="637">
        <v>0.01</v>
      </c>
      <c r="BF95" s="434">
        <f t="shared" si="57"/>
        <v>0.5</v>
      </c>
      <c r="BG95" s="587">
        <v>0.4</v>
      </c>
      <c r="BH95" s="302" t="s">
        <v>557</v>
      </c>
      <c r="BI95" s="302" t="s">
        <v>558</v>
      </c>
      <c r="BJ95" s="434">
        <v>0.59</v>
      </c>
      <c r="BK95" s="302" t="s">
        <v>554</v>
      </c>
      <c r="BL95" s="302" t="s">
        <v>555</v>
      </c>
      <c r="BM95" s="434">
        <v>0.01</v>
      </c>
      <c r="BN95" s="645">
        <f t="shared" si="58"/>
        <v>1</v>
      </c>
      <c r="BO95" s="434"/>
      <c r="BP95" s="434">
        <v>0.4</v>
      </c>
      <c r="BQ95" s="302" t="s">
        <v>557</v>
      </c>
      <c r="BR95" s="302" t="s">
        <v>558</v>
      </c>
      <c r="BS95" s="434">
        <v>0.09</v>
      </c>
      <c r="BT95" s="302" t="s">
        <v>554</v>
      </c>
      <c r="BU95" s="302" t="s">
        <v>555</v>
      </c>
      <c r="BV95" s="434">
        <v>0.01</v>
      </c>
      <c r="BW95" s="645">
        <f t="shared" si="59"/>
        <v>0.5</v>
      </c>
      <c r="BX95" s="434">
        <v>0.4</v>
      </c>
      <c r="BY95" s="302" t="s">
        <v>557</v>
      </c>
      <c r="BZ95" s="302" t="s">
        <v>558</v>
      </c>
      <c r="CA95" s="434">
        <v>0.09</v>
      </c>
      <c r="CB95" s="302" t="s">
        <v>554</v>
      </c>
      <c r="CC95" s="302" t="s">
        <v>555</v>
      </c>
      <c r="CD95" s="434">
        <v>0.01</v>
      </c>
      <c r="CE95" s="434">
        <f t="shared" si="60"/>
        <v>0.5</v>
      </c>
      <c r="CF95" s="1620" t="s">
        <v>1166</v>
      </c>
      <c r="CG95" s="1620" t="s">
        <v>1166</v>
      </c>
      <c r="CH95" s="1620" t="s">
        <v>1166</v>
      </c>
      <c r="CI95" s="406"/>
      <c r="CJ95" s="642">
        <v>0.71299999999999997</v>
      </c>
      <c r="CK95" s="591" t="s">
        <v>922</v>
      </c>
      <c r="CL95" s="302" t="s">
        <v>557</v>
      </c>
      <c r="CM95" s="302" t="s">
        <v>558</v>
      </c>
      <c r="CN95" s="637">
        <v>0.59</v>
      </c>
      <c r="CO95" s="302" t="s">
        <v>554</v>
      </c>
      <c r="CP95" s="302" t="s">
        <v>555</v>
      </c>
      <c r="CQ95" s="637">
        <v>0.01</v>
      </c>
    </row>
    <row r="96" spans="1:98" ht="15" x14ac:dyDescent="0.2">
      <c r="A96" s="661" t="s">
        <v>73</v>
      </c>
      <c r="B96" s="440" t="s">
        <v>72</v>
      </c>
      <c r="C96" s="637">
        <v>0.4</v>
      </c>
      <c r="D96" s="440" t="s">
        <v>583</v>
      </c>
      <c r="E96" s="440" t="s">
        <v>584</v>
      </c>
      <c r="F96" s="637">
        <v>0.09</v>
      </c>
      <c r="G96" s="440" t="s">
        <v>2218</v>
      </c>
      <c r="H96" s="440" t="s">
        <v>2219</v>
      </c>
      <c r="I96" s="637">
        <v>0.01</v>
      </c>
      <c r="J96" s="662">
        <f t="shared" si="35"/>
        <v>0.5</v>
      </c>
      <c r="K96" s="637">
        <v>0.4</v>
      </c>
      <c r="L96" s="440" t="s">
        <v>583</v>
      </c>
      <c r="M96" s="440" t="s">
        <v>584</v>
      </c>
      <c r="N96" s="637">
        <v>0.09</v>
      </c>
      <c r="O96" s="440" t="s">
        <v>2218</v>
      </c>
      <c r="P96" s="440" t="s">
        <v>2219</v>
      </c>
      <c r="Q96" s="637">
        <v>0.01</v>
      </c>
      <c r="R96" s="662">
        <f t="shared" si="48"/>
        <v>0.5</v>
      </c>
      <c r="S96" s="637">
        <v>0.4</v>
      </c>
      <c r="T96" s="302" t="s">
        <v>583</v>
      </c>
      <c r="U96" s="302" t="s">
        <v>584</v>
      </c>
      <c r="V96" s="637">
        <v>0.09</v>
      </c>
      <c r="W96" s="302" t="s">
        <v>2218</v>
      </c>
      <c r="X96" s="302" t="s">
        <v>2219</v>
      </c>
      <c r="Y96" s="637">
        <v>0.01</v>
      </c>
      <c r="Z96" s="645">
        <f t="shared" si="27"/>
        <v>0.5</v>
      </c>
      <c r="AA96" s="637">
        <v>0.4</v>
      </c>
      <c r="AB96" s="302" t="s">
        <v>583</v>
      </c>
      <c r="AC96" s="302" t="s">
        <v>584</v>
      </c>
      <c r="AD96" s="637">
        <v>0.09</v>
      </c>
      <c r="AE96" s="302" t="s">
        <v>2218</v>
      </c>
      <c r="AF96" s="302" t="s">
        <v>2219</v>
      </c>
      <c r="AG96" s="637">
        <v>0.01</v>
      </c>
      <c r="AH96" s="645">
        <f t="shared" si="28"/>
        <v>0.5</v>
      </c>
      <c r="AI96" s="637">
        <v>0.4</v>
      </c>
      <c r="AJ96" s="302" t="s">
        <v>583</v>
      </c>
      <c r="AK96" s="302" t="s">
        <v>584</v>
      </c>
      <c r="AL96" s="637">
        <v>0.09</v>
      </c>
      <c r="AM96" s="302" t="s">
        <v>2218</v>
      </c>
      <c r="AN96" s="302" t="s">
        <v>2219</v>
      </c>
      <c r="AO96" s="637">
        <v>0.01</v>
      </c>
      <c r="AP96" s="645">
        <f t="shared" si="55"/>
        <v>0.5</v>
      </c>
      <c r="AQ96" s="637">
        <v>0.4</v>
      </c>
      <c r="AR96" s="302" t="s">
        <v>583</v>
      </c>
      <c r="AS96" s="302" t="s">
        <v>584</v>
      </c>
      <c r="AT96" s="637">
        <v>0.09</v>
      </c>
      <c r="AU96" s="302" t="s">
        <v>580</v>
      </c>
      <c r="AV96" s="302" t="s">
        <v>581</v>
      </c>
      <c r="AW96" s="637">
        <v>0.01</v>
      </c>
      <c r="AX96" s="645">
        <f t="shared" si="56"/>
        <v>0.5</v>
      </c>
      <c r="AY96" s="637">
        <v>0.4</v>
      </c>
      <c r="AZ96" s="302" t="s">
        <v>583</v>
      </c>
      <c r="BA96" s="302" t="s">
        <v>584</v>
      </c>
      <c r="BB96" s="637">
        <v>0.09</v>
      </c>
      <c r="BC96" s="302" t="s">
        <v>580</v>
      </c>
      <c r="BD96" s="302" t="s">
        <v>581</v>
      </c>
      <c r="BE96" s="637">
        <v>0.01</v>
      </c>
      <c r="BF96" s="434">
        <f t="shared" si="57"/>
        <v>0.5</v>
      </c>
      <c r="BG96" s="587">
        <v>0.4</v>
      </c>
      <c r="BH96" s="302" t="s">
        <v>583</v>
      </c>
      <c r="BI96" s="302" t="s">
        <v>584</v>
      </c>
      <c r="BJ96" s="434">
        <v>0.09</v>
      </c>
      <c r="BK96" s="302" t="s">
        <v>580</v>
      </c>
      <c r="BL96" s="302" t="s">
        <v>581</v>
      </c>
      <c r="BM96" s="434">
        <v>0.01</v>
      </c>
      <c r="BN96" s="645">
        <f t="shared" si="58"/>
        <v>0.5</v>
      </c>
      <c r="BO96" s="434"/>
      <c r="BP96" s="434">
        <v>0.4</v>
      </c>
      <c r="BQ96" s="302" t="s">
        <v>583</v>
      </c>
      <c r="BR96" s="302" t="s">
        <v>584</v>
      </c>
      <c r="BS96" s="434">
        <v>0.09</v>
      </c>
      <c r="BT96" s="302" t="s">
        <v>580</v>
      </c>
      <c r="BU96" s="302" t="s">
        <v>581</v>
      </c>
      <c r="BV96" s="434">
        <v>0.01</v>
      </c>
      <c r="BW96" s="645">
        <f t="shared" si="59"/>
        <v>0.5</v>
      </c>
      <c r="BX96" s="434">
        <v>0.4</v>
      </c>
      <c r="BY96" s="302" t="s">
        <v>583</v>
      </c>
      <c r="BZ96" s="302" t="s">
        <v>584</v>
      </c>
      <c r="CA96" s="434">
        <v>0.09</v>
      </c>
      <c r="CB96" s="302" t="s">
        <v>580</v>
      </c>
      <c r="CC96" s="302" t="s">
        <v>581</v>
      </c>
      <c r="CD96" s="434">
        <v>0.01</v>
      </c>
      <c r="CE96" s="434">
        <f t="shared" si="60"/>
        <v>0.5</v>
      </c>
      <c r="CF96" s="1620" t="s">
        <v>862</v>
      </c>
      <c r="CG96" s="1620" t="s">
        <v>1166</v>
      </c>
      <c r="CH96" s="1620" t="s">
        <v>1166</v>
      </c>
      <c r="CI96" s="406"/>
      <c r="CJ96" s="642">
        <v>0.71799999999999997</v>
      </c>
      <c r="CK96" s="591" t="s">
        <v>922</v>
      </c>
      <c r="CL96" s="302" t="s">
        <v>583</v>
      </c>
      <c r="CM96" s="302" t="s">
        <v>584</v>
      </c>
      <c r="CN96" s="637">
        <v>0.59</v>
      </c>
      <c r="CO96" s="302" t="s">
        <v>580</v>
      </c>
      <c r="CP96" s="302" t="s">
        <v>581</v>
      </c>
      <c r="CQ96" s="637">
        <v>0.01</v>
      </c>
    </row>
    <row r="97" spans="1:95" ht="15.75" customHeight="1" x14ac:dyDescent="0.2">
      <c r="A97" s="661" t="s">
        <v>75</v>
      </c>
      <c r="B97" s="440" t="s">
        <v>74</v>
      </c>
      <c r="C97" s="637">
        <v>0.4</v>
      </c>
      <c r="D97" s="440" t="s">
        <v>533</v>
      </c>
      <c r="E97" s="440" t="s">
        <v>534</v>
      </c>
      <c r="F97" s="637">
        <v>0.09</v>
      </c>
      <c r="G97" s="440" t="s">
        <v>531</v>
      </c>
      <c r="H97" s="440" t="s">
        <v>532</v>
      </c>
      <c r="I97" s="637">
        <v>0.01</v>
      </c>
      <c r="J97" s="662">
        <f t="shared" si="35"/>
        <v>0.5</v>
      </c>
      <c r="K97" s="637">
        <v>0.4</v>
      </c>
      <c r="L97" s="440" t="s">
        <v>533</v>
      </c>
      <c r="M97" s="440" t="s">
        <v>534</v>
      </c>
      <c r="N97" s="637">
        <v>0.09</v>
      </c>
      <c r="O97" s="440" t="s">
        <v>531</v>
      </c>
      <c r="P97" s="440" t="s">
        <v>532</v>
      </c>
      <c r="Q97" s="637">
        <v>0.01</v>
      </c>
      <c r="R97" s="662">
        <f>+K97+N97+Q97</f>
        <v>0.5</v>
      </c>
      <c r="S97" s="637">
        <v>0.4</v>
      </c>
      <c r="T97" s="302" t="s">
        <v>533</v>
      </c>
      <c r="U97" s="302" t="s">
        <v>534</v>
      </c>
      <c r="V97" s="637">
        <v>0.09</v>
      </c>
      <c r="W97" s="302" t="s">
        <v>531</v>
      </c>
      <c r="X97" s="302" t="s">
        <v>532</v>
      </c>
      <c r="Y97" s="637">
        <v>0.01</v>
      </c>
      <c r="Z97" s="645">
        <f>+S97+V97+Y97</f>
        <v>0.5</v>
      </c>
      <c r="AA97" s="637">
        <v>0.4</v>
      </c>
      <c r="AB97" s="302" t="s">
        <v>533</v>
      </c>
      <c r="AC97" s="302" t="s">
        <v>534</v>
      </c>
      <c r="AD97" s="637">
        <v>0.09</v>
      </c>
      <c r="AE97" s="302" t="s">
        <v>531</v>
      </c>
      <c r="AF97" s="302" t="s">
        <v>532</v>
      </c>
      <c r="AG97" s="637">
        <v>0.01</v>
      </c>
      <c r="AH97" s="645">
        <f>+AA97+AD97+AG97</f>
        <v>0.5</v>
      </c>
      <c r="AI97" s="637">
        <v>0.4</v>
      </c>
      <c r="AJ97" s="302" t="s">
        <v>533</v>
      </c>
      <c r="AK97" s="302" t="s">
        <v>534</v>
      </c>
      <c r="AL97" s="637">
        <v>0.09</v>
      </c>
      <c r="AM97" s="302" t="s">
        <v>531</v>
      </c>
      <c r="AN97" s="302" t="s">
        <v>532</v>
      </c>
      <c r="AO97" s="637">
        <v>0.01</v>
      </c>
      <c r="AP97" s="645">
        <f>+AI97+AL97+AO97</f>
        <v>0.5</v>
      </c>
      <c r="AQ97" s="637">
        <v>0.4</v>
      </c>
      <c r="AR97" s="302" t="s">
        <v>533</v>
      </c>
      <c r="AS97" s="302" t="s">
        <v>534</v>
      </c>
      <c r="AT97" s="637">
        <v>0.09</v>
      </c>
      <c r="AU97" s="302" t="s">
        <v>531</v>
      </c>
      <c r="AV97" s="302" t="s">
        <v>532</v>
      </c>
      <c r="AW97" s="637">
        <v>0.01</v>
      </c>
      <c r="AX97" s="645">
        <f t="shared" si="56"/>
        <v>0.5</v>
      </c>
      <c r="AY97" s="637">
        <v>0.4</v>
      </c>
      <c r="AZ97" s="302" t="s">
        <v>533</v>
      </c>
      <c r="BA97" s="302" t="s">
        <v>534</v>
      </c>
      <c r="BB97" s="637">
        <v>0.09</v>
      </c>
      <c r="BC97" s="302" t="s">
        <v>531</v>
      </c>
      <c r="BD97" s="302" t="s">
        <v>532</v>
      </c>
      <c r="BE97" s="637">
        <v>0.01</v>
      </c>
      <c r="BF97" s="434">
        <f t="shared" si="57"/>
        <v>0.5</v>
      </c>
      <c r="BG97" s="587">
        <v>0.4</v>
      </c>
      <c r="BH97" s="302" t="s">
        <v>533</v>
      </c>
      <c r="BI97" s="302" t="s">
        <v>534</v>
      </c>
      <c r="BJ97" s="434">
        <v>0.09</v>
      </c>
      <c r="BK97" s="302" t="s">
        <v>531</v>
      </c>
      <c r="BL97" s="302" t="s">
        <v>532</v>
      </c>
      <c r="BM97" s="434">
        <v>0.01</v>
      </c>
      <c r="BN97" s="645">
        <f t="shared" si="58"/>
        <v>0.5</v>
      </c>
      <c r="BO97" s="434"/>
      <c r="BP97" s="434">
        <v>0.4</v>
      </c>
      <c r="BQ97" s="302" t="s">
        <v>533</v>
      </c>
      <c r="BR97" s="302" t="s">
        <v>534</v>
      </c>
      <c r="BS97" s="434">
        <v>0.09</v>
      </c>
      <c r="BT97" s="302" t="s">
        <v>531</v>
      </c>
      <c r="BU97" s="302" t="s">
        <v>532</v>
      </c>
      <c r="BV97" s="434">
        <v>0.01</v>
      </c>
      <c r="BW97" s="645">
        <f t="shared" si="59"/>
        <v>0.5</v>
      </c>
      <c r="BX97" s="434">
        <v>0.4</v>
      </c>
      <c r="BY97" s="302" t="s">
        <v>533</v>
      </c>
      <c r="BZ97" s="302" t="s">
        <v>534</v>
      </c>
      <c r="CA97" s="434">
        <v>0.09</v>
      </c>
      <c r="CB97" s="302" t="s">
        <v>531</v>
      </c>
      <c r="CC97" s="302" t="s">
        <v>532</v>
      </c>
      <c r="CD97" s="434">
        <v>0.01</v>
      </c>
      <c r="CE97" s="434">
        <f t="shared" si="60"/>
        <v>0.5</v>
      </c>
      <c r="CF97" s="1620" t="s">
        <v>1166</v>
      </c>
      <c r="CG97" s="1620" t="s">
        <v>1166</v>
      </c>
      <c r="CH97" s="1620" t="s">
        <v>1166</v>
      </c>
      <c r="CI97" s="406"/>
      <c r="CJ97" s="642">
        <v>0.66800000000000004</v>
      </c>
      <c r="CK97" s="591" t="s">
        <v>922</v>
      </c>
      <c r="CL97" s="302" t="s">
        <v>533</v>
      </c>
      <c r="CM97" s="302" t="s">
        <v>534</v>
      </c>
      <c r="CN97" s="637">
        <v>0.59</v>
      </c>
      <c r="CO97" s="302" t="s">
        <v>531</v>
      </c>
      <c r="CP97" s="302" t="s">
        <v>532</v>
      </c>
      <c r="CQ97" s="637">
        <v>0.01</v>
      </c>
    </row>
    <row r="98" spans="1:95" ht="15.75" customHeight="1" x14ac:dyDescent="0.2">
      <c r="A98" s="661" t="s">
        <v>318</v>
      </c>
      <c r="B98" s="440" t="s">
        <v>1170</v>
      </c>
      <c r="C98" s="637">
        <v>0.4</v>
      </c>
      <c r="D98" s="440" t="s">
        <v>602</v>
      </c>
      <c r="E98" s="440" t="s">
        <v>603</v>
      </c>
      <c r="F98" s="637">
        <v>0.09</v>
      </c>
      <c r="G98" s="440" t="s">
        <v>600</v>
      </c>
      <c r="H98" s="440" t="s">
        <v>601</v>
      </c>
      <c r="I98" s="637">
        <v>0.01</v>
      </c>
      <c r="J98" s="662">
        <f t="shared" si="35"/>
        <v>0.5</v>
      </c>
      <c r="K98" s="637">
        <v>0.4</v>
      </c>
      <c r="L98" s="440" t="s">
        <v>602</v>
      </c>
      <c r="M98" s="440" t="s">
        <v>603</v>
      </c>
      <c r="N98" s="637">
        <v>0.09</v>
      </c>
      <c r="O98" s="440" t="s">
        <v>600</v>
      </c>
      <c r="P98" s="440" t="s">
        <v>601</v>
      </c>
      <c r="Q98" s="637">
        <v>0.01</v>
      </c>
      <c r="R98" s="662">
        <f t="shared" ref="R98:R100" si="61">+K98+N98+Q98</f>
        <v>0.5</v>
      </c>
      <c r="S98" s="637">
        <v>0.4</v>
      </c>
      <c r="T98" s="302" t="s">
        <v>602</v>
      </c>
      <c r="U98" s="302" t="s">
        <v>603</v>
      </c>
      <c r="V98" s="637">
        <v>0.09</v>
      </c>
      <c r="W98" s="302" t="s">
        <v>600</v>
      </c>
      <c r="X98" s="302" t="s">
        <v>601</v>
      </c>
      <c r="Y98" s="637">
        <v>0.01</v>
      </c>
      <c r="Z98" s="645">
        <f t="shared" ref="Z98:Z100" si="62">+S98+V98+Y98</f>
        <v>0.5</v>
      </c>
      <c r="AA98" s="637">
        <v>0.4</v>
      </c>
      <c r="AB98" s="302" t="s">
        <v>602</v>
      </c>
      <c r="AC98" s="302" t="s">
        <v>603</v>
      </c>
      <c r="AD98" s="637">
        <v>0.09</v>
      </c>
      <c r="AE98" s="302" t="s">
        <v>600</v>
      </c>
      <c r="AF98" s="302" t="s">
        <v>601</v>
      </c>
      <c r="AG98" s="637">
        <v>0.01</v>
      </c>
      <c r="AH98" s="645">
        <f t="shared" ref="AH98:AH100" si="63">+AA98+AD98+AG98</f>
        <v>0.5</v>
      </c>
      <c r="AI98" s="637">
        <v>0.4</v>
      </c>
      <c r="AJ98" s="302" t="s">
        <v>602</v>
      </c>
      <c r="AK98" s="302" t="s">
        <v>603</v>
      </c>
      <c r="AL98" s="637">
        <v>0.09</v>
      </c>
      <c r="AM98" s="302" t="s">
        <v>600</v>
      </c>
      <c r="AN98" s="302" t="s">
        <v>601</v>
      </c>
      <c r="AO98" s="637">
        <v>0.01</v>
      </c>
      <c r="AP98" s="645">
        <f t="shared" ref="AP98:AP100" si="64">+AI98+AL98+AO98</f>
        <v>0.5</v>
      </c>
      <c r="AQ98" s="637">
        <v>0.4</v>
      </c>
      <c r="AR98" s="302" t="s">
        <v>602</v>
      </c>
      <c r="AS98" s="302" t="s">
        <v>603</v>
      </c>
      <c r="AT98" s="637">
        <v>0.09</v>
      </c>
      <c r="AU98" s="302" t="s">
        <v>600</v>
      </c>
      <c r="AV98" s="302" t="s">
        <v>601</v>
      </c>
      <c r="AW98" s="637">
        <v>0.01</v>
      </c>
      <c r="AX98" s="645">
        <f t="shared" ref="AX98:AX103" si="65">+AQ98+AT98+AW98</f>
        <v>0.5</v>
      </c>
      <c r="AY98" s="637">
        <v>0.4</v>
      </c>
      <c r="AZ98" s="302" t="s">
        <v>602</v>
      </c>
      <c r="BA98" s="302" t="s">
        <v>603</v>
      </c>
      <c r="BB98" s="637">
        <v>0.09</v>
      </c>
      <c r="BC98" s="302" t="s">
        <v>600</v>
      </c>
      <c r="BD98" s="302" t="s">
        <v>601</v>
      </c>
      <c r="BE98" s="637">
        <v>0.01</v>
      </c>
      <c r="BF98" s="434">
        <f t="shared" ref="BF98:BF103" si="66">+AY98+BB98+BE98</f>
        <v>0.5</v>
      </c>
      <c r="BG98" s="587">
        <v>0.4</v>
      </c>
      <c r="BH98" s="302" t="s">
        <v>602</v>
      </c>
      <c r="BI98" s="302" t="s">
        <v>603</v>
      </c>
      <c r="BJ98" s="434">
        <v>0.59</v>
      </c>
      <c r="BK98" s="302" t="s">
        <v>600</v>
      </c>
      <c r="BL98" s="302" t="s">
        <v>601</v>
      </c>
      <c r="BM98" s="434">
        <v>0.01</v>
      </c>
      <c r="BN98" s="645">
        <f t="shared" ref="BN98:BN103" si="67">+BG98+BJ98+BM98</f>
        <v>1</v>
      </c>
      <c r="BO98" s="434"/>
      <c r="BP98" s="434">
        <v>0.4</v>
      </c>
      <c r="BQ98" s="302" t="s">
        <v>602</v>
      </c>
      <c r="BR98" s="302" t="s">
        <v>603</v>
      </c>
      <c r="BS98" s="434">
        <v>0.09</v>
      </c>
      <c r="BT98" s="302" t="s">
        <v>600</v>
      </c>
      <c r="BU98" s="302" t="s">
        <v>601</v>
      </c>
      <c r="BV98" s="434">
        <v>0.01</v>
      </c>
      <c r="BW98" s="645">
        <f t="shared" ref="BW98:BW103" si="68">+BP98+BS98+BV98</f>
        <v>0.5</v>
      </c>
      <c r="BX98" s="434">
        <v>0.4</v>
      </c>
      <c r="BY98" s="302" t="s">
        <v>602</v>
      </c>
      <c r="BZ98" s="302" t="s">
        <v>603</v>
      </c>
      <c r="CA98" s="434">
        <v>0.09</v>
      </c>
      <c r="CB98" s="302" t="s">
        <v>600</v>
      </c>
      <c r="CC98" s="302" t="s">
        <v>601</v>
      </c>
      <c r="CD98" s="434">
        <v>0.01</v>
      </c>
      <c r="CE98" s="434">
        <f t="shared" ref="CE98:CE103" si="69">+BX98+CA98+CD98</f>
        <v>0.5</v>
      </c>
      <c r="CF98" s="1620" t="s">
        <v>1166</v>
      </c>
      <c r="CG98" s="1620" t="s">
        <v>1166</v>
      </c>
      <c r="CH98" s="1620" t="s">
        <v>1166</v>
      </c>
      <c r="CI98" s="406"/>
      <c r="CJ98" s="642">
        <v>0.66200000000000003</v>
      </c>
      <c r="CK98" s="591" t="s">
        <v>922</v>
      </c>
      <c r="CL98" s="302" t="s">
        <v>602</v>
      </c>
      <c r="CM98" s="302" t="s">
        <v>603</v>
      </c>
      <c r="CN98" s="637">
        <v>0.59</v>
      </c>
      <c r="CO98" s="302" t="s">
        <v>600</v>
      </c>
      <c r="CP98" s="302" t="s">
        <v>601</v>
      </c>
      <c r="CQ98" s="637">
        <v>0.01</v>
      </c>
    </row>
    <row r="99" spans="1:95" ht="15" x14ac:dyDescent="0.2">
      <c r="A99" s="661" t="s">
        <v>77</v>
      </c>
      <c r="B99" s="440" t="s">
        <v>76</v>
      </c>
      <c r="C99" s="637">
        <v>0.4</v>
      </c>
      <c r="D99" s="440" t="s">
        <v>577</v>
      </c>
      <c r="E99" s="440" t="s">
        <v>578</v>
      </c>
      <c r="F99" s="637">
        <v>0.1</v>
      </c>
      <c r="G99" s="440" t="s">
        <v>508</v>
      </c>
      <c r="H99" s="440" t="s">
        <v>546</v>
      </c>
      <c r="I99" s="637">
        <v>0</v>
      </c>
      <c r="J99" s="662">
        <f t="shared" si="35"/>
        <v>0.5</v>
      </c>
      <c r="K99" s="637">
        <v>0.4</v>
      </c>
      <c r="L99" s="440" t="s">
        <v>577</v>
      </c>
      <c r="M99" s="440" t="s">
        <v>578</v>
      </c>
      <c r="N99" s="637">
        <v>0.1</v>
      </c>
      <c r="O99" s="440" t="s">
        <v>508</v>
      </c>
      <c r="P99" s="440" t="s">
        <v>546</v>
      </c>
      <c r="Q99" s="637">
        <v>0</v>
      </c>
      <c r="R99" s="662">
        <f t="shared" si="61"/>
        <v>0.5</v>
      </c>
      <c r="S99" s="637">
        <v>0.4</v>
      </c>
      <c r="T99" s="302" t="s">
        <v>577</v>
      </c>
      <c r="U99" s="302" t="s">
        <v>578</v>
      </c>
      <c r="V99" s="637">
        <v>0.1</v>
      </c>
      <c r="W99" s="302" t="s">
        <v>508</v>
      </c>
      <c r="X99" s="302" t="s">
        <v>546</v>
      </c>
      <c r="Y99" s="637">
        <v>0</v>
      </c>
      <c r="Z99" s="645">
        <f t="shared" si="62"/>
        <v>0.5</v>
      </c>
      <c r="AA99" s="637">
        <v>0.4</v>
      </c>
      <c r="AB99" s="302" t="s">
        <v>577</v>
      </c>
      <c r="AC99" s="302" t="s">
        <v>578</v>
      </c>
      <c r="AD99" s="637">
        <v>0.1</v>
      </c>
      <c r="AE99" s="302" t="s">
        <v>508</v>
      </c>
      <c r="AF99" s="302" t="s">
        <v>546</v>
      </c>
      <c r="AG99" s="637">
        <v>0</v>
      </c>
      <c r="AH99" s="645">
        <f t="shared" si="63"/>
        <v>0.5</v>
      </c>
      <c r="AI99" s="637">
        <v>0.4</v>
      </c>
      <c r="AJ99" s="302" t="s">
        <v>577</v>
      </c>
      <c r="AK99" s="302" t="s">
        <v>578</v>
      </c>
      <c r="AL99" s="637">
        <v>0.1</v>
      </c>
      <c r="AM99" s="302" t="s">
        <v>508</v>
      </c>
      <c r="AN99" s="302" t="s">
        <v>546</v>
      </c>
      <c r="AO99" s="637">
        <v>0</v>
      </c>
      <c r="AP99" s="645">
        <f t="shared" si="64"/>
        <v>0.5</v>
      </c>
      <c r="AQ99" s="637">
        <v>0.4</v>
      </c>
      <c r="AR99" s="302" t="s">
        <v>577</v>
      </c>
      <c r="AS99" s="302" t="s">
        <v>578</v>
      </c>
      <c r="AT99" s="637">
        <v>0.1</v>
      </c>
      <c r="AU99" s="302" t="s">
        <v>508</v>
      </c>
      <c r="AV99" s="302" t="s">
        <v>546</v>
      </c>
      <c r="AW99" s="637">
        <v>0</v>
      </c>
      <c r="AX99" s="645">
        <f t="shared" si="65"/>
        <v>0.5</v>
      </c>
      <c r="AY99" s="637">
        <v>0.4</v>
      </c>
      <c r="AZ99" s="302" t="s">
        <v>577</v>
      </c>
      <c r="BA99" s="302" t="s">
        <v>578</v>
      </c>
      <c r="BB99" s="637">
        <v>0.1</v>
      </c>
      <c r="BC99" s="302" t="s">
        <v>508</v>
      </c>
      <c r="BD99" s="302" t="s">
        <v>546</v>
      </c>
      <c r="BE99" s="637">
        <v>0</v>
      </c>
      <c r="BF99" s="434">
        <f t="shared" si="66"/>
        <v>0.5</v>
      </c>
      <c r="BG99" s="587">
        <v>0.5</v>
      </c>
      <c r="BH99" s="302" t="s">
        <v>577</v>
      </c>
      <c r="BI99" s="302" t="s">
        <v>578</v>
      </c>
      <c r="BJ99" s="434">
        <v>0.5</v>
      </c>
      <c r="BK99" s="302" t="s">
        <v>508</v>
      </c>
      <c r="BL99" s="302" t="s">
        <v>546</v>
      </c>
      <c r="BM99" s="434">
        <v>0</v>
      </c>
      <c r="BN99" s="645">
        <f t="shared" si="67"/>
        <v>1</v>
      </c>
      <c r="BO99" s="434"/>
      <c r="BP99" s="434">
        <v>0.4</v>
      </c>
      <c r="BQ99" s="302" t="s">
        <v>577</v>
      </c>
      <c r="BR99" s="302" t="s">
        <v>578</v>
      </c>
      <c r="BS99" s="434">
        <v>0.1</v>
      </c>
      <c r="BT99" s="302" t="s">
        <v>508</v>
      </c>
      <c r="BU99" s="302" t="s">
        <v>546</v>
      </c>
      <c r="BV99" s="434">
        <v>0</v>
      </c>
      <c r="BW99" s="645">
        <f t="shared" si="68"/>
        <v>0.5</v>
      </c>
      <c r="BX99" s="434">
        <v>0.4</v>
      </c>
      <c r="BY99" s="302" t="s">
        <v>577</v>
      </c>
      <c r="BZ99" s="302" t="s">
        <v>578</v>
      </c>
      <c r="CA99" s="434">
        <v>0.1</v>
      </c>
      <c r="CB99" s="302" t="s">
        <v>508</v>
      </c>
      <c r="CC99" s="302" t="s">
        <v>546</v>
      </c>
      <c r="CD99" s="434">
        <v>0</v>
      </c>
      <c r="CE99" s="434">
        <f t="shared" si="69"/>
        <v>0.5</v>
      </c>
      <c r="CF99" s="1620" t="s">
        <v>1166</v>
      </c>
      <c r="CG99" s="1620" t="s">
        <v>1166</v>
      </c>
      <c r="CH99" s="1620" t="s">
        <v>1166</v>
      </c>
      <c r="CI99" s="406"/>
      <c r="CJ99" s="642">
        <v>0.623</v>
      </c>
      <c r="CK99" s="591" t="s">
        <v>922</v>
      </c>
      <c r="CL99" s="302" t="s">
        <v>577</v>
      </c>
      <c r="CM99" s="302" t="s">
        <v>578</v>
      </c>
      <c r="CN99" s="637">
        <v>0.6</v>
      </c>
      <c r="CO99" s="302" t="s">
        <v>508</v>
      </c>
      <c r="CP99" s="302" t="s">
        <v>546</v>
      </c>
      <c r="CQ99" s="637">
        <v>0</v>
      </c>
    </row>
    <row r="100" spans="1:95" ht="15" x14ac:dyDescent="0.2">
      <c r="A100" s="661" t="s">
        <v>79</v>
      </c>
      <c r="B100" s="440" t="s">
        <v>78</v>
      </c>
      <c r="C100" s="637">
        <v>0.4</v>
      </c>
      <c r="D100" s="440" t="s">
        <v>609</v>
      </c>
      <c r="E100" s="440" t="s">
        <v>610</v>
      </c>
      <c r="F100" s="637">
        <v>0.09</v>
      </c>
      <c r="G100" s="440" t="s">
        <v>606</v>
      </c>
      <c r="H100" s="440" t="s">
        <v>607</v>
      </c>
      <c r="I100" s="637">
        <v>0.01</v>
      </c>
      <c r="J100" s="662">
        <f t="shared" si="35"/>
        <v>0.5</v>
      </c>
      <c r="K100" s="637">
        <v>0.4</v>
      </c>
      <c r="L100" s="440" t="s">
        <v>609</v>
      </c>
      <c r="M100" s="440" t="s">
        <v>610</v>
      </c>
      <c r="N100" s="637">
        <v>0.09</v>
      </c>
      <c r="O100" s="440" t="s">
        <v>606</v>
      </c>
      <c r="P100" s="440" t="s">
        <v>607</v>
      </c>
      <c r="Q100" s="637">
        <v>0.01</v>
      </c>
      <c r="R100" s="662">
        <f t="shared" si="61"/>
        <v>0.5</v>
      </c>
      <c r="S100" s="637">
        <v>0.4</v>
      </c>
      <c r="T100" s="302" t="s">
        <v>609</v>
      </c>
      <c r="U100" s="302" t="s">
        <v>610</v>
      </c>
      <c r="V100" s="637">
        <v>0.09</v>
      </c>
      <c r="W100" s="302" t="s">
        <v>606</v>
      </c>
      <c r="X100" s="302" t="s">
        <v>607</v>
      </c>
      <c r="Y100" s="637">
        <v>0.01</v>
      </c>
      <c r="Z100" s="645">
        <f t="shared" si="62"/>
        <v>0.5</v>
      </c>
      <c r="AA100" s="637">
        <v>0.4</v>
      </c>
      <c r="AB100" s="302" t="s">
        <v>609</v>
      </c>
      <c r="AC100" s="302" t="s">
        <v>610</v>
      </c>
      <c r="AD100" s="637">
        <v>0.09</v>
      </c>
      <c r="AE100" s="302" t="s">
        <v>606</v>
      </c>
      <c r="AF100" s="302" t="s">
        <v>607</v>
      </c>
      <c r="AG100" s="637">
        <v>0.01</v>
      </c>
      <c r="AH100" s="645">
        <f t="shared" si="63"/>
        <v>0.5</v>
      </c>
      <c r="AI100" s="637">
        <v>0.4</v>
      </c>
      <c r="AJ100" s="302" t="s">
        <v>609</v>
      </c>
      <c r="AK100" s="302" t="s">
        <v>610</v>
      </c>
      <c r="AL100" s="637">
        <v>0.09</v>
      </c>
      <c r="AM100" s="302" t="s">
        <v>606</v>
      </c>
      <c r="AN100" s="302" t="s">
        <v>607</v>
      </c>
      <c r="AO100" s="637">
        <v>0.01</v>
      </c>
      <c r="AP100" s="645">
        <f t="shared" si="64"/>
        <v>0.5</v>
      </c>
      <c r="AQ100" s="637">
        <v>0.4</v>
      </c>
      <c r="AR100" s="302" t="s">
        <v>609</v>
      </c>
      <c r="AS100" s="302" t="s">
        <v>610</v>
      </c>
      <c r="AT100" s="637">
        <v>0.09</v>
      </c>
      <c r="AU100" s="302" t="s">
        <v>606</v>
      </c>
      <c r="AV100" s="302" t="s">
        <v>607</v>
      </c>
      <c r="AW100" s="637">
        <v>0.01</v>
      </c>
      <c r="AX100" s="645">
        <f t="shared" si="65"/>
        <v>0.5</v>
      </c>
      <c r="AY100" s="637">
        <v>0.56000000000000005</v>
      </c>
      <c r="AZ100" s="302" t="s">
        <v>609</v>
      </c>
      <c r="BA100" s="302" t="s">
        <v>610</v>
      </c>
      <c r="BB100" s="637">
        <v>0.17499999999999999</v>
      </c>
      <c r="BC100" s="302" t="s">
        <v>606</v>
      </c>
      <c r="BD100" s="302" t="s">
        <v>607</v>
      </c>
      <c r="BE100" s="637">
        <v>1.4999999999999999E-2</v>
      </c>
      <c r="BF100" s="434">
        <f t="shared" si="66"/>
        <v>0.75000000000000011</v>
      </c>
      <c r="BG100" s="587">
        <v>0.4</v>
      </c>
      <c r="BH100" s="302" t="s">
        <v>609</v>
      </c>
      <c r="BI100" s="302" t="s">
        <v>610</v>
      </c>
      <c r="BJ100" s="434">
        <v>0.09</v>
      </c>
      <c r="BK100" s="302" t="s">
        <v>606</v>
      </c>
      <c r="BL100" s="302" t="s">
        <v>607</v>
      </c>
      <c r="BM100" s="434">
        <v>0.01</v>
      </c>
      <c r="BN100" s="645">
        <f t="shared" si="67"/>
        <v>0.5</v>
      </c>
      <c r="BO100" s="434"/>
      <c r="BP100" s="434">
        <v>0.4</v>
      </c>
      <c r="BQ100" s="302" t="s">
        <v>609</v>
      </c>
      <c r="BR100" s="302" t="s">
        <v>610</v>
      </c>
      <c r="BS100" s="434">
        <v>0.09</v>
      </c>
      <c r="BT100" s="302" t="s">
        <v>606</v>
      </c>
      <c r="BU100" s="302" t="s">
        <v>607</v>
      </c>
      <c r="BV100" s="434">
        <v>0.01</v>
      </c>
      <c r="BW100" s="645">
        <f t="shared" si="68"/>
        <v>0.5</v>
      </c>
      <c r="BX100" s="434">
        <v>0.4</v>
      </c>
      <c r="BY100" s="302" t="s">
        <v>609</v>
      </c>
      <c r="BZ100" s="302" t="s">
        <v>610</v>
      </c>
      <c r="CA100" s="434">
        <v>0.09</v>
      </c>
      <c r="CB100" s="302" t="s">
        <v>606</v>
      </c>
      <c r="CC100" s="302" t="s">
        <v>607</v>
      </c>
      <c r="CD100" s="434">
        <v>0.01</v>
      </c>
      <c r="CE100" s="434">
        <f t="shared" si="69"/>
        <v>0.5</v>
      </c>
      <c r="CF100" s="1620" t="s">
        <v>862</v>
      </c>
      <c r="CG100" s="1620" t="s">
        <v>1166</v>
      </c>
      <c r="CH100" s="1620" t="s">
        <v>1166</v>
      </c>
      <c r="CI100" s="406"/>
      <c r="CJ100" s="642">
        <v>0.66500000000000004</v>
      </c>
      <c r="CK100" s="591" t="s">
        <v>862</v>
      </c>
      <c r="CL100" s="302" t="s">
        <v>609</v>
      </c>
      <c r="CM100" s="302" t="s">
        <v>610</v>
      </c>
      <c r="CN100" s="637">
        <v>0.59</v>
      </c>
      <c r="CO100" s="302" t="s">
        <v>606</v>
      </c>
      <c r="CP100" s="302" t="s">
        <v>607</v>
      </c>
      <c r="CQ100" s="637">
        <v>0.01</v>
      </c>
    </row>
    <row r="101" spans="1:95" ht="15.75" customHeight="1" x14ac:dyDescent="0.2">
      <c r="A101" s="661" t="s">
        <v>81</v>
      </c>
      <c r="B101" s="440" t="s">
        <v>80</v>
      </c>
      <c r="C101" s="637">
        <v>0.49</v>
      </c>
      <c r="D101" s="440" t="s">
        <v>508</v>
      </c>
      <c r="E101" s="440" t="s">
        <v>660</v>
      </c>
      <c r="F101" s="637">
        <v>0</v>
      </c>
      <c r="G101" s="440" t="s">
        <v>667</v>
      </c>
      <c r="H101" s="440" t="s">
        <v>668</v>
      </c>
      <c r="I101" s="637">
        <v>0.01</v>
      </c>
      <c r="J101" s="662">
        <f t="shared" si="35"/>
        <v>0.5</v>
      </c>
      <c r="K101" s="637">
        <v>0.49</v>
      </c>
      <c r="L101" s="440" t="s">
        <v>508</v>
      </c>
      <c r="M101" s="440" t="s">
        <v>660</v>
      </c>
      <c r="N101" s="637">
        <v>0</v>
      </c>
      <c r="O101" s="440" t="s">
        <v>667</v>
      </c>
      <c r="P101" s="440" t="s">
        <v>668</v>
      </c>
      <c r="Q101" s="637">
        <v>0.01</v>
      </c>
      <c r="R101" s="662">
        <f>+K101+N101+Q101</f>
        <v>0.5</v>
      </c>
      <c r="S101" s="637">
        <v>0.49</v>
      </c>
      <c r="T101" s="302" t="s">
        <v>508</v>
      </c>
      <c r="U101" s="302" t="s">
        <v>660</v>
      </c>
      <c r="V101" s="637">
        <v>0</v>
      </c>
      <c r="W101" s="302" t="s">
        <v>667</v>
      </c>
      <c r="X101" s="302" t="s">
        <v>668</v>
      </c>
      <c r="Y101" s="637">
        <v>0.01</v>
      </c>
      <c r="Z101" s="645">
        <f>+S101+V101+Y101</f>
        <v>0.5</v>
      </c>
      <c r="AA101" s="637">
        <v>0.49</v>
      </c>
      <c r="AB101" s="302" t="s">
        <v>508</v>
      </c>
      <c r="AC101" s="302" t="s">
        <v>660</v>
      </c>
      <c r="AD101" s="637">
        <v>0</v>
      </c>
      <c r="AE101" s="302" t="s">
        <v>667</v>
      </c>
      <c r="AF101" s="302" t="s">
        <v>668</v>
      </c>
      <c r="AG101" s="637">
        <v>0.01</v>
      </c>
      <c r="AH101" s="645">
        <f>+AA101+AD101+AG101</f>
        <v>0.5</v>
      </c>
      <c r="AI101" s="637">
        <v>0.49</v>
      </c>
      <c r="AJ101" s="302" t="s">
        <v>508</v>
      </c>
      <c r="AK101" s="302" t="s">
        <v>660</v>
      </c>
      <c r="AL101" s="637">
        <v>0</v>
      </c>
      <c r="AM101" s="302" t="s">
        <v>667</v>
      </c>
      <c r="AN101" s="302" t="s">
        <v>668</v>
      </c>
      <c r="AO101" s="637">
        <v>0.01</v>
      </c>
      <c r="AP101" s="645">
        <f>+AI101+AL101+AO101</f>
        <v>0.5</v>
      </c>
      <c r="AQ101" s="637">
        <v>0.49</v>
      </c>
      <c r="AR101" s="302" t="s">
        <v>508</v>
      </c>
      <c r="AS101" s="302" t="s">
        <v>660</v>
      </c>
      <c r="AT101" s="637">
        <v>0</v>
      </c>
      <c r="AU101" s="302" t="s">
        <v>667</v>
      </c>
      <c r="AV101" s="302" t="s">
        <v>668</v>
      </c>
      <c r="AW101" s="637">
        <v>0.01</v>
      </c>
      <c r="AX101" s="645">
        <f t="shared" si="65"/>
        <v>0.5</v>
      </c>
      <c r="AY101" s="637">
        <v>0.49</v>
      </c>
      <c r="AZ101" s="302" t="s">
        <v>508</v>
      </c>
      <c r="BA101" s="302" t="s">
        <v>660</v>
      </c>
      <c r="BB101" s="637">
        <v>0</v>
      </c>
      <c r="BC101" s="302" t="s">
        <v>667</v>
      </c>
      <c r="BD101" s="302" t="s">
        <v>668</v>
      </c>
      <c r="BE101" s="637">
        <v>0.01</v>
      </c>
      <c r="BF101" s="434">
        <f t="shared" si="66"/>
        <v>0.5</v>
      </c>
      <c r="BG101" s="587">
        <v>0.49</v>
      </c>
      <c r="BH101" s="302" t="s">
        <v>508</v>
      </c>
      <c r="BI101" s="302" t="s">
        <v>660</v>
      </c>
      <c r="BJ101" s="434">
        <v>0</v>
      </c>
      <c r="BK101" s="302" t="s">
        <v>667</v>
      </c>
      <c r="BL101" s="302" t="s">
        <v>668</v>
      </c>
      <c r="BM101" s="434">
        <v>0.01</v>
      </c>
      <c r="BN101" s="645">
        <f t="shared" si="67"/>
        <v>0.5</v>
      </c>
      <c r="BO101" s="434"/>
      <c r="BP101" s="434">
        <v>0.49</v>
      </c>
      <c r="BQ101" s="302" t="s">
        <v>508</v>
      </c>
      <c r="BR101" s="302" t="s">
        <v>660</v>
      </c>
      <c r="BS101" s="434">
        <v>0</v>
      </c>
      <c r="BT101" s="302" t="s">
        <v>667</v>
      </c>
      <c r="BU101" s="302" t="s">
        <v>668</v>
      </c>
      <c r="BV101" s="434">
        <v>0.01</v>
      </c>
      <c r="BW101" s="645">
        <f t="shared" si="68"/>
        <v>0.5</v>
      </c>
      <c r="BX101" s="434">
        <v>0.49</v>
      </c>
      <c r="BY101" s="302" t="s">
        <v>508</v>
      </c>
      <c r="BZ101" s="302" t="s">
        <v>660</v>
      </c>
      <c r="CA101" s="434">
        <v>0</v>
      </c>
      <c r="CB101" s="302" t="s">
        <v>667</v>
      </c>
      <c r="CC101" s="302" t="s">
        <v>668</v>
      </c>
      <c r="CD101" s="434">
        <v>0.01</v>
      </c>
      <c r="CE101" s="434">
        <f t="shared" si="69"/>
        <v>0.5</v>
      </c>
      <c r="CF101" s="1620" t="s">
        <v>862</v>
      </c>
      <c r="CG101" s="1620" t="s">
        <v>1166</v>
      </c>
      <c r="CH101" s="1620" t="s">
        <v>1166</v>
      </c>
      <c r="CI101" s="408" t="s">
        <v>862</v>
      </c>
      <c r="CJ101" s="642">
        <v>0.67500000000000004</v>
      </c>
      <c r="CK101" s="591" t="s">
        <v>922</v>
      </c>
      <c r="CL101" s="302" t="s">
        <v>508</v>
      </c>
      <c r="CM101" s="302" t="s">
        <v>660</v>
      </c>
      <c r="CN101" s="637">
        <v>0</v>
      </c>
      <c r="CO101" s="302" t="s">
        <v>667</v>
      </c>
      <c r="CP101" s="302" t="s">
        <v>668</v>
      </c>
      <c r="CQ101" s="637">
        <v>0.01</v>
      </c>
    </row>
    <row r="102" spans="1:95" ht="15.75" customHeight="1" x14ac:dyDescent="0.2">
      <c r="A102" s="661" t="s">
        <v>83</v>
      </c>
      <c r="B102" s="440" t="s">
        <v>82</v>
      </c>
      <c r="C102" s="637">
        <v>0.4</v>
      </c>
      <c r="D102" s="440" t="s">
        <v>633</v>
      </c>
      <c r="E102" s="440" t="s">
        <v>634</v>
      </c>
      <c r="F102" s="637">
        <v>0.09</v>
      </c>
      <c r="G102" s="440" t="s">
        <v>631</v>
      </c>
      <c r="H102" s="440" t="s">
        <v>632</v>
      </c>
      <c r="I102" s="637">
        <v>0.01</v>
      </c>
      <c r="J102" s="662">
        <f t="shared" si="35"/>
        <v>0.5</v>
      </c>
      <c r="K102" s="637">
        <v>0.4</v>
      </c>
      <c r="L102" s="440" t="s">
        <v>633</v>
      </c>
      <c r="M102" s="440" t="s">
        <v>634</v>
      </c>
      <c r="N102" s="637">
        <v>0.09</v>
      </c>
      <c r="O102" s="440" t="s">
        <v>631</v>
      </c>
      <c r="P102" s="440" t="s">
        <v>632</v>
      </c>
      <c r="Q102" s="637">
        <v>0.01</v>
      </c>
      <c r="R102" s="662">
        <f t="shared" ref="R102:R162" si="70">+K102+N102+Q102</f>
        <v>0.5</v>
      </c>
      <c r="S102" s="637">
        <v>0.4</v>
      </c>
      <c r="T102" s="302" t="s">
        <v>633</v>
      </c>
      <c r="U102" s="302" t="s">
        <v>634</v>
      </c>
      <c r="V102" s="637">
        <v>0.09</v>
      </c>
      <c r="W102" s="302" t="s">
        <v>631</v>
      </c>
      <c r="X102" s="302" t="s">
        <v>632</v>
      </c>
      <c r="Y102" s="637">
        <v>0.01</v>
      </c>
      <c r="Z102" s="645">
        <f t="shared" ref="Z102:Z165" si="71">+S102+V102+Y102</f>
        <v>0.5</v>
      </c>
      <c r="AA102" s="637">
        <v>0.4</v>
      </c>
      <c r="AB102" s="302" t="s">
        <v>633</v>
      </c>
      <c r="AC102" s="302" t="s">
        <v>634</v>
      </c>
      <c r="AD102" s="637">
        <v>0.09</v>
      </c>
      <c r="AE102" s="302" t="s">
        <v>631</v>
      </c>
      <c r="AF102" s="302" t="s">
        <v>632</v>
      </c>
      <c r="AG102" s="637">
        <v>0.01</v>
      </c>
      <c r="AH102" s="645">
        <f t="shared" ref="AH102:AH103" si="72">+AA102+AD102+AG102</f>
        <v>0.5</v>
      </c>
      <c r="AI102" s="637">
        <v>0.4</v>
      </c>
      <c r="AJ102" s="302" t="s">
        <v>633</v>
      </c>
      <c r="AK102" s="302" t="s">
        <v>634</v>
      </c>
      <c r="AL102" s="637">
        <v>0.09</v>
      </c>
      <c r="AM102" s="302" t="s">
        <v>631</v>
      </c>
      <c r="AN102" s="302" t="s">
        <v>632</v>
      </c>
      <c r="AO102" s="637">
        <v>0.01</v>
      </c>
      <c r="AP102" s="645">
        <f t="shared" ref="AP102:AP105" si="73">+AI102+AL102+AO102</f>
        <v>0.5</v>
      </c>
      <c r="AQ102" s="637">
        <v>0.4</v>
      </c>
      <c r="AR102" s="302" t="s">
        <v>633</v>
      </c>
      <c r="AS102" s="302" t="s">
        <v>634</v>
      </c>
      <c r="AT102" s="637">
        <v>0.09</v>
      </c>
      <c r="AU102" s="302" t="s">
        <v>631</v>
      </c>
      <c r="AV102" s="302" t="s">
        <v>632</v>
      </c>
      <c r="AW102" s="637">
        <v>0.01</v>
      </c>
      <c r="AX102" s="645">
        <f t="shared" si="65"/>
        <v>0.5</v>
      </c>
      <c r="AY102" s="637">
        <v>0.4</v>
      </c>
      <c r="AZ102" s="302" t="s">
        <v>633</v>
      </c>
      <c r="BA102" s="302" t="s">
        <v>634</v>
      </c>
      <c r="BB102" s="637">
        <v>0.09</v>
      </c>
      <c r="BC102" s="302" t="s">
        <v>631</v>
      </c>
      <c r="BD102" s="302" t="s">
        <v>632</v>
      </c>
      <c r="BE102" s="637">
        <v>0.01</v>
      </c>
      <c r="BF102" s="434">
        <f t="shared" si="66"/>
        <v>0.5</v>
      </c>
      <c r="BG102" s="587">
        <v>0.4</v>
      </c>
      <c r="BH102" s="302" t="s">
        <v>633</v>
      </c>
      <c r="BI102" s="302" t="s">
        <v>634</v>
      </c>
      <c r="BJ102" s="434">
        <v>0.09</v>
      </c>
      <c r="BK102" s="302" t="s">
        <v>631</v>
      </c>
      <c r="BL102" s="302" t="s">
        <v>632</v>
      </c>
      <c r="BM102" s="434">
        <v>0.01</v>
      </c>
      <c r="BN102" s="645">
        <f t="shared" si="67"/>
        <v>0.5</v>
      </c>
      <c r="BO102" s="434"/>
      <c r="BP102" s="434">
        <v>0.4</v>
      </c>
      <c r="BQ102" s="302" t="s">
        <v>633</v>
      </c>
      <c r="BR102" s="302" t="s">
        <v>634</v>
      </c>
      <c r="BS102" s="434">
        <v>0.09</v>
      </c>
      <c r="BT102" s="302" t="s">
        <v>631</v>
      </c>
      <c r="BU102" s="302" t="s">
        <v>632</v>
      </c>
      <c r="BV102" s="434">
        <v>0.01</v>
      </c>
      <c r="BW102" s="645">
        <f t="shared" si="68"/>
        <v>0.5</v>
      </c>
      <c r="BX102" s="434">
        <v>0.4</v>
      </c>
      <c r="BY102" s="302" t="s">
        <v>633</v>
      </c>
      <c r="BZ102" s="302" t="s">
        <v>634</v>
      </c>
      <c r="CA102" s="434">
        <v>0.09</v>
      </c>
      <c r="CB102" s="302" t="s">
        <v>631</v>
      </c>
      <c r="CC102" s="302" t="s">
        <v>632</v>
      </c>
      <c r="CD102" s="434">
        <v>0.01</v>
      </c>
      <c r="CE102" s="434">
        <f t="shared" si="69"/>
        <v>0.5</v>
      </c>
      <c r="CF102" s="1621" t="s">
        <v>1166</v>
      </c>
      <c r="CG102" s="1621" t="s">
        <v>1166</v>
      </c>
      <c r="CH102" s="1621" t="s">
        <v>1166</v>
      </c>
      <c r="CI102" s="406"/>
      <c r="CJ102" s="642">
        <v>0.69099999999999995</v>
      </c>
      <c r="CK102" s="591" t="s">
        <v>922</v>
      </c>
      <c r="CL102" s="302" t="s">
        <v>633</v>
      </c>
      <c r="CM102" s="302" t="s">
        <v>634</v>
      </c>
      <c r="CN102" s="637">
        <v>0.59</v>
      </c>
      <c r="CO102" s="302" t="s">
        <v>631</v>
      </c>
      <c r="CP102" s="302" t="s">
        <v>632</v>
      </c>
      <c r="CQ102" s="637">
        <v>0.01</v>
      </c>
    </row>
    <row r="103" spans="1:95" ht="15" x14ac:dyDescent="0.2">
      <c r="A103" s="661" t="s">
        <v>85</v>
      </c>
      <c r="B103" s="440" t="s">
        <v>84</v>
      </c>
      <c r="C103" s="637">
        <v>0.4</v>
      </c>
      <c r="D103" s="440" t="s">
        <v>577</v>
      </c>
      <c r="E103" s="440" t="s">
        <v>578</v>
      </c>
      <c r="F103" s="637">
        <v>0.1</v>
      </c>
      <c r="G103" s="440" t="s">
        <v>508</v>
      </c>
      <c r="H103" s="440" t="s">
        <v>546</v>
      </c>
      <c r="I103" s="637">
        <v>0</v>
      </c>
      <c r="J103" s="662">
        <f t="shared" si="35"/>
        <v>0.5</v>
      </c>
      <c r="K103" s="637">
        <v>0.4</v>
      </c>
      <c r="L103" s="440" t="s">
        <v>577</v>
      </c>
      <c r="M103" s="440" t="s">
        <v>578</v>
      </c>
      <c r="N103" s="637">
        <v>0.1</v>
      </c>
      <c r="O103" s="440" t="s">
        <v>508</v>
      </c>
      <c r="P103" s="440" t="s">
        <v>546</v>
      </c>
      <c r="Q103" s="637">
        <v>0</v>
      </c>
      <c r="R103" s="662">
        <f t="shared" si="70"/>
        <v>0.5</v>
      </c>
      <c r="S103" s="637">
        <v>0.4</v>
      </c>
      <c r="T103" s="302" t="s">
        <v>577</v>
      </c>
      <c r="U103" s="302" t="s">
        <v>578</v>
      </c>
      <c r="V103" s="637">
        <v>0.1</v>
      </c>
      <c r="W103" s="302" t="s">
        <v>508</v>
      </c>
      <c r="X103" s="302" t="s">
        <v>546</v>
      </c>
      <c r="Y103" s="637">
        <v>0</v>
      </c>
      <c r="Z103" s="645">
        <f t="shared" si="71"/>
        <v>0.5</v>
      </c>
      <c r="AA103" s="637">
        <v>0.4</v>
      </c>
      <c r="AB103" s="302" t="s">
        <v>577</v>
      </c>
      <c r="AC103" s="302" t="s">
        <v>578</v>
      </c>
      <c r="AD103" s="637">
        <v>0.1</v>
      </c>
      <c r="AE103" s="302" t="s">
        <v>508</v>
      </c>
      <c r="AF103" s="302" t="s">
        <v>546</v>
      </c>
      <c r="AG103" s="637">
        <v>0</v>
      </c>
      <c r="AH103" s="645">
        <f t="shared" si="72"/>
        <v>0.5</v>
      </c>
      <c r="AI103" s="637">
        <v>0.4</v>
      </c>
      <c r="AJ103" s="302" t="s">
        <v>577</v>
      </c>
      <c r="AK103" s="302" t="s">
        <v>578</v>
      </c>
      <c r="AL103" s="637">
        <v>0.1</v>
      </c>
      <c r="AM103" s="302" t="s">
        <v>508</v>
      </c>
      <c r="AN103" s="302" t="s">
        <v>546</v>
      </c>
      <c r="AO103" s="637">
        <v>0</v>
      </c>
      <c r="AP103" s="645">
        <f t="shared" si="73"/>
        <v>0.5</v>
      </c>
      <c r="AQ103" s="637">
        <v>0.4</v>
      </c>
      <c r="AR103" s="302" t="s">
        <v>577</v>
      </c>
      <c r="AS103" s="302" t="s">
        <v>578</v>
      </c>
      <c r="AT103" s="637">
        <v>0.1</v>
      </c>
      <c r="AU103" s="302" t="s">
        <v>508</v>
      </c>
      <c r="AV103" s="302" t="s">
        <v>546</v>
      </c>
      <c r="AW103" s="637">
        <v>0</v>
      </c>
      <c r="AX103" s="645">
        <f t="shared" si="65"/>
        <v>0.5</v>
      </c>
      <c r="AY103" s="637">
        <v>0.4</v>
      </c>
      <c r="AZ103" s="302" t="s">
        <v>577</v>
      </c>
      <c r="BA103" s="302" t="s">
        <v>578</v>
      </c>
      <c r="BB103" s="637">
        <v>0.1</v>
      </c>
      <c r="BC103" s="302" t="s">
        <v>508</v>
      </c>
      <c r="BD103" s="302" t="s">
        <v>546</v>
      </c>
      <c r="BE103" s="637">
        <v>0</v>
      </c>
      <c r="BF103" s="434">
        <f t="shared" si="66"/>
        <v>0.5</v>
      </c>
      <c r="BG103" s="587">
        <v>0.5</v>
      </c>
      <c r="BH103" s="302" t="s">
        <v>577</v>
      </c>
      <c r="BI103" s="302" t="s">
        <v>578</v>
      </c>
      <c r="BJ103" s="434">
        <v>0.5</v>
      </c>
      <c r="BK103" s="302" t="s">
        <v>508</v>
      </c>
      <c r="BL103" s="302" t="s">
        <v>546</v>
      </c>
      <c r="BM103" s="434">
        <v>0</v>
      </c>
      <c r="BN103" s="645">
        <f t="shared" si="67"/>
        <v>1</v>
      </c>
      <c r="BO103" s="434"/>
      <c r="BP103" s="434">
        <v>0.4</v>
      </c>
      <c r="BQ103" s="302" t="s">
        <v>577</v>
      </c>
      <c r="BR103" s="302" t="s">
        <v>578</v>
      </c>
      <c r="BS103" s="434">
        <v>0.1</v>
      </c>
      <c r="BT103" s="302" t="s">
        <v>508</v>
      </c>
      <c r="BU103" s="302" t="s">
        <v>546</v>
      </c>
      <c r="BV103" s="434">
        <v>0</v>
      </c>
      <c r="BW103" s="645">
        <f t="shared" si="68"/>
        <v>0.5</v>
      </c>
      <c r="BX103" s="434">
        <v>0.4</v>
      </c>
      <c r="BY103" s="302" t="s">
        <v>577</v>
      </c>
      <c r="BZ103" s="302" t="s">
        <v>578</v>
      </c>
      <c r="CA103" s="434">
        <v>0.1</v>
      </c>
      <c r="CB103" s="302" t="s">
        <v>508</v>
      </c>
      <c r="CC103" s="302" t="s">
        <v>546</v>
      </c>
      <c r="CD103" s="434">
        <v>0</v>
      </c>
      <c r="CE103" s="434">
        <f t="shared" si="69"/>
        <v>0.5</v>
      </c>
      <c r="CF103" s="1620" t="s">
        <v>1166</v>
      </c>
      <c r="CG103" s="1620" t="s">
        <v>1166</v>
      </c>
      <c r="CH103" s="1620" t="s">
        <v>1166</v>
      </c>
      <c r="CI103" s="406"/>
      <c r="CJ103" s="642">
        <v>0.67800000000000005</v>
      </c>
      <c r="CK103" s="591" t="s">
        <v>922</v>
      </c>
      <c r="CL103" s="302" t="s">
        <v>577</v>
      </c>
      <c r="CM103" s="302" t="s">
        <v>578</v>
      </c>
      <c r="CN103" s="637">
        <v>0.6</v>
      </c>
      <c r="CO103" s="302" t="s">
        <v>508</v>
      </c>
      <c r="CP103" s="302" t="s">
        <v>546</v>
      </c>
      <c r="CQ103" s="637">
        <v>0</v>
      </c>
    </row>
    <row r="104" spans="1:95" ht="15.75" customHeight="1" x14ac:dyDescent="0.2">
      <c r="A104" s="661" t="s">
        <v>87</v>
      </c>
      <c r="B104" s="440" t="s">
        <v>86</v>
      </c>
      <c r="C104" s="637">
        <v>0.4</v>
      </c>
      <c r="D104" s="440" t="s">
        <v>583</v>
      </c>
      <c r="E104" s="440" t="s">
        <v>584</v>
      </c>
      <c r="F104" s="637">
        <v>0.09</v>
      </c>
      <c r="G104" s="440" t="s">
        <v>2218</v>
      </c>
      <c r="H104" s="440" t="s">
        <v>2219</v>
      </c>
      <c r="I104" s="637">
        <v>0.01</v>
      </c>
      <c r="J104" s="662">
        <f t="shared" si="35"/>
        <v>0.5</v>
      </c>
      <c r="K104" s="637">
        <v>0.4</v>
      </c>
      <c r="L104" s="440" t="s">
        <v>583</v>
      </c>
      <c r="M104" s="440" t="s">
        <v>584</v>
      </c>
      <c r="N104" s="637">
        <v>0.09</v>
      </c>
      <c r="O104" s="440" t="s">
        <v>2218</v>
      </c>
      <c r="P104" s="440" t="s">
        <v>2219</v>
      </c>
      <c r="Q104" s="637">
        <v>0.01</v>
      </c>
      <c r="R104" s="662">
        <f t="shared" si="70"/>
        <v>0.5</v>
      </c>
      <c r="S104" s="637">
        <v>0.4</v>
      </c>
      <c r="T104" s="302" t="s">
        <v>583</v>
      </c>
      <c r="U104" s="302" t="s">
        <v>584</v>
      </c>
      <c r="V104" s="637">
        <v>0.09</v>
      </c>
      <c r="W104" s="302" t="s">
        <v>2218</v>
      </c>
      <c r="X104" s="302" t="s">
        <v>2219</v>
      </c>
      <c r="Y104" s="637">
        <v>0.01</v>
      </c>
      <c r="Z104" s="645">
        <f t="shared" si="71"/>
        <v>0.5</v>
      </c>
      <c r="AA104" s="637">
        <v>0.4</v>
      </c>
      <c r="AB104" s="302" t="s">
        <v>583</v>
      </c>
      <c r="AC104" s="302" t="s">
        <v>584</v>
      </c>
      <c r="AD104" s="637">
        <v>0.09</v>
      </c>
      <c r="AE104" s="302" t="s">
        <v>2218</v>
      </c>
      <c r="AF104" s="302" t="s">
        <v>2219</v>
      </c>
      <c r="AG104" s="637">
        <v>0.01</v>
      </c>
      <c r="AH104" s="645">
        <f t="shared" ref="AH104:AH107" si="74">+AA104+AD104+AG104</f>
        <v>0.5</v>
      </c>
      <c r="AI104" s="637">
        <v>0.4</v>
      </c>
      <c r="AJ104" s="302" t="s">
        <v>583</v>
      </c>
      <c r="AK104" s="302" t="s">
        <v>584</v>
      </c>
      <c r="AL104" s="637">
        <v>0.09</v>
      </c>
      <c r="AM104" s="302" t="s">
        <v>2218</v>
      </c>
      <c r="AN104" s="302" t="s">
        <v>2219</v>
      </c>
      <c r="AO104" s="637">
        <v>0.01</v>
      </c>
      <c r="AP104" s="645">
        <f t="shared" si="73"/>
        <v>0.5</v>
      </c>
      <c r="AQ104" s="637">
        <v>0.4</v>
      </c>
      <c r="AR104" s="302" t="s">
        <v>583</v>
      </c>
      <c r="AS104" s="302" t="s">
        <v>584</v>
      </c>
      <c r="AT104" s="637">
        <v>0.09</v>
      </c>
      <c r="AU104" s="302" t="s">
        <v>580</v>
      </c>
      <c r="AV104" s="302" t="s">
        <v>581</v>
      </c>
      <c r="AW104" s="637">
        <v>0.01</v>
      </c>
      <c r="AX104" s="645">
        <f t="shared" ref="AX104:AX109" si="75">+AQ104+AT104+AW104</f>
        <v>0.5</v>
      </c>
      <c r="AY104" s="637">
        <v>0.4</v>
      </c>
      <c r="AZ104" s="302" t="s">
        <v>583</v>
      </c>
      <c r="BA104" s="302" t="s">
        <v>584</v>
      </c>
      <c r="BB104" s="637">
        <v>0.09</v>
      </c>
      <c r="BC104" s="302" t="s">
        <v>580</v>
      </c>
      <c r="BD104" s="302" t="s">
        <v>581</v>
      </c>
      <c r="BE104" s="637">
        <v>0.01</v>
      </c>
      <c r="BF104" s="434">
        <f t="shared" ref="BF104:BF109" si="76">+AY104+BB104+BE104</f>
        <v>0.5</v>
      </c>
      <c r="BG104" s="587">
        <v>0.4</v>
      </c>
      <c r="BH104" s="302" t="s">
        <v>583</v>
      </c>
      <c r="BI104" s="302" t="s">
        <v>584</v>
      </c>
      <c r="BJ104" s="434">
        <v>0.09</v>
      </c>
      <c r="BK104" s="302" t="s">
        <v>580</v>
      </c>
      <c r="BL104" s="302" t="s">
        <v>581</v>
      </c>
      <c r="BM104" s="434">
        <v>0.01</v>
      </c>
      <c r="BN104" s="645">
        <f t="shared" ref="BN104:BN109" si="77">+BG104+BJ104+BM104</f>
        <v>0.5</v>
      </c>
      <c r="BO104" s="434"/>
      <c r="BP104" s="434">
        <v>0.4</v>
      </c>
      <c r="BQ104" s="302" t="s">
        <v>583</v>
      </c>
      <c r="BR104" s="302" t="s">
        <v>584</v>
      </c>
      <c r="BS104" s="434">
        <v>0.09</v>
      </c>
      <c r="BT104" s="302" t="s">
        <v>580</v>
      </c>
      <c r="BU104" s="302" t="s">
        <v>581</v>
      </c>
      <c r="BV104" s="434">
        <v>0.01</v>
      </c>
      <c r="BW104" s="645">
        <f t="shared" ref="BW104:BW109" si="78">+BP104+BS104+BV104</f>
        <v>0.5</v>
      </c>
      <c r="BX104" s="434">
        <v>0.4</v>
      </c>
      <c r="BY104" s="302" t="s">
        <v>583</v>
      </c>
      <c r="BZ104" s="302" t="s">
        <v>584</v>
      </c>
      <c r="CA104" s="434">
        <v>0.09</v>
      </c>
      <c r="CB104" s="302" t="s">
        <v>580</v>
      </c>
      <c r="CC104" s="302" t="s">
        <v>581</v>
      </c>
      <c r="CD104" s="434">
        <v>0.01</v>
      </c>
      <c r="CE104" s="434">
        <f t="shared" ref="CE104:CE109" si="79">+BX104+CA104+CD104</f>
        <v>0.5</v>
      </c>
      <c r="CF104" s="1620" t="s">
        <v>862</v>
      </c>
      <c r="CG104" s="1620" t="s">
        <v>1166</v>
      </c>
      <c r="CH104" s="1620" t="s">
        <v>1166</v>
      </c>
      <c r="CI104" s="406"/>
      <c r="CJ104" s="642">
        <v>0.67700000000000005</v>
      </c>
      <c r="CK104" s="591" t="s">
        <v>922</v>
      </c>
      <c r="CL104" s="302" t="s">
        <v>583</v>
      </c>
      <c r="CM104" s="302" t="s">
        <v>584</v>
      </c>
      <c r="CN104" s="637">
        <v>0.59</v>
      </c>
      <c r="CO104" s="302" t="s">
        <v>580</v>
      </c>
      <c r="CP104" s="302" t="s">
        <v>581</v>
      </c>
      <c r="CQ104" s="637">
        <v>0.01</v>
      </c>
    </row>
    <row r="105" spans="1:95" ht="15" x14ac:dyDescent="0.2">
      <c r="A105" s="661" t="s">
        <v>89</v>
      </c>
      <c r="B105" s="440" t="s">
        <v>88</v>
      </c>
      <c r="C105" s="637">
        <v>0.4</v>
      </c>
      <c r="D105" s="440" t="s">
        <v>602</v>
      </c>
      <c r="E105" s="440" t="s">
        <v>603</v>
      </c>
      <c r="F105" s="637">
        <v>0.09</v>
      </c>
      <c r="G105" s="440" t="s">
        <v>600</v>
      </c>
      <c r="H105" s="440" t="s">
        <v>601</v>
      </c>
      <c r="I105" s="637">
        <v>0.01</v>
      </c>
      <c r="J105" s="662">
        <f t="shared" si="35"/>
        <v>0.5</v>
      </c>
      <c r="K105" s="637">
        <v>0.4</v>
      </c>
      <c r="L105" s="440" t="s">
        <v>602</v>
      </c>
      <c r="M105" s="440" t="s">
        <v>603</v>
      </c>
      <c r="N105" s="637">
        <v>0.09</v>
      </c>
      <c r="O105" s="440" t="s">
        <v>600</v>
      </c>
      <c r="P105" s="440" t="s">
        <v>601</v>
      </c>
      <c r="Q105" s="637">
        <v>0.01</v>
      </c>
      <c r="R105" s="662">
        <f t="shared" si="70"/>
        <v>0.5</v>
      </c>
      <c r="S105" s="637">
        <v>0.4</v>
      </c>
      <c r="T105" s="302" t="s">
        <v>602</v>
      </c>
      <c r="U105" s="302" t="s">
        <v>603</v>
      </c>
      <c r="V105" s="637">
        <v>0.09</v>
      </c>
      <c r="W105" s="302" t="s">
        <v>600</v>
      </c>
      <c r="X105" s="302" t="s">
        <v>601</v>
      </c>
      <c r="Y105" s="637">
        <v>0.01</v>
      </c>
      <c r="Z105" s="645">
        <f t="shared" si="71"/>
        <v>0.5</v>
      </c>
      <c r="AA105" s="637">
        <v>0.4</v>
      </c>
      <c r="AB105" s="302" t="s">
        <v>602</v>
      </c>
      <c r="AC105" s="302" t="s">
        <v>603</v>
      </c>
      <c r="AD105" s="637">
        <v>0.09</v>
      </c>
      <c r="AE105" s="302" t="s">
        <v>600</v>
      </c>
      <c r="AF105" s="302" t="s">
        <v>601</v>
      </c>
      <c r="AG105" s="637">
        <v>0.01</v>
      </c>
      <c r="AH105" s="645">
        <f t="shared" si="74"/>
        <v>0.5</v>
      </c>
      <c r="AI105" s="637">
        <v>0.4</v>
      </c>
      <c r="AJ105" s="302" t="s">
        <v>602</v>
      </c>
      <c r="AK105" s="302" t="s">
        <v>603</v>
      </c>
      <c r="AL105" s="637">
        <v>0.09</v>
      </c>
      <c r="AM105" s="302" t="s">
        <v>600</v>
      </c>
      <c r="AN105" s="302" t="s">
        <v>601</v>
      </c>
      <c r="AO105" s="637">
        <v>0.01</v>
      </c>
      <c r="AP105" s="645">
        <f t="shared" si="73"/>
        <v>0.5</v>
      </c>
      <c r="AQ105" s="637">
        <v>0.4</v>
      </c>
      <c r="AR105" s="302" t="s">
        <v>602</v>
      </c>
      <c r="AS105" s="302" t="s">
        <v>603</v>
      </c>
      <c r="AT105" s="637">
        <v>0.09</v>
      </c>
      <c r="AU105" s="302" t="s">
        <v>600</v>
      </c>
      <c r="AV105" s="302" t="s">
        <v>601</v>
      </c>
      <c r="AW105" s="637">
        <v>0.01</v>
      </c>
      <c r="AX105" s="645">
        <f t="shared" si="75"/>
        <v>0.5</v>
      </c>
      <c r="AY105" s="637">
        <v>0.4</v>
      </c>
      <c r="AZ105" s="302" t="s">
        <v>602</v>
      </c>
      <c r="BA105" s="302" t="s">
        <v>603</v>
      </c>
      <c r="BB105" s="637">
        <v>0.09</v>
      </c>
      <c r="BC105" s="302" t="s">
        <v>600</v>
      </c>
      <c r="BD105" s="302" t="s">
        <v>601</v>
      </c>
      <c r="BE105" s="637">
        <v>0.01</v>
      </c>
      <c r="BF105" s="434">
        <f t="shared" si="76"/>
        <v>0.5</v>
      </c>
      <c r="BG105" s="587">
        <v>0.4</v>
      </c>
      <c r="BH105" s="302" t="s">
        <v>602</v>
      </c>
      <c r="BI105" s="302" t="s">
        <v>603</v>
      </c>
      <c r="BJ105" s="434">
        <v>0.59</v>
      </c>
      <c r="BK105" s="302" t="s">
        <v>600</v>
      </c>
      <c r="BL105" s="302" t="s">
        <v>601</v>
      </c>
      <c r="BM105" s="434">
        <v>0.01</v>
      </c>
      <c r="BN105" s="645">
        <f t="shared" si="77"/>
        <v>1</v>
      </c>
      <c r="BO105" s="434"/>
      <c r="BP105" s="434">
        <v>0.4</v>
      </c>
      <c r="BQ105" s="302" t="s">
        <v>602</v>
      </c>
      <c r="BR105" s="302" t="s">
        <v>603</v>
      </c>
      <c r="BS105" s="434">
        <v>0.09</v>
      </c>
      <c r="BT105" s="302" t="s">
        <v>600</v>
      </c>
      <c r="BU105" s="302" t="s">
        <v>601</v>
      </c>
      <c r="BV105" s="434">
        <v>0.01</v>
      </c>
      <c r="BW105" s="645">
        <f t="shared" si="78"/>
        <v>0.5</v>
      </c>
      <c r="BX105" s="434">
        <v>0.4</v>
      </c>
      <c r="BY105" s="302" t="s">
        <v>602</v>
      </c>
      <c r="BZ105" s="302" t="s">
        <v>603</v>
      </c>
      <c r="CA105" s="434">
        <v>0.09</v>
      </c>
      <c r="CB105" s="302" t="s">
        <v>600</v>
      </c>
      <c r="CC105" s="302" t="s">
        <v>601</v>
      </c>
      <c r="CD105" s="434">
        <v>0.01</v>
      </c>
      <c r="CE105" s="434">
        <f t="shared" si="79"/>
        <v>0.5</v>
      </c>
      <c r="CF105" s="1620" t="s">
        <v>862</v>
      </c>
      <c r="CG105" s="1620" t="s">
        <v>1166</v>
      </c>
      <c r="CH105" s="1620" t="s">
        <v>1166</v>
      </c>
      <c r="CI105" s="406"/>
      <c r="CJ105" s="642">
        <v>0.70599999999999996</v>
      </c>
      <c r="CK105" s="591" t="s">
        <v>922</v>
      </c>
      <c r="CL105" s="302" t="s">
        <v>602</v>
      </c>
      <c r="CM105" s="302" t="s">
        <v>603</v>
      </c>
      <c r="CN105" s="637">
        <v>0.59</v>
      </c>
      <c r="CO105" s="302" t="s">
        <v>600</v>
      </c>
      <c r="CP105" s="302" t="s">
        <v>601</v>
      </c>
      <c r="CQ105" s="637">
        <v>0.01</v>
      </c>
    </row>
    <row r="106" spans="1:95" ht="15.75" customHeight="1" x14ac:dyDescent="0.2">
      <c r="A106" s="661" t="s">
        <v>91</v>
      </c>
      <c r="B106" s="440" t="s">
        <v>90</v>
      </c>
      <c r="C106" s="637">
        <v>0.4</v>
      </c>
      <c r="D106" s="440" t="s">
        <v>621</v>
      </c>
      <c r="E106" s="440" t="s">
        <v>622</v>
      </c>
      <c r="F106" s="637">
        <v>0.1</v>
      </c>
      <c r="G106" s="440" t="s">
        <v>508</v>
      </c>
      <c r="H106" s="440" t="s">
        <v>546</v>
      </c>
      <c r="I106" s="637">
        <v>0</v>
      </c>
      <c r="J106" s="662">
        <f t="shared" si="35"/>
        <v>0.5</v>
      </c>
      <c r="K106" s="637">
        <v>0.4</v>
      </c>
      <c r="L106" s="440" t="s">
        <v>621</v>
      </c>
      <c r="M106" s="440" t="s">
        <v>622</v>
      </c>
      <c r="N106" s="637">
        <v>0.1</v>
      </c>
      <c r="O106" s="440" t="s">
        <v>508</v>
      </c>
      <c r="P106" s="440" t="s">
        <v>546</v>
      </c>
      <c r="Q106" s="637">
        <v>0</v>
      </c>
      <c r="R106" s="662">
        <f t="shared" si="70"/>
        <v>0.5</v>
      </c>
      <c r="S106" s="637">
        <v>0.4</v>
      </c>
      <c r="T106" s="302" t="s">
        <v>621</v>
      </c>
      <c r="U106" s="302" t="s">
        <v>622</v>
      </c>
      <c r="V106" s="637">
        <v>0.1</v>
      </c>
      <c r="W106" s="302" t="s">
        <v>508</v>
      </c>
      <c r="X106" s="302" t="s">
        <v>546</v>
      </c>
      <c r="Y106" s="637">
        <v>0</v>
      </c>
      <c r="Z106" s="645">
        <f t="shared" si="71"/>
        <v>0.5</v>
      </c>
      <c r="AA106" s="637">
        <v>0.4</v>
      </c>
      <c r="AB106" s="302" t="s">
        <v>621</v>
      </c>
      <c r="AC106" s="302" t="s">
        <v>622</v>
      </c>
      <c r="AD106" s="637">
        <v>0.1</v>
      </c>
      <c r="AE106" s="302" t="s">
        <v>508</v>
      </c>
      <c r="AF106" s="302" t="s">
        <v>546</v>
      </c>
      <c r="AG106" s="637">
        <v>0</v>
      </c>
      <c r="AH106" s="645">
        <f t="shared" si="74"/>
        <v>0.5</v>
      </c>
      <c r="AI106" s="637">
        <v>0.4</v>
      </c>
      <c r="AJ106" s="302" t="s">
        <v>621</v>
      </c>
      <c r="AK106" s="302" t="s">
        <v>622</v>
      </c>
      <c r="AL106" s="637">
        <v>0.1</v>
      </c>
      <c r="AM106" s="302" t="s">
        <v>508</v>
      </c>
      <c r="AN106" s="302" t="s">
        <v>546</v>
      </c>
      <c r="AO106" s="637">
        <v>0</v>
      </c>
      <c r="AP106" s="645">
        <f t="shared" ref="AP106:AP111" si="80">+AI106+AL106+AO106</f>
        <v>0.5</v>
      </c>
      <c r="AQ106" s="637">
        <v>0.4</v>
      </c>
      <c r="AR106" s="302" t="s">
        <v>621</v>
      </c>
      <c r="AS106" s="302" t="s">
        <v>622</v>
      </c>
      <c r="AT106" s="637">
        <v>0.1</v>
      </c>
      <c r="AU106" s="302" t="s">
        <v>508</v>
      </c>
      <c r="AV106" s="302" t="s">
        <v>546</v>
      </c>
      <c r="AW106" s="637">
        <v>0</v>
      </c>
      <c r="AX106" s="645">
        <f t="shared" si="75"/>
        <v>0.5</v>
      </c>
      <c r="AY106" s="637">
        <v>0.42499999999999999</v>
      </c>
      <c r="AZ106" s="302" t="s">
        <v>621</v>
      </c>
      <c r="BA106" s="302" t="s">
        <v>622</v>
      </c>
      <c r="BB106" s="637">
        <v>0.32500000000000001</v>
      </c>
      <c r="BC106" s="302" t="s">
        <v>508</v>
      </c>
      <c r="BD106" s="302" t="s">
        <v>546</v>
      </c>
      <c r="BE106" s="637">
        <v>0</v>
      </c>
      <c r="BF106" s="434">
        <f t="shared" si="76"/>
        <v>0.75</v>
      </c>
      <c r="BG106" s="587">
        <v>0.4</v>
      </c>
      <c r="BH106" s="302" t="s">
        <v>621</v>
      </c>
      <c r="BI106" s="302" t="s">
        <v>622</v>
      </c>
      <c r="BJ106" s="434">
        <v>0.1</v>
      </c>
      <c r="BK106" s="302" t="s">
        <v>508</v>
      </c>
      <c r="BL106" s="302" t="s">
        <v>546</v>
      </c>
      <c r="BM106" s="434">
        <v>0</v>
      </c>
      <c r="BN106" s="645">
        <f t="shared" si="77"/>
        <v>0.5</v>
      </c>
      <c r="BO106" s="434"/>
      <c r="BP106" s="434">
        <v>0.4</v>
      </c>
      <c r="BQ106" s="302" t="s">
        <v>621</v>
      </c>
      <c r="BR106" s="302" t="s">
        <v>622</v>
      </c>
      <c r="BS106" s="434">
        <v>0.1</v>
      </c>
      <c r="BT106" s="302" t="s">
        <v>508</v>
      </c>
      <c r="BU106" s="302" t="s">
        <v>546</v>
      </c>
      <c r="BV106" s="434">
        <v>0</v>
      </c>
      <c r="BW106" s="645">
        <f t="shared" si="78"/>
        <v>0.5</v>
      </c>
      <c r="BX106" s="434">
        <v>0.4</v>
      </c>
      <c r="BY106" s="302" t="s">
        <v>621</v>
      </c>
      <c r="BZ106" s="302" t="s">
        <v>622</v>
      </c>
      <c r="CA106" s="434">
        <v>0.1</v>
      </c>
      <c r="CB106" s="302" t="s">
        <v>508</v>
      </c>
      <c r="CC106" s="302" t="s">
        <v>546</v>
      </c>
      <c r="CD106" s="434">
        <v>0</v>
      </c>
      <c r="CE106" s="434">
        <f t="shared" si="79"/>
        <v>0.5</v>
      </c>
      <c r="CF106" s="1620" t="s">
        <v>862</v>
      </c>
      <c r="CG106" s="1620" t="s">
        <v>1166</v>
      </c>
      <c r="CH106" s="1620" t="s">
        <v>1166</v>
      </c>
      <c r="CI106" s="406"/>
      <c r="CJ106" s="642">
        <v>0.65700000000000003</v>
      </c>
      <c r="CK106" s="591" t="s">
        <v>922</v>
      </c>
      <c r="CL106" s="302" t="s">
        <v>621</v>
      </c>
      <c r="CM106" s="302" t="s">
        <v>622</v>
      </c>
      <c r="CN106" s="637">
        <v>0.6</v>
      </c>
      <c r="CO106" s="302" t="s">
        <v>508</v>
      </c>
      <c r="CP106" s="302" t="s">
        <v>546</v>
      </c>
      <c r="CQ106" s="637">
        <v>0</v>
      </c>
    </row>
    <row r="107" spans="1:95" ht="15.75" customHeight="1" x14ac:dyDescent="0.2">
      <c r="A107" s="661" t="s">
        <v>93</v>
      </c>
      <c r="B107" s="440" t="s">
        <v>92</v>
      </c>
      <c r="C107" s="637">
        <v>0.3</v>
      </c>
      <c r="D107" s="440" t="s">
        <v>674</v>
      </c>
      <c r="E107" s="440" t="s">
        <v>675</v>
      </c>
      <c r="F107" s="637">
        <v>0.37</v>
      </c>
      <c r="G107" s="440" t="s">
        <v>508</v>
      </c>
      <c r="H107" s="440" t="s">
        <v>508</v>
      </c>
      <c r="I107" s="637">
        <v>0</v>
      </c>
      <c r="J107" s="662">
        <f t="shared" si="35"/>
        <v>0.66999999999999993</v>
      </c>
      <c r="K107" s="637">
        <v>0.3</v>
      </c>
      <c r="L107" s="440" t="s">
        <v>674</v>
      </c>
      <c r="M107" s="440" t="s">
        <v>675</v>
      </c>
      <c r="N107" s="637">
        <v>0.37</v>
      </c>
      <c r="O107" s="440" t="s">
        <v>508</v>
      </c>
      <c r="P107" s="440" t="s">
        <v>508</v>
      </c>
      <c r="Q107" s="637">
        <v>0</v>
      </c>
      <c r="R107" s="662">
        <f t="shared" si="70"/>
        <v>0.66999999999999993</v>
      </c>
      <c r="S107" s="637">
        <v>0.3</v>
      </c>
      <c r="T107" s="302" t="s">
        <v>674</v>
      </c>
      <c r="U107" s="302" t="s">
        <v>675</v>
      </c>
      <c r="V107" s="637">
        <v>0.37</v>
      </c>
      <c r="W107" s="302" t="s">
        <v>508</v>
      </c>
      <c r="X107" s="302" t="s">
        <v>508</v>
      </c>
      <c r="Y107" s="637">
        <v>0</v>
      </c>
      <c r="Z107" s="645">
        <f t="shared" si="71"/>
        <v>0.66999999999999993</v>
      </c>
      <c r="AA107" s="637">
        <v>0.3</v>
      </c>
      <c r="AB107" s="302" t="s">
        <v>674</v>
      </c>
      <c r="AC107" s="302" t="s">
        <v>675</v>
      </c>
      <c r="AD107" s="637">
        <v>0.37</v>
      </c>
      <c r="AE107" s="302" t="s">
        <v>508</v>
      </c>
      <c r="AF107" s="302" t="s">
        <v>508</v>
      </c>
      <c r="AG107" s="637">
        <v>0</v>
      </c>
      <c r="AH107" s="645">
        <f t="shared" si="74"/>
        <v>0.66999999999999993</v>
      </c>
      <c r="AI107" s="637">
        <v>0.3</v>
      </c>
      <c r="AJ107" s="302" t="s">
        <v>674</v>
      </c>
      <c r="AK107" s="302" t="s">
        <v>675</v>
      </c>
      <c r="AL107" s="637">
        <v>0.37</v>
      </c>
      <c r="AM107" s="302" t="s">
        <v>508</v>
      </c>
      <c r="AN107" s="302" t="s">
        <v>508</v>
      </c>
      <c r="AO107" s="637">
        <v>0</v>
      </c>
      <c r="AP107" s="645">
        <f t="shared" si="80"/>
        <v>0.66999999999999993</v>
      </c>
      <c r="AQ107" s="637">
        <v>0.3</v>
      </c>
      <c r="AR107" s="302" t="s">
        <v>674</v>
      </c>
      <c r="AS107" s="302" t="s">
        <v>675</v>
      </c>
      <c r="AT107" s="637">
        <v>0.37</v>
      </c>
      <c r="AU107" s="302" t="s">
        <v>508</v>
      </c>
      <c r="AV107" s="302" t="s">
        <v>508</v>
      </c>
      <c r="AW107" s="637">
        <v>0</v>
      </c>
      <c r="AX107" s="645">
        <f t="shared" si="75"/>
        <v>0.66999999999999993</v>
      </c>
      <c r="AY107" s="637">
        <v>0.48</v>
      </c>
      <c r="AZ107" s="302" t="s">
        <v>674</v>
      </c>
      <c r="BA107" s="302" t="s">
        <v>675</v>
      </c>
      <c r="BB107" s="637">
        <v>0.27</v>
      </c>
      <c r="BC107" s="302" t="s">
        <v>508</v>
      </c>
      <c r="BD107" s="302" t="s">
        <v>508</v>
      </c>
      <c r="BE107" s="637">
        <v>0</v>
      </c>
      <c r="BF107" s="434">
        <f t="shared" si="76"/>
        <v>0.75</v>
      </c>
      <c r="BG107" s="587">
        <v>0.64</v>
      </c>
      <c r="BH107" s="302" t="s">
        <v>674</v>
      </c>
      <c r="BI107" s="302" t="s">
        <v>675</v>
      </c>
      <c r="BJ107" s="434">
        <v>0.36</v>
      </c>
      <c r="BK107" s="302" t="s">
        <v>508</v>
      </c>
      <c r="BL107" s="302" t="s">
        <v>508</v>
      </c>
      <c r="BM107" s="434">
        <v>0</v>
      </c>
      <c r="BN107" s="645">
        <f t="shared" si="77"/>
        <v>1</v>
      </c>
      <c r="BO107" s="434"/>
      <c r="BP107" s="434">
        <v>0.3</v>
      </c>
      <c r="BQ107" s="302" t="s">
        <v>674</v>
      </c>
      <c r="BR107" s="302" t="s">
        <v>675</v>
      </c>
      <c r="BS107" s="434">
        <v>0.37</v>
      </c>
      <c r="BT107" s="302" t="s">
        <v>508</v>
      </c>
      <c r="BU107" s="302" t="s">
        <v>508</v>
      </c>
      <c r="BV107" s="434">
        <v>0</v>
      </c>
      <c r="BW107" s="645">
        <f t="shared" si="78"/>
        <v>0.66999999999999993</v>
      </c>
      <c r="BX107" s="434">
        <v>0.3</v>
      </c>
      <c r="BY107" s="302" t="s">
        <v>674</v>
      </c>
      <c r="BZ107" s="302" t="s">
        <v>675</v>
      </c>
      <c r="CA107" s="434">
        <v>0.2</v>
      </c>
      <c r="CB107" s="302" t="s">
        <v>508</v>
      </c>
      <c r="CC107" s="302" t="s">
        <v>508</v>
      </c>
      <c r="CD107" s="434">
        <v>0</v>
      </c>
      <c r="CE107" s="434">
        <f t="shared" si="79"/>
        <v>0.5</v>
      </c>
      <c r="CF107" s="1620" t="s">
        <v>1166</v>
      </c>
      <c r="CG107" s="1620" t="s">
        <v>1166</v>
      </c>
      <c r="CH107" s="1620" t="s">
        <v>1166</v>
      </c>
      <c r="CI107" s="408" t="s">
        <v>862</v>
      </c>
      <c r="CJ107" s="642">
        <v>0.71899999999999997</v>
      </c>
      <c r="CK107" s="591" t="s">
        <v>922</v>
      </c>
      <c r="CL107" s="302" t="s">
        <v>674</v>
      </c>
      <c r="CM107" s="302" t="s">
        <v>675</v>
      </c>
      <c r="CN107" s="637">
        <v>0.2</v>
      </c>
      <c r="CO107" s="302" t="s">
        <v>508</v>
      </c>
      <c r="CP107" s="302" t="s">
        <v>508</v>
      </c>
      <c r="CQ107" s="637">
        <v>0</v>
      </c>
    </row>
    <row r="108" spans="1:95" ht="15.75" customHeight="1" x14ac:dyDescent="0.2">
      <c r="A108" s="661" t="s">
        <v>95</v>
      </c>
      <c r="B108" s="440" t="s">
        <v>94</v>
      </c>
      <c r="C108" s="637">
        <v>0.4</v>
      </c>
      <c r="D108" s="440" t="s">
        <v>649</v>
      </c>
      <c r="E108" s="440" t="s">
        <v>650</v>
      </c>
      <c r="F108" s="637">
        <v>0.1</v>
      </c>
      <c r="G108" s="440" t="s">
        <v>508</v>
      </c>
      <c r="H108" s="440" t="s">
        <v>546</v>
      </c>
      <c r="I108" s="637">
        <v>0</v>
      </c>
      <c r="J108" s="662">
        <f t="shared" si="35"/>
        <v>0.5</v>
      </c>
      <c r="K108" s="637">
        <v>0.4</v>
      </c>
      <c r="L108" s="440" t="s">
        <v>649</v>
      </c>
      <c r="M108" s="440" t="s">
        <v>650</v>
      </c>
      <c r="N108" s="637">
        <v>0.1</v>
      </c>
      <c r="O108" s="440" t="s">
        <v>508</v>
      </c>
      <c r="P108" s="440" t="s">
        <v>546</v>
      </c>
      <c r="Q108" s="637">
        <v>0</v>
      </c>
      <c r="R108" s="662">
        <f t="shared" si="70"/>
        <v>0.5</v>
      </c>
      <c r="S108" s="637">
        <v>0.4</v>
      </c>
      <c r="T108" s="302" t="s">
        <v>649</v>
      </c>
      <c r="U108" s="302" t="s">
        <v>650</v>
      </c>
      <c r="V108" s="637">
        <v>0.1</v>
      </c>
      <c r="W108" s="302" t="s">
        <v>508</v>
      </c>
      <c r="X108" s="302" t="s">
        <v>546</v>
      </c>
      <c r="Y108" s="637">
        <v>0</v>
      </c>
      <c r="Z108" s="645">
        <f t="shared" si="71"/>
        <v>0.5</v>
      </c>
      <c r="AA108" s="637">
        <v>0.4</v>
      </c>
      <c r="AB108" s="302" t="s">
        <v>649</v>
      </c>
      <c r="AC108" s="302" t="s">
        <v>650</v>
      </c>
      <c r="AD108" s="637">
        <v>0.1</v>
      </c>
      <c r="AE108" s="302" t="s">
        <v>508</v>
      </c>
      <c r="AF108" s="302" t="s">
        <v>546</v>
      </c>
      <c r="AG108" s="637">
        <v>0</v>
      </c>
      <c r="AH108" s="645">
        <f t="shared" ref="AH108:AH111" si="81">+AA108+AD108+AG108</f>
        <v>0.5</v>
      </c>
      <c r="AI108" s="637">
        <v>0.4</v>
      </c>
      <c r="AJ108" s="302" t="s">
        <v>649</v>
      </c>
      <c r="AK108" s="302" t="s">
        <v>650</v>
      </c>
      <c r="AL108" s="637">
        <v>0.1</v>
      </c>
      <c r="AM108" s="302" t="s">
        <v>508</v>
      </c>
      <c r="AN108" s="302" t="s">
        <v>546</v>
      </c>
      <c r="AO108" s="637">
        <v>0</v>
      </c>
      <c r="AP108" s="645">
        <f t="shared" si="80"/>
        <v>0.5</v>
      </c>
      <c r="AQ108" s="637">
        <v>0.4</v>
      </c>
      <c r="AR108" s="302" t="s">
        <v>649</v>
      </c>
      <c r="AS108" s="302" t="s">
        <v>650</v>
      </c>
      <c r="AT108" s="637">
        <v>0.1</v>
      </c>
      <c r="AU108" s="302" t="s">
        <v>508</v>
      </c>
      <c r="AV108" s="302" t="s">
        <v>546</v>
      </c>
      <c r="AW108" s="637">
        <v>0</v>
      </c>
      <c r="AX108" s="645">
        <f t="shared" si="75"/>
        <v>0.5</v>
      </c>
      <c r="AY108" s="637">
        <v>0.4</v>
      </c>
      <c r="AZ108" s="302" t="s">
        <v>649</v>
      </c>
      <c r="BA108" s="302" t="s">
        <v>650</v>
      </c>
      <c r="BB108" s="637">
        <v>0.1</v>
      </c>
      <c r="BC108" s="302" t="s">
        <v>508</v>
      </c>
      <c r="BD108" s="302" t="s">
        <v>546</v>
      </c>
      <c r="BE108" s="637">
        <v>0</v>
      </c>
      <c r="BF108" s="434">
        <f t="shared" si="76"/>
        <v>0.5</v>
      </c>
      <c r="BG108" s="587">
        <v>0.3</v>
      </c>
      <c r="BH108" s="302" t="s">
        <v>649</v>
      </c>
      <c r="BI108" s="302" t="s">
        <v>650</v>
      </c>
      <c r="BJ108" s="434">
        <v>0.7</v>
      </c>
      <c r="BK108" s="302" t="s">
        <v>508</v>
      </c>
      <c r="BL108" s="302" t="s">
        <v>546</v>
      </c>
      <c r="BM108" s="434">
        <v>0</v>
      </c>
      <c r="BN108" s="645">
        <f t="shared" si="77"/>
        <v>1</v>
      </c>
      <c r="BO108" s="434"/>
      <c r="BP108" s="434">
        <v>0.4</v>
      </c>
      <c r="BQ108" s="302" t="s">
        <v>649</v>
      </c>
      <c r="BR108" s="302" t="s">
        <v>650</v>
      </c>
      <c r="BS108" s="434">
        <v>0.1</v>
      </c>
      <c r="BT108" s="302" t="s">
        <v>508</v>
      </c>
      <c r="BU108" s="302" t="s">
        <v>546</v>
      </c>
      <c r="BV108" s="434">
        <v>0</v>
      </c>
      <c r="BW108" s="645">
        <f t="shared" si="78"/>
        <v>0.5</v>
      </c>
      <c r="BX108" s="434">
        <v>0.4</v>
      </c>
      <c r="BY108" s="302" t="s">
        <v>649</v>
      </c>
      <c r="BZ108" s="302" t="s">
        <v>650</v>
      </c>
      <c r="CA108" s="434">
        <v>0.1</v>
      </c>
      <c r="CB108" s="302" t="s">
        <v>508</v>
      </c>
      <c r="CC108" s="302" t="s">
        <v>546</v>
      </c>
      <c r="CD108" s="434">
        <v>0</v>
      </c>
      <c r="CE108" s="434">
        <f t="shared" si="79"/>
        <v>0.5</v>
      </c>
      <c r="CF108" s="1620" t="s">
        <v>1166</v>
      </c>
      <c r="CG108" s="1620" t="s">
        <v>1166</v>
      </c>
      <c r="CH108" s="1620" t="s">
        <v>1166</v>
      </c>
      <c r="CI108" s="406"/>
      <c r="CJ108" s="642">
        <v>0.71899999999999997</v>
      </c>
      <c r="CK108" s="591" t="s">
        <v>922</v>
      </c>
      <c r="CL108" s="302" t="s">
        <v>649</v>
      </c>
      <c r="CM108" s="302" t="s">
        <v>650</v>
      </c>
      <c r="CN108" s="637">
        <v>0.6</v>
      </c>
      <c r="CO108" s="302" t="s">
        <v>508</v>
      </c>
      <c r="CP108" s="302" t="s">
        <v>546</v>
      </c>
      <c r="CQ108" s="637">
        <v>0</v>
      </c>
    </row>
    <row r="109" spans="1:95" ht="15" x14ac:dyDescent="0.2">
      <c r="A109" s="661" t="s">
        <v>97</v>
      </c>
      <c r="B109" s="440" t="s">
        <v>96</v>
      </c>
      <c r="C109" s="637">
        <v>0.3</v>
      </c>
      <c r="D109" s="440" t="s">
        <v>674</v>
      </c>
      <c r="E109" s="440" t="s">
        <v>675</v>
      </c>
      <c r="F109" s="637">
        <v>0.37</v>
      </c>
      <c r="G109" s="440" t="s">
        <v>508</v>
      </c>
      <c r="H109" s="440" t="s">
        <v>508</v>
      </c>
      <c r="I109" s="637">
        <v>0</v>
      </c>
      <c r="J109" s="662">
        <f t="shared" si="35"/>
        <v>0.66999999999999993</v>
      </c>
      <c r="K109" s="637">
        <v>0.3</v>
      </c>
      <c r="L109" s="440" t="s">
        <v>674</v>
      </c>
      <c r="M109" s="440" t="s">
        <v>675</v>
      </c>
      <c r="N109" s="637">
        <v>0.37</v>
      </c>
      <c r="O109" s="440" t="s">
        <v>508</v>
      </c>
      <c r="P109" s="440" t="s">
        <v>508</v>
      </c>
      <c r="Q109" s="637">
        <v>0</v>
      </c>
      <c r="R109" s="662">
        <f t="shared" si="70"/>
        <v>0.66999999999999993</v>
      </c>
      <c r="S109" s="637">
        <v>0.3</v>
      </c>
      <c r="T109" s="302" t="s">
        <v>674</v>
      </c>
      <c r="U109" s="302" t="s">
        <v>675</v>
      </c>
      <c r="V109" s="637">
        <v>0.37</v>
      </c>
      <c r="W109" s="302" t="s">
        <v>508</v>
      </c>
      <c r="X109" s="302" t="s">
        <v>508</v>
      </c>
      <c r="Y109" s="637">
        <v>0</v>
      </c>
      <c r="Z109" s="645">
        <f t="shared" si="71"/>
        <v>0.66999999999999993</v>
      </c>
      <c r="AA109" s="637">
        <v>0.3</v>
      </c>
      <c r="AB109" s="302" t="s">
        <v>674</v>
      </c>
      <c r="AC109" s="302" t="s">
        <v>675</v>
      </c>
      <c r="AD109" s="637">
        <v>0.37</v>
      </c>
      <c r="AE109" s="302" t="s">
        <v>508</v>
      </c>
      <c r="AF109" s="302" t="s">
        <v>508</v>
      </c>
      <c r="AG109" s="637">
        <v>0</v>
      </c>
      <c r="AH109" s="645">
        <f t="shared" si="81"/>
        <v>0.66999999999999993</v>
      </c>
      <c r="AI109" s="637">
        <v>0.3</v>
      </c>
      <c r="AJ109" s="302" t="s">
        <v>674</v>
      </c>
      <c r="AK109" s="302" t="s">
        <v>675</v>
      </c>
      <c r="AL109" s="637">
        <v>0.37</v>
      </c>
      <c r="AM109" s="302" t="s">
        <v>508</v>
      </c>
      <c r="AN109" s="302" t="s">
        <v>508</v>
      </c>
      <c r="AO109" s="637">
        <v>0</v>
      </c>
      <c r="AP109" s="645">
        <f t="shared" si="80"/>
        <v>0.66999999999999993</v>
      </c>
      <c r="AQ109" s="637">
        <v>0.3</v>
      </c>
      <c r="AR109" s="302" t="s">
        <v>674</v>
      </c>
      <c r="AS109" s="302" t="s">
        <v>675</v>
      </c>
      <c r="AT109" s="637">
        <v>0.37</v>
      </c>
      <c r="AU109" s="302" t="s">
        <v>508</v>
      </c>
      <c r="AV109" s="302" t="s">
        <v>508</v>
      </c>
      <c r="AW109" s="637">
        <v>0</v>
      </c>
      <c r="AX109" s="645">
        <f t="shared" si="75"/>
        <v>0.66999999999999993</v>
      </c>
      <c r="AY109" s="637">
        <v>0.48</v>
      </c>
      <c r="AZ109" s="302" t="s">
        <v>674</v>
      </c>
      <c r="BA109" s="302" t="s">
        <v>675</v>
      </c>
      <c r="BB109" s="637">
        <v>0.27</v>
      </c>
      <c r="BC109" s="302" t="s">
        <v>508</v>
      </c>
      <c r="BD109" s="302" t="s">
        <v>508</v>
      </c>
      <c r="BE109" s="637">
        <v>0</v>
      </c>
      <c r="BF109" s="434">
        <f t="shared" si="76"/>
        <v>0.75</v>
      </c>
      <c r="BG109" s="587">
        <v>0.64</v>
      </c>
      <c r="BH109" s="302" t="s">
        <v>674</v>
      </c>
      <c r="BI109" s="302" t="s">
        <v>675</v>
      </c>
      <c r="BJ109" s="434">
        <v>0.36</v>
      </c>
      <c r="BK109" s="302" t="s">
        <v>508</v>
      </c>
      <c r="BL109" s="302" t="s">
        <v>508</v>
      </c>
      <c r="BM109" s="434">
        <v>0</v>
      </c>
      <c r="BN109" s="645">
        <f t="shared" si="77"/>
        <v>1</v>
      </c>
      <c r="BO109" s="434"/>
      <c r="BP109" s="434">
        <v>0.3</v>
      </c>
      <c r="BQ109" s="302" t="s">
        <v>674</v>
      </c>
      <c r="BR109" s="302" t="s">
        <v>675</v>
      </c>
      <c r="BS109" s="434">
        <v>0.37</v>
      </c>
      <c r="BT109" s="302" t="s">
        <v>508</v>
      </c>
      <c r="BU109" s="302" t="s">
        <v>508</v>
      </c>
      <c r="BV109" s="434">
        <v>0</v>
      </c>
      <c r="BW109" s="645">
        <f t="shared" si="78"/>
        <v>0.66999999999999993</v>
      </c>
      <c r="BX109" s="434">
        <v>0.3</v>
      </c>
      <c r="BY109" s="302" t="s">
        <v>674</v>
      </c>
      <c r="BZ109" s="302" t="s">
        <v>675</v>
      </c>
      <c r="CA109" s="434">
        <v>0.2</v>
      </c>
      <c r="CB109" s="302" t="s">
        <v>508</v>
      </c>
      <c r="CC109" s="302" t="s">
        <v>508</v>
      </c>
      <c r="CD109" s="434">
        <v>0</v>
      </c>
      <c r="CE109" s="434">
        <f t="shared" si="79"/>
        <v>0.5</v>
      </c>
      <c r="CF109" s="1620" t="s">
        <v>1166</v>
      </c>
      <c r="CG109" s="1620" t="s">
        <v>1166</v>
      </c>
      <c r="CH109" s="1620" t="s">
        <v>1166</v>
      </c>
      <c r="CI109" s="408" t="s">
        <v>862</v>
      </c>
      <c r="CJ109" s="642">
        <v>0.76</v>
      </c>
      <c r="CK109" s="591" t="s">
        <v>922</v>
      </c>
      <c r="CL109" s="302" t="s">
        <v>674</v>
      </c>
      <c r="CM109" s="302" t="s">
        <v>675</v>
      </c>
      <c r="CN109" s="637">
        <v>0.2</v>
      </c>
      <c r="CO109" s="302" t="s">
        <v>508</v>
      </c>
      <c r="CP109" s="302" t="s">
        <v>508</v>
      </c>
      <c r="CQ109" s="637">
        <v>0</v>
      </c>
    </row>
    <row r="110" spans="1:95" ht="15.75" customHeight="1" x14ac:dyDescent="0.2">
      <c r="A110" s="661" t="s">
        <v>99</v>
      </c>
      <c r="B110" s="440" t="s">
        <v>535</v>
      </c>
      <c r="C110" s="637">
        <v>0.99</v>
      </c>
      <c r="D110" s="440" t="s">
        <v>508</v>
      </c>
      <c r="E110" s="440" t="s">
        <v>509</v>
      </c>
      <c r="F110" s="637">
        <v>0</v>
      </c>
      <c r="G110" s="440" t="s">
        <v>536</v>
      </c>
      <c r="H110" s="440" t="s">
        <v>537</v>
      </c>
      <c r="I110" s="637">
        <v>0.01</v>
      </c>
      <c r="J110" s="662">
        <f t="shared" si="35"/>
        <v>1</v>
      </c>
      <c r="K110" s="637">
        <v>0.99</v>
      </c>
      <c r="L110" s="440" t="s">
        <v>508</v>
      </c>
      <c r="M110" s="440" t="s">
        <v>509</v>
      </c>
      <c r="N110" s="637">
        <v>0</v>
      </c>
      <c r="O110" s="440" t="s">
        <v>536</v>
      </c>
      <c r="P110" s="440" t="s">
        <v>537</v>
      </c>
      <c r="Q110" s="637">
        <v>0.01</v>
      </c>
      <c r="R110" s="662">
        <f t="shared" si="70"/>
        <v>1</v>
      </c>
      <c r="S110" s="637">
        <v>0.99</v>
      </c>
      <c r="T110" s="302" t="s">
        <v>508</v>
      </c>
      <c r="U110" s="302" t="s">
        <v>509</v>
      </c>
      <c r="V110" s="637">
        <v>0</v>
      </c>
      <c r="W110" s="302" t="s">
        <v>536</v>
      </c>
      <c r="X110" s="302" t="s">
        <v>537</v>
      </c>
      <c r="Y110" s="637">
        <v>0.01</v>
      </c>
      <c r="Z110" s="645">
        <f t="shared" si="71"/>
        <v>1</v>
      </c>
      <c r="AA110" s="637">
        <v>0.99</v>
      </c>
      <c r="AB110" s="302" t="s">
        <v>508</v>
      </c>
      <c r="AC110" s="302" t="s">
        <v>509</v>
      </c>
      <c r="AD110" s="637">
        <v>0</v>
      </c>
      <c r="AE110" s="302" t="s">
        <v>536</v>
      </c>
      <c r="AF110" s="302" t="s">
        <v>537</v>
      </c>
      <c r="AG110" s="637">
        <v>0.01</v>
      </c>
      <c r="AH110" s="645">
        <f t="shared" si="81"/>
        <v>1</v>
      </c>
      <c r="AI110" s="637">
        <v>0.99</v>
      </c>
      <c r="AJ110" s="302" t="s">
        <v>508</v>
      </c>
      <c r="AK110" s="302" t="s">
        <v>509</v>
      </c>
      <c r="AL110" s="637">
        <v>0</v>
      </c>
      <c r="AM110" s="302" t="s">
        <v>536</v>
      </c>
      <c r="AN110" s="302" t="s">
        <v>537</v>
      </c>
      <c r="AO110" s="637">
        <v>0.01</v>
      </c>
      <c r="AP110" s="645">
        <f t="shared" si="80"/>
        <v>1</v>
      </c>
      <c r="AQ110" s="637">
        <v>0.99</v>
      </c>
      <c r="AR110" s="302" t="s">
        <v>508</v>
      </c>
      <c r="AS110" s="302" t="s">
        <v>509</v>
      </c>
      <c r="AT110" s="637">
        <v>0</v>
      </c>
      <c r="AU110" s="302" t="s">
        <v>536</v>
      </c>
      <c r="AV110" s="302" t="s">
        <v>537</v>
      </c>
      <c r="AW110" s="637">
        <v>0.01</v>
      </c>
      <c r="AX110" s="645">
        <f t="shared" ref="AX110:AX115" si="82">+AQ110+AT110+AW110</f>
        <v>1</v>
      </c>
      <c r="AY110" s="637">
        <v>0.99</v>
      </c>
      <c r="AZ110" s="302" t="s">
        <v>508</v>
      </c>
      <c r="BA110" s="302" t="s">
        <v>509</v>
      </c>
      <c r="BB110" s="637">
        <v>0</v>
      </c>
      <c r="BC110" s="302" t="s">
        <v>536</v>
      </c>
      <c r="BD110" s="302" t="s">
        <v>537</v>
      </c>
      <c r="BE110" s="637">
        <v>0.01</v>
      </c>
      <c r="BF110" s="434">
        <f t="shared" ref="BF110:BF115" si="83">+AY110+BB110+BE110</f>
        <v>1</v>
      </c>
      <c r="BG110" s="587">
        <v>0.99</v>
      </c>
      <c r="BH110" s="302" t="s">
        <v>508</v>
      </c>
      <c r="BI110" s="302" t="s">
        <v>509</v>
      </c>
      <c r="BJ110" s="434">
        <v>0</v>
      </c>
      <c r="BK110" s="302" t="s">
        <v>536</v>
      </c>
      <c r="BL110" s="302" t="s">
        <v>537</v>
      </c>
      <c r="BM110" s="434">
        <v>0.01</v>
      </c>
      <c r="BN110" s="645">
        <f t="shared" ref="BN110:BN115" si="84">+BG110+BJ110+BM110</f>
        <v>1</v>
      </c>
      <c r="BO110" s="434"/>
      <c r="BP110" s="434">
        <v>0.99</v>
      </c>
      <c r="BQ110" s="302" t="s">
        <v>508</v>
      </c>
      <c r="BR110" s="302" t="s">
        <v>509</v>
      </c>
      <c r="BS110" s="434">
        <v>0</v>
      </c>
      <c r="BT110" s="302" t="s">
        <v>536</v>
      </c>
      <c r="BU110" s="302" t="s">
        <v>537</v>
      </c>
      <c r="BV110" s="434">
        <v>0.01</v>
      </c>
      <c r="BW110" s="645">
        <f t="shared" ref="BW110:BW115" si="85">+BP110+BS110+BV110</f>
        <v>1</v>
      </c>
      <c r="BX110" s="434">
        <v>0.49</v>
      </c>
      <c r="BY110" s="302" t="s">
        <v>508</v>
      </c>
      <c r="BZ110" s="302" t="s">
        <v>509</v>
      </c>
      <c r="CA110" s="434">
        <v>0</v>
      </c>
      <c r="CB110" s="302" t="s">
        <v>536</v>
      </c>
      <c r="CC110" s="302" t="s">
        <v>537</v>
      </c>
      <c r="CD110" s="434">
        <v>0.01</v>
      </c>
      <c r="CE110" s="434">
        <f t="shared" ref="CE110:CE115" si="86">+BX110+CA110+CD110</f>
        <v>0.5</v>
      </c>
      <c r="CF110" s="1620" t="s">
        <v>862</v>
      </c>
      <c r="CG110" s="1620" t="s">
        <v>862</v>
      </c>
      <c r="CH110" s="1620" t="s">
        <v>1166</v>
      </c>
      <c r="CI110" s="408" t="s">
        <v>862</v>
      </c>
      <c r="CJ110" s="642">
        <v>0.67500000000000004</v>
      </c>
      <c r="CK110" s="591" t="s">
        <v>922</v>
      </c>
      <c r="CL110" s="302" t="s">
        <v>508</v>
      </c>
      <c r="CM110" s="302" t="s">
        <v>509</v>
      </c>
      <c r="CN110" s="637">
        <v>0</v>
      </c>
      <c r="CO110" s="302" t="s">
        <v>536</v>
      </c>
      <c r="CP110" s="302" t="s">
        <v>537</v>
      </c>
      <c r="CQ110" s="637">
        <v>0.01</v>
      </c>
    </row>
    <row r="111" spans="1:95" ht="15.75" customHeight="1" x14ac:dyDescent="0.2">
      <c r="A111" s="661" t="s">
        <v>101</v>
      </c>
      <c r="B111" s="440" t="s">
        <v>676</v>
      </c>
      <c r="C111" s="637">
        <v>0.3</v>
      </c>
      <c r="D111" s="440" t="s">
        <v>674</v>
      </c>
      <c r="E111" s="440" t="s">
        <v>675</v>
      </c>
      <c r="F111" s="637">
        <v>0.37</v>
      </c>
      <c r="G111" s="440" t="s">
        <v>508</v>
      </c>
      <c r="H111" s="440" t="s">
        <v>508</v>
      </c>
      <c r="I111" s="637">
        <v>0</v>
      </c>
      <c r="J111" s="662">
        <f t="shared" si="35"/>
        <v>0.66999999999999993</v>
      </c>
      <c r="K111" s="637">
        <v>0.3</v>
      </c>
      <c r="L111" s="440" t="s">
        <v>674</v>
      </c>
      <c r="M111" s="440" t="s">
        <v>675</v>
      </c>
      <c r="N111" s="637">
        <v>0.37</v>
      </c>
      <c r="O111" s="440" t="s">
        <v>508</v>
      </c>
      <c r="P111" s="440" t="s">
        <v>508</v>
      </c>
      <c r="Q111" s="637">
        <v>0</v>
      </c>
      <c r="R111" s="662">
        <f t="shared" si="70"/>
        <v>0.66999999999999993</v>
      </c>
      <c r="S111" s="637">
        <v>0.3</v>
      </c>
      <c r="T111" s="302" t="s">
        <v>674</v>
      </c>
      <c r="U111" s="302" t="s">
        <v>675</v>
      </c>
      <c r="V111" s="637">
        <v>0.37</v>
      </c>
      <c r="W111" s="302" t="s">
        <v>508</v>
      </c>
      <c r="X111" s="302" t="s">
        <v>508</v>
      </c>
      <c r="Y111" s="637">
        <v>0</v>
      </c>
      <c r="Z111" s="645">
        <f t="shared" si="71"/>
        <v>0.66999999999999993</v>
      </c>
      <c r="AA111" s="637">
        <v>0.3</v>
      </c>
      <c r="AB111" s="302" t="s">
        <v>674</v>
      </c>
      <c r="AC111" s="302" t="s">
        <v>675</v>
      </c>
      <c r="AD111" s="637">
        <v>0.37</v>
      </c>
      <c r="AE111" s="302" t="s">
        <v>508</v>
      </c>
      <c r="AF111" s="302" t="s">
        <v>508</v>
      </c>
      <c r="AG111" s="637">
        <v>0</v>
      </c>
      <c r="AH111" s="645">
        <f t="shared" si="81"/>
        <v>0.66999999999999993</v>
      </c>
      <c r="AI111" s="637">
        <v>0.3</v>
      </c>
      <c r="AJ111" s="302" t="s">
        <v>674</v>
      </c>
      <c r="AK111" s="302" t="s">
        <v>675</v>
      </c>
      <c r="AL111" s="637">
        <v>0.37</v>
      </c>
      <c r="AM111" s="302" t="s">
        <v>508</v>
      </c>
      <c r="AN111" s="302" t="s">
        <v>508</v>
      </c>
      <c r="AO111" s="637">
        <v>0</v>
      </c>
      <c r="AP111" s="645">
        <f t="shared" si="80"/>
        <v>0.66999999999999993</v>
      </c>
      <c r="AQ111" s="637">
        <v>0.3</v>
      </c>
      <c r="AR111" s="302" t="s">
        <v>674</v>
      </c>
      <c r="AS111" s="302" t="s">
        <v>675</v>
      </c>
      <c r="AT111" s="637">
        <v>0.37</v>
      </c>
      <c r="AU111" s="302" t="s">
        <v>508</v>
      </c>
      <c r="AV111" s="302" t="s">
        <v>508</v>
      </c>
      <c r="AW111" s="637">
        <v>0</v>
      </c>
      <c r="AX111" s="645">
        <f t="shared" si="82"/>
        <v>0.66999999999999993</v>
      </c>
      <c r="AY111" s="637">
        <v>0.48</v>
      </c>
      <c r="AZ111" s="302" t="s">
        <v>674</v>
      </c>
      <c r="BA111" s="302" t="s">
        <v>675</v>
      </c>
      <c r="BB111" s="637">
        <v>0.27</v>
      </c>
      <c r="BC111" s="302" t="s">
        <v>508</v>
      </c>
      <c r="BD111" s="302" t="s">
        <v>508</v>
      </c>
      <c r="BE111" s="637">
        <v>0</v>
      </c>
      <c r="BF111" s="434">
        <f t="shared" si="83"/>
        <v>0.75</v>
      </c>
      <c r="BG111" s="587">
        <v>0.64</v>
      </c>
      <c r="BH111" s="302" t="s">
        <v>674</v>
      </c>
      <c r="BI111" s="302" t="s">
        <v>675</v>
      </c>
      <c r="BJ111" s="434">
        <v>0.36</v>
      </c>
      <c r="BK111" s="302" t="s">
        <v>508</v>
      </c>
      <c r="BL111" s="302" t="s">
        <v>508</v>
      </c>
      <c r="BM111" s="434">
        <v>0</v>
      </c>
      <c r="BN111" s="645">
        <f t="shared" si="84"/>
        <v>1</v>
      </c>
      <c r="BO111" s="434"/>
      <c r="BP111" s="434">
        <v>0.3</v>
      </c>
      <c r="BQ111" s="302" t="s">
        <v>674</v>
      </c>
      <c r="BR111" s="302" t="s">
        <v>675</v>
      </c>
      <c r="BS111" s="434">
        <v>0.37</v>
      </c>
      <c r="BT111" s="302" t="s">
        <v>508</v>
      </c>
      <c r="BU111" s="302" t="s">
        <v>508</v>
      </c>
      <c r="BV111" s="434">
        <v>0</v>
      </c>
      <c r="BW111" s="645">
        <f t="shared" si="85"/>
        <v>0.66999999999999993</v>
      </c>
      <c r="BX111" s="434">
        <v>0.3</v>
      </c>
      <c r="BY111" s="302" t="s">
        <v>674</v>
      </c>
      <c r="BZ111" s="302" t="s">
        <v>675</v>
      </c>
      <c r="CA111" s="434">
        <v>0.2</v>
      </c>
      <c r="CB111" s="302" t="s">
        <v>508</v>
      </c>
      <c r="CC111" s="302" t="s">
        <v>508</v>
      </c>
      <c r="CD111" s="434">
        <v>0</v>
      </c>
      <c r="CE111" s="434">
        <f t="shared" si="86"/>
        <v>0.5</v>
      </c>
      <c r="CF111" s="1620" t="s">
        <v>1166</v>
      </c>
      <c r="CG111" s="1620" t="s">
        <v>1166</v>
      </c>
      <c r="CH111" s="1620" t="s">
        <v>1166</v>
      </c>
      <c r="CI111" s="408" t="s">
        <v>862</v>
      </c>
      <c r="CJ111" s="642">
        <v>0.75700000000000001</v>
      </c>
      <c r="CK111" s="591" t="s">
        <v>922</v>
      </c>
      <c r="CL111" s="302" t="s">
        <v>674</v>
      </c>
      <c r="CM111" s="302" t="s">
        <v>675</v>
      </c>
      <c r="CN111" s="637">
        <v>0.2</v>
      </c>
      <c r="CO111" s="302" t="s">
        <v>508</v>
      </c>
      <c r="CP111" s="302" t="s">
        <v>508</v>
      </c>
      <c r="CQ111" s="637">
        <v>0</v>
      </c>
    </row>
    <row r="112" spans="1:95" ht="15.75" customHeight="1" x14ac:dyDescent="0.2">
      <c r="A112" s="661" t="s">
        <v>103</v>
      </c>
      <c r="B112" s="440" t="s">
        <v>102</v>
      </c>
      <c r="C112" s="637">
        <v>0.4</v>
      </c>
      <c r="D112" s="440" t="s">
        <v>615</v>
      </c>
      <c r="E112" s="440" t="s">
        <v>616</v>
      </c>
      <c r="F112" s="637">
        <v>0.09</v>
      </c>
      <c r="G112" s="440" t="s">
        <v>612</v>
      </c>
      <c r="H112" s="440" t="s">
        <v>613</v>
      </c>
      <c r="I112" s="637">
        <v>0.01</v>
      </c>
      <c r="J112" s="662">
        <f t="shared" si="35"/>
        <v>0.5</v>
      </c>
      <c r="K112" s="637">
        <v>0.4</v>
      </c>
      <c r="L112" s="440" t="s">
        <v>615</v>
      </c>
      <c r="M112" s="440" t="s">
        <v>616</v>
      </c>
      <c r="N112" s="637">
        <v>0.09</v>
      </c>
      <c r="O112" s="440" t="s">
        <v>612</v>
      </c>
      <c r="P112" s="440" t="s">
        <v>613</v>
      </c>
      <c r="Q112" s="637">
        <v>0.01</v>
      </c>
      <c r="R112" s="662">
        <f t="shared" si="70"/>
        <v>0.5</v>
      </c>
      <c r="S112" s="637">
        <v>0.4</v>
      </c>
      <c r="T112" s="302" t="s">
        <v>615</v>
      </c>
      <c r="U112" s="302" t="s">
        <v>616</v>
      </c>
      <c r="V112" s="637">
        <v>0.09</v>
      </c>
      <c r="W112" s="302" t="s">
        <v>612</v>
      </c>
      <c r="X112" s="302" t="s">
        <v>613</v>
      </c>
      <c r="Y112" s="637">
        <v>0.01</v>
      </c>
      <c r="Z112" s="645">
        <f t="shared" si="71"/>
        <v>0.5</v>
      </c>
      <c r="AA112" s="637">
        <v>0.4</v>
      </c>
      <c r="AB112" s="302" t="s">
        <v>615</v>
      </c>
      <c r="AC112" s="302" t="s">
        <v>616</v>
      </c>
      <c r="AD112" s="637">
        <v>0.09</v>
      </c>
      <c r="AE112" s="302" t="s">
        <v>612</v>
      </c>
      <c r="AF112" s="302" t="s">
        <v>613</v>
      </c>
      <c r="AG112" s="637">
        <v>0.01</v>
      </c>
      <c r="AH112" s="645">
        <f t="shared" ref="AH112:AH115" si="87">+AA112+AD112+AG112</f>
        <v>0.5</v>
      </c>
      <c r="AI112" s="637">
        <v>0.4</v>
      </c>
      <c r="AJ112" s="302" t="s">
        <v>615</v>
      </c>
      <c r="AK112" s="302" t="s">
        <v>616</v>
      </c>
      <c r="AL112" s="637">
        <v>0.09</v>
      </c>
      <c r="AM112" s="302" t="s">
        <v>612</v>
      </c>
      <c r="AN112" s="302" t="s">
        <v>613</v>
      </c>
      <c r="AO112" s="637">
        <v>0.01</v>
      </c>
      <c r="AP112" s="645">
        <f t="shared" ref="AP112:AP117" si="88">+AI112+AL112+AO112</f>
        <v>0.5</v>
      </c>
      <c r="AQ112" s="637">
        <v>0.4</v>
      </c>
      <c r="AR112" s="302" t="s">
        <v>615</v>
      </c>
      <c r="AS112" s="302" t="s">
        <v>616</v>
      </c>
      <c r="AT112" s="637">
        <v>0.09</v>
      </c>
      <c r="AU112" s="302" t="s">
        <v>612</v>
      </c>
      <c r="AV112" s="302" t="s">
        <v>613</v>
      </c>
      <c r="AW112" s="637">
        <v>0.01</v>
      </c>
      <c r="AX112" s="645">
        <f t="shared" si="82"/>
        <v>0.5</v>
      </c>
      <c r="AY112" s="637">
        <v>0.375</v>
      </c>
      <c r="AZ112" s="302" t="s">
        <v>615</v>
      </c>
      <c r="BA112" s="302" t="s">
        <v>616</v>
      </c>
      <c r="BB112" s="637">
        <v>0.36499999999999999</v>
      </c>
      <c r="BC112" s="302" t="s">
        <v>612</v>
      </c>
      <c r="BD112" s="302" t="s">
        <v>613</v>
      </c>
      <c r="BE112" s="637">
        <v>0.01</v>
      </c>
      <c r="BF112" s="434">
        <f t="shared" si="83"/>
        <v>0.75</v>
      </c>
      <c r="BG112" s="587">
        <v>0.4</v>
      </c>
      <c r="BH112" s="302" t="s">
        <v>615</v>
      </c>
      <c r="BI112" s="302" t="s">
        <v>616</v>
      </c>
      <c r="BJ112" s="434">
        <v>0.09</v>
      </c>
      <c r="BK112" s="302" t="s">
        <v>612</v>
      </c>
      <c r="BL112" s="302" t="s">
        <v>613</v>
      </c>
      <c r="BM112" s="434">
        <v>0.01</v>
      </c>
      <c r="BN112" s="645">
        <f t="shared" si="84"/>
        <v>0.5</v>
      </c>
      <c r="BO112" s="434"/>
      <c r="BP112" s="434">
        <v>0.4</v>
      </c>
      <c r="BQ112" s="302" t="s">
        <v>615</v>
      </c>
      <c r="BR112" s="302" t="s">
        <v>616</v>
      </c>
      <c r="BS112" s="434">
        <v>0.09</v>
      </c>
      <c r="BT112" s="302" t="s">
        <v>612</v>
      </c>
      <c r="BU112" s="302" t="s">
        <v>613</v>
      </c>
      <c r="BV112" s="434">
        <v>0.01</v>
      </c>
      <c r="BW112" s="645">
        <f t="shared" si="85"/>
        <v>0.5</v>
      </c>
      <c r="BX112" s="434">
        <v>0.4</v>
      </c>
      <c r="BY112" s="302" t="s">
        <v>615</v>
      </c>
      <c r="BZ112" s="302" t="s">
        <v>616</v>
      </c>
      <c r="CA112" s="434">
        <v>0.09</v>
      </c>
      <c r="CB112" s="302" t="s">
        <v>612</v>
      </c>
      <c r="CC112" s="302" t="s">
        <v>613</v>
      </c>
      <c r="CD112" s="434">
        <v>0.01</v>
      </c>
      <c r="CE112" s="434">
        <f t="shared" si="86"/>
        <v>0.5</v>
      </c>
      <c r="CF112" s="1620" t="s">
        <v>1166</v>
      </c>
      <c r="CG112" s="1620" t="s">
        <v>1166</v>
      </c>
      <c r="CH112" s="1620" t="s">
        <v>1166</v>
      </c>
      <c r="CI112" s="406"/>
      <c r="CJ112" s="642">
        <v>0.70199999999999996</v>
      </c>
      <c r="CK112" s="591" t="s">
        <v>922</v>
      </c>
      <c r="CL112" s="302" t="s">
        <v>615</v>
      </c>
      <c r="CM112" s="302" t="s">
        <v>616</v>
      </c>
      <c r="CN112" s="637">
        <v>0.59</v>
      </c>
      <c r="CO112" s="302" t="s">
        <v>612</v>
      </c>
      <c r="CP112" s="302" t="s">
        <v>613</v>
      </c>
      <c r="CQ112" s="637">
        <v>0.01</v>
      </c>
    </row>
    <row r="113" spans="1:95" ht="15" x14ac:dyDescent="0.2">
      <c r="A113" s="661" t="s">
        <v>105</v>
      </c>
      <c r="B113" s="440" t="s">
        <v>104</v>
      </c>
      <c r="C113" s="637">
        <v>0.3</v>
      </c>
      <c r="D113" s="440" t="s">
        <v>674</v>
      </c>
      <c r="E113" s="440" t="s">
        <v>675</v>
      </c>
      <c r="F113" s="637">
        <v>0.37</v>
      </c>
      <c r="G113" s="440" t="s">
        <v>508</v>
      </c>
      <c r="H113" s="440" t="s">
        <v>508</v>
      </c>
      <c r="I113" s="637">
        <v>0</v>
      </c>
      <c r="J113" s="662">
        <f t="shared" si="35"/>
        <v>0.66999999999999993</v>
      </c>
      <c r="K113" s="637">
        <v>0.3</v>
      </c>
      <c r="L113" s="440" t="s">
        <v>674</v>
      </c>
      <c r="M113" s="440" t="s">
        <v>675</v>
      </c>
      <c r="N113" s="637">
        <v>0.37</v>
      </c>
      <c r="O113" s="440" t="s">
        <v>508</v>
      </c>
      <c r="P113" s="440" t="s">
        <v>508</v>
      </c>
      <c r="Q113" s="637">
        <v>0</v>
      </c>
      <c r="R113" s="662">
        <f t="shared" si="70"/>
        <v>0.66999999999999993</v>
      </c>
      <c r="S113" s="637">
        <v>0.3</v>
      </c>
      <c r="T113" s="302" t="s">
        <v>674</v>
      </c>
      <c r="U113" s="302" t="s">
        <v>675</v>
      </c>
      <c r="V113" s="637">
        <v>0.37</v>
      </c>
      <c r="W113" s="302" t="s">
        <v>508</v>
      </c>
      <c r="X113" s="302" t="s">
        <v>508</v>
      </c>
      <c r="Y113" s="637">
        <v>0</v>
      </c>
      <c r="Z113" s="645">
        <f t="shared" si="71"/>
        <v>0.66999999999999993</v>
      </c>
      <c r="AA113" s="637">
        <v>0.3</v>
      </c>
      <c r="AB113" s="302" t="s">
        <v>674</v>
      </c>
      <c r="AC113" s="302" t="s">
        <v>675</v>
      </c>
      <c r="AD113" s="637">
        <v>0.37</v>
      </c>
      <c r="AE113" s="302" t="s">
        <v>508</v>
      </c>
      <c r="AF113" s="302" t="s">
        <v>508</v>
      </c>
      <c r="AG113" s="637">
        <v>0</v>
      </c>
      <c r="AH113" s="645">
        <f t="shared" si="87"/>
        <v>0.66999999999999993</v>
      </c>
      <c r="AI113" s="637">
        <v>0.3</v>
      </c>
      <c r="AJ113" s="302" t="s">
        <v>674</v>
      </c>
      <c r="AK113" s="302" t="s">
        <v>675</v>
      </c>
      <c r="AL113" s="637">
        <v>0.37</v>
      </c>
      <c r="AM113" s="302" t="s">
        <v>508</v>
      </c>
      <c r="AN113" s="302" t="s">
        <v>508</v>
      </c>
      <c r="AO113" s="637">
        <v>0</v>
      </c>
      <c r="AP113" s="645">
        <f t="shared" si="88"/>
        <v>0.66999999999999993</v>
      </c>
      <c r="AQ113" s="637">
        <v>0.3</v>
      </c>
      <c r="AR113" s="302" t="s">
        <v>674</v>
      </c>
      <c r="AS113" s="302" t="s">
        <v>675</v>
      </c>
      <c r="AT113" s="637">
        <v>0.37</v>
      </c>
      <c r="AU113" s="302" t="s">
        <v>508</v>
      </c>
      <c r="AV113" s="302" t="s">
        <v>508</v>
      </c>
      <c r="AW113" s="637">
        <v>0</v>
      </c>
      <c r="AX113" s="645">
        <f t="shared" si="82"/>
        <v>0.66999999999999993</v>
      </c>
      <c r="AY113" s="637">
        <v>0.48</v>
      </c>
      <c r="AZ113" s="302" t="s">
        <v>674</v>
      </c>
      <c r="BA113" s="302" t="s">
        <v>675</v>
      </c>
      <c r="BB113" s="637">
        <v>0.27</v>
      </c>
      <c r="BC113" s="302" t="s">
        <v>508</v>
      </c>
      <c r="BD113" s="302" t="s">
        <v>508</v>
      </c>
      <c r="BE113" s="637">
        <v>0</v>
      </c>
      <c r="BF113" s="434">
        <f t="shared" si="83"/>
        <v>0.75</v>
      </c>
      <c r="BG113" s="587">
        <v>0.64</v>
      </c>
      <c r="BH113" s="302" t="s">
        <v>674</v>
      </c>
      <c r="BI113" s="302" t="s">
        <v>675</v>
      </c>
      <c r="BJ113" s="434">
        <v>0.36</v>
      </c>
      <c r="BK113" s="302" t="s">
        <v>508</v>
      </c>
      <c r="BL113" s="302" t="s">
        <v>508</v>
      </c>
      <c r="BM113" s="434">
        <v>0</v>
      </c>
      <c r="BN113" s="645">
        <f t="shared" si="84"/>
        <v>1</v>
      </c>
      <c r="BO113" s="434"/>
      <c r="BP113" s="434">
        <v>0.3</v>
      </c>
      <c r="BQ113" s="302" t="s">
        <v>674</v>
      </c>
      <c r="BR113" s="302" t="s">
        <v>675</v>
      </c>
      <c r="BS113" s="434">
        <v>0.37</v>
      </c>
      <c r="BT113" s="302" t="s">
        <v>508</v>
      </c>
      <c r="BU113" s="302" t="s">
        <v>508</v>
      </c>
      <c r="BV113" s="434">
        <v>0</v>
      </c>
      <c r="BW113" s="645">
        <f t="shared" si="85"/>
        <v>0.66999999999999993</v>
      </c>
      <c r="BX113" s="434">
        <v>0.3</v>
      </c>
      <c r="BY113" s="302" t="s">
        <v>674</v>
      </c>
      <c r="BZ113" s="302" t="s">
        <v>675</v>
      </c>
      <c r="CA113" s="434">
        <v>0.2</v>
      </c>
      <c r="CB113" s="302" t="s">
        <v>508</v>
      </c>
      <c r="CC113" s="302" t="s">
        <v>508</v>
      </c>
      <c r="CD113" s="434">
        <v>0</v>
      </c>
      <c r="CE113" s="434">
        <f t="shared" si="86"/>
        <v>0.5</v>
      </c>
      <c r="CF113" s="1620" t="s">
        <v>1166</v>
      </c>
      <c r="CG113" s="1620" t="s">
        <v>1166</v>
      </c>
      <c r="CH113" s="1620" t="s">
        <v>1166</v>
      </c>
      <c r="CI113" s="408" t="s">
        <v>862</v>
      </c>
      <c r="CJ113" s="642">
        <v>0.75800000000000001</v>
      </c>
      <c r="CK113" s="591" t="s">
        <v>922</v>
      </c>
      <c r="CL113" s="302" t="s">
        <v>674</v>
      </c>
      <c r="CM113" s="302" t="s">
        <v>675</v>
      </c>
      <c r="CN113" s="637">
        <v>0.2</v>
      </c>
      <c r="CO113" s="302" t="s">
        <v>508</v>
      </c>
      <c r="CP113" s="302" t="s">
        <v>508</v>
      </c>
      <c r="CQ113" s="637">
        <v>0</v>
      </c>
    </row>
    <row r="114" spans="1:95" ht="15.75" customHeight="1" x14ac:dyDescent="0.2">
      <c r="A114" s="661" t="s">
        <v>107</v>
      </c>
      <c r="B114" s="440" t="s">
        <v>106</v>
      </c>
      <c r="C114" s="637">
        <v>0.4</v>
      </c>
      <c r="D114" s="440" t="s">
        <v>575</v>
      </c>
      <c r="E114" s="440" t="s">
        <v>576</v>
      </c>
      <c r="F114" s="637">
        <v>0.09</v>
      </c>
      <c r="G114" s="440" t="s">
        <v>572</v>
      </c>
      <c r="H114" s="440" t="s">
        <v>1200</v>
      </c>
      <c r="I114" s="637">
        <v>0.01</v>
      </c>
      <c r="J114" s="662">
        <f t="shared" si="35"/>
        <v>0.5</v>
      </c>
      <c r="K114" s="637">
        <v>0.4</v>
      </c>
      <c r="L114" s="440" t="s">
        <v>575</v>
      </c>
      <c r="M114" s="440" t="s">
        <v>576</v>
      </c>
      <c r="N114" s="637">
        <v>0.09</v>
      </c>
      <c r="O114" s="440" t="s">
        <v>572</v>
      </c>
      <c r="P114" s="440" t="s">
        <v>1200</v>
      </c>
      <c r="Q114" s="637">
        <v>0.01</v>
      </c>
      <c r="R114" s="662">
        <f t="shared" si="70"/>
        <v>0.5</v>
      </c>
      <c r="S114" s="637">
        <v>0.4</v>
      </c>
      <c r="T114" s="302" t="s">
        <v>575</v>
      </c>
      <c r="U114" s="302" t="s">
        <v>576</v>
      </c>
      <c r="V114" s="637">
        <v>0.09</v>
      </c>
      <c r="W114" s="302" t="s">
        <v>572</v>
      </c>
      <c r="X114" s="302" t="s">
        <v>1200</v>
      </c>
      <c r="Y114" s="637">
        <v>0.01</v>
      </c>
      <c r="Z114" s="645">
        <f t="shared" si="71"/>
        <v>0.5</v>
      </c>
      <c r="AA114" s="637">
        <v>0.4</v>
      </c>
      <c r="AB114" s="302" t="s">
        <v>575</v>
      </c>
      <c r="AC114" s="302" t="s">
        <v>576</v>
      </c>
      <c r="AD114" s="637">
        <v>0.09</v>
      </c>
      <c r="AE114" s="302" t="s">
        <v>572</v>
      </c>
      <c r="AF114" s="302" t="s">
        <v>1200</v>
      </c>
      <c r="AG114" s="637">
        <v>0.01</v>
      </c>
      <c r="AH114" s="645">
        <f t="shared" si="87"/>
        <v>0.5</v>
      </c>
      <c r="AI114" s="637">
        <v>0.4</v>
      </c>
      <c r="AJ114" s="302" t="s">
        <v>575</v>
      </c>
      <c r="AK114" s="302" t="s">
        <v>576</v>
      </c>
      <c r="AL114" s="637">
        <v>0.09</v>
      </c>
      <c r="AM114" s="302" t="s">
        <v>572</v>
      </c>
      <c r="AN114" s="302" t="s">
        <v>1200</v>
      </c>
      <c r="AO114" s="637">
        <v>0.01</v>
      </c>
      <c r="AP114" s="645">
        <f t="shared" si="88"/>
        <v>0.5</v>
      </c>
      <c r="AQ114" s="637">
        <v>0.4</v>
      </c>
      <c r="AR114" s="302" t="s">
        <v>575</v>
      </c>
      <c r="AS114" s="302" t="s">
        <v>576</v>
      </c>
      <c r="AT114" s="637">
        <v>0.09</v>
      </c>
      <c r="AU114" s="302" t="s">
        <v>572</v>
      </c>
      <c r="AV114" s="302" t="s">
        <v>1200</v>
      </c>
      <c r="AW114" s="637">
        <v>0.01</v>
      </c>
      <c r="AX114" s="645">
        <f t="shared" si="82"/>
        <v>0.5</v>
      </c>
      <c r="AY114" s="637">
        <v>0.4</v>
      </c>
      <c r="AZ114" s="302" t="s">
        <v>575</v>
      </c>
      <c r="BA114" s="302" t="s">
        <v>576</v>
      </c>
      <c r="BB114" s="637">
        <v>0.09</v>
      </c>
      <c r="BC114" s="302" t="s">
        <v>572</v>
      </c>
      <c r="BD114" s="302" t="s">
        <v>1200</v>
      </c>
      <c r="BE114" s="637">
        <v>0.01</v>
      </c>
      <c r="BF114" s="434">
        <f t="shared" si="83"/>
        <v>0.5</v>
      </c>
      <c r="BG114" s="587">
        <v>0.4</v>
      </c>
      <c r="BH114" s="302" t="s">
        <v>575</v>
      </c>
      <c r="BI114" s="302" t="s">
        <v>576</v>
      </c>
      <c r="BJ114" s="434">
        <v>0.09</v>
      </c>
      <c r="BK114" s="302" t="s">
        <v>572</v>
      </c>
      <c r="BL114" s="302" t="s">
        <v>573</v>
      </c>
      <c r="BM114" s="434">
        <v>0.01</v>
      </c>
      <c r="BN114" s="645">
        <f t="shared" si="84"/>
        <v>0.5</v>
      </c>
      <c r="BO114" s="434"/>
      <c r="BP114" s="434">
        <v>0.4</v>
      </c>
      <c r="BQ114" s="302" t="s">
        <v>575</v>
      </c>
      <c r="BR114" s="302" t="s">
        <v>576</v>
      </c>
      <c r="BS114" s="434">
        <v>0.09</v>
      </c>
      <c r="BT114" s="302" t="s">
        <v>572</v>
      </c>
      <c r="BU114" s="302" t="s">
        <v>573</v>
      </c>
      <c r="BV114" s="434">
        <v>0.01</v>
      </c>
      <c r="BW114" s="645">
        <f t="shared" si="85"/>
        <v>0.5</v>
      </c>
      <c r="BX114" s="434">
        <v>0.4</v>
      </c>
      <c r="BY114" s="302" t="s">
        <v>575</v>
      </c>
      <c r="BZ114" s="302" t="s">
        <v>576</v>
      </c>
      <c r="CA114" s="434">
        <v>0.09</v>
      </c>
      <c r="CB114" s="302" t="s">
        <v>572</v>
      </c>
      <c r="CC114" s="302" t="s">
        <v>573</v>
      </c>
      <c r="CD114" s="434">
        <v>0.01</v>
      </c>
      <c r="CE114" s="434">
        <f t="shared" si="86"/>
        <v>0.5</v>
      </c>
      <c r="CF114" s="1620" t="s">
        <v>862</v>
      </c>
      <c r="CG114" s="1620" t="s">
        <v>1166</v>
      </c>
      <c r="CH114" s="1620" t="s">
        <v>1166</v>
      </c>
      <c r="CI114" s="406"/>
      <c r="CJ114" s="642">
        <v>0.74099999999999999</v>
      </c>
      <c r="CK114" s="591" t="s">
        <v>922</v>
      </c>
      <c r="CL114" s="302" t="s">
        <v>575</v>
      </c>
      <c r="CM114" s="302" t="s">
        <v>576</v>
      </c>
      <c r="CN114" s="637">
        <v>0.59</v>
      </c>
      <c r="CO114" s="302" t="s">
        <v>572</v>
      </c>
      <c r="CP114" s="302" t="s">
        <v>573</v>
      </c>
      <c r="CQ114" s="637">
        <v>0.01</v>
      </c>
    </row>
    <row r="115" spans="1:95" ht="15.75" customHeight="1" x14ac:dyDescent="0.2">
      <c r="A115" s="661" t="s">
        <v>109</v>
      </c>
      <c r="B115" s="440" t="s">
        <v>108</v>
      </c>
      <c r="C115" s="637">
        <v>0.3</v>
      </c>
      <c r="D115" s="440" t="s">
        <v>674</v>
      </c>
      <c r="E115" s="440" t="s">
        <v>675</v>
      </c>
      <c r="F115" s="637">
        <v>0.37</v>
      </c>
      <c r="G115" s="440" t="s">
        <v>508</v>
      </c>
      <c r="H115" s="440" t="s">
        <v>508</v>
      </c>
      <c r="I115" s="637">
        <v>0</v>
      </c>
      <c r="J115" s="662">
        <f t="shared" si="35"/>
        <v>0.66999999999999993</v>
      </c>
      <c r="K115" s="637">
        <v>0.3</v>
      </c>
      <c r="L115" s="440" t="s">
        <v>674</v>
      </c>
      <c r="M115" s="440" t="s">
        <v>675</v>
      </c>
      <c r="N115" s="637">
        <v>0.37</v>
      </c>
      <c r="O115" s="440" t="s">
        <v>508</v>
      </c>
      <c r="P115" s="440" t="s">
        <v>508</v>
      </c>
      <c r="Q115" s="637">
        <v>0</v>
      </c>
      <c r="R115" s="662">
        <f t="shared" si="70"/>
        <v>0.66999999999999993</v>
      </c>
      <c r="S115" s="637">
        <v>0.3</v>
      </c>
      <c r="T115" s="302" t="s">
        <v>674</v>
      </c>
      <c r="U115" s="302" t="s">
        <v>675</v>
      </c>
      <c r="V115" s="637">
        <v>0.37</v>
      </c>
      <c r="W115" s="302" t="s">
        <v>508</v>
      </c>
      <c r="X115" s="302" t="s">
        <v>508</v>
      </c>
      <c r="Y115" s="637">
        <v>0</v>
      </c>
      <c r="Z115" s="645">
        <f t="shared" si="71"/>
        <v>0.66999999999999993</v>
      </c>
      <c r="AA115" s="637">
        <v>0.3</v>
      </c>
      <c r="AB115" s="302" t="s">
        <v>674</v>
      </c>
      <c r="AC115" s="302" t="s">
        <v>675</v>
      </c>
      <c r="AD115" s="637">
        <v>0.37</v>
      </c>
      <c r="AE115" s="302" t="s">
        <v>508</v>
      </c>
      <c r="AF115" s="302" t="s">
        <v>508</v>
      </c>
      <c r="AG115" s="637">
        <v>0</v>
      </c>
      <c r="AH115" s="645">
        <f t="shared" si="87"/>
        <v>0.66999999999999993</v>
      </c>
      <c r="AI115" s="637">
        <v>0.3</v>
      </c>
      <c r="AJ115" s="302" t="s">
        <v>674</v>
      </c>
      <c r="AK115" s="302" t="s">
        <v>675</v>
      </c>
      <c r="AL115" s="637">
        <v>0.37</v>
      </c>
      <c r="AM115" s="302" t="s">
        <v>508</v>
      </c>
      <c r="AN115" s="302" t="s">
        <v>508</v>
      </c>
      <c r="AO115" s="637">
        <v>0</v>
      </c>
      <c r="AP115" s="645">
        <f t="shared" si="88"/>
        <v>0.66999999999999993</v>
      </c>
      <c r="AQ115" s="637">
        <v>0.3</v>
      </c>
      <c r="AR115" s="302" t="s">
        <v>674</v>
      </c>
      <c r="AS115" s="302" t="s">
        <v>675</v>
      </c>
      <c r="AT115" s="637">
        <v>0.37</v>
      </c>
      <c r="AU115" s="302" t="s">
        <v>508</v>
      </c>
      <c r="AV115" s="302" t="s">
        <v>508</v>
      </c>
      <c r="AW115" s="637">
        <v>0</v>
      </c>
      <c r="AX115" s="645">
        <f t="shared" si="82"/>
        <v>0.66999999999999993</v>
      </c>
      <c r="AY115" s="637">
        <v>0.48</v>
      </c>
      <c r="AZ115" s="302" t="s">
        <v>674</v>
      </c>
      <c r="BA115" s="302" t="s">
        <v>675</v>
      </c>
      <c r="BB115" s="637">
        <v>0.27</v>
      </c>
      <c r="BC115" s="302" t="s">
        <v>508</v>
      </c>
      <c r="BD115" s="302" t="s">
        <v>508</v>
      </c>
      <c r="BE115" s="637">
        <v>0</v>
      </c>
      <c r="BF115" s="434">
        <f t="shared" si="83"/>
        <v>0.75</v>
      </c>
      <c r="BG115" s="587">
        <v>0.64</v>
      </c>
      <c r="BH115" s="302" t="s">
        <v>674</v>
      </c>
      <c r="BI115" s="302" t="s">
        <v>675</v>
      </c>
      <c r="BJ115" s="434">
        <v>0.36</v>
      </c>
      <c r="BK115" s="302" t="s">
        <v>508</v>
      </c>
      <c r="BL115" s="302" t="s">
        <v>508</v>
      </c>
      <c r="BM115" s="434">
        <v>0</v>
      </c>
      <c r="BN115" s="645">
        <f t="shared" si="84"/>
        <v>1</v>
      </c>
      <c r="BO115" s="434"/>
      <c r="BP115" s="434">
        <v>0.3</v>
      </c>
      <c r="BQ115" s="302" t="s">
        <v>674</v>
      </c>
      <c r="BR115" s="302" t="s">
        <v>675</v>
      </c>
      <c r="BS115" s="434">
        <v>0.37</v>
      </c>
      <c r="BT115" s="302" t="s">
        <v>508</v>
      </c>
      <c r="BU115" s="302" t="s">
        <v>508</v>
      </c>
      <c r="BV115" s="434">
        <v>0</v>
      </c>
      <c r="BW115" s="645">
        <f t="shared" si="85"/>
        <v>0.66999999999999993</v>
      </c>
      <c r="BX115" s="434">
        <v>0.3</v>
      </c>
      <c r="BY115" s="302" t="s">
        <v>674</v>
      </c>
      <c r="BZ115" s="302" t="s">
        <v>675</v>
      </c>
      <c r="CA115" s="434">
        <v>0.2</v>
      </c>
      <c r="CB115" s="302" t="s">
        <v>508</v>
      </c>
      <c r="CC115" s="302" t="s">
        <v>508</v>
      </c>
      <c r="CD115" s="434">
        <v>0</v>
      </c>
      <c r="CE115" s="434">
        <f t="shared" si="86"/>
        <v>0.5</v>
      </c>
      <c r="CF115" s="1620" t="s">
        <v>1166</v>
      </c>
      <c r="CG115" s="1620" t="s">
        <v>1166</v>
      </c>
      <c r="CH115" s="1620" t="s">
        <v>1166</v>
      </c>
      <c r="CI115" s="408" t="s">
        <v>862</v>
      </c>
      <c r="CJ115" s="642">
        <v>0.76100000000000001</v>
      </c>
      <c r="CK115" s="591" t="s">
        <v>922</v>
      </c>
      <c r="CL115" s="302" t="s">
        <v>674</v>
      </c>
      <c r="CM115" s="302" t="s">
        <v>675</v>
      </c>
      <c r="CN115" s="637">
        <v>0.2</v>
      </c>
      <c r="CO115" s="302" t="s">
        <v>508</v>
      </c>
      <c r="CP115" s="302" t="s">
        <v>508</v>
      </c>
      <c r="CQ115" s="637">
        <v>0</v>
      </c>
    </row>
    <row r="116" spans="1:95" ht="15" x14ac:dyDescent="0.2">
      <c r="A116" s="661" t="s">
        <v>111</v>
      </c>
      <c r="B116" s="440" t="s">
        <v>110</v>
      </c>
      <c r="C116" s="637">
        <v>0.4</v>
      </c>
      <c r="D116" s="440" t="s">
        <v>583</v>
      </c>
      <c r="E116" s="440" t="s">
        <v>584</v>
      </c>
      <c r="F116" s="637">
        <v>0.09</v>
      </c>
      <c r="G116" s="440" t="s">
        <v>2218</v>
      </c>
      <c r="H116" s="440" t="s">
        <v>2219</v>
      </c>
      <c r="I116" s="637">
        <v>0.01</v>
      </c>
      <c r="J116" s="662">
        <f t="shared" si="35"/>
        <v>0.5</v>
      </c>
      <c r="K116" s="637">
        <v>0.4</v>
      </c>
      <c r="L116" s="440" t="s">
        <v>583</v>
      </c>
      <c r="M116" s="440" t="s">
        <v>584</v>
      </c>
      <c r="N116" s="637">
        <v>0.09</v>
      </c>
      <c r="O116" s="440" t="s">
        <v>2218</v>
      </c>
      <c r="P116" s="440" t="s">
        <v>2219</v>
      </c>
      <c r="Q116" s="637">
        <v>0.01</v>
      </c>
      <c r="R116" s="662">
        <f t="shared" si="70"/>
        <v>0.5</v>
      </c>
      <c r="S116" s="637">
        <v>0.4</v>
      </c>
      <c r="T116" s="302" t="s">
        <v>583</v>
      </c>
      <c r="U116" s="302" t="s">
        <v>584</v>
      </c>
      <c r="V116" s="637">
        <v>0.09</v>
      </c>
      <c r="W116" s="302" t="s">
        <v>2218</v>
      </c>
      <c r="X116" s="302" t="s">
        <v>2219</v>
      </c>
      <c r="Y116" s="637">
        <v>0.01</v>
      </c>
      <c r="Z116" s="645">
        <f t="shared" si="71"/>
        <v>0.5</v>
      </c>
      <c r="AA116" s="637">
        <v>0.4</v>
      </c>
      <c r="AB116" s="302" t="s">
        <v>583</v>
      </c>
      <c r="AC116" s="302" t="s">
        <v>584</v>
      </c>
      <c r="AD116" s="637">
        <v>0.09</v>
      </c>
      <c r="AE116" s="302" t="s">
        <v>2218</v>
      </c>
      <c r="AF116" s="302" t="s">
        <v>2219</v>
      </c>
      <c r="AG116" s="637">
        <v>0.01</v>
      </c>
      <c r="AH116" s="645">
        <f t="shared" ref="AH116:AH119" si="89">+AA116+AD116+AG116</f>
        <v>0.5</v>
      </c>
      <c r="AI116" s="637">
        <v>0.4</v>
      </c>
      <c r="AJ116" s="302" t="s">
        <v>583</v>
      </c>
      <c r="AK116" s="302" t="s">
        <v>584</v>
      </c>
      <c r="AL116" s="637">
        <v>0.09</v>
      </c>
      <c r="AM116" s="302" t="s">
        <v>2218</v>
      </c>
      <c r="AN116" s="302" t="s">
        <v>2219</v>
      </c>
      <c r="AO116" s="637">
        <v>0.01</v>
      </c>
      <c r="AP116" s="645">
        <f t="shared" si="88"/>
        <v>0.5</v>
      </c>
      <c r="AQ116" s="637">
        <v>0.4</v>
      </c>
      <c r="AR116" s="302" t="s">
        <v>583</v>
      </c>
      <c r="AS116" s="302" t="s">
        <v>584</v>
      </c>
      <c r="AT116" s="637">
        <v>0.09</v>
      </c>
      <c r="AU116" s="302" t="s">
        <v>580</v>
      </c>
      <c r="AV116" s="302" t="s">
        <v>1293</v>
      </c>
      <c r="AW116" s="637">
        <v>0.01</v>
      </c>
      <c r="AX116" s="645">
        <f t="shared" ref="AX116:AX121" si="90">+AQ116+AT116+AW116</f>
        <v>0.5</v>
      </c>
      <c r="AY116" s="637">
        <v>0.4</v>
      </c>
      <c r="AZ116" s="302" t="s">
        <v>583</v>
      </c>
      <c r="BA116" s="302" t="s">
        <v>584</v>
      </c>
      <c r="BB116" s="637">
        <v>0.09</v>
      </c>
      <c r="BC116" s="302" t="s">
        <v>580</v>
      </c>
      <c r="BD116" s="302" t="s">
        <v>581</v>
      </c>
      <c r="BE116" s="637">
        <v>0.01</v>
      </c>
      <c r="BF116" s="434">
        <f t="shared" ref="BF116:BF121" si="91">+AY116+BB116+BE116</f>
        <v>0.5</v>
      </c>
      <c r="BG116" s="587">
        <v>0.4</v>
      </c>
      <c r="BH116" s="302" t="s">
        <v>583</v>
      </c>
      <c r="BI116" s="302" t="s">
        <v>584</v>
      </c>
      <c r="BJ116" s="434">
        <v>0.09</v>
      </c>
      <c r="BK116" s="302" t="s">
        <v>580</v>
      </c>
      <c r="BL116" s="302" t="s">
        <v>581</v>
      </c>
      <c r="BM116" s="434">
        <v>0.01</v>
      </c>
      <c r="BN116" s="645">
        <f t="shared" ref="BN116:BN121" si="92">+BG116+BJ116+BM116</f>
        <v>0.5</v>
      </c>
      <c r="BO116" s="434"/>
      <c r="BP116" s="434">
        <v>0.4</v>
      </c>
      <c r="BQ116" s="302" t="s">
        <v>583</v>
      </c>
      <c r="BR116" s="302" t="s">
        <v>584</v>
      </c>
      <c r="BS116" s="434">
        <v>0.09</v>
      </c>
      <c r="BT116" s="302" t="s">
        <v>580</v>
      </c>
      <c r="BU116" s="302" t="s">
        <v>581</v>
      </c>
      <c r="BV116" s="434">
        <v>0.01</v>
      </c>
      <c r="BW116" s="645">
        <f t="shared" ref="BW116:BW121" si="93">+BP116+BS116+BV116</f>
        <v>0.5</v>
      </c>
      <c r="BX116" s="434">
        <v>0.4</v>
      </c>
      <c r="BY116" s="302" t="s">
        <v>583</v>
      </c>
      <c r="BZ116" s="302" t="s">
        <v>584</v>
      </c>
      <c r="CA116" s="434">
        <v>0.09</v>
      </c>
      <c r="CB116" s="302" t="s">
        <v>580</v>
      </c>
      <c r="CC116" s="302" t="s">
        <v>581</v>
      </c>
      <c r="CD116" s="434">
        <v>0.01</v>
      </c>
      <c r="CE116" s="434">
        <f t="shared" ref="CE116:CE121" si="94">+BX116+CA116+CD116</f>
        <v>0.5</v>
      </c>
      <c r="CF116" s="1620" t="s">
        <v>1166</v>
      </c>
      <c r="CG116" s="1620" t="s">
        <v>1166</v>
      </c>
      <c r="CH116" s="1620" t="s">
        <v>1166</v>
      </c>
      <c r="CI116" s="406"/>
      <c r="CJ116" s="642">
        <v>0.74199999999999999</v>
      </c>
      <c r="CK116" s="591" t="s">
        <v>922</v>
      </c>
      <c r="CL116" s="302" t="s">
        <v>583</v>
      </c>
      <c r="CM116" s="302" t="s">
        <v>584</v>
      </c>
      <c r="CN116" s="637">
        <v>0.59</v>
      </c>
      <c r="CO116" s="302" t="s">
        <v>580</v>
      </c>
      <c r="CP116" s="302" t="s">
        <v>581</v>
      </c>
      <c r="CQ116" s="637">
        <v>0.01</v>
      </c>
    </row>
    <row r="117" spans="1:95" ht="15.75" customHeight="1" x14ac:dyDescent="0.2">
      <c r="A117" s="661" t="s">
        <v>113</v>
      </c>
      <c r="B117" s="440" t="s">
        <v>540</v>
      </c>
      <c r="C117" s="637">
        <v>0.49</v>
      </c>
      <c r="D117" s="440" t="s">
        <v>508</v>
      </c>
      <c r="E117" s="440" t="s">
        <v>509</v>
      </c>
      <c r="F117" s="637">
        <v>0</v>
      </c>
      <c r="G117" s="440" t="s">
        <v>541</v>
      </c>
      <c r="H117" s="440" t="s">
        <v>542</v>
      </c>
      <c r="I117" s="637">
        <v>0.01</v>
      </c>
      <c r="J117" s="662">
        <f t="shared" si="35"/>
        <v>0.5</v>
      </c>
      <c r="K117" s="637">
        <v>0.49</v>
      </c>
      <c r="L117" s="440" t="s">
        <v>508</v>
      </c>
      <c r="M117" s="440" t="s">
        <v>509</v>
      </c>
      <c r="N117" s="637">
        <v>0</v>
      </c>
      <c r="O117" s="440" t="s">
        <v>541</v>
      </c>
      <c r="P117" s="440" t="s">
        <v>542</v>
      </c>
      <c r="Q117" s="637">
        <v>0.01</v>
      </c>
      <c r="R117" s="662">
        <f t="shared" si="70"/>
        <v>0.5</v>
      </c>
      <c r="S117" s="637">
        <v>0.49</v>
      </c>
      <c r="T117" s="302" t="s">
        <v>508</v>
      </c>
      <c r="U117" s="302" t="s">
        <v>509</v>
      </c>
      <c r="V117" s="637">
        <v>0</v>
      </c>
      <c r="W117" s="302" t="s">
        <v>541</v>
      </c>
      <c r="X117" s="302" t="s">
        <v>542</v>
      </c>
      <c r="Y117" s="637">
        <v>0.01</v>
      </c>
      <c r="Z117" s="645">
        <f t="shared" si="71"/>
        <v>0.5</v>
      </c>
      <c r="AA117" s="637">
        <v>0.49</v>
      </c>
      <c r="AB117" s="302" t="s">
        <v>508</v>
      </c>
      <c r="AC117" s="302" t="s">
        <v>509</v>
      </c>
      <c r="AD117" s="637">
        <v>0</v>
      </c>
      <c r="AE117" s="302" t="s">
        <v>541</v>
      </c>
      <c r="AF117" s="302" t="s">
        <v>542</v>
      </c>
      <c r="AG117" s="637">
        <v>0.01</v>
      </c>
      <c r="AH117" s="645">
        <f t="shared" si="89"/>
        <v>0.5</v>
      </c>
      <c r="AI117" s="637">
        <v>0.49</v>
      </c>
      <c r="AJ117" s="302" t="s">
        <v>508</v>
      </c>
      <c r="AK117" s="302" t="s">
        <v>509</v>
      </c>
      <c r="AL117" s="637">
        <v>0</v>
      </c>
      <c r="AM117" s="302" t="s">
        <v>541</v>
      </c>
      <c r="AN117" s="302" t="s">
        <v>542</v>
      </c>
      <c r="AO117" s="637">
        <v>0.01</v>
      </c>
      <c r="AP117" s="645">
        <f t="shared" si="88"/>
        <v>0.5</v>
      </c>
      <c r="AQ117" s="637">
        <v>0.49</v>
      </c>
      <c r="AR117" s="302" t="s">
        <v>508</v>
      </c>
      <c r="AS117" s="302" t="s">
        <v>509</v>
      </c>
      <c r="AT117" s="637">
        <v>0</v>
      </c>
      <c r="AU117" s="302" t="s">
        <v>541</v>
      </c>
      <c r="AV117" s="302" t="s">
        <v>542</v>
      </c>
      <c r="AW117" s="637">
        <v>0.01</v>
      </c>
      <c r="AX117" s="645">
        <f t="shared" si="90"/>
        <v>0.5</v>
      </c>
      <c r="AY117" s="637">
        <v>0.49</v>
      </c>
      <c r="AZ117" s="302" t="s">
        <v>508</v>
      </c>
      <c r="BA117" s="302" t="s">
        <v>509</v>
      </c>
      <c r="BB117" s="637">
        <v>0</v>
      </c>
      <c r="BC117" s="302" t="s">
        <v>541</v>
      </c>
      <c r="BD117" s="302" t="s">
        <v>542</v>
      </c>
      <c r="BE117" s="637">
        <v>0.01</v>
      </c>
      <c r="BF117" s="434">
        <f t="shared" si="91"/>
        <v>0.5</v>
      </c>
      <c r="BG117" s="587">
        <v>0.49</v>
      </c>
      <c r="BH117" s="302" t="s">
        <v>508</v>
      </c>
      <c r="BI117" s="302" t="s">
        <v>509</v>
      </c>
      <c r="BJ117" s="434">
        <v>0</v>
      </c>
      <c r="BK117" s="302" t="s">
        <v>541</v>
      </c>
      <c r="BL117" s="302" t="s">
        <v>542</v>
      </c>
      <c r="BM117" s="434">
        <v>0.01</v>
      </c>
      <c r="BN117" s="645">
        <f t="shared" si="92"/>
        <v>0.5</v>
      </c>
      <c r="BO117" s="434"/>
      <c r="BP117" s="434">
        <v>0.49</v>
      </c>
      <c r="BQ117" s="302" t="s">
        <v>508</v>
      </c>
      <c r="BR117" s="302" t="s">
        <v>509</v>
      </c>
      <c r="BS117" s="434">
        <v>0</v>
      </c>
      <c r="BT117" s="302" t="s">
        <v>541</v>
      </c>
      <c r="BU117" s="302" t="s">
        <v>542</v>
      </c>
      <c r="BV117" s="434">
        <v>0.01</v>
      </c>
      <c r="BW117" s="645">
        <f t="shared" si="93"/>
        <v>0.5</v>
      </c>
      <c r="BX117" s="434">
        <v>0.49</v>
      </c>
      <c r="BY117" s="302" t="s">
        <v>508</v>
      </c>
      <c r="BZ117" s="302" t="s">
        <v>509</v>
      </c>
      <c r="CA117" s="434">
        <v>0</v>
      </c>
      <c r="CB117" s="302" t="s">
        <v>541</v>
      </c>
      <c r="CC117" s="302" t="s">
        <v>542</v>
      </c>
      <c r="CD117" s="434">
        <v>0.01</v>
      </c>
      <c r="CE117" s="434">
        <f t="shared" si="94"/>
        <v>0.5</v>
      </c>
      <c r="CF117" s="1620" t="s">
        <v>862</v>
      </c>
      <c r="CG117" s="1620" t="s">
        <v>1166</v>
      </c>
      <c r="CH117" s="1620" t="s">
        <v>862</v>
      </c>
      <c r="CI117" s="408" t="s">
        <v>862</v>
      </c>
      <c r="CJ117" s="642">
        <v>0.65200000000000002</v>
      </c>
      <c r="CK117" s="591" t="s">
        <v>922</v>
      </c>
      <c r="CL117" s="302" t="s">
        <v>508</v>
      </c>
      <c r="CM117" s="302" t="s">
        <v>509</v>
      </c>
      <c r="CN117" s="637">
        <v>0</v>
      </c>
      <c r="CO117" s="302" t="s">
        <v>541</v>
      </c>
      <c r="CP117" s="302" t="s">
        <v>542</v>
      </c>
      <c r="CQ117" s="637">
        <v>0.01</v>
      </c>
    </row>
    <row r="118" spans="1:95" ht="15.75" customHeight="1" x14ac:dyDescent="0.2">
      <c r="A118" s="661" t="s">
        <v>115</v>
      </c>
      <c r="B118" s="440" t="s">
        <v>114</v>
      </c>
      <c r="C118" s="637">
        <v>0.4</v>
      </c>
      <c r="D118" s="440" t="s">
        <v>569</v>
      </c>
      <c r="E118" s="440" t="s">
        <v>570</v>
      </c>
      <c r="F118" s="637">
        <v>0.09</v>
      </c>
      <c r="G118" s="440" t="s">
        <v>567</v>
      </c>
      <c r="H118" s="440" t="s">
        <v>568</v>
      </c>
      <c r="I118" s="637">
        <v>0.01</v>
      </c>
      <c r="J118" s="662">
        <f t="shared" si="35"/>
        <v>0.5</v>
      </c>
      <c r="K118" s="637">
        <v>0.4</v>
      </c>
      <c r="L118" s="440" t="s">
        <v>569</v>
      </c>
      <c r="M118" s="440" t="s">
        <v>570</v>
      </c>
      <c r="N118" s="637">
        <v>0.09</v>
      </c>
      <c r="O118" s="440" t="s">
        <v>567</v>
      </c>
      <c r="P118" s="440" t="s">
        <v>568</v>
      </c>
      <c r="Q118" s="637">
        <v>0.01</v>
      </c>
      <c r="R118" s="662">
        <f t="shared" si="70"/>
        <v>0.5</v>
      </c>
      <c r="S118" s="637">
        <v>0.4</v>
      </c>
      <c r="T118" s="302" t="s">
        <v>569</v>
      </c>
      <c r="U118" s="302" t="s">
        <v>570</v>
      </c>
      <c r="V118" s="637">
        <v>0.09</v>
      </c>
      <c r="W118" s="302" t="s">
        <v>567</v>
      </c>
      <c r="X118" s="302" t="s">
        <v>568</v>
      </c>
      <c r="Y118" s="637">
        <v>0.01</v>
      </c>
      <c r="Z118" s="645">
        <f t="shared" si="71"/>
        <v>0.5</v>
      </c>
      <c r="AA118" s="637">
        <v>0.4</v>
      </c>
      <c r="AB118" s="302" t="s">
        <v>569</v>
      </c>
      <c r="AC118" s="302" t="s">
        <v>570</v>
      </c>
      <c r="AD118" s="637">
        <v>0.09</v>
      </c>
      <c r="AE118" s="302" t="s">
        <v>567</v>
      </c>
      <c r="AF118" s="302" t="s">
        <v>568</v>
      </c>
      <c r="AG118" s="637">
        <v>0.01</v>
      </c>
      <c r="AH118" s="645">
        <f t="shared" si="89"/>
        <v>0.5</v>
      </c>
      <c r="AI118" s="637">
        <v>0.4</v>
      </c>
      <c r="AJ118" s="302" t="s">
        <v>569</v>
      </c>
      <c r="AK118" s="302" t="s">
        <v>570</v>
      </c>
      <c r="AL118" s="637">
        <v>0.09</v>
      </c>
      <c r="AM118" s="302" t="s">
        <v>567</v>
      </c>
      <c r="AN118" s="302" t="s">
        <v>568</v>
      </c>
      <c r="AO118" s="637">
        <v>0.01</v>
      </c>
      <c r="AP118" s="645">
        <f t="shared" ref="AP118:AP123" si="95">+AI118+AL118+AO118</f>
        <v>0.5</v>
      </c>
      <c r="AQ118" s="637">
        <v>0.4</v>
      </c>
      <c r="AR118" s="302" t="s">
        <v>569</v>
      </c>
      <c r="AS118" s="302" t="s">
        <v>570</v>
      </c>
      <c r="AT118" s="637">
        <v>0.09</v>
      </c>
      <c r="AU118" s="302" t="s">
        <v>567</v>
      </c>
      <c r="AV118" s="302" t="s">
        <v>568</v>
      </c>
      <c r="AW118" s="637">
        <v>0.01</v>
      </c>
      <c r="AX118" s="645">
        <f t="shared" si="90"/>
        <v>0.5</v>
      </c>
      <c r="AY118" s="637">
        <v>0.44</v>
      </c>
      <c r="AZ118" s="302" t="s">
        <v>569</v>
      </c>
      <c r="BA118" s="302" t="s">
        <v>570</v>
      </c>
      <c r="BB118" s="637">
        <v>0.26</v>
      </c>
      <c r="BC118" s="302" t="s">
        <v>567</v>
      </c>
      <c r="BD118" s="302" t="s">
        <v>568</v>
      </c>
      <c r="BE118" s="637">
        <v>0.05</v>
      </c>
      <c r="BF118" s="434">
        <f t="shared" si="91"/>
        <v>0.75</v>
      </c>
      <c r="BG118" s="587">
        <v>0.4</v>
      </c>
      <c r="BH118" s="302" t="s">
        <v>569</v>
      </c>
      <c r="BI118" s="302" t="s">
        <v>570</v>
      </c>
      <c r="BJ118" s="434">
        <v>0.09</v>
      </c>
      <c r="BK118" s="302" t="s">
        <v>567</v>
      </c>
      <c r="BL118" s="302" t="s">
        <v>568</v>
      </c>
      <c r="BM118" s="434">
        <v>0.01</v>
      </c>
      <c r="BN118" s="645">
        <f t="shared" si="92"/>
        <v>0.5</v>
      </c>
      <c r="BO118" s="434"/>
      <c r="BP118" s="434">
        <v>0.4</v>
      </c>
      <c r="BQ118" s="302" t="s">
        <v>569</v>
      </c>
      <c r="BR118" s="302" t="s">
        <v>570</v>
      </c>
      <c r="BS118" s="434">
        <v>0.09</v>
      </c>
      <c r="BT118" s="302" t="s">
        <v>567</v>
      </c>
      <c r="BU118" s="302" t="s">
        <v>568</v>
      </c>
      <c r="BV118" s="434">
        <v>0.01</v>
      </c>
      <c r="BW118" s="645">
        <f t="shared" si="93"/>
        <v>0.5</v>
      </c>
      <c r="BX118" s="434">
        <v>0.4</v>
      </c>
      <c r="BY118" s="302" t="s">
        <v>569</v>
      </c>
      <c r="BZ118" s="302" t="s">
        <v>570</v>
      </c>
      <c r="CA118" s="434">
        <v>0.09</v>
      </c>
      <c r="CB118" s="302" t="s">
        <v>567</v>
      </c>
      <c r="CC118" s="302" t="s">
        <v>568</v>
      </c>
      <c r="CD118" s="434">
        <v>0.01</v>
      </c>
      <c r="CE118" s="434">
        <f t="shared" si="94"/>
        <v>0.5</v>
      </c>
      <c r="CF118" s="1620" t="s">
        <v>1166</v>
      </c>
      <c r="CG118" s="1620" t="s">
        <v>1166</v>
      </c>
      <c r="CH118" s="1620" t="s">
        <v>1166</v>
      </c>
      <c r="CI118" s="406"/>
      <c r="CJ118" s="642">
        <v>0.65600000000000003</v>
      </c>
      <c r="CK118" s="591" t="s">
        <v>922</v>
      </c>
      <c r="CL118" s="302" t="s">
        <v>569</v>
      </c>
      <c r="CM118" s="302" t="s">
        <v>570</v>
      </c>
      <c r="CN118" s="637">
        <v>0.59</v>
      </c>
      <c r="CO118" s="302" t="s">
        <v>567</v>
      </c>
      <c r="CP118" s="302" t="s">
        <v>568</v>
      </c>
      <c r="CQ118" s="637">
        <v>0.01</v>
      </c>
    </row>
    <row r="119" spans="1:95" ht="15.75" customHeight="1" x14ac:dyDescent="0.2">
      <c r="A119" s="661" t="s">
        <v>117</v>
      </c>
      <c r="B119" s="440" t="s">
        <v>116</v>
      </c>
      <c r="C119" s="637">
        <v>0.4</v>
      </c>
      <c r="D119" s="440" t="s">
        <v>583</v>
      </c>
      <c r="E119" s="440" t="s">
        <v>584</v>
      </c>
      <c r="F119" s="637">
        <v>0.09</v>
      </c>
      <c r="G119" s="440" t="s">
        <v>2218</v>
      </c>
      <c r="H119" s="440" t="s">
        <v>2219</v>
      </c>
      <c r="I119" s="637">
        <v>0.01</v>
      </c>
      <c r="J119" s="662">
        <f t="shared" si="35"/>
        <v>0.5</v>
      </c>
      <c r="K119" s="637">
        <v>0.4</v>
      </c>
      <c r="L119" s="440" t="s">
        <v>583</v>
      </c>
      <c r="M119" s="440" t="s">
        <v>584</v>
      </c>
      <c r="N119" s="637">
        <v>0.09</v>
      </c>
      <c r="O119" s="440" t="s">
        <v>2218</v>
      </c>
      <c r="P119" s="440" t="s">
        <v>2219</v>
      </c>
      <c r="Q119" s="637">
        <v>0.01</v>
      </c>
      <c r="R119" s="662">
        <f t="shared" si="70"/>
        <v>0.5</v>
      </c>
      <c r="S119" s="637">
        <v>0.4</v>
      </c>
      <c r="T119" s="302" t="s">
        <v>583</v>
      </c>
      <c r="U119" s="302" t="s">
        <v>584</v>
      </c>
      <c r="V119" s="637">
        <v>0.09</v>
      </c>
      <c r="W119" s="302" t="s">
        <v>2218</v>
      </c>
      <c r="X119" s="302" t="s">
        <v>2219</v>
      </c>
      <c r="Y119" s="637">
        <v>0.01</v>
      </c>
      <c r="Z119" s="645">
        <f t="shared" si="71"/>
        <v>0.5</v>
      </c>
      <c r="AA119" s="637">
        <v>0.4</v>
      </c>
      <c r="AB119" s="302" t="s">
        <v>583</v>
      </c>
      <c r="AC119" s="302" t="s">
        <v>584</v>
      </c>
      <c r="AD119" s="637">
        <v>0.09</v>
      </c>
      <c r="AE119" s="302" t="s">
        <v>2218</v>
      </c>
      <c r="AF119" s="302" t="s">
        <v>2219</v>
      </c>
      <c r="AG119" s="637">
        <v>0.01</v>
      </c>
      <c r="AH119" s="645">
        <f t="shared" si="89"/>
        <v>0.5</v>
      </c>
      <c r="AI119" s="637">
        <v>0.4</v>
      </c>
      <c r="AJ119" s="302" t="s">
        <v>583</v>
      </c>
      <c r="AK119" s="302" t="s">
        <v>584</v>
      </c>
      <c r="AL119" s="637">
        <v>0.09</v>
      </c>
      <c r="AM119" s="302" t="s">
        <v>2218</v>
      </c>
      <c r="AN119" s="302" t="s">
        <v>2219</v>
      </c>
      <c r="AO119" s="637">
        <v>0.01</v>
      </c>
      <c r="AP119" s="645">
        <f t="shared" si="95"/>
        <v>0.5</v>
      </c>
      <c r="AQ119" s="637">
        <v>0.4</v>
      </c>
      <c r="AR119" s="302" t="s">
        <v>583</v>
      </c>
      <c r="AS119" s="302" t="s">
        <v>584</v>
      </c>
      <c r="AT119" s="637">
        <v>0.09</v>
      </c>
      <c r="AU119" s="302" t="s">
        <v>580</v>
      </c>
      <c r="AV119" s="302" t="s">
        <v>1293</v>
      </c>
      <c r="AW119" s="637">
        <v>0.01</v>
      </c>
      <c r="AX119" s="645">
        <f t="shared" si="90"/>
        <v>0.5</v>
      </c>
      <c r="AY119" s="637">
        <v>0.4</v>
      </c>
      <c r="AZ119" s="302" t="s">
        <v>583</v>
      </c>
      <c r="BA119" s="302" t="s">
        <v>584</v>
      </c>
      <c r="BB119" s="637">
        <v>0.09</v>
      </c>
      <c r="BC119" s="302" t="s">
        <v>580</v>
      </c>
      <c r="BD119" s="302" t="s">
        <v>581</v>
      </c>
      <c r="BE119" s="637">
        <v>0.01</v>
      </c>
      <c r="BF119" s="434">
        <f t="shared" si="91"/>
        <v>0.5</v>
      </c>
      <c r="BG119" s="587">
        <v>0.4</v>
      </c>
      <c r="BH119" s="302" t="s">
        <v>583</v>
      </c>
      <c r="BI119" s="302" t="s">
        <v>584</v>
      </c>
      <c r="BJ119" s="434">
        <v>0.09</v>
      </c>
      <c r="BK119" s="302" t="s">
        <v>580</v>
      </c>
      <c r="BL119" s="302" t="s">
        <v>581</v>
      </c>
      <c r="BM119" s="434">
        <v>0.01</v>
      </c>
      <c r="BN119" s="645">
        <f t="shared" si="92"/>
        <v>0.5</v>
      </c>
      <c r="BO119" s="434"/>
      <c r="BP119" s="434">
        <v>0.4</v>
      </c>
      <c r="BQ119" s="302" t="s">
        <v>583</v>
      </c>
      <c r="BR119" s="302" t="s">
        <v>584</v>
      </c>
      <c r="BS119" s="434">
        <v>0.09</v>
      </c>
      <c r="BT119" s="302" t="s">
        <v>580</v>
      </c>
      <c r="BU119" s="302" t="s">
        <v>581</v>
      </c>
      <c r="BV119" s="434">
        <v>0.01</v>
      </c>
      <c r="BW119" s="645">
        <f t="shared" si="93"/>
        <v>0.5</v>
      </c>
      <c r="BX119" s="434">
        <v>0.4</v>
      </c>
      <c r="BY119" s="302" t="s">
        <v>583</v>
      </c>
      <c r="BZ119" s="302" t="s">
        <v>584</v>
      </c>
      <c r="CA119" s="434">
        <v>0.09</v>
      </c>
      <c r="CB119" s="302" t="s">
        <v>580</v>
      </c>
      <c r="CC119" s="302" t="s">
        <v>581</v>
      </c>
      <c r="CD119" s="434">
        <v>0.01</v>
      </c>
      <c r="CE119" s="434">
        <f t="shared" si="94"/>
        <v>0.5</v>
      </c>
      <c r="CF119" s="1620" t="s">
        <v>862</v>
      </c>
      <c r="CG119" s="1620" t="s">
        <v>862</v>
      </c>
      <c r="CH119" s="1620" t="s">
        <v>1166</v>
      </c>
      <c r="CI119" s="406"/>
      <c r="CJ119" s="642">
        <v>0.69</v>
      </c>
      <c r="CK119" s="591" t="s">
        <v>922</v>
      </c>
      <c r="CL119" s="302" t="s">
        <v>583</v>
      </c>
      <c r="CM119" s="302" t="s">
        <v>584</v>
      </c>
      <c r="CN119" s="637">
        <v>0.59</v>
      </c>
      <c r="CO119" s="302" t="s">
        <v>580</v>
      </c>
      <c r="CP119" s="302" t="s">
        <v>581</v>
      </c>
      <c r="CQ119" s="637">
        <v>0.01</v>
      </c>
    </row>
    <row r="120" spans="1:95" ht="15" x14ac:dyDescent="0.2">
      <c r="A120" s="661" t="s">
        <v>119</v>
      </c>
      <c r="B120" s="440" t="s">
        <v>118</v>
      </c>
      <c r="C120" s="637">
        <v>0.3</v>
      </c>
      <c r="D120" s="440" t="s">
        <v>674</v>
      </c>
      <c r="E120" s="440" t="s">
        <v>675</v>
      </c>
      <c r="F120" s="637">
        <v>0.37</v>
      </c>
      <c r="G120" s="440" t="s">
        <v>508</v>
      </c>
      <c r="H120" s="440" t="s">
        <v>508</v>
      </c>
      <c r="I120" s="637">
        <v>0</v>
      </c>
      <c r="J120" s="662">
        <f t="shared" si="35"/>
        <v>0.66999999999999993</v>
      </c>
      <c r="K120" s="637">
        <v>0.3</v>
      </c>
      <c r="L120" s="440" t="s">
        <v>674</v>
      </c>
      <c r="M120" s="440" t="s">
        <v>675</v>
      </c>
      <c r="N120" s="637">
        <v>0.37</v>
      </c>
      <c r="O120" s="440" t="s">
        <v>508</v>
      </c>
      <c r="P120" s="440" t="s">
        <v>508</v>
      </c>
      <c r="Q120" s="637">
        <v>0</v>
      </c>
      <c r="R120" s="662">
        <f t="shared" si="70"/>
        <v>0.66999999999999993</v>
      </c>
      <c r="S120" s="637">
        <v>0.3</v>
      </c>
      <c r="T120" s="302" t="s">
        <v>674</v>
      </c>
      <c r="U120" s="302" t="s">
        <v>675</v>
      </c>
      <c r="V120" s="637">
        <v>0.37</v>
      </c>
      <c r="W120" s="302" t="s">
        <v>508</v>
      </c>
      <c r="X120" s="302" t="s">
        <v>508</v>
      </c>
      <c r="Y120" s="637">
        <v>0</v>
      </c>
      <c r="Z120" s="645">
        <f t="shared" si="71"/>
        <v>0.66999999999999993</v>
      </c>
      <c r="AA120" s="637">
        <v>0.3</v>
      </c>
      <c r="AB120" s="302" t="s">
        <v>674</v>
      </c>
      <c r="AC120" s="302" t="s">
        <v>675</v>
      </c>
      <c r="AD120" s="637">
        <v>0.37</v>
      </c>
      <c r="AE120" s="302" t="s">
        <v>508</v>
      </c>
      <c r="AF120" s="302" t="s">
        <v>508</v>
      </c>
      <c r="AG120" s="637">
        <v>0</v>
      </c>
      <c r="AH120" s="645">
        <f t="shared" ref="AH120:AH123" si="96">+AA120+AD120+AG120</f>
        <v>0.66999999999999993</v>
      </c>
      <c r="AI120" s="637">
        <v>0.3</v>
      </c>
      <c r="AJ120" s="302" t="s">
        <v>674</v>
      </c>
      <c r="AK120" s="302" t="s">
        <v>675</v>
      </c>
      <c r="AL120" s="637">
        <v>0.37</v>
      </c>
      <c r="AM120" s="302" t="s">
        <v>508</v>
      </c>
      <c r="AN120" s="302" t="s">
        <v>508</v>
      </c>
      <c r="AO120" s="637">
        <v>0</v>
      </c>
      <c r="AP120" s="645">
        <f t="shared" si="95"/>
        <v>0.66999999999999993</v>
      </c>
      <c r="AQ120" s="637">
        <v>0.3</v>
      </c>
      <c r="AR120" s="302" t="s">
        <v>674</v>
      </c>
      <c r="AS120" s="302" t="s">
        <v>675</v>
      </c>
      <c r="AT120" s="637">
        <v>0.37</v>
      </c>
      <c r="AU120" s="302" t="s">
        <v>508</v>
      </c>
      <c r="AV120" s="302" t="s">
        <v>508</v>
      </c>
      <c r="AW120" s="637">
        <v>0</v>
      </c>
      <c r="AX120" s="645">
        <f t="shared" si="90"/>
        <v>0.66999999999999993</v>
      </c>
      <c r="AY120" s="637">
        <v>0.48</v>
      </c>
      <c r="AZ120" s="302" t="s">
        <v>674</v>
      </c>
      <c r="BA120" s="302" t="s">
        <v>675</v>
      </c>
      <c r="BB120" s="637">
        <v>0.27</v>
      </c>
      <c r="BC120" s="302" t="s">
        <v>508</v>
      </c>
      <c r="BD120" s="302" t="s">
        <v>508</v>
      </c>
      <c r="BE120" s="637">
        <v>0</v>
      </c>
      <c r="BF120" s="434">
        <f t="shared" si="91"/>
        <v>0.75</v>
      </c>
      <c r="BG120" s="587">
        <v>0.64</v>
      </c>
      <c r="BH120" s="302" t="s">
        <v>674</v>
      </c>
      <c r="BI120" s="302" t="s">
        <v>675</v>
      </c>
      <c r="BJ120" s="434">
        <v>0.36</v>
      </c>
      <c r="BK120" s="302" t="s">
        <v>508</v>
      </c>
      <c r="BL120" s="302" t="s">
        <v>508</v>
      </c>
      <c r="BM120" s="434">
        <v>0</v>
      </c>
      <c r="BN120" s="645">
        <f t="shared" si="92"/>
        <v>1</v>
      </c>
      <c r="BO120" s="434"/>
      <c r="BP120" s="434">
        <v>0.3</v>
      </c>
      <c r="BQ120" s="302" t="s">
        <v>674</v>
      </c>
      <c r="BR120" s="302" t="s">
        <v>675</v>
      </c>
      <c r="BS120" s="434">
        <v>0.37</v>
      </c>
      <c r="BT120" s="302" t="s">
        <v>508</v>
      </c>
      <c r="BU120" s="302" t="s">
        <v>508</v>
      </c>
      <c r="BV120" s="434">
        <v>0</v>
      </c>
      <c r="BW120" s="645">
        <f t="shared" si="93"/>
        <v>0.66999999999999993</v>
      </c>
      <c r="BX120" s="434">
        <v>0.3</v>
      </c>
      <c r="BY120" s="302" t="s">
        <v>674</v>
      </c>
      <c r="BZ120" s="302" t="s">
        <v>675</v>
      </c>
      <c r="CA120" s="434">
        <v>0.2</v>
      </c>
      <c r="CB120" s="302" t="s">
        <v>508</v>
      </c>
      <c r="CC120" s="302" t="s">
        <v>508</v>
      </c>
      <c r="CD120" s="434">
        <v>0</v>
      </c>
      <c r="CE120" s="434">
        <f t="shared" si="94"/>
        <v>0.5</v>
      </c>
      <c r="CF120" s="1620" t="s">
        <v>1166</v>
      </c>
      <c r="CG120" s="1620" t="s">
        <v>1166</v>
      </c>
      <c r="CH120" s="1620" t="s">
        <v>1166</v>
      </c>
      <c r="CI120" s="408" t="s">
        <v>862</v>
      </c>
      <c r="CJ120" s="642">
        <v>0.749</v>
      </c>
      <c r="CK120" s="591" t="s">
        <v>922</v>
      </c>
      <c r="CL120" s="302" t="s">
        <v>674</v>
      </c>
      <c r="CM120" s="302" t="s">
        <v>675</v>
      </c>
      <c r="CN120" s="637">
        <v>0.2</v>
      </c>
      <c r="CO120" s="302" t="s">
        <v>508</v>
      </c>
      <c r="CP120" s="302" t="s">
        <v>508</v>
      </c>
      <c r="CQ120" s="637">
        <v>0</v>
      </c>
    </row>
    <row r="121" spans="1:95" ht="15.75" customHeight="1" x14ac:dyDescent="0.2">
      <c r="A121" s="661" t="s">
        <v>121</v>
      </c>
      <c r="B121" s="440" t="s">
        <v>585</v>
      </c>
      <c r="C121" s="637">
        <v>0.49</v>
      </c>
      <c r="D121" s="440" t="s">
        <v>508</v>
      </c>
      <c r="E121" s="440" t="s">
        <v>509</v>
      </c>
      <c r="F121" s="637">
        <v>0</v>
      </c>
      <c r="G121" s="440" t="s">
        <v>586</v>
      </c>
      <c r="H121" s="440" t="s">
        <v>587</v>
      </c>
      <c r="I121" s="637">
        <v>0.01</v>
      </c>
      <c r="J121" s="662">
        <f t="shared" si="35"/>
        <v>0.5</v>
      </c>
      <c r="K121" s="637">
        <v>0.49</v>
      </c>
      <c r="L121" s="440" t="s">
        <v>508</v>
      </c>
      <c r="M121" s="440" t="s">
        <v>509</v>
      </c>
      <c r="N121" s="637">
        <v>0</v>
      </c>
      <c r="O121" s="440" t="s">
        <v>586</v>
      </c>
      <c r="P121" s="440" t="s">
        <v>587</v>
      </c>
      <c r="Q121" s="637">
        <v>0.01</v>
      </c>
      <c r="R121" s="662">
        <f t="shared" si="70"/>
        <v>0.5</v>
      </c>
      <c r="S121" s="637">
        <v>0.49</v>
      </c>
      <c r="T121" s="302" t="s">
        <v>508</v>
      </c>
      <c r="U121" s="302" t="s">
        <v>509</v>
      </c>
      <c r="V121" s="637">
        <v>0</v>
      </c>
      <c r="W121" s="302" t="s">
        <v>586</v>
      </c>
      <c r="X121" s="302" t="s">
        <v>587</v>
      </c>
      <c r="Y121" s="637">
        <v>0.01</v>
      </c>
      <c r="Z121" s="645">
        <f t="shared" si="71"/>
        <v>0.5</v>
      </c>
      <c r="AA121" s="637">
        <v>0.49</v>
      </c>
      <c r="AB121" s="302" t="s">
        <v>508</v>
      </c>
      <c r="AC121" s="302" t="s">
        <v>509</v>
      </c>
      <c r="AD121" s="637">
        <v>0</v>
      </c>
      <c r="AE121" s="302" t="s">
        <v>586</v>
      </c>
      <c r="AF121" s="302" t="s">
        <v>587</v>
      </c>
      <c r="AG121" s="637">
        <v>0.01</v>
      </c>
      <c r="AH121" s="645">
        <f t="shared" si="96"/>
        <v>0.5</v>
      </c>
      <c r="AI121" s="637">
        <v>0.49</v>
      </c>
      <c r="AJ121" s="302" t="s">
        <v>508</v>
      </c>
      <c r="AK121" s="302" t="s">
        <v>509</v>
      </c>
      <c r="AL121" s="637">
        <v>0</v>
      </c>
      <c r="AM121" s="302" t="s">
        <v>586</v>
      </c>
      <c r="AN121" s="302" t="s">
        <v>587</v>
      </c>
      <c r="AO121" s="637">
        <v>0.01</v>
      </c>
      <c r="AP121" s="645">
        <f t="shared" si="95"/>
        <v>0.5</v>
      </c>
      <c r="AQ121" s="637">
        <v>0.49</v>
      </c>
      <c r="AR121" s="302" t="s">
        <v>508</v>
      </c>
      <c r="AS121" s="302" t="s">
        <v>509</v>
      </c>
      <c r="AT121" s="637">
        <v>0</v>
      </c>
      <c r="AU121" s="302" t="s">
        <v>586</v>
      </c>
      <c r="AV121" s="302" t="s">
        <v>587</v>
      </c>
      <c r="AW121" s="637">
        <v>0.01</v>
      </c>
      <c r="AX121" s="645">
        <f t="shared" si="90"/>
        <v>0.5</v>
      </c>
      <c r="AY121" s="637">
        <v>0.49</v>
      </c>
      <c r="AZ121" s="302" t="s">
        <v>508</v>
      </c>
      <c r="BA121" s="302" t="s">
        <v>509</v>
      </c>
      <c r="BB121" s="637">
        <v>0</v>
      </c>
      <c r="BC121" s="302" t="s">
        <v>586</v>
      </c>
      <c r="BD121" s="302" t="s">
        <v>587</v>
      </c>
      <c r="BE121" s="637">
        <v>0.01</v>
      </c>
      <c r="BF121" s="434">
        <f t="shared" si="91"/>
        <v>0.5</v>
      </c>
      <c r="BG121" s="587">
        <v>0.49</v>
      </c>
      <c r="BH121" s="302" t="s">
        <v>508</v>
      </c>
      <c r="BI121" s="302" t="s">
        <v>509</v>
      </c>
      <c r="BJ121" s="434">
        <v>0</v>
      </c>
      <c r="BK121" s="302" t="s">
        <v>586</v>
      </c>
      <c r="BL121" s="302" t="s">
        <v>587</v>
      </c>
      <c r="BM121" s="434">
        <v>0.01</v>
      </c>
      <c r="BN121" s="645">
        <f t="shared" si="92"/>
        <v>0.5</v>
      </c>
      <c r="BO121" s="434"/>
      <c r="BP121" s="434">
        <v>0.49</v>
      </c>
      <c r="BQ121" s="302" t="s">
        <v>508</v>
      </c>
      <c r="BR121" s="302" t="s">
        <v>509</v>
      </c>
      <c r="BS121" s="434">
        <v>0</v>
      </c>
      <c r="BT121" s="302" t="s">
        <v>586</v>
      </c>
      <c r="BU121" s="302" t="s">
        <v>587</v>
      </c>
      <c r="BV121" s="434">
        <v>0.01</v>
      </c>
      <c r="BW121" s="645">
        <f t="shared" si="93"/>
        <v>0.5</v>
      </c>
      <c r="BX121" s="434">
        <v>0.49</v>
      </c>
      <c r="BY121" s="302" t="s">
        <v>508</v>
      </c>
      <c r="BZ121" s="302" t="s">
        <v>509</v>
      </c>
      <c r="CA121" s="434">
        <v>0</v>
      </c>
      <c r="CB121" s="302" t="s">
        <v>586</v>
      </c>
      <c r="CC121" s="302" t="s">
        <v>587</v>
      </c>
      <c r="CD121" s="434">
        <v>0.01</v>
      </c>
      <c r="CE121" s="434">
        <f t="shared" si="94"/>
        <v>0.5</v>
      </c>
      <c r="CF121" s="1620" t="s">
        <v>862</v>
      </c>
      <c r="CG121" s="1620" t="s">
        <v>1166</v>
      </c>
      <c r="CH121" s="1620" t="s">
        <v>1166</v>
      </c>
      <c r="CI121" s="408" t="s">
        <v>862</v>
      </c>
      <c r="CJ121" s="642">
        <v>0.65500000000000003</v>
      </c>
      <c r="CK121" s="591" t="s">
        <v>922</v>
      </c>
      <c r="CL121" s="302" t="s">
        <v>508</v>
      </c>
      <c r="CM121" s="302" t="s">
        <v>509</v>
      </c>
      <c r="CN121" s="637">
        <v>0</v>
      </c>
      <c r="CO121" s="302" t="s">
        <v>586</v>
      </c>
      <c r="CP121" s="302" t="s">
        <v>587</v>
      </c>
      <c r="CQ121" s="637">
        <v>0.01</v>
      </c>
    </row>
    <row r="122" spans="1:95" ht="15.75" customHeight="1" x14ac:dyDescent="0.2">
      <c r="A122" s="661" t="s">
        <v>123</v>
      </c>
      <c r="B122" s="440" t="s">
        <v>122</v>
      </c>
      <c r="C122" s="637">
        <v>0.4</v>
      </c>
      <c r="D122" s="440" t="s">
        <v>590</v>
      </c>
      <c r="E122" s="440" t="s">
        <v>591</v>
      </c>
      <c r="F122" s="637">
        <v>0.1</v>
      </c>
      <c r="G122" s="440" t="s">
        <v>508</v>
      </c>
      <c r="H122" s="440" t="s">
        <v>546</v>
      </c>
      <c r="I122" s="637">
        <v>0</v>
      </c>
      <c r="J122" s="662">
        <f t="shared" si="35"/>
        <v>0.5</v>
      </c>
      <c r="K122" s="637">
        <v>0.4</v>
      </c>
      <c r="L122" s="440" t="s">
        <v>590</v>
      </c>
      <c r="M122" s="440" t="s">
        <v>591</v>
      </c>
      <c r="N122" s="637">
        <v>0.1</v>
      </c>
      <c r="O122" s="440" t="s">
        <v>508</v>
      </c>
      <c r="P122" s="440" t="s">
        <v>546</v>
      </c>
      <c r="Q122" s="637">
        <v>0</v>
      </c>
      <c r="R122" s="662">
        <f t="shared" si="70"/>
        <v>0.5</v>
      </c>
      <c r="S122" s="637">
        <v>0.4</v>
      </c>
      <c r="T122" s="302" t="s">
        <v>590</v>
      </c>
      <c r="U122" s="302" t="s">
        <v>591</v>
      </c>
      <c r="V122" s="637">
        <v>0.1</v>
      </c>
      <c r="W122" s="302" t="s">
        <v>508</v>
      </c>
      <c r="X122" s="302" t="s">
        <v>546</v>
      </c>
      <c r="Y122" s="637">
        <v>0</v>
      </c>
      <c r="Z122" s="645">
        <f t="shared" si="71"/>
        <v>0.5</v>
      </c>
      <c r="AA122" s="637">
        <v>0.4</v>
      </c>
      <c r="AB122" s="302" t="s">
        <v>590</v>
      </c>
      <c r="AC122" s="302" t="s">
        <v>591</v>
      </c>
      <c r="AD122" s="637">
        <v>0.1</v>
      </c>
      <c r="AE122" s="302" t="s">
        <v>508</v>
      </c>
      <c r="AF122" s="302" t="s">
        <v>546</v>
      </c>
      <c r="AG122" s="637">
        <v>0</v>
      </c>
      <c r="AH122" s="645">
        <f t="shared" si="96"/>
        <v>0.5</v>
      </c>
      <c r="AI122" s="637">
        <v>0.4</v>
      </c>
      <c r="AJ122" s="302" t="s">
        <v>590</v>
      </c>
      <c r="AK122" s="302" t="s">
        <v>591</v>
      </c>
      <c r="AL122" s="637">
        <v>0.1</v>
      </c>
      <c r="AM122" s="302" t="s">
        <v>508</v>
      </c>
      <c r="AN122" s="302" t="s">
        <v>546</v>
      </c>
      <c r="AO122" s="637">
        <v>0</v>
      </c>
      <c r="AP122" s="645">
        <f t="shared" si="95"/>
        <v>0.5</v>
      </c>
      <c r="AQ122" s="637">
        <v>0.4</v>
      </c>
      <c r="AR122" s="302" t="s">
        <v>590</v>
      </c>
      <c r="AS122" s="302" t="s">
        <v>591</v>
      </c>
      <c r="AT122" s="637">
        <v>0.1</v>
      </c>
      <c r="AU122" s="302" t="s">
        <v>508</v>
      </c>
      <c r="AV122" s="302" t="s">
        <v>546</v>
      </c>
      <c r="AW122" s="637">
        <v>0</v>
      </c>
      <c r="AX122" s="645">
        <f t="shared" ref="AX122:AX123" si="97">+AQ122+AT122+AW122</f>
        <v>0.5</v>
      </c>
      <c r="AY122" s="637">
        <v>0.35</v>
      </c>
      <c r="AZ122" s="302" t="s">
        <v>590</v>
      </c>
      <c r="BA122" s="302" t="s">
        <v>591</v>
      </c>
      <c r="BB122" s="637">
        <v>0.4</v>
      </c>
      <c r="BC122" s="302" t="s">
        <v>508</v>
      </c>
      <c r="BD122" s="302" t="s">
        <v>546</v>
      </c>
      <c r="BE122" s="637">
        <v>0</v>
      </c>
      <c r="BF122" s="434">
        <f t="shared" ref="BF122:BF123" si="98">+AY122+BB122+BE122</f>
        <v>0.75</v>
      </c>
      <c r="BG122" s="587">
        <v>0.4</v>
      </c>
      <c r="BH122" s="302" t="s">
        <v>590</v>
      </c>
      <c r="BI122" s="302" t="s">
        <v>591</v>
      </c>
      <c r="BJ122" s="434">
        <v>0.1</v>
      </c>
      <c r="BK122" s="302" t="s">
        <v>508</v>
      </c>
      <c r="BL122" s="302" t="s">
        <v>546</v>
      </c>
      <c r="BM122" s="434">
        <v>0</v>
      </c>
      <c r="BN122" s="645">
        <f t="shared" ref="BN122:BN123" si="99">+BG122+BJ122+BM122</f>
        <v>0.5</v>
      </c>
      <c r="BO122" s="434"/>
      <c r="BP122" s="434">
        <v>0.4</v>
      </c>
      <c r="BQ122" s="302" t="s">
        <v>590</v>
      </c>
      <c r="BR122" s="302" t="s">
        <v>591</v>
      </c>
      <c r="BS122" s="434">
        <v>0.1</v>
      </c>
      <c r="BT122" s="302" t="s">
        <v>508</v>
      </c>
      <c r="BU122" s="302" t="s">
        <v>546</v>
      </c>
      <c r="BV122" s="434">
        <v>0</v>
      </c>
      <c r="BW122" s="645">
        <f t="shared" ref="BW122:BW123" si="100">+BP122+BS122+BV122</f>
        <v>0.5</v>
      </c>
      <c r="BX122" s="434">
        <v>0.4</v>
      </c>
      <c r="BY122" s="302" t="s">
        <v>590</v>
      </c>
      <c r="BZ122" s="302" t="s">
        <v>591</v>
      </c>
      <c r="CA122" s="434">
        <v>0.1</v>
      </c>
      <c r="CB122" s="302" t="s">
        <v>508</v>
      </c>
      <c r="CC122" s="302" t="s">
        <v>546</v>
      </c>
      <c r="CD122" s="434">
        <v>0</v>
      </c>
      <c r="CE122" s="434">
        <f t="shared" ref="CE122:CE123" si="101">+BX122+CA122+CD122</f>
        <v>0.5</v>
      </c>
      <c r="CF122" s="1620" t="s">
        <v>1166</v>
      </c>
      <c r="CG122" s="1620" t="s">
        <v>1166</v>
      </c>
      <c r="CH122" s="1620" t="s">
        <v>1166</v>
      </c>
      <c r="CI122" s="406"/>
      <c r="CJ122" s="642">
        <v>0.73699999999999999</v>
      </c>
      <c r="CK122" s="591" t="s">
        <v>922</v>
      </c>
      <c r="CL122" s="302" t="s">
        <v>590</v>
      </c>
      <c r="CM122" s="302" t="s">
        <v>591</v>
      </c>
      <c r="CN122" s="637">
        <v>0.6</v>
      </c>
      <c r="CO122" s="302" t="s">
        <v>508</v>
      </c>
      <c r="CP122" s="302" t="s">
        <v>546</v>
      </c>
      <c r="CQ122" s="637">
        <v>0</v>
      </c>
    </row>
    <row r="123" spans="1:95" ht="15.75" customHeight="1" x14ac:dyDescent="0.2">
      <c r="A123" s="661" t="s">
        <v>125</v>
      </c>
      <c r="B123" s="440" t="s">
        <v>124</v>
      </c>
      <c r="C123" s="637">
        <v>0.4</v>
      </c>
      <c r="D123" s="440" t="s">
        <v>550</v>
      </c>
      <c r="E123" s="440" t="s">
        <v>551</v>
      </c>
      <c r="F123" s="637">
        <v>0.09</v>
      </c>
      <c r="G123" s="440" t="s">
        <v>548</v>
      </c>
      <c r="H123" s="440" t="s">
        <v>549</v>
      </c>
      <c r="I123" s="637">
        <v>0.01</v>
      </c>
      <c r="J123" s="662">
        <f t="shared" si="35"/>
        <v>0.5</v>
      </c>
      <c r="K123" s="637">
        <v>0.4</v>
      </c>
      <c r="L123" s="440" t="s">
        <v>550</v>
      </c>
      <c r="M123" s="440" t="s">
        <v>551</v>
      </c>
      <c r="N123" s="637">
        <v>0.09</v>
      </c>
      <c r="O123" s="440" t="s">
        <v>548</v>
      </c>
      <c r="P123" s="440" t="s">
        <v>549</v>
      </c>
      <c r="Q123" s="637">
        <v>0.01</v>
      </c>
      <c r="R123" s="662">
        <f t="shared" si="70"/>
        <v>0.5</v>
      </c>
      <c r="S123" s="637">
        <v>0.4</v>
      </c>
      <c r="T123" s="302" t="s">
        <v>550</v>
      </c>
      <c r="U123" s="302" t="s">
        <v>551</v>
      </c>
      <c r="V123" s="637">
        <v>0.09</v>
      </c>
      <c r="W123" s="302" t="s">
        <v>548</v>
      </c>
      <c r="X123" s="302" t="s">
        <v>549</v>
      </c>
      <c r="Y123" s="637">
        <v>0.01</v>
      </c>
      <c r="Z123" s="645">
        <f t="shared" si="71"/>
        <v>0.5</v>
      </c>
      <c r="AA123" s="637">
        <v>0.4</v>
      </c>
      <c r="AB123" s="302" t="s">
        <v>550</v>
      </c>
      <c r="AC123" s="302" t="s">
        <v>551</v>
      </c>
      <c r="AD123" s="637">
        <v>0.09</v>
      </c>
      <c r="AE123" s="302" t="s">
        <v>548</v>
      </c>
      <c r="AF123" s="302" t="s">
        <v>549</v>
      </c>
      <c r="AG123" s="637">
        <v>0.01</v>
      </c>
      <c r="AH123" s="645">
        <f t="shared" si="96"/>
        <v>0.5</v>
      </c>
      <c r="AI123" s="637">
        <v>0.4</v>
      </c>
      <c r="AJ123" s="302" t="s">
        <v>550</v>
      </c>
      <c r="AK123" s="302" t="s">
        <v>551</v>
      </c>
      <c r="AL123" s="637">
        <v>0.09</v>
      </c>
      <c r="AM123" s="302" t="s">
        <v>548</v>
      </c>
      <c r="AN123" s="302" t="s">
        <v>549</v>
      </c>
      <c r="AO123" s="637">
        <v>0.01</v>
      </c>
      <c r="AP123" s="645">
        <f t="shared" si="95"/>
        <v>0.5</v>
      </c>
      <c r="AQ123" s="637">
        <v>0.4</v>
      </c>
      <c r="AR123" s="302" t="s">
        <v>550</v>
      </c>
      <c r="AS123" s="302" t="s">
        <v>551</v>
      </c>
      <c r="AT123" s="637">
        <v>0.09</v>
      </c>
      <c r="AU123" s="302" t="s">
        <v>548</v>
      </c>
      <c r="AV123" s="302" t="s">
        <v>549</v>
      </c>
      <c r="AW123" s="637">
        <v>0.01</v>
      </c>
      <c r="AX123" s="645">
        <f t="shared" si="97"/>
        <v>0.5</v>
      </c>
      <c r="AY123" s="637">
        <v>0.4</v>
      </c>
      <c r="AZ123" s="302" t="s">
        <v>550</v>
      </c>
      <c r="BA123" s="302" t="s">
        <v>551</v>
      </c>
      <c r="BB123" s="637">
        <v>0.09</v>
      </c>
      <c r="BC123" s="302" t="s">
        <v>548</v>
      </c>
      <c r="BD123" s="302" t="s">
        <v>549</v>
      </c>
      <c r="BE123" s="637">
        <v>0.01</v>
      </c>
      <c r="BF123" s="434">
        <f t="shared" si="98"/>
        <v>0.5</v>
      </c>
      <c r="BG123" s="587">
        <v>0.5</v>
      </c>
      <c r="BH123" s="302" t="s">
        <v>550</v>
      </c>
      <c r="BI123" s="302" t="s">
        <v>551</v>
      </c>
      <c r="BJ123" s="434">
        <v>0.49</v>
      </c>
      <c r="BK123" s="302" t="s">
        <v>548</v>
      </c>
      <c r="BL123" s="302" t="s">
        <v>549</v>
      </c>
      <c r="BM123" s="434">
        <v>0.01</v>
      </c>
      <c r="BN123" s="645">
        <f t="shared" si="99"/>
        <v>1</v>
      </c>
      <c r="BO123" s="434"/>
      <c r="BP123" s="434">
        <v>0.4</v>
      </c>
      <c r="BQ123" s="302" t="s">
        <v>550</v>
      </c>
      <c r="BR123" s="302" t="s">
        <v>551</v>
      </c>
      <c r="BS123" s="434">
        <v>0.09</v>
      </c>
      <c r="BT123" s="302" t="s">
        <v>548</v>
      </c>
      <c r="BU123" s="302" t="s">
        <v>549</v>
      </c>
      <c r="BV123" s="434">
        <v>0.01</v>
      </c>
      <c r="BW123" s="645">
        <f t="shared" si="100"/>
        <v>0.5</v>
      </c>
      <c r="BX123" s="434">
        <v>0.4</v>
      </c>
      <c r="BY123" s="302" t="s">
        <v>550</v>
      </c>
      <c r="BZ123" s="302" t="s">
        <v>551</v>
      </c>
      <c r="CA123" s="434">
        <v>0.09</v>
      </c>
      <c r="CB123" s="302" t="s">
        <v>548</v>
      </c>
      <c r="CC123" s="302" t="s">
        <v>549</v>
      </c>
      <c r="CD123" s="434">
        <v>0.01</v>
      </c>
      <c r="CE123" s="434">
        <f t="shared" si="101"/>
        <v>0.5</v>
      </c>
      <c r="CF123" s="1620" t="s">
        <v>1166</v>
      </c>
      <c r="CG123" s="1620" t="s">
        <v>1166</v>
      </c>
      <c r="CH123" s="1620" t="s">
        <v>1166</v>
      </c>
      <c r="CI123" s="406"/>
      <c r="CJ123" s="642">
        <v>0.66900000000000004</v>
      </c>
      <c r="CK123" s="591" t="s">
        <v>922</v>
      </c>
      <c r="CL123" s="302" t="s">
        <v>550</v>
      </c>
      <c r="CM123" s="302" t="s">
        <v>551</v>
      </c>
      <c r="CN123" s="637">
        <v>0.59</v>
      </c>
      <c r="CO123" s="302" t="s">
        <v>548</v>
      </c>
      <c r="CP123" s="302" t="s">
        <v>549</v>
      </c>
      <c r="CQ123" s="637">
        <v>0.01</v>
      </c>
    </row>
    <row r="124" spans="1:95" ht="15" x14ac:dyDescent="0.2">
      <c r="A124" s="661" t="s">
        <v>127</v>
      </c>
      <c r="B124" s="440" t="s">
        <v>126</v>
      </c>
      <c r="C124" s="637">
        <v>0.3</v>
      </c>
      <c r="D124" s="440" t="s">
        <v>674</v>
      </c>
      <c r="E124" s="440" t="s">
        <v>675</v>
      </c>
      <c r="F124" s="637">
        <v>0.37</v>
      </c>
      <c r="G124" s="440" t="s">
        <v>508</v>
      </c>
      <c r="H124" s="440" t="s">
        <v>508</v>
      </c>
      <c r="I124" s="637">
        <v>0</v>
      </c>
      <c r="J124" s="662">
        <f t="shared" si="35"/>
        <v>0.66999999999999993</v>
      </c>
      <c r="K124" s="637">
        <v>0.3</v>
      </c>
      <c r="L124" s="440" t="s">
        <v>674</v>
      </c>
      <c r="M124" s="440" t="s">
        <v>675</v>
      </c>
      <c r="N124" s="637">
        <v>0.37</v>
      </c>
      <c r="O124" s="440" t="s">
        <v>508</v>
      </c>
      <c r="P124" s="440" t="s">
        <v>508</v>
      </c>
      <c r="Q124" s="637">
        <v>0</v>
      </c>
      <c r="R124" s="662">
        <f t="shared" si="70"/>
        <v>0.66999999999999993</v>
      </c>
      <c r="S124" s="637">
        <v>0.3</v>
      </c>
      <c r="T124" s="302" t="s">
        <v>674</v>
      </c>
      <c r="U124" s="302" t="s">
        <v>675</v>
      </c>
      <c r="V124" s="637">
        <v>0.37</v>
      </c>
      <c r="W124" s="302" t="s">
        <v>508</v>
      </c>
      <c r="X124" s="302" t="s">
        <v>508</v>
      </c>
      <c r="Y124" s="637">
        <v>0</v>
      </c>
      <c r="Z124" s="645">
        <f t="shared" si="71"/>
        <v>0.66999999999999993</v>
      </c>
      <c r="AA124" s="637">
        <v>0.3</v>
      </c>
      <c r="AB124" s="302" t="s">
        <v>674</v>
      </c>
      <c r="AC124" s="302" t="s">
        <v>675</v>
      </c>
      <c r="AD124" s="637">
        <v>0.37</v>
      </c>
      <c r="AE124" s="302" t="s">
        <v>508</v>
      </c>
      <c r="AF124" s="302" t="s">
        <v>508</v>
      </c>
      <c r="AG124" s="637">
        <v>0</v>
      </c>
      <c r="AH124" s="645">
        <f t="shared" ref="AH124:AH175" si="102">+AA124+AD124+AG124</f>
        <v>0.66999999999999993</v>
      </c>
      <c r="AI124" s="637">
        <v>0.3</v>
      </c>
      <c r="AJ124" s="302" t="s">
        <v>674</v>
      </c>
      <c r="AK124" s="302" t="s">
        <v>675</v>
      </c>
      <c r="AL124" s="637">
        <v>0.37</v>
      </c>
      <c r="AM124" s="302" t="s">
        <v>508</v>
      </c>
      <c r="AN124" s="302" t="s">
        <v>508</v>
      </c>
      <c r="AO124" s="637">
        <v>0</v>
      </c>
      <c r="AP124" s="645">
        <f t="shared" ref="AP124:AP125" si="103">+AI124+AL124+AO124</f>
        <v>0.66999999999999993</v>
      </c>
      <c r="AQ124" s="637">
        <v>0.3</v>
      </c>
      <c r="AR124" s="302" t="s">
        <v>674</v>
      </c>
      <c r="AS124" s="302" t="s">
        <v>675</v>
      </c>
      <c r="AT124" s="637">
        <v>0.37</v>
      </c>
      <c r="AU124" s="302" t="s">
        <v>508</v>
      </c>
      <c r="AV124" s="302" t="s">
        <v>508</v>
      </c>
      <c r="AW124" s="637">
        <v>0</v>
      </c>
      <c r="AX124" s="645">
        <f t="shared" ref="AX124:AX125" si="104">+AQ124+AT124+AW124</f>
        <v>0.66999999999999993</v>
      </c>
      <c r="AY124" s="637">
        <v>0.48</v>
      </c>
      <c r="AZ124" s="302" t="s">
        <v>674</v>
      </c>
      <c r="BA124" s="302" t="s">
        <v>675</v>
      </c>
      <c r="BB124" s="637">
        <v>0.27</v>
      </c>
      <c r="BC124" s="302" t="s">
        <v>508</v>
      </c>
      <c r="BD124" s="302" t="s">
        <v>508</v>
      </c>
      <c r="BE124" s="637">
        <v>0</v>
      </c>
      <c r="BF124" s="434">
        <f t="shared" ref="BF124:BF125" si="105">+AY124+BB124+BE124</f>
        <v>0.75</v>
      </c>
      <c r="BG124" s="587">
        <v>0.64</v>
      </c>
      <c r="BH124" s="302" t="s">
        <v>674</v>
      </c>
      <c r="BI124" s="302" t="s">
        <v>675</v>
      </c>
      <c r="BJ124" s="434">
        <v>0.36</v>
      </c>
      <c r="BK124" s="302" t="s">
        <v>508</v>
      </c>
      <c r="BL124" s="302" t="s">
        <v>508</v>
      </c>
      <c r="BM124" s="434">
        <v>0</v>
      </c>
      <c r="BN124" s="645">
        <f t="shared" ref="BN124:BN125" si="106">+BG124+BJ124+BM124</f>
        <v>1</v>
      </c>
      <c r="BO124" s="434"/>
      <c r="BP124" s="434">
        <v>0.3</v>
      </c>
      <c r="BQ124" s="302" t="s">
        <v>674</v>
      </c>
      <c r="BR124" s="302" t="s">
        <v>675</v>
      </c>
      <c r="BS124" s="434">
        <v>0.37</v>
      </c>
      <c r="BT124" s="302" t="s">
        <v>508</v>
      </c>
      <c r="BU124" s="302" t="s">
        <v>508</v>
      </c>
      <c r="BV124" s="434">
        <v>0</v>
      </c>
      <c r="BW124" s="645">
        <f t="shared" ref="BW124:BW125" si="107">+BP124+BS124+BV124</f>
        <v>0.66999999999999993</v>
      </c>
      <c r="BX124" s="434">
        <v>0.3</v>
      </c>
      <c r="BY124" s="302" t="s">
        <v>674</v>
      </c>
      <c r="BZ124" s="302" t="s">
        <v>675</v>
      </c>
      <c r="CA124" s="434">
        <v>0.2</v>
      </c>
      <c r="CB124" s="302" t="s">
        <v>508</v>
      </c>
      <c r="CC124" s="302" t="s">
        <v>508</v>
      </c>
      <c r="CD124" s="434">
        <v>0</v>
      </c>
      <c r="CE124" s="434">
        <f t="shared" ref="CE124:CE125" si="108">+BX124+CA124+CD124</f>
        <v>0.5</v>
      </c>
      <c r="CF124" s="1620" t="s">
        <v>1166</v>
      </c>
      <c r="CG124" s="1620" t="s">
        <v>1166</v>
      </c>
      <c r="CH124" s="1620" t="s">
        <v>1166</v>
      </c>
      <c r="CI124" s="408" t="s">
        <v>862</v>
      </c>
      <c r="CJ124" s="642">
        <v>0.753</v>
      </c>
      <c r="CK124" s="591" t="s">
        <v>922</v>
      </c>
      <c r="CL124" s="302" t="s">
        <v>674</v>
      </c>
      <c r="CM124" s="302" t="s">
        <v>675</v>
      </c>
      <c r="CN124" s="637">
        <v>0.2</v>
      </c>
      <c r="CO124" s="302" t="s">
        <v>508</v>
      </c>
      <c r="CP124" s="302" t="s">
        <v>508</v>
      </c>
      <c r="CQ124" s="637">
        <v>0</v>
      </c>
    </row>
    <row r="125" spans="1:95" ht="15.75" customHeight="1" x14ac:dyDescent="0.2">
      <c r="A125" s="661" t="s">
        <v>129</v>
      </c>
      <c r="B125" s="440" t="s">
        <v>617</v>
      </c>
      <c r="C125" s="637">
        <v>0.4</v>
      </c>
      <c r="D125" s="440" t="s">
        <v>615</v>
      </c>
      <c r="E125" s="440" t="s">
        <v>616</v>
      </c>
      <c r="F125" s="637">
        <v>0.09</v>
      </c>
      <c r="G125" s="440" t="s">
        <v>612</v>
      </c>
      <c r="H125" s="440" t="s">
        <v>613</v>
      </c>
      <c r="I125" s="637">
        <v>0.01</v>
      </c>
      <c r="J125" s="662">
        <f t="shared" si="35"/>
        <v>0.5</v>
      </c>
      <c r="K125" s="637">
        <v>0.4</v>
      </c>
      <c r="L125" s="440" t="s">
        <v>615</v>
      </c>
      <c r="M125" s="440" t="s">
        <v>616</v>
      </c>
      <c r="N125" s="637">
        <v>0.09</v>
      </c>
      <c r="O125" s="440" t="s">
        <v>612</v>
      </c>
      <c r="P125" s="440" t="s">
        <v>613</v>
      </c>
      <c r="Q125" s="637">
        <v>0.01</v>
      </c>
      <c r="R125" s="662">
        <f t="shared" si="70"/>
        <v>0.5</v>
      </c>
      <c r="S125" s="637">
        <v>0.4</v>
      </c>
      <c r="T125" s="302" t="s">
        <v>615</v>
      </c>
      <c r="U125" s="302" t="s">
        <v>616</v>
      </c>
      <c r="V125" s="637">
        <v>0.09</v>
      </c>
      <c r="W125" s="302" t="s">
        <v>612</v>
      </c>
      <c r="X125" s="302" t="s">
        <v>613</v>
      </c>
      <c r="Y125" s="637">
        <v>0.01</v>
      </c>
      <c r="Z125" s="645">
        <f t="shared" si="71"/>
        <v>0.5</v>
      </c>
      <c r="AA125" s="637">
        <v>0.4</v>
      </c>
      <c r="AB125" s="302" t="s">
        <v>615</v>
      </c>
      <c r="AC125" s="302" t="s">
        <v>616</v>
      </c>
      <c r="AD125" s="637">
        <v>0.09</v>
      </c>
      <c r="AE125" s="302" t="s">
        <v>612</v>
      </c>
      <c r="AF125" s="302" t="s">
        <v>613</v>
      </c>
      <c r="AG125" s="637">
        <v>0.01</v>
      </c>
      <c r="AH125" s="645">
        <f t="shared" si="102"/>
        <v>0.5</v>
      </c>
      <c r="AI125" s="637">
        <v>0.4</v>
      </c>
      <c r="AJ125" s="302" t="s">
        <v>615</v>
      </c>
      <c r="AK125" s="302" t="s">
        <v>616</v>
      </c>
      <c r="AL125" s="637">
        <v>0.09</v>
      </c>
      <c r="AM125" s="302" t="s">
        <v>612</v>
      </c>
      <c r="AN125" s="302" t="s">
        <v>613</v>
      </c>
      <c r="AO125" s="637">
        <v>0.01</v>
      </c>
      <c r="AP125" s="645">
        <f t="shared" si="103"/>
        <v>0.5</v>
      </c>
      <c r="AQ125" s="637">
        <v>0.4</v>
      </c>
      <c r="AR125" s="302" t="s">
        <v>615</v>
      </c>
      <c r="AS125" s="302" t="s">
        <v>616</v>
      </c>
      <c r="AT125" s="637">
        <v>0.09</v>
      </c>
      <c r="AU125" s="302" t="s">
        <v>612</v>
      </c>
      <c r="AV125" s="302" t="s">
        <v>613</v>
      </c>
      <c r="AW125" s="637">
        <v>0.01</v>
      </c>
      <c r="AX125" s="645">
        <f t="shared" si="104"/>
        <v>0.5</v>
      </c>
      <c r="AY125" s="637">
        <v>0.375</v>
      </c>
      <c r="AZ125" s="302" t="s">
        <v>615</v>
      </c>
      <c r="BA125" s="302" t="s">
        <v>616</v>
      </c>
      <c r="BB125" s="637">
        <v>0.36499999999999999</v>
      </c>
      <c r="BC125" s="302" t="s">
        <v>612</v>
      </c>
      <c r="BD125" s="302" t="s">
        <v>613</v>
      </c>
      <c r="BE125" s="637">
        <v>0.01</v>
      </c>
      <c r="BF125" s="434">
        <f t="shared" si="105"/>
        <v>0.75</v>
      </c>
      <c r="BG125" s="587">
        <v>0.4</v>
      </c>
      <c r="BH125" s="302" t="s">
        <v>615</v>
      </c>
      <c r="BI125" s="302" t="s">
        <v>616</v>
      </c>
      <c r="BJ125" s="434">
        <v>0.09</v>
      </c>
      <c r="BK125" s="302" t="s">
        <v>612</v>
      </c>
      <c r="BL125" s="302" t="s">
        <v>613</v>
      </c>
      <c r="BM125" s="434">
        <v>0.01</v>
      </c>
      <c r="BN125" s="645">
        <f t="shared" si="106"/>
        <v>0.5</v>
      </c>
      <c r="BO125" s="434"/>
      <c r="BP125" s="434">
        <v>0.4</v>
      </c>
      <c r="BQ125" s="302" t="s">
        <v>615</v>
      </c>
      <c r="BR125" s="302" t="s">
        <v>616</v>
      </c>
      <c r="BS125" s="434">
        <v>0.09</v>
      </c>
      <c r="BT125" s="302" t="s">
        <v>612</v>
      </c>
      <c r="BU125" s="302" t="s">
        <v>613</v>
      </c>
      <c r="BV125" s="434">
        <v>0.01</v>
      </c>
      <c r="BW125" s="645">
        <f t="shared" si="107"/>
        <v>0.5</v>
      </c>
      <c r="BX125" s="434">
        <v>0.4</v>
      </c>
      <c r="BY125" s="302" t="s">
        <v>615</v>
      </c>
      <c r="BZ125" s="302" t="s">
        <v>616</v>
      </c>
      <c r="CA125" s="434">
        <v>0.09</v>
      </c>
      <c r="CB125" s="302" t="s">
        <v>612</v>
      </c>
      <c r="CC125" s="302" t="s">
        <v>613</v>
      </c>
      <c r="CD125" s="434">
        <v>0.01</v>
      </c>
      <c r="CE125" s="434">
        <f t="shared" si="108"/>
        <v>0.5</v>
      </c>
      <c r="CF125" s="1620" t="s">
        <v>862</v>
      </c>
      <c r="CG125" s="1620" t="s">
        <v>1166</v>
      </c>
      <c r="CH125" s="1620" t="s">
        <v>1166</v>
      </c>
      <c r="CI125" s="406"/>
      <c r="CJ125" s="642">
        <v>0.67900000000000005</v>
      </c>
      <c r="CK125" s="591" t="s">
        <v>922</v>
      </c>
      <c r="CL125" s="302" t="s">
        <v>615</v>
      </c>
      <c r="CM125" s="302" t="s">
        <v>616</v>
      </c>
      <c r="CN125" s="637">
        <v>0.59</v>
      </c>
      <c r="CO125" s="302" t="s">
        <v>612</v>
      </c>
      <c r="CP125" s="302" t="s">
        <v>613</v>
      </c>
      <c r="CQ125" s="637">
        <v>0.01</v>
      </c>
    </row>
    <row r="126" spans="1:95" ht="15.75" customHeight="1" x14ac:dyDescent="0.2">
      <c r="A126" s="661" t="s">
        <v>131</v>
      </c>
      <c r="B126" s="440" t="s">
        <v>130</v>
      </c>
      <c r="C126" s="637">
        <v>0.4</v>
      </c>
      <c r="D126" s="440" t="s">
        <v>655</v>
      </c>
      <c r="E126" s="440" t="s">
        <v>656</v>
      </c>
      <c r="F126" s="637">
        <v>0.1</v>
      </c>
      <c r="G126" s="440" t="s">
        <v>508</v>
      </c>
      <c r="H126" s="440" t="s">
        <v>546</v>
      </c>
      <c r="I126" s="637">
        <v>0</v>
      </c>
      <c r="J126" s="662">
        <f t="shared" si="35"/>
        <v>0.5</v>
      </c>
      <c r="K126" s="637">
        <v>0.4</v>
      </c>
      <c r="L126" s="440" t="s">
        <v>655</v>
      </c>
      <c r="M126" s="440" t="s">
        <v>656</v>
      </c>
      <c r="N126" s="637">
        <v>0.1</v>
      </c>
      <c r="O126" s="440" t="s">
        <v>508</v>
      </c>
      <c r="P126" s="440" t="s">
        <v>546</v>
      </c>
      <c r="Q126" s="637">
        <v>0</v>
      </c>
      <c r="R126" s="662">
        <f t="shared" si="70"/>
        <v>0.5</v>
      </c>
      <c r="S126" s="637">
        <v>0.4</v>
      </c>
      <c r="T126" s="302" t="s">
        <v>655</v>
      </c>
      <c r="U126" s="302" t="s">
        <v>656</v>
      </c>
      <c r="V126" s="637">
        <v>0.1</v>
      </c>
      <c r="W126" s="302" t="s">
        <v>508</v>
      </c>
      <c r="X126" s="302" t="s">
        <v>546</v>
      </c>
      <c r="Y126" s="637">
        <v>0</v>
      </c>
      <c r="Z126" s="645">
        <f t="shared" si="71"/>
        <v>0.5</v>
      </c>
      <c r="AA126" s="637">
        <v>0.4</v>
      </c>
      <c r="AB126" s="302" t="s">
        <v>655</v>
      </c>
      <c r="AC126" s="302" t="s">
        <v>656</v>
      </c>
      <c r="AD126" s="637">
        <v>0.1</v>
      </c>
      <c r="AE126" s="302" t="s">
        <v>508</v>
      </c>
      <c r="AF126" s="302" t="s">
        <v>546</v>
      </c>
      <c r="AG126" s="637">
        <v>0</v>
      </c>
      <c r="AH126" s="645">
        <f t="shared" si="102"/>
        <v>0.5</v>
      </c>
      <c r="AI126" s="637">
        <v>0.4</v>
      </c>
      <c r="AJ126" s="302" t="s">
        <v>655</v>
      </c>
      <c r="AK126" s="302" t="s">
        <v>656</v>
      </c>
      <c r="AL126" s="637">
        <v>0.1</v>
      </c>
      <c r="AM126" s="302" t="s">
        <v>508</v>
      </c>
      <c r="AN126" s="302" t="s">
        <v>546</v>
      </c>
      <c r="AO126" s="637">
        <v>0</v>
      </c>
      <c r="AP126" s="645">
        <f t="shared" ref="AP126:AP127" si="109">+AI126+AL126+AO126</f>
        <v>0.5</v>
      </c>
      <c r="AQ126" s="637">
        <v>0.4</v>
      </c>
      <c r="AR126" s="302" t="s">
        <v>655</v>
      </c>
      <c r="AS126" s="302" t="s">
        <v>656</v>
      </c>
      <c r="AT126" s="637">
        <v>0.1</v>
      </c>
      <c r="AU126" s="302" t="s">
        <v>508</v>
      </c>
      <c r="AV126" s="302" t="s">
        <v>546</v>
      </c>
      <c r="AW126" s="637">
        <v>0</v>
      </c>
      <c r="AX126" s="645">
        <f t="shared" ref="AX126:AX127" si="110">+AQ126+AT126+AW126</f>
        <v>0.5</v>
      </c>
      <c r="AY126" s="637">
        <v>0.2</v>
      </c>
      <c r="AZ126" s="302" t="s">
        <v>655</v>
      </c>
      <c r="BA126" s="302" t="s">
        <v>656</v>
      </c>
      <c r="BB126" s="637">
        <v>0.55000000000000004</v>
      </c>
      <c r="BC126" s="302" t="s">
        <v>508</v>
      </c>
      <c r="BD126" s="302" t="s">
        <v>546</v>
      </c>
      <c r="BE126" s="637">
        <v>0</v>
      </c>
      <c r="BF126" s="434">
        <f t="shared" ref="BF126:BF127" si="111">+AY126+BB126+BE126</f>
        <v>0.75</v>
      </c>
      <c r="BG126" s="587">
        <v>0.4</v>
      </c>
      <c r="BH126" s="302" t="s">
        <v>655</v>
      </c>
      <c r="BI126" s="302" t="s">
        <v>656</v>
      </c>
      <c r="BJ126" s="434">
        <v>0.1</v>
      </c>
      <c r="BK126" s="302" t="s">
        <v>508</v>
      </c>
      <c r="BL126" s="302" t="s">
        <v>546</v>
      </c>
      <c r="BM126" s="434">
        <v>0</v>
      </c>
      <c r="BN126" s="645">
        <f t="shared" ref="BN126:BN127" si="112">+BG126+BJ126+BM126</f>
        <v>0.5</v>
      </c>
      <c r="BO126" s="434"/>
      <c r="BP126" s="434">
        <v>0.4</v>
      </c>
      <c r="BQ126" s="302" t="s">
        <v>655</v>
      </c>
      <c r="BR126" s="302" t="s">
        <v>656</v>
      </c>
      <c r="BS126" s="434">
        <v>0.1</v>
      </c>
      <c r="BT126" s="302" t="s">
        <v>508</v>
      </c>
      <c r="BU126" s="302" t="s">
        <v>546</v>
      </c>
      <c r="BV126" s="434">
        <v>0</v>
      </c>
      <c r="BW126" s="645">
        <f t="shared" ref="BW126:BW127" si="113">+BP126+BS126+BV126</f>
        <v>0.5</v>
      </c>
      <c r="BX126" s="434">
        <v>0.4</v>
      </c>
      <c r="BY126" s="302" t="s">
        <v>655</v>
      </c>
      <c r="BZ126" s="302" t="s">
        <v>656</v>
      </c>
      <c r="CA126" s="434">
        <v>0.1</v>
      </c>
      <c r="CB126" s="302" t="s">
        <v>508</v>
      </c>
      <c r="CC126" s="302" t="s">
        <v>546</v>
      </c>
      <c r="CD126" s="434">
        <v>0</v>
      </c>
      <c r="CE126" s="434">
        <f t="shared" ref="CE126:CE127" si="114">+BX126+CA126+CD126</f>
        <v>0.5</v>
      </c>
      <c r="CF126" s="1620" t="s">
        <v>1166</v>
      </c>
      <c r="CG126" s="1620" t="s">
        <v>1166</v>
      </c>
      <c r="CH126" s="1620" t="s">
        <v>1166</v>
      </c>
      <c r="CI126" s="406"/>
      <c r="CJ126" s="642">
        <v>0.70299999999999996</v>
      </c>
      <c r="CK126" s="591" t="s">
        <v>922</v>
      </c>
      <c r="CL126" s="302" t="s">
        <v>655</v>
      </c>
      <c r="CM126" s="302" t="s">
        <v>656</v>
      </c>
      <c r="CN126" s="637">
        <v>0.6</v>
      </c>
      <c r="CO126" s="302" t="s">
        <v>508</v>
      </c>
      <c r="CP126" s="302" t="s">
        <v>546</v>
      </c>
      <c r="CQ126" s="637">
        <v>0</v>
      </c>
    </row>
    <row r="127" spans="1:95" ht="15" x14ac:dyDescent="0.2">
      <c r="A127" s="661" t="s">
        <v>133</v>
      </c>
      <c r="B127" s="440" t="s">
        <v>132</v>
      </c>
      <c r="C127" s="637">
        <v>0.3</v>
      </c>
      <c r="D127" s="440" t="s">
        <v>674</v>
      </c>
      <c r="E127" s="440" t="s">
        <v>675</v>
      </c>
      <c r="F127" s="637">
        <v>0.37</v>
      </c>
      <c r="G127" s="440" t="s">
        <v>508</v>
      </c>
      <c r="H127" s="440" t="s">
        <v>508</v>
      </c>
      <c r="I127" s="637">
        <v>0</v>
      </c>
      <c r="J127" s="662">
        <f t="shared" si="35"/>
        <v>0.66999999999999993</v>
      </c>
      <c r="K127" s="637">
        <v>0.3</v>
      </c>
      <c r="L127" s="440" t="s">
        <v>674</v>
      </c>
      <c r="M127" s="440" t="s">
        <v>675</v>
      </c>
      <c r="N127" s="637">
        <v>0.37</v>
      </c>
      <c r="O127" s="440" t="s">
        <v>508</v>
      </c>
      <c r="P127" s="440" t="s">
        <v>508</v>
      </c>
      <c r="Q127" s="637">
        <v>0</v>
      </c>
      <c r="R127" s="662">
        <f t="shared" si="70"/>
        <v>0.66999999999999993</v>
      </c>
      <c r="S127" s="637">
        <v>0.3</v>
      </c>
      <c r="T127" s="302" t="s">
        <v>674</v>
      </c>
      <c r="U127" s="302" t="s">
        <v>675</v>
      </c>
      <c r="V127" s="637">
        <v>0.37</v>
      </c>
      <c r="W127" s="302" t="s">
        <v>508</v>
      </c>
      <c r="X127" s="302" t="s">
        <v>508</v>
      </c>
      <c r="Y127" s="637">
        <v>0</v>
      </c>
      <c r="Z127" s="645">
        <f t="shared" si="71"/>
        <v>0.66999999999999993</v>
      </c>
      <c r="AA127" s="637">
        <v>0.3</v>
      </c>
      <c r="AB127" s="302" t="s">
        <v>674</v>
      </c>
      <c r="AC127" s="302" t="s">
        <v>675</v>
      </c>
      <c r="AD127" s="637">
        <v>0.37</v>
      </c>
      <c r="AE127" s="302" t="s">
        <v>508</v>
      </c>
      <c r="AF127" s="302" t="s">
        <v>508</v>
      </c>
      <c r="AG127" s="637">
        <v>0</v>
      </c>
      <c r="AH127" s="645">
        <f t="shared" si="102"/>
        <v>0.66999999999999993</v>
      </c>
      <c r="AI127" s="637">
        <v>0.3</v>
      </c>
      <c r="AJ127" s="302" t="s">
        <v>674</v>
      </c>
      <c r="AK127" s="302" t="s">
        <v>675</v>
      </c>
      <c r="AL127" s="637">
        <v>0.37</v>
      </c>
      <c r="AM127" s="302" t="s">
        <v>508</v>
      </c>
      <c r="AN127" s="302" t="s">
        <v>508</v>
      </c>
      <c r="AO127" s="637">
        <v>0</v>
      </c>
      <c r="AP127" s="645">
        <f t="shared" si="109"/>
        <v>0.66999999999999993</v>
      </c>
      <c r="AQ127" s="637">
        <v>0.3</v>
      </c>
      <c r="AR127" s="302" t="s">
        <v>674</v>
      </c>
      <c r="AS127" s="302" t="s">
        <v>675</v>
      </c>
      <c r="AT127" s="637">
        <v>0.37</v>
      </c>
      <c r="AU127" s="302" t="s">
        <v>508</v>
      </c>
      <c r="AV127" s="302" t="s">
        <v>508</v>
      </c>
      <c r="AW127" s="637">
        <v>0</v>
      </c>
      <c r="AX127" s="645">
        <f t="shared" si="110"/>
        <v>0.66999999999999993</v>
      </c>
      <c r="AY127" s="637">
        <v>0.48</v>
      </c>
      <c r="AZ127" s="302" t="s">
        <v>674</v>
      </c>
      <c r="BA127" s="302" t="s">
        <v>675</v>
      </c>
      <c r="BB127" s="637">
        <v>0.27</v>
      </c>
      <c r="BC127" s="302" t="s">
        <v>508</v>
      </c>
      <c r="BD127" s="302" t="s">
        <v>508</v>
      </c>
      <c r="BE127" s="637">
        <v>0</v>
      </c>
      <c r="BF127" s="434">
        <f t="shared" si="111"/>
        <v>0.75</v>
      </c>
      <c r="BG127" s="587">
        <v>0.64</v>
      </c>
      <c r="BH127" s="302" t="s">
        <v>674</v>
      </c>
      <c r="BI127" s="302" t="s">
        <v>675</v>
      </c>
      <c r="BJ127" s="434">
        <v>0.36</v>
      </c>
      <c r="BK127" s="302" t="s">
        <v>508</v>
      </c>
      <c r="BL127" s="302" t="s">
        <v>508</v>
      </c>
      <c r="BM127" s="434">
        <v>0</v>
      </c>
      <c r="BN127" s="645">
        <f t="shared" si="112"/>
        <v>1</v>
      </c>
      <c r="BO127" s="434"/>
      <c r="BP127" s="434">
        <v>0.3</v>
      </c>
      <c r="BQ127" s="302" t="s">
        <v>674</v>
      </c>
      <c r="BR127" s="302" t="s">
        <v>675</v>
      </c>
      <c r="BS127" s="434">
        <v>0.37</v>
      </c>
      <c r="BT127" s="302" t="s">
        <v>508</v>
      </c>
      <c r="BU127" s="302" t="s">
        <v>508</v>
      </c>
      <c r="BV127" s="434">
        <v>0</v>
      </c>
      <c r="BW127" s="645">
        <f t="shared" si="113"/>
        <v>0.66999999999999993</v>
      </c>
      <c r="BX127" s="434">
        <v>0.3</v>
      </c>
      <c r="BY127" s="302" t="s">
        <v>674</v>
      </c>
      <c r="BZ127" s="302" t="s">
        <v>675</v>
      </c>
      <c r="CA127" s="434">
        <v>0.2</v>
      </c>
      <c r="CB127" s="302" t="s">
        <v>508</v>
      </c>
      <c r="CC127" s="302" t="s">
        <v>508</v>
      </c>
      <c r="CD127" s="434">
        <v>0</v>
      </c>
      <c r="CE127" s="434">
        <f t="shared" si="114"/>
        <v>0.5</v>
      </c>
      <c r="CF127" s="1620" t="s">
        <v>1166</v>
      </c>
      <c r="CG127" s="1620" t="s">
        <v>1166</v>
      </c>
      <c r="CH127" s="1620" t="s">
        <v>1166</v>
      </c>
      <c r="CI127" s="408" t="s">
        <v>862</v>
      </c>
      <c r="CJ127" s="642">
        <v>0.73199999999999998</v>
      </c>
      <c r="CK127" s="591" t="s">
        <v>922</v>
      </c>
      <c r="CL127" s="302" t="s">
        <v>674</v>
      </c>
      <c r="CM127" s="302" t="s">
        <v>675</v>
      </c>
      <c r="CN127" s="637">
        <v>0.2</v>
      </c>
      <c r="CO127" s="302" t="s">
        <v>508</v>
      </c>
      <c r="CP127" s="302" t="s">
        <v>508</v>
      </c>
      <c r="CQ127" s="637">
        <v>0</v>
      </c>
    </row>
    <row r="128" spans="1:95" ht="15.75" customHeight="1" x14ac:dyDescent="0.2">
      <c r="A128" s="661" t="s">
        <v>135</v>
      </c>
      <c r="B128" s="440" t="s">
        <v>134</v>
      </c>
      <c r="C128" s="637">
        <v>0.4</v>
      </c>
      <c r="D128" s="440" t="s">
        <v>533</v>
      </c>
      <c r="E128" s="440" t="s">
        <v>534</v>
      </c>
      <c r="F128" s="637">
        <v>0.09</v>
      </c>
      <c r="G128" s="440" t="s">
        <v>531</v>
      </c>
      <c r="H128" s="440" t="s">
        <v>532</v>
      </c>
      <c r="I128" s="637">
        <v>0.01</v>
      </c>
      <c r="J128" s="662">
        <f t="shared" si="35"/>
        <v>0.5</v>
      </c>
      <c r="K128" s="637">
        <v>0.4</v>
      </c>
      <c r="L128" s="440" t="s">
        <v>533</v>
      </c>
      <c r="M128" s="440" t="s">
        <v>534</v>
      </c>
      <c r="N128" s="637">
        <v>0.09</v>
      </c>
      <c r="O128" s="440" t="s">
        <v>531</v>
      </c>
      <c r="P128" s="440" t="s">
        <v>532</v>
      </c>
      <c r="Q128" s="637">
        <v>0.01</v>
      </c>
      <c r="R128" s="662">
        <f t="shared" si="70"/>
        <v>0.5</v>
      </c>
      <c r="S128" s="637">
        <v>0.4</v>
      </c>
      <c r="T128" s="302" t="s">
        <v>533</v>
      </c>
      <c r="U128" s="302" t="s">
        <v>534</v>
      </c>
      <c r="V128" s="637">
        <v>0.09</v>
      </c>
      <c r="W128" s="302" t="s">
        <v>531</v>
      </c>
      <c r="X128" s="302" t="s">
        <v>532</v>
      </c>
      <c r="Y128" s="637">
        <v>0.01</v>
      </c>
      <c r="Z128" s="645">
        <f t="shared" si="71"/>
        <v>0.5</v>
      </c>
      <c r="AA128" s="637">
        <v>0.4</v>
      </c>
      <c r="AB128" s="302" t="s">
        <v>533</v>
      </c>
      <c r="AC128" s="302" t="s">
        <v>534</v>
      </c>
      <c r="AD128" s="637">
        <v>0.09</v>
      </c>
      <c r="AE128" s="302" t="s">
        <v>531</v>
      </c>
      <c r="AF128" s="302" t="s">
        <v>532</v>
      </c>
      <c r="AG128" s="637">
        <v>0.01</v>
      </c>
      <c r="AH128" s="645">
        <f t="shared" si="102"/>
        <v>0.5</v>
      </c>
      <c r="AI128" s="637">
        <v>0.4</v>
      </c>
      <c r="AJ128" s="302" t="s">
        <v>533</v>
      </c>
      <c r="AK128" s="302" t="s">
        <v>534</v>
      </c>
      <c r="AL128" s="637">
        <v>0.09</v>
      </c>
      <c r="AM128" s="302" t="s">
        <v>531</v>
      </c>
      <c r="AN128" s="302" t="s">
        <v>532</v>
      </c>
      <c r="AO128" s="637">
        <v>0.01</v>
      </c>
      <c r="AP128" s="645">
        <f t="shared" ref="AP128:AP129" si="115">+AI128+AL128+AO128</f>
        <v>0.5</v>
      </c>
      <c r="AQ128" s="637">
        <v>0.4</v>
      </c>
      <c r="AR128" s="302" t="s">
        <v>533</v>
      </c>
      <c r="AS128" s="302" t="s">
        <v>534</v>
      </c>
      <c r="AT128" s="637">
        <v>0.09</v>
      </c>
      <c r="AU128" s="302" t="s">
        <v>531</v>
      </c>
      <c r="AV128" s="302" t="s">
        <v>532</v>
      </c>
      <c r="AW128" s="637">
        <v>0.01</v>
      </c>
      <c r="AX128" s="645">
        <f t="shared" ref="AX128:AX129" si="116">+AQ128+AT128+AW128</f>
        <v>0.5</v>
      </c>
      <c r="AY128" s="637">
        <v>0.4</v>
      </c>
      <c r="AZ128" s="302" t="s">
        <v>533</v>
      </c>
      <c r="BA128" s="302" t="s">
        <v>534</v>
      </c>
      <c r="BB128" s="637">
        <v>0.09</v>
      </c>
      <c r="BC128" s="302" t="s">
        <v>531</v>
      </c>
      <c r="BD128" s="302" t="s">
        <v>532</v>
      </c>
      <c r="BE128" s="637">
        <v>0.01</v>
      </c>
      <c r="BF128" s="434">
        <f t="shared" ref="BF128:BF129" si="117">+AY128+BB128+BE128</f>
        <v>0.5</v>
      </c>
      <c r="BG128" s="587">
        <v>0.4</v>
      </c>
      <c r="BH128" s="302" t="s">
        <v>533</v>
      </c>
      <c r="BI128" s="302" t="s">
        <v>534</v>
      </c>
      <c r="BJ128" s="434">
        <v>0.09</v>
      </c>
      <c r="BK128" s="302" t="s">
        <v>531</v>
      </c>
      <c r="BL128" s="302" t="s">
        <v>532</v>
      </c>
      <c r="BM128" s="434">
        <v>0.01</v>
      </c>
      <c r="BN128" s="645">
        <f t="shared" ref="BN128:BN129" si="118">+BG128+BJ128+BM128</f>
        <v>0.5</v>
      </c>
      <c r="BO128" s="434"/>
      <c r="BP128" s="434">
        <v>0.4</v>
      </c>
      <c r="BQ128" s="302" t="s">
        <v>533</v>
      </c>
      <c r="BR128" s="302" t="s">
        <v>534</v>
      </c>
      <c r="BS128" s="434">
        <v>0.09</v>
      </c>
      <c r="BT128" s="302" t="s">
        <v>531</v>
      </c>
      <c r="BU128" s="302" t="s">
        <v>532</v>
      </c>
      <c r="BV128" s="434">
        <v>0.01</v>
      </c>
      <c r="BW128" s="645">
        <f t="shared" ref="BW128:BW129" si="119">+BP128+BS128+BV128</f>
        <v>0.5</v>
      </c>
      <c r="BX128" s="434">
        <v>0.4</v>
      </c>
      <c r="BY128" s="302" t="s">
        <v>533</v>
      </c>
      <c r="BZ128" s="302" t="s">
        <v>534</v>
      </c>
      <c r="CA128" s="434">
        <v>0.09</v>
      </c>
      <c r="CB128" s="302" t="s">
        <v>531</v>
      </c>
      <c r="CC128" s="302" t="s">
        <v>532</v>
      </c>
      <c r="CD128" s="434">
        <v>0.01</v>
      </c>
      <c r="CE128" s="434">
        <f t="shared" ref="CE128:CE129" si="120">+BX128+CA128+CD128</f>
        <v>0.5</v>
      </c>
      <c r="CF128" s="1620" t="s">
        <v>862</v>
      </c>
      <c r="CG128" s="1620" t="s">
        <v>1166</v>
      </c>
      <c r="CH128" s="1620" t="s">
        <v>1166</v>
      </c>
      <c r="CI128" s="406"/>
      <c r="CJ128" s="642">
        <v>0.70499999999999996</v>
      </c>
      <c r="CK128" s="591" t="s">
        <v>922</v>
      </c>
      <c r="CL128" s="302" t="s">
        <v>533</v>
      </c>
      <c r="CM128" s="302" t="s">
        <v>534</v>
      </c>
      <c r="CN128" s="637">
        <v>0.59</v>
      </c>
      <c r="CO128" s="302" t="s">
        <v>531</v>
      </c>
      <c r="CP128" s="302" t="s">
        <v>532</v>
      </c>
      <c r="CQ128" s="637">
        <v>0.01</v>
      </c>
    </row>
    <row r="129" spans="1:95" ht="15" x14ac:dyDescent="0.2">
      <c r="A129" s="661" t="s">
        <v>137</v>
      </c>
      <c r="B129" s="440" t="s">
        <v>136</v>
      </c>
      <c r="C129" s="637">
        <v>0.4</v>
      </c>
      <c r="D129" s="440" t="s">
        <v>609</v>
      </c>
      <c r="E129" s="440" t="s">
        <v>610</v>
      </c>
      <c r="F129" s="637">
        <v>0.09</v>
      </c>
      <c r="G129" s="440" t="s">
        <v>606</v>
      </c>
      <c r="H129" s="440" t="s">
        <v>607</v>
      </c>
      <c r="I129" s="637">
        <v>0.01</v>
      </c>
      <c r="J129" s="662">
        <f t="shared" si="35"/>
        <v>0.5</v>
      </c>
      <c r="K129" s="637">
        <v>0.4</v>
      </c>
      <c r="L129" s="440" t="s">
        <v>609</v>
      </c>
      <c r="M129" s="440" t="s">
        <v>610</v>
      </c>
      <c r="N129" s="637">
        <v>0.09</v>
      </c>
      <c r="O129" s="440" t="s">
        <v>606</v>
      </c>
      <c r="P129" s="440" t="s">
        <v>607</v>
      </c>
      <c r="Q129" s="637">
        <v>0.01</v>
      </c>
      <c r="R129" s="662">
        <f t="shared" si="70"/>
        <v>0.5</v>
      </c>
      <c r="S129" s="637">
        <v>0.4</v>
      </c>
      <c r="T129" s="302" t="s">
        <v>609</v>
      </c>
      <c r="U129" s="302" t="s">
        <v>610</v>
      </c>
      <c r="V129" s="637">
        <v>0.09</v>
      </c>
      <c r="W129" s="302" t="s">
        <v>606</v>
      </c>
      <c r="X129" s="302" t="s">
        <v>607</v>
      </c>
      <c r="Y129" s="637">
        <v>0.01</v>
      </c>
      <c r="Z129" s="645">
        <f t="shared" si="71"/>
        <v>0.5</v>
      </c>
      <c r="AA129" s="637">
        <v>0.4</v>
      </c>
      <c r="AB129" s="302" t="s">
        <v>609</v>
      </c>
      <c r="AC129" s="302" t="s">
        <v>610</v>
      </c>
      <c r="AD129" s="637">
        <v>0.09</v>
      </c>
      <c r="AE129" s="302" t="s">
        <v>606</v>
      </c>
      <c r="AF129" s="302" t="s">
        <v>607</v>
      </c>
      <c r="AG129" s="637">
        <v>0.01</v>
      </c>
      <c r="AH129" s="645">
        <f t="shared" si="102"/>
        <v>0.5</v>
      </c>
      <c r="AI129" s="637">
        <v>0.4</v>
      </c>
      <c r="AJ129" s="302" t="s">
        <v>609</v>
      </c>
      <c r="AK129" s="302" t="s">
        <v>610</v>
      </c>
      <c r="AL129" s="637">
        <v>0.09</v>
      </c>
      <c r="AM129" s="302" t="s">
        <v>606</v>
      </c>
      <c r="AN129" s="302" t="s">
        <v>607</v>
      </c>
      <c r="AO129" s="637">
        <v>0.01</v>
      </c>
      <c r="AP129" s="645">
        <f t="shared" si="115"/>
        <v>0.5</v>
      </c>
      <c r="AQ129" s="637">
        <v>0.4</v>
      </c>
      <c r="AR129" s="302" t="s">
        <v>609</v>
      </c>
      <c r="AS129" s="302" t="s">
        <v>610</v>
      </c>
      <c r="AT129" s="637">
        <v>0.09</v>
      </c>
      <c r="AU129" s="302" t="s">
        <v>606</v>
      </c>
      <c r="AV129" s="302" t="s">
        <v>607</v>
      </c>
      <c r="AW129" s="637">
        <v>0.01</v>
      </c>
      <c r="AX129" s="645">
        <f t="shared" si="116"/>
        <v>0.5</v>
      </c>
      <c r="AY129" s="637">
        <v>0.56000000000000005</v>
      </c>
      <c r="AZ129" s="302" t="s">
        <v>609</v>
      </c>
      <c r="BA129" s="302" t="s">
        <v>610</v>
      </c>
      <c r="BB129" s="637">
        <v>0.17499999999999999</v>
      </c>
      <c r="BC129" s="302" t="s">
        <v>606</v>
      </c>
      <c r="BD129" s="302" t="s">
        <v>607</v>
      </c>
      <c r="BE129" s="637">
        <v>1.4999999999999999E-2</v>
      </c>
      <c r="BF129" s="434">
        <f t="shared" si="117"/>
        <v>0.75000000000000011</v>
      </c>
      <c r="BG129" s="587">
        <v>0.4</v>
      </c>
      <c r="BH129" s="302" t="s">
        <v>609</v>
      </c>
      <c r="BI129" s="302" t="s">
        <v>610</v>
      </c>
      <c r="BJ129" s="434">
        <v>0.09</v>
      </c>
      <c r="BK129" s="302" t="s">
        <v>606</v>
      </c>
      <c r="BL129" s="302" t="s">
        <v>607</v>
      </c>
      <c r="BM129" s="434">
        <v>0.01</v>
      </c>
      <c r="BN129" s="645">
        <f t="shared" si="118"/>
        <v>0.5</v>
      </c>
      <c r="BO129" s="434"/>
      <c r="BP129" s="434">
        <v>0.4</v>
      </c>
      <c r="BQ129" s="302" t="s">
        <v>609</v>
      </c>
      <c r="BR129" s="302" t="s">
        <v>610</v>
      </c>
      <c r="BS129" s="434">
        <v>0.09</v>
      </c>
      <c r="BT129" s="302" t="s">
        <v>606</v>
      </c>
      <c r="BU129" s="302" t="s">
        <v>607</v>
      </c>
      <c r="BV129" s="434">
        <v>0.01</v>
      </c>
      <c r="BW129" s="645">
        <f t="shared" si="119"/>
        <v>0.5</v>
      </c>
      <c r="BX129" s="434">
        <v>0.4</v>
      </c>
      <c r="BY129" s="302" t="s">
        <v>609</v>
      </c>
      <c r="BZ129" s="302" t="s">
        <v>610</v>
      </c>
      <c r="CA129" s="434">
        <v>0.09</v>
      </c>
      <c r="CB129" s="302" t="s">
        <v>606</v>
      </c>
      <c r="CC129" s="302" t="s">
        <v>607</v>
      </c>
      <c r="CD129" s="434">
        <v>0.01</v>
      </c>
      <c r="CE129" s="434">
        <f t="shared" si="120"/>
        <v>0.5</v>
      </c>
      <c r="CF129" s="1620" t="s">
        <v>1166</v>
      </c>
      <c r="CG129" s="1620" t="s">
        <v>1166</v>
      </c>
      <c r="CH129" s="1620" t="s">
        <v>1166</v>
      </c>
      <c r="CI129" s="406"/>
      <c r="CJ129" s="642">
        <v>0.64100000000000001</v>
      </c>
      <c r="CK129" s="591" t="s">
        <v>862</v>
      </c>
      <c r="CL129" s="302" t="s">
        <v>609</v>
      </c>
      <c r="CM129" s="302" t="s">
        <v>610</v>
      </c>
      <c r="CN129" s="637">
        <v>0.59</v>
      </c>
      <c r="CO129" s="302" t="s">
        <v>606</v>
      </c>
      <c r="CP129" s="302" t="s">
        <v>607</v>
      </c>
      <c r="CQ129" s="637">
        <v>0.01</v>
      </c>
    </row>
    <row r="130" spans="1:95" ht="15.75" customHeight="1" x14ac:dyDescent="0.2">
      <c r="A130" s="661" t="s">
        <v>139</v>
      </c>
      <c r="B130" s="440" t="s">
        <v>138</v>
      </c>
      <c r="C130" s="637">
        <v>0.4</v>
      </c>
      <c r="D130" s="440" t="s">
        <v>647</v>
      </c>
      <c r="E130" s="440" t="s">
        <v>648</v>
      </c>
      <c r="F130" s="637">
        <v>0.1</v>
      </c>
      <c r="G130" s="440" t="s">
        <v>508</v>
      </c>
      <c r="H130" s="440" t="s">
        <v>546</v>
      </c>
      <c r="I130" s="637">
        <v>0</v>
      </c>
      <c r="J130" s="662">
        <f t="shared" si="35"/>
        <v>0.5</v>
      </c>
      <c r="K130" s="637">
        <v>0.4</v>
      </c>
      <c r="L130" s="440" t="s">
        <v>647</v>
      </c>
      <c r="M130" s="440" t="s">
        <v>648</v>
      </c>
      <c r="N130" s="637">
        <v>0.1</v>
      </c>
      <c r="O130" s="440" t="s">
        <v>508</v>
      </c>
      <c r="P130" s="440" t="s">
        <v>546</v>
      </c>
      <c r="Q130" s="637">
        <v>0</v>
      </c>
      <c r="R130" s="662">
        <f t="shared" si="70"/>
        <v>0.5</v>
      </c>
      <c r="S130" s="637">
        <v>0.4</v>
      </c>
      <c r="T130" s="302" t="s">
        <v>647</v>
      </c>
      <c r="U130" s="302" t="s">
        <v>648</v>
      </c>
      <c r="V130" s="637">
        <v>0.1</v>
      </c>
      <c r="W130" s="302" t="s">
        <v>508</v>
      </c>
      <c r="X130" s="302" t="s">
        <v>546</v>
      </c>
      <c r="Y130" s="637">
        <v>0</v>
      </c>
      <c r="Z130" s="645">
        <f t="shared" si="71"/>
        <v>0.5</v>
      </c>
      <c r="AA130" s="637">
        <v>0.4</v>
      </c>
      <c r="AB130" s="302" t="s">
        <v>647</v>
      </c>
      <c r="AC130" s="302" t="s">
        <v>648</v>
      </c>
      <c r="AD130" s="637">
        <v>0.1</v>
      </c>
      <c r="AE130" s="302" t="s">
        <v>508</v>
      </c>
      <c r="AF130" s="302" t="s">
        <v>546</v>
      </c>
      <c r="AG130" s="637">
        <v>0</v>
      </c>
      <c r="AH130" s="645">
        <f t="shared" si="102"/>
        <v>0.5</v>
      </c>
      <c r="AI130" s="637">
        <v>0.4</v>
      </c>
      <c r="AJ130" s="302" t="s">
        <v>647</v>
      </c>
      <c r="AK130" s="302" t="s">
        <v>648</v>
      </c>
      <c r="AL130" s="637">
        <v>0.1</v>
      </c>
      <c r="AM130" s="302" t="s">
        <v>508</v>
      </c>
      <c r="AN130" s="302" t="s">
        <v>546</v>
      </c>
      <c r="AO130" s="637">
        <v>0</v>
      </c>
      <c r="AP130" s="645">
        <f t="shared" ref="AP130:AP131" si="121">+AI130+AL130+AO130</f>
        <v>0.5</v>
      </c>
      <c r="AQ130" s="637">
        <v>0.4</v>
      </c>
      <c r="AR130" s="302" t="s">
        <v>647</v>
      </c>
      <c r="AS130" s="302" t="s">
        <v>648</v>
      </c>
      <c r="AT130" s="637">
        <v>0.1</v>
      </c>
      <c r="AU130" s="302" t="s">
        <v>508</v>
      </c>
      <c r="AV130" s="302" t="s">
        <v>546</v>
      </c>
      <c r="AW130" s="637">
        <v>0</v>
      </c>
      <c r="AX130" s="645">
        <f t="shared" ref="AX130:AX131" si="122">+AQ130+AT130+AW130</f>
        <v>0.5</v>
      </c>
      <c r="AY130" s="637">
        <v>0.4</v>
      </c>
      <c r="AZ130" s="302" t="s">
        <v>647</v>
      </c>
      <c r="BA130" s="302" t="s">
        <v>648</v>
      </c>
      <c r="BB130" s="637">
        <v>0.1</v>
      </c>
      <c r="BC130" s="302" t="s">
        <v>508</v>
      </c>
      <c r="BD130" s="302" t="s">
        <v>546</v>
      </c>
      <c r="BE130" s="637">
        <v>0</v>
      </c>
      <c r="BF130" s="434">
        <f t="shared" ref="BF130:BF131" si="123">+AY130+BB130+BE130</f>
        <v>0.5</v>
      </c>
      <c r="BG130" s="587">
        <v>0.8</v>
      </c>
      <c r="BH130" s="302" t="s">
        <v>647</v>
      </c>
      <c r="BI130" s="302" t="s">
        <v>648</v>
      </c>
      <c r="BJ130" s="434">
        <v>0.2</v>
      </c>
      <c r="BK130" s="302" t="s">
        <v>508</v>
      </c>
      <c r="BL130" s="302" t="s">
        <v>546</v>
      </c>
      <c r="BM130" s="434">
        <v>0</v>
      </c>
      <c r="BN130" s="645">
        <f t="shared" ref="BN130:BN131" si="124">+BG130+BJ130+BM130</f>
        <v>1</v>
      </c>
      <c r="BO130" s="434"/>
      <c r="BP130" s="434">
        <v>0.4</v>
      </c>
      <c r="BQ130" s="302" t="s">
        <v>647</v>
      </c>
      <c r="BR130" s="302" t="s">
        <v>648</v>
      </c>
      <c r="BS130" s="434">
        <v>0.1</v>
      </c>
      <c r="BT130" s="302" t="s">
        <v>508</v>
      </c>
      <c r="BU130" s="302" t="s">
        <v>546</v>
      </c>
      <c r="BV130" s="434">
        <v>0</v>
      </c>
      <c r="BW130" s="645">
        <f t="shared" ref="BW130:BW131" si="125">+BP130+BS130+BV130</f>
        <v>0.5</v>
      </c>
      <c r="BX130" s="434">
        <v>0.4</v>
      </c>
      <c r="BY130" s="302" t="s">
        <v>647</v>
      </c>
      <c r="BZ130" s="302" t="s">
        <v>648</v>
      </c>
      <c r="CA130" s="434">
        <v>0.1</v>
      </c>
      <c r="CB130" s="302" t="s">
        <v>508</v>
      </c>
      <c r="CC130" s="302" t="s">
        <v>546</v>
      </c>
      <c r="CD130" s="434">
        <v>0</v>
      </c>
      <c r="CE130" s="434">
        <f t="shared" ref="CE130:CE131" si="126">+BX130+CA130+CD130</f>
        <v>0.5</v>
      </c>
      <c r="CF130" s="1620" t="s">
        <v>862</v>
      </c>
      <c r="CG130" s="1620" t="s">
        <v>1166</v>
      </c>
      <c r="CH130" s="1620" t="s">
        <v>1166</v>
      </c>
      <c r="CI130" s="406"/>
      <c r="CJ130" s="642">
        <v>0.69199999999999995</v>
      </c>
      <c r="CK130" s="591" t="s">
        <v>922</v>
      </c>
      <c r="CL130" s="302" t="s">
        <v>647</v>
      </c>
      <c r="CM130" s="302" t="s">
        <v>648</v>
      </c>
      <c r="CN130" s="637">
        <v>0.6</v>
      </c>
      <c r="CO130" s="302" t="s">
        <v>508</v>
      </c>
      <c r="CP130" s="302" t="s">
        <v>546</v>
      </c>
      <c r="CQ130" s="637">
        <v>0</v>
      </c>
    </row>
    <row r="131" spans="1:95" ht="15.75" customHeight="1" x14ac:dyDescent="0.2">
      <c r="A131" s="661" t="s">
        <v>141</v>
      </c>
      <c r="B131" s="776" t="s">
        <v>598</v>
      </c>
      <c r="C131" s="637">
        <v>0.49</v>
      </c>
      <c r="D131" s="440" t="s">
        <v>508</v>
      </c>
      <c r="E131" s="440" t="s">
        <v>509</v>
      </c>
      <c r="F131" s="637">
        <v>0</v>
      </c>
      <c r="G131" s="440" t="s">
        <v>2218</v>
      </c>
      <c r="H131" s="440" t="s">
        <v>2219</v>
      </c>
      <c r="I131" s="637">
        <v>0.01</v>
      </c>
      <c r="J131" s="662">
        <f t="shared" si="35"/>
        <v>0.5</v>
      </c>
      <c r="K131" s="637">
        <v>0.49</v>
      </c>
      <c r="L131" s="440" t="s">
        <v>508</v>
      </c>
      <c r="M131" s="440" t="s">
        <v>509</v>
      </c>
      <c r="N131" s="637">
        <v>0</v>
      </c>
      <c r="O131" s="440" t="s">
        <v>2218</v>
      </c>
      <c r="P131" s="440" t="s">
        <v>2219</v>
      </c>
      <c r="Q131" s="637">
        <v>0.01</v>
      </c>
      <c r="R131" s="662">
        <f t="shared" si="70"/>
        <v>0.5</v>
      </c>
      <c r="S131" s="637">
        <v>0.49</v>
      </c>
      <c r="T131" s="302" t="s">
        <v>508</v>
      </c>
      <c r="U131" s="302" t="s">
        <v>509</v>
      </c>
      <c r="V131" s="637">
        <v>0</v>
      </c>
      <c r="W131" s="302" t="s">
        <v>2218</v>
      </c>
      <c r="X131" s="302" t="s">
        <v>2219</v>
      </c>
      <c r="Y131" s="637">
        <v>0.01</v>
      </c>
      <c r="Z131" s="645">
        <f t="shared" si="71"/>
        <v>0.5</v>
      </c>
      <c r="AA131" s="637">
        <v>0.49</v>
      </c>
      <c r="AB131" s="302" t="s">
        <v>508</v>
      </c>
      <c r="AC131" s="302" t="s">
        <v>509</v>
      </c>
      <c r="AD131" s="637">
        <v>0</v>
      </c>
      <c r="AE131" s="302" t="s">
        <v>2218</v>
      </c>
      <c r="AF131" s="302" t="s">
        <v>2219</v>
      </c>
      <c r="AG131" s="637">
        <v>0.01</v>
      </c>
      <c r="AH131" s="645">
        <f t="shared" si="102"/>
        <v>0.5</v>
      </c>
      <c r="AI131" s="637">
        <v>0.49</v>
      </c>
      <c r="AJ131" s="302" t="s">
        <v>508</v>
      </c>
      <c r="AK131" s="302" t="s">
        <v>509</v>
      </c>
      <c r="AL131" s="637">
        <v>0</v>
      </c>
      <c r="AM131" s="302" t="s">
        <v>2218</v>
      </c>
      <c r="AN131" s="302" t="s">
        <v>2219</v>
      </c>
      <c r="AO131" s="637">
        <v>0.01</v>
      </c>
      <c r="AP131" s="645">
        <f t="shared" si="121"/>
        <v>0.5</v>
      </c>
      <c r="AQ131" s="637">
        <v>0.5</v>
      </c>
      <c r="AR131" s="302" t="s">
        <v>508</v>
      </c>
      <c r="AS131" s="302" t="s">
        <v>509</v>
      </c>
      <c r="AT131" s="637">
        <v>0</v>
      </c>
      <c r="AU131" s="302" t="s">
        <v>508</v>
      </c>
      <c r="AV131" s="302" t="s">
        <v>546</v>
      </c>
      <c r="AW131" s="637">
        <v>0</v>
      </c>
      <c r="AX131" s="645">
        <f t="shared" si="122"/>
        <v>0.5</v>
      </c>
      <c r="AY131" s="637">
        <v>0.75</v>
      </c>
      <c r="AZ131" s="302" t="s">
        <v>508</v>
      </c>
      <c r="BA131" s="302" t="s">
        <v>509</v>
      </c>
      <c r="BB131" s="637">
        <v>0</v>
      </c>
      <c r="BC131" s="302" t="s">
        <v>508</v>
      </c>
      <c r="BD131" s="302" t="s">
        <v>546</v>
      </c>
      <c r="BE131" s="637">
        <v>0</v>
      </c>
      <c r="BF131" s="434">
        <f t="shared" si="123"/>
        <v>0.75</v>
      </c>
      <c r="BG131" s="587">
        <v>1</v>
      </c>
      <c r="BH131" s="302" t="s">
        <v>508</v>
      </c>
      <c r="BI131" s="302" t="s">
        <v>509</v>
      </c>
      <c r="BJ131" s="434">
        <v>0</v>
      </c>
      <c r="BK131" s="302" t="s">
        <v>508</v>
      </c>
      <c r="BL131" s="302" t="s">
        <v>546</v>
      </c>
      <c r="BM131" s="434">
        <v>0</v>
      </c>
      <c r="BN131" s="645">
        <f t="shared" si="124"/>
        <v>1</v>
      </c>
      <c r="BO131" s="434"/>
      <c r="BP131" s="434">
        <v>0.5</v>
      </c>
      <c r="BQ131" s="302" t="s">
        <v>508</v>
      </c>
      <c r="BR131" s="302" t="s">
        <v>509</v>
      </c>
      <c r="BS131" s="434">
        <v>0</v>
      </c>
      <c r="BT131" s="302" t="s">
        <v>508</v>
      </c>
      <c r="BU131" s="302" t="s">
        <v>546</v>
      </c>
      <c r="BV131" s="434">
        <v>0</v>
      </c>
      <c r="BW131" s="645">
        <f t="shared" si="125"/>
        <v>0.5</v>
      </c>
      <c r="BX131" s="434">
        <v>0.5</v>
      </c>
      <c r="BY131" s="302" t="s">
        <v>508</v>
      </c>
      <c r="BZ131" s="302" t="s">
        <v>509</v>
      </c>
      <c r="CA131" s="434">
        <v>0</v>
      </c>
      <c r="CB131" s="302" t="s">
        <v>508</v>
      </c>
      <c r="CC131" s="302" t="s">
        <v>546</v>
      </c>
      <c r="CD131" s="434">
        <v>0</v>
      </c>
      <c r="CE131" s="434">
        <f t="shared" si="126"/>
        <v>0.5</v>
      </c>
      <c r="CF131" s="1620" t="s">
        <v>1166</v>
      </c>
      <c r="CG131" s="1620" t="s">
        <v>1166</v>
      </c>
      <c r="CH131" s="1620" t="s">
        <v>1166</v>
      </c>
      <c r="CI131" s="408" t="s">
        <v>862</v>
      </c>
      <c r="CJ131" s="642">
        <v>0.65900000000000003</v>
      </c>
      <c r="CK131" s="591" t="s">
        <v>922</v>
      </c>
      <c r="CL131" s="302" t="s">
        <v>508</v>
      </c>
      <c r="CM131" s="302" t="s">
        <v>509</v>
      </c>
      <c r="CN131" s="637">
        <v>0</v>
      </c>
      <c r="CO131" s="302" t="s">
        <v>508</v>
      </c>
      <c r="CP131" s="302" t="s">
        <v>546</v>
      </c>
      <c r="CQ131" s="637">
        <v>0</v>
      </c>
    </row>
    <row r="132" spans="1:95" ht="15.75" customHeight="1" x14ac:dyDescent="0.2">
      <c r="A132" s="661" t="s">
        <v>143</v>
      </c>
      <c r="B132" s="440" t="s">
        <v>142</v>
      </c>
      <c r="C132" s="637">
        <v>0.5</v>
      </c>
      <c r="D132" s="440" t="s">
        <v>508</v>
      </c>
      <c r="E132" s="440" t="s">
        <v>509</v>
      </c>
      <c r="F132" s="637">
        <v>0</v>
      </c>
      <c r="G132" s="440" t="s">
        <v>508</v>
      </c>
      <c r="H132" s="440" t="s">
        <v>546</v>
      </c>
      <c r="I132" s="637">
        <v>0</v>
      </c>
      <c r="J132" s="662">
        <f t="shared" si="35"/>
        <v>0.5</v>
      </c>
      <c r="K132" s="637">
        <v>0.5</v>
      </c>
      <c r="L132" s="440" t="s">
        <v>508</v>
      </c>
      <c r="M132" s="440" t="s">
        <v>509</v>
      </c>
      <c r="N132" s="637">
        <v>0</v>
      </c>
      <c r="O132" s="440" t="s">
        <v>508</v>
      </c>
      <c r="P132" s="440" t="s">
        <v>546</v>
      </c>
      <c r="Q132" s="637">
        <v>0</v>
      </c>
      <c r="R132" s="662">
        <f t="shared" si="70"/>
        <v>0.5</v>
      </c>
      <c r="S132" s="637">
        <v>0.5</v>
      </c>
      <c r="T132" s="302" t="s">
        <v>508</v>
      </c>
      <c r="U132" s="302" t="s">
        <v>509</v>
      </c>
      <c r="V132" s="637">
        <v>0</v>
      </c>
      <c r="W132" s="302" t="s">
        <v>508</v>
      </c>
      <c r="X132" s="302" t="s">
        <v>546</v>
      </c>
      <c r="Y132" s="637">
        <v>0</v>
      </c>
      <c r="Z132" s="645">
        <f t="shared" si="71"/>
        <v>0.5</v>
      </c>
      <c r="AA132" s="637">
        <v>0.5</v>
      </c>
      <c r="AB132" s="302" t="s">
        <v>508</v>
      </c>
      <c r="AC132" s="302" t="s">
        <v>509</v>
      </c>
      <c r="AD132" s="637">
        <v>0</v>
      </c>
      <c r="AE132" s="302" t="s">
        <v>508</v>
      </c>
      <c r="AF132" s="302" t="s">
        <v>546</v>
      </c>
      <c r="AG132" s="637">
        <v>0</v>
      </c>
      <c r="AH132" s="645">
        <f t="shared" si="102"/>
        <v>0.5</v>
      </c>
      <c r="AI132" s="637">
        <v>0.5</v>
      </c>
      <c r="AJ132" s="302" t="s">
        <v>508</v>
      </c>
      <c r="AK132" s="302" t="s">
        <v>509</v>
      </c>
      <c r="AL132" s="637">
        <v>0</v>
      </c>
      <c r="AM132" s="302" t="s">
        <v>508</v>
      </c>
      <c r="AN132" s="302" t="s">
        <v>546</v>
      </c>
      <c r="AO132" s="637">
        <v>0</v>
      </c>
      <c r="AP132" s="645">
        <f t="shared" ref="AP132:AP133" si="127">+AI132+AL132+AO132</f>
        <v>0.5</v>
      </c>
      <c r="AQ132" s="637">
        <v>0.5</v>
      </c>
      <c r="AR132" s="302" t="s">
        <v>508</v>
      </c>
      <c r="AS132" s="302" t="s">
        <v>509</v>
      </c>
      <c r="AT132" s="637">
        <v>0</v>
      </c>
      <c r="AU132" s="302" t="s">
        <v>508</v>
      </c>
      <c r="AV132" s="302" t="s">
        <v>546</v>
      </c>
      <c r="AW132" s="637">
        <v>0</v>
      </c>
      <c r="AX132" s="645">
        <f t="shared" ref="AX132:AX133" si="128">+AQ132+AT132+AW132</f>
        <v>0.5</v>
      </c>
      <c r="AY132" s="637">
        <v>0.5</v>
      </c>
      <c r="AZ132" s="302" t="s">
        <v>508</v>
      </c>
      <c r="BA132" s="302" t="s">
        <v>509</v>
      </c>
      <c r="BB132" s="637">
        <v>0</v>
      </c>
      <c r="BC132" s="302" t="s">
        <v>508</v>
      </c>
      <c r="BD132" s="302" t="s">
        <v>546</v>
      </c>
      <c r="BE132" s="637">
        <v>0</v>
      </c>
      <c r="BF132" s="434">
        <f t="shared" ref="BF132:BF133" si="129">+AY132+BB132+BE132</f>
        <v>0.5</v>
      </c>
      <c r="BG132" s="587">
        <v>0.5</v>
      </c>
      <c r="BH132" s="302" t="s">
        <v>508</v>
      </c>
      <c r="BI132" s="302" t="s">
        <v>509</v>
      </c>
      <c r="BJ132" s="434">
        <v>0</v>
      </c>
      <c r="BK132" s="302" t="s">
        <v>508</v>
      </c>
      <c r="BL132" s="302" t="s">
        <v>546</v>
      </c>
      <c r="BM132" s="434">
        <v>0</v>
      </c>
      <c r="BN132" s="645">
        <f t="shared" ref="BN132:BN133" si="130">+BG132+BJ132+BM132</f>
        <v>0.5</v>
      </c>
      <c r="BO132" s="434"/>
      <c r="BP132" s="434">
        <v>0.5</v>
      </c>
      <c r="BQ132" s="302" t="s">
        <v>508</v>
      </c>
      <c r="BR132" s="302" t="s">
        <v>509</v>
      </c>
      <c r="BS132" s="434">
        <v>0</v>
      </c>
      <c r="BT132" s="302" t="s">
        <v>508</v>
      </c>
      <c r="BU132" s="302" t="s">
        <v>546</v>
      </c>
      <c r="BV132" s="434">
        <v>0</v>
      </c>
      <c r="BW132" s="645">
        <f t="shared" ref="BW132:BW133" si="131">+BP132+BS132+BV132</f>
        <v>0.5</v>
      </c>
      <c r="BX132" s="434">
        <v>0.5</v>
      </c>
      <c r="BY132" s="302" t="s">
        <v>508</v>
      </c>
      <c r="BZ132" s="302" t="s">
        <v>509</v>
      </c>
      <c r="CA132" s="434">
        <v>0</v>
      </c>
      <c r="CB132" s="302" t="s">
        <v>508</v>
      </c>
      <c r="CC132" s="302" t="s">
        <v>546</v>
      </c>
      <c r="CD132" s="434">
        <v>0</v>
      </c>
      <c r="CE132" s="434">
        <f t="shared" ref="CE132:CE133" si="132">+BX132+CA132+CD132</f>
        <v>0.5</v>
      </c>
      <c r="CF132" s="1620" t="s">
        <v>1166</v>
      </c>
      <c r="CG132" s="1620" t="s">
        <v>1166</v>
      </c>
      <c r="CH132" s="1620" t="s">
        <v>1166</v>
      </c>
      <c r="CI132" s="408" t="s">
        <v>862</v>
      </c>
      <c r="CJ132" s="642">
        <v>0.64400000000000002</v>
      </c>
      <c r="CK132" s="591" t="s">
        <v>922</v>
      </c>
      <c r="CL132" s="302" t="s">
        <v>508</v>
      </c>
      <c r="CM132" s="302" t="s">
        <v>509</v>
      </c>
      <c r="CN132" s="637">
        <v>0</v>
      </c>
      <c r="CO132" s="302" t="s">
        <v>508</v>
      </c>
      <c r="CP132" s="302" t="s">
        <v>546</v>
      </c>
      <c r="CQ132" s="637">
        <v>0</v>
      </c>
    </row>
    <row r="133" spans="1:95" ht="15.75" customHeight="1" x14ac:dyDescent="0.2">
      <c r="A133" s="661" t="s">
        <v>145</v>
      </c>
      <c r="B133" s="440" t="s">
        <v>144</v>
      </c>
      <c r="C133" s="637">
        <v>0.3</v>
      </c>
      <c r="D133" s="440" t="s">
        <v>674</v>
      </c>
      <c r="E133" s="440" t="s">
        <v>675</v>
      </c>
      <c r="F133" s="637">
        <v>0.37</v>
      </c>
      <c r="G133" s="440" t="s">
        <v>508</v>
      </c>
      <c r="H133" s="440" t="s">
        <v>508</v>
      </c>
      <c r="I133" s="637">
        <v>0</v>
      </c>
      <c r="J133" s="662">
        <f t="shared" si="35"/>
        <v>0.66999999999999993</v>
      </c>
      <c r="K133" s="637">
        <v>0.3</v>
      </c>
      <c r="L133" s="440" t="s">
        <v>674</v>
      </c>
      <c r="M133" s="440" t="s">
        <v>675</v>
      </c>
      <c r="N133" s="637">
        <v>0.37</v>
      </c>
      <c r="O133" s="440" t="s">
        <v>508</v>
      </c>
      <c r="P133" s="440" t="s">
        <v>508</v>
      </c>
      <c r="Q133" s="637">
        <v>0</v>
      </c>
      <c r="R133" s="662">
        <f t="shared" si="70"/>
        <v>0.66999999999999993</v>
      </c>
      <c r="S133" s="637">
        <v>0.3</v>
      </c>
      <c r="T133" s="302" t="s">
        <v>674</v>
      </c>
      <c r="U133" s="302" t="s">
        <v>675</v>
      </c>
      <c r="V133" s="637">
        <v>0.37</v>
      </c>
      <c r="W133" s="302" t="s">
        <v>508</v>
      </c>
      <c r="X133" s="302" t="s">
        <v>508</v>
      </c>
      <c r="Y133" s="637">
        <v>0</v>
      </c>
      <c r="Z133" s="645">
        <f t="shared" si="71"/>
        <v>0.66999999999999993</v>
      </c>
      <c r="AA133" s="637">
        <v>0.3</v>
      </c>
      <c r="AB133" s="302" t="s">
        <v>674</v>
      </c>
      <c r="AC133" s="302" t="s">
        <v>675</v>
      </c>
      <c r="AD133" s="637">
        <v>0.37</v>
      </c>
      <c r="AE133" s="302" t="s">
        <v>508</v>
      </c>
      <c r="AF133" s="302" t="s">
        <v>508</v>
      </c>
      <c r="AG133" s="637">
        <v>0</v>
      </c>
      <c r="AH133" s="645">
        <f t="shared" si="102"/>
        <v>0.66999999999999993</v>
      </c>
      <c r="AI133" s="637">
        <v>0.3</v>
      </c>
      <c r="AJ133" s="302" t="s">
        <v>674</v>
      </c>
      <c r="AK133" s="302" t="s">
        <v>675</v>
      </c>
      <c r="AL133" s="637">
        <v>0.37</v>
      </c>
      <c r="AM133" s="302" t="s">
        <v>508</v>
      </c>
      <c r="AN133" s="302" t="s">
        <v>508</v>
      </c>
      <c r="AO133" s="637">
        <v>0</v>
      </c>
      <c r="AP133" s="645">
        <f t="shared" si="127"/>
        <v>0.66999999999999993</v>
      </c>
      <c r="AQ133" s="637">
        <v>0.3</v>
      </c>
      <c r="AR133" s="302" t="s">
        <v>674</v>
      </c>
      <c r="AS133" s="302" t="s">
        <v>675</v>
      </c>
      <c r="AT133" s="637">
        <v>0.37</v>
      </c>
      <c r="AU133" s="302" t="s">
        <v>508</v>
      </c>
      <c r="AV133" s="302" t="s">
        <v>508</v>
      </c>
      <c r="AW133" s="637">
        <v>0</v>
      </c>
      <c r="AX133" s="645">
        <f t="shared" si="128"/>
        <v>0.66999999999999993</v>
      </c>
      <c r="AY133" s="637">
        <v>0.48</v>
      </c>
      <c r="AZ133" s="302" t="s">
        <v>674</v>
      </c>
      <c r="BA133" s="302" t="s">
        <v>675</v>
      </c>
      <c r="BB133" s="637">
        <v>0.27</v>
      </c>
      <c r="BC133" s="302" t="s">
        <v>508</v>
      </c>
      <c r="BD133" s="302" t="s">
        <v>508</v>
      </c>
      <c r="BE133" s="637">
        <v>0</v>
      </c>
      <c r="BF133" s="434">
        <f t="shared" si="129"/>
        <v>0.75</v>
      </c>
      <c r="BG133" s="587">
        <v>0.64</v>
      </c>
      <c r="BH133" s="302" t="s">
        <v>674</v>
      </c>
      <c r="BI133" s="302" t="s">
        <v>675</v>
      </c>
      <c r="BJ133" s="434">
        <v>0.36</v>
      </c>
      <c r="BK133" s="302" t="s">
        <v>508</v>
      </c>
      <c r="BL133" s="302" t="s">
        <v>508</v>
      </c>
      <c r="BM133" s="434">
        <v>0</v>
      </c>
      <c r="BN133" s="645">
        <f t="shared" si="130"/>
        <v>1</v>
      </c>
      <c r="BO133" s="434"/>
      <c r="BP133" s="434">
        <v>0.3</v>
      </c>
      <c r="BQ133" s="302" t="s">
        <v>674</v>
      </c>
      <c r="BR133" s="302" t="s">
        <v>675</v>
      </c>
      <c r="BS133" s="434">
        <v>0.37</v>
      </c>
      <c r="BT133" s="302" t="s">
        <v>508</v>
      </c>
      <c r="BU133" s="302" t="s">
        <v>508</v>
      </c>
      <c r="BV133" s="434">
        <v>0</v>
      </c>
      <c r="BW133" s="645">
        <f t="shared" si="131"/>
        <v>0.66999999999999993</v>
      </c>
      <c r="BX133" s="434">
        <v>0.3</v>
      </c>
      <c r="BY133" s="302" t="s">
        <v>674</v>
      </c>
      <c r="BZ133" s="302" t="s">
        <v>675</v>
      </c>
      <c r="CA133" s="434">
        <v>0.2</v>
      </c>
      <c r="CB133" s="302" t="s">
        <v>508</v>
      </c>
      <c r="CC133" s="302" t="s">
        <v>508</v>
      </c>
      <c r="CD133" s="434">
        <v>0</v>
      </c>
      <c r="CE133" s="434">
        <f t="shared" si="132"/>
        <v>0.5</v>
      </c>
      <c r="CF133" s="1620" t="s">
        <v>1166</v>
      </c>
      <c r="CG133" s="1620" t="s">
        <v>1166</v>
      </c>
      <c r="CH133" s="1620" t="s">
        <v>1166</v>
      </c>
      <c r="CI133" s="408" t="s">
        <v>862</v>
      </c>
      <c r="CJ133" s="642">
        <v>0.77400000000000002</v>
      </c>
      <c r="CK133" s="591" t="s">
        <v>922</v>
      </c>
      <c r="CL133" s="302" t="s">
        <v>674</v>
      </c>
      <c r="CM133" s="302" t="s">
        <v>675</v>
      </c>
      <c r="CN133" s="637">
        <v>0.2</v>
      </c>
      <c r="CO133" s="302" t="s">
        <v>508</v>
      </c>
      <c r="CP133" s="302" t="s">
        <v>508</v>
      </c>
      <c r="CQ133" s="637">
        <v>0</v>
      </c>
    </row>
    <row r="134" spans="1:95" ht="15.75" customHeight="1" x14ac:dyDescent="0.2">
      <c r="A134" s="661" t="s">
        <v>147</v>
      </c>
      <c r="B134" s="440" t="s">
        <v>677</v>
      </c>
      <c r="C134" s="637">
        <v>0.3</v>
      </c>
      <c r="D134" s="440" t="s">
        <v>674</v>
      </c>
      <c r="E134" s="440" t="s">
        <v>675</v>
      </c>
      <c r="F134" s="637">
        <v>0.37</v>
      </c>
      <c r="G134" s="440" t="s">
        <v>508</v>
      </c>
      <c r="H134" s="440" t="s">
        <v>508</v>
      </c>
      <c r="I134" s="637">
        <v>0</v>
      </c>
      <c r="J134" s="662">
        <f t="shared" si="35"/>
        <v>0.66999999999999993</v>
      </c>
      <c r="K134" s="637">
        <v>0.3</v>
      </c>
      <c r="L134" s="440" t="s">
        <v>674</v>
      </c>
      <c r="M134" s="440" t="s">
        <v>675</v>
      </c>
      <c r="N134" s="637">
        <v>0.37</v>
      </c>
      <c r="O134" s="440" t="s">
        <v>508</v>
      </c>
      <c r="P134" s="440" t="s">
        <v>508</v>
      </c>
      <c r="Q134" s="637">
        <v>0</v>
      </c>
      <c r="R134" s="662">
        <f t="shared" si="70"/>
        <v>0.66999999999999993</v>
      </c>
      <c r="S134" s="637">
        <v>0.3</v>
      </c>
      <c r="T134" s="302" t="s">
        <v>674</v>
      </c>
      <c r="U134" s="302" t="s">
        <v>675</v>
      </c>
      <c r="V134" s="637">
        <v>0.37</v>
      </c>
      <c r="W134" s="302" t="s">
        <v>508</v>
      </c>
      <c r="X134" s="302" t="s">
        <v>508</v>
      </c>
      <c r="Y134" s="637">
        <v>0</v>
      </c>
      <c r="Z134" s="645">
        <f t="shared" si="71"/>
        <v>0.66999999999999993</v>
      </c>
      <c r="AA134" s="637">
        <v>0.3</v>
      </c>
      <c r="AB134" s="302" t="s">
        <v>674</v>
      </c>
      <c r="AC134" s="302" t="s">
        <v>675</v>
      </c>
      <c r="AD134" s="637">
        <v>0.37</v>
      </c>
      <c r="AE134" s="302" t="s">
        <v>508</v>
      </c>
      <c r="AF134" s="302" t="s">
        <v>508</v>
      </c>
      <c r="AG134" s="637">
        <v>0</v>
      </c>
      <c r="AH134" s="645">
        <f t="shared" si="102"/>
        <v>0.66999999999999993</v>
      </c>
      <c r="AI134" s="637">
        <v>0.3</v>
      </c>
      <c r="AJ134" s="302" t="s">
        <v>674</v>
      </c>
      <c r="AK134" s="302" t="s">
        <v>675</v>
      </c>
      <c r="AL134" s="637">
        <v>0.37</v>
      </c>
      <c r="AM134" s="302" t="s">
        <v>508</v>
      </c>
      <c r="AN134" s="302" t="s">
        <v>508</v>
      </c>
      <c r="AO134" s="637">
        <v>0</v>
      </c>
      <c r="AP134" s="645">
        <f t="shared" ref="AP134:AP135" si="133">+AI134+AL134+AO134</f>
        <v>0.66999999999999993</v>
      </c>
      <c r="AQ134" s="637">
        <v>0.3</v>
      </c>
      <c r="AR134" s="302" t="s">
        <v>674</v>
      </c>
      <c r="AS134" s="302" t="s">
        <v>675</v>
      </c>
      <c r="AT134" s="637">
        <v>0.37</v>
      </c>
      <c r="AU134" s="302" t="s">
        <v>508</v>
      </c>
      <c r="AV134" s="302" t="s">
        <v>508</v>
      </c>
      <c r="AW134" s="637">
        <v>0</v>
      </c>
      <c r="AX134" s="645">
        <f t="shared" ref="AX134:AX135" si="134">+AQ134+AT134+AW134</f>
        <v>0.66999999999999993</v>
      </c>
      <c r="AY134" s="637">
        <v>0.48</v>
      </c>
      <c r="AZ134" s="302" t="s">
        <v>674</v>
      </c>
      <c r="BA134" s="302" t="s">
        <v>675</v>
      </c>
      <c r="BB134" s="637">
        <v>0.27</v>
      </c>
      <c r="BC134" s="302" t="s">
        <v>508</v>
      </c>
      <c r="BD134" s="302" t="s">
        <v>508</v>
      </c>
      <c r="BE134" s="637">
        <v>0</v>
      </c>
      <c r="BF134" s="434">
        <f t="shared" ref="BF134:BF135" si="135">+AY134+BB134+BE134</f>
        <v>0.75</v>
      </c>
      <c r="BG134" s="587">
        <v>0.64</v>
      </c>
      <c r="BH134" s="302" t="s">
        <v>674</v>
      </c>
      <c r="BI134" s="302" t="s">
        <v>675</v>
      </c>
      <c r="BJ134" s="434">
        <v>0.36</v>
      </c>
      <c r="BK134" s="302" t="s">
        <v>508</v>
      </c>
      <c r="BL134" s="302" t="s">
        <v>508</v>
      </c>
      <c r="BM134" s="434">
        <v>0</v>
      </c>
      <c r="BN134" s="645">
        <f t="shared" ref="BN134:BN135" si="136">+BG134+BJ134+BM134</f>
        <v>1</v>
      </c>
      <c r="BO134" s="434"/>
      <c r="BP134" s="434">
        <v>0.3</v>
      </c>
      <c r="BQ134" s="302" t="s">
        <v>674</v>
      </c>
      <c r="BR134" s="302" t="s">
        <v>675</v>
      </c>
      <c r="BS134" s="434">
        <v>0.37</v>
      </c>
      <c r="BT134" s="302" t="s">
        <v>508</v>
      </c>
      <c r="BU134" s="302" t="s">
        <v>508</v>
      </c>
      <c r="BV134" s="434">
        <v>0</v>
      </c>
      <c r="BW134" s="645">
        <f t="shared" ref="BW134:BW135" si="137">+BP134+BS134+BV134</f>
        <v>0.66999999999999993</v>
      </c>
      <c r="BX134" s="434">
        <v>0.3</v>
      </c>
      <c r="BY134" s="302" t="s">
        <v>674</v>
      </c>
      <c r="BZ134" s="302" t="s">
        <v>675</v>
      </c>
      <c r="CA134" s="434">
        <v>0.2</v>
      </c>
      <c r="CB134" s="302" t="s">
        <v>508</v>
      </c>
      <c r="CC134" s="302" t="s">
        <v>508</v>
      </c>
      <c r="CD134" s="434">
        <v>0</v>
      </c>
      <c r="CE134" s="434">
        <f t="shared" ref="CE134:CE135" si="138">+BX134+CA134+CD134</f>
        <v>0.5</v>
      </c>
      <c r="CF134" s="1620" t="s">
        <v>1166</v>
      </c>
      <c r="CG134" s="1620" t="s">
        <v>1166</v>
      </c>
      <c r="CH134" s="1620" t="s">
        <v>1166</v>
      </c>
      <c r="CI134" s="408" t="s">
        <v>862</v>
      </c>
      <c r="CJ134" s="642">
        <v>0.80600000000000005</v>
      </c>
      <c r="CK134" s="591" t="s">
        <v>922</v>
      </c>
      <c r="CL134" s="302" t="s">
        <v>674</v>
      </c>
      <c r="CM134" s="302" t="s">
        <v>675</v>
      </c>
      <c r="CN134" s="637">
        <v>0.2</v>
      </c>
      <c r="CO134" s="302" t="s">
        <v>508</v>
      </c>
      <c r="CP134" s="302" t="s">
        <v>508</v>
      </c>
      <c r="CQ134" s="637">
        <v>0</v>
      </c>
    </row>
    <row r="135" spans="1:95" x14ac:dyDescent="0.2">
      <c r="A135" s="661" t="s">
        <v>149</v>
      </c>
      <c r="B135" s="440" t="s">
        <v>623</v>
      </c>
      <c r="C135" s="637">
        <v>0.4</v>
      </c>
      <c r="D135" s="440" t="s">
        <v>621</v>
      </c>
      <c r="E135" s="440" t="s">
        <v>622</v>
      </c>
      <c r="F135" s="637">
        <v>0.1</v>
      </c>
      <c r="G135" s="440" t="s">
        <v>508</v>
      </c>
      <c r="H135" s="440" t="s">
        <v>546</v>
      </c>
      <c r="I135" s="637">
        <v>0</v>
      </c>
      <c r="J135" s="662">
        <f t="shared" ref="J135:J198" si="139">C135+F135+I135</f>
        <v>0.5</v>
      </c>
      <c r="K135" s="637">
        <v>0.4</v>
      </c>
      <c r="L135" s="440" t="s">
        <v>621</v>
      </c>
      <c r="M135" s="440" t="s">
        <v>622</v>
      </c>
      <c r="N135" s="637">
        <v>0.1</v>
      </c>
      <c r="O135" s="440" t="s">
        <v>508</v>
      </c>
      <c r="P135" s="440" t="s">
        <v>546</v>
      </c>
      <c r="Q135" s="637">
        <v>0</v>
      </c>
      <c r="R135" s="662">
        <f t="shared" si="70"/>
        <v>0.5</v>
      </c>
      <c r="S135" s="637">
        <v>0.4</v>
      </c>
      <c r="T135" s="302" t="s">
        <v>621</v>
      </c>
      <c r="U135" s="302" t="s">
        <v>622</v>
      </c>
      <c r="V135" s="637">
        <v>0.1</v>
      </c>
      <c r="W135" s="302" t="s">
        <v>508</v>
      </c>
      <c r="X135" s="302" t="s">
        <v>546</v>
      </c>
      <c r="Y135" s="637">
        <v>0</v>
      </c>
      <c r="Z135" s="645">
        <f t="shared" si="71"/>
        <v>0.5</v>
      </c>
      <c r="AA135" s="637">
        <v>0.4</v>
      </c>
      <c r="AB135" s="302" t="s">
        <v>621</v>
      </c>
      <c r="AC135" s="302" t="s">
        <v>622</v>
      </c>
      <c r="AD135" s="637">
        <v>0.1</v>
      </c>
      <c r="AE135" s="302" t="s">
        <v>508</v>
      </c>
      <c r="AF135" s="302" t="s">
        <v>546</v>
      </c>
      <c r="AG135" s="637">
        <v>0</v>
      </c>
      <c r="AH135" s="645">
        <f t="shared" si="102"/>
        <v>0.5</v>
      </c>
      <c r="AI135" s="637">
        <v>0.4</v>
      </c>
      <c r="AJ135" s="302" t="s">
        <v>621</v>
      </c>
      <c r="AK135" s="302" t="s">
        <v>622</v>
      </c>
      <c r="AL135" s="637">
        <v>0.1</v>
      </c>
      <c r="AM135" s="302" t="s">
        <v>508</v>
      </c>
      <c r="AN135" s="302" t="s">
        <v>546</v>
      </c>
      <c r="AO135" s="637">
        <v>0</v>
      </c>
      <c r="AP135" s="645">
        <f t="shared" si="133"/>
        <v>0.5</v>
      </c>
      <c r="AQ135" s="637">
        <v>0.4</v>
      </c>
      <c r="AR135" s="302" t="s">
        <v>621</v>
      </c>
      <c r="AS135" s="302" t="s">
        <v>622</v>
      </c>
      <c r="AT135" s="637">
        <v>0.1</v>
      </c>
      <c r="AU135" s="302" t="s">
        <v>508</v>
      </c>
      <c r="AV135" s="302" t="s">
        <v>546</v>
      </c>
      <c r="AW135" s="637">
        <v>0</v>
      </c>
      <c r="AX135" s="645">
        <f t="shared" si="134"/>
        <v>0.5</v>
      </c>
      <c r="AY135" s="637">
        <v>0.42499999999999999</v>
      </c>
      <c r="AZ135" s="302" t="s">
        <v>621</v>
      </c>
      <c r="BA135" s="302" t="s">
        <v>622</v>
      </c>
      <c r="BB135" s="637">
        <v>0.32500000000000001</v>
      </c>
      <c r="BC135" s="302" t="s">
        <v>508</v>
      </c>
      <c r="BD135" s="302" t="s">
        <v>546</v>
      </c>
      <c r="BE135" s="637">
        <v>0</v>
      </c>
      <c r="BF135" s="434">
        <f t="shared" si="135"/>
        <v>0.75</v>
      </c>
      <c r="BG135" s="587">
        <v>0.4</v>
      </c>
      <c r="BH135" s="302" t="s">
        <v>621</v>
      </c>
      <c r="BI135" s="302" t="s">
        <v>622</v>
      </c>
      <c r="BJ135" s="434">
        <v>0.1</v>
      </c>
      <c r="BK135" s="302" t="s">
        <v>508</v>
      </c>
      <c r="BL135" s="302" t="s">
        <v>546</v>
      </c>
      <c r="BM135" s="434">
        <v>0</v>
      </c>
      <c r="BN135" s="645">
        <f t="shared" si="136"/>
        <v>0.5</v>
      </c>
      <c r="BO135" s="434"/>
      <c r="BP135" s="434">
        <v>0.4</v>
      </c>
      <c r="BQ135" s="302" t="s">
        <v>621</v>
      </c>
      <c r="BR135" s="302" t="s">
        <v>622</v>
      </c>
      <c r="BS135" s="434">
        <v>0.1</v>
      </c>
      <c r="BT135" s="302" t="s">
        <v>508</v>
      </c>
      <c r="BU135" s="302" t="s">
        <v>546</v>
      </c>
      <c r="BV135" s="434">
        <v>0</v>
      </c>
      <c r="BW135" s="645">
        <f t="shared" si="137"/>
        <v>0.5</v>
      </c>
      <c r="BX135" s="434">
        <v>0.4</v>
      </c>
      <c r="BY135" s="302" t="s">
        <v>621</v>
      </c>
      <c r="BZ135" s="302" t="s">
        <v>622</v>
      </c>
      <c r="CA135" s="434">
        <v>0.1</v>
      </c>
      <c r="CB135" s="302" t="s">
        <v>508</v>
      </c>
      <c r="CC135" s="302" t="s">
        <v>546</v>
      </c>
      <c r="CD135" s="434">
        <v>0</v>
      </c>
      <c r="CE135" s="434">
        <f t="shared" si="138"/>
        <v>0.5</v>
      </c>
      <c r="CF135" s="1621" t="s">
        <v>862</v>
      </c>
      <c r="CG135" s="1621" t="s">
        <v>1166</v>
      </c>
      <c r="CH135" s="1621" t="s">
        <v>1166</v>
      </c>
      <c r="CI135" s="406"/>
      <c r="CJ135" s="642">
        <v>0.66100000000000003</v>
      </c>
      <c r="CK135" s="591" t="s">
        <v>922</v>
      </c>
      <c r="CL135" s="302" t="s">
        <v>621</v>
      </c>
      <c r="CM135" s="302" t="s">
        <v>622</v>
      </c>
      <c r="CN135" s="637">
        <v>0.6</v>
      </c>
      <c r="CO135" s="302" t="s">
        <v>508</v>
      </c>
      <c r="CP135" s="302" t="s">
        <v>546</v>
      </c>
      <c r="CQ135" s="637">
        <v>0</v>
      </c>
    </row>
    <row r="136" spans="1:95" ht="15.75" customHeight="1" x14ac:dyDescent="0.2">
      <c r="A136" s="661" t="s">
        <v>151</v>
      </c>
      <c r="B136" s="776" t="s">
        <v>595</v>
      </c>
      <c r="C136" s="637">
        <v>0.49</v>
      </c>
      <c r="D136" s="440" t="s">
        <v>508</v>
      </c>
      <c r="E136" s="440" t="s">
        <v>509</v>
      </c>
      <c r="F136" s="637">
        <v>0</v>
      </c>
      <c r="G136" s="440" t="s">
        <v>593</v>
      </c>
      <c r="H136" s="440" t="s">
        <v>594</v>
      </c>
      <c r="I136" s="637">
        <v>0.01</v>
      </c>
      <c r="J136" s="662">
        <f t="shared" si="139"/>
        <v>0.5</v>
      </c>
      <c r="K136" s="637">
        <v>0.49</v>
      </c>
      <c r="L136" s="440" t="s">
        <v>508</v>
      </c>
      <c r="M136" s="440" t="s">
        <v>509</v>
      </c>
      <c r="N136" s="637">
        <v>0</v>
      </c>
      <c r="O136" s="440" t="s">
        <v>593</v>
      </c>
      <c r="P136" s="440" t="s">
        <v>594</v>
      </c>
      <c r="Q136" s="637">
        <v>0.01</v>
      </c>
      <c r="R136" s="662">
        <f t="shared" si="70"/>
        <v>0.5</v>
      </c>
      <c r="S136" s="637">
        <v>0.49</v>
      </c>
      <c r="T136" s="302" t="s">
        <v>508</v>
      </c>
      <c r="U136" s="302" t="s">
        <v>509</v>
      </c>
      <c r="V136" s="637">
        <v>0</v>
      </c>
      <c r="W136" s="302" t="s">
        <v>593</v>
      </c>
      <c r="X136" s="302" t="s">
        <v>594</v>
      </c>
      <c r="Y136" s="637">
        <v>0.01</v>
      </c>
      <c r="Z136" s="645">
        <f t="shared" si="71"/>
        <v>0.5</v>
      </c>
      <c r="AA136" s="637">
        <v>0.49</v>
      </c>
      <c r="AB136" s="302" t="s">
        <v>508</v>
      </c>
      <c r="AC136" s="302" t="s">
        <v>509</v>
      </c>
      <c r="AD136" s="637">
        <v>0</v>
      </c>
      <c r="AE136" s="302" t="s">
        <v>593</v>
      </c>
      <c r="AF136" s="302" t="s">
        <v>594</v>
      </c>
      <c r="AG136" s="637">
        <v>0.01</v>
      </c>
      <c r="AH136" s="645">
        <f t="shared" si="102"/>
        <v>0.5</v>
      </c>
      <c r="AI136" s="637">
        <v>0.49</v>
      </c>
      <c r="AJ136" s="302" t="s">
        <v>508</v>
      </c>
      <c r="AK136" s="302" t="s">
        <v>509</v>
      </c>
      <c r="AL136" s="637">
        <v>0</v>
      </c>
      <c r="AM136" s="302" t="s">
        <v>593</v>
      </c>
      <c r="AN136" s="302" t="s">
        <v>594</v>
      </c>
      <c r="AO136" s="637">
        <v>0.01</v>
      </c>
      <c r="AP136" s="645">
        <f t="shared" ref="AP136:AP137" si="140">+AI136+AL136+AO136</f>
        <v>0.5</v>
      </c>
      <c r="AQ136" s="637">
        <v>0.49</v>
      </c>
      <c r="AR136" s="302" t="s">
        <v>508</v>
      </c>
      <c r="AS136" s="302" t="s">
        <v>509</v>
      </c>
      <c r="AT136" s="637">
        <v>0</v>
      </c>
      <c r="AU136" s="302" t="s">
        <v>593</v>
      </c>
      <c r="AV136" s="302" t="s">
        <v>594</v>
      </c>
      <c r="AW136" s="637">
        <v>0.01</v>
      </c>
      <c r="AX136" s="645">
        <f t="shared" ref="AX136:AX137" si="141">+AQ136+AT136+AW136</f>
        <v>0.5</v>
      </c>
      <c r="AY136" s="637">
        <v>0.49</v>
      </c>
      <c r="AZ136" s="302" t="s">
        <v>508</v>
      </c>
      <c r="BA136" s="302" t="s">
        <v>509</v>
      </c>
      <c r="BB136" s="637">
        <v>0</v>
      </c>
      <c r="BC136" s="302" t="s">
        <v>593</v>
      </c>
      <c r="BD136" s="302" t="s">
        <v>594</v>
      </c>
      <c r="BE136" s="637">
        <v>0.01</v>
      </c>
      <c r="BF136" s="434">
        <f t="shared" ref="BF136:BF137" si="142">+AY136+BB136+BE136</f>
        <v>0.5</v>
      </c>
      <c r="BG136" s="587">
        <v>0.49</v>
      </c>
      <c r="BH136" s="302" t="s">
        <v>508</v>
      </c>
      <c r="BI136" s="302" t="s">
        <v>509</v>
      </c>
      <c r="BJ136" s="434">
        <v>0</v>
      </c>
      <c r="BK136" s="302" t="s">
        <v>593</v>
      </c>
      <c r="BL136" s="302" t="s">
        <v>594</v>
      </c>
      <c r="BM136" s="434">
        <v>0.01</v>
      </c>
      <c r="BN136" s="645">
        <f t="shared" ref="BN136:BN137" si="143">+BG136+BJ136+BM136</f>
        <v>0.5</v>
      </c>
      <c r="BO136" s="434"/>
      <c r="BP136" s="434">
        <v>0.49</v>
      </c>
      <c r="BQ136" s="302" t="s">
        <v>508</v>
      </c>
      <c r="BR136" s="302" t="s">
        <v>509</v>
      </c>
      <c r="BS136" s="434">
        <v>0</v>
      </c>
      <c r="BT136" s="302" t="s">
        <v>593</v>
      </c>
      <c r="BU136" s="302" t="s">
        <v>594</v>
      </c>
      <c r="BV136" s="434">
        <v>0.01</v>
      </c>
      <c r="BW136" s="645">
        <f t="shared" ref="BW136:BW137" si="144">+BP136+BS136+BV136</f>
        <v>0.5</v>
      </c>
      <c r="BX136" s="434">
        <v>0.49</v>
      </c>
      <c r="BY136" s="302" t="s">
        <v>508</v>
      </c>
      <c r="BZ136" s="302" t="s">
        <v>509</v>
      </c>
      <c r="CA136" s="434">
        <v>0</v>
      </c>
      <c r="CB136" s="302" t="s">
        <v>593</v>
      </c>
      <c r="CC136" s="302" t="s">
        <v>594</v>
      </c>
      <c r="CD136" s="434">
        <v>0.01</v>
      </c>
      <c r="CE136" s="434">
        <f t="shared" ref="CE136:CE137" si="145">+BX136+CA136+CD136</f>
        <v>0.5</v>
      </c>
      <c r="CF136" s="1620" t="s">
        <v>862</v>
      </c>
      <c r="CG136" s="1620" t="s">
        <v>1166</v>
      </c>
      <c r="CH136" s="1620" t="s">
        <v>862</v>
      </c>
      <c r="CI136" s="408" t="s">
        <v>862</v>
      </c>
      <c r="CJ136" s="642">
        <v>0.67300000000000004</v>
      </c>
      <c r="CK136" s="591" t="s">
        <v>922</v>
      </c>
      <c r="CL136" s="302" t="s">
        <v>508</v>
      </c>
      <c r="CM136" s="302" t="s">
        <v>509</v>
      </c>
      <c r="CN136" s="637">
        <v>0</v>
      </c>
      <c r="CO136" s="302" t="s">
        <v>593</v>
      </c>
      <c r="CP136" s="302" t="s">
        <v>594</v>
      </c>
      <c r="CQ136" s="637">
        <v>0.01</v>
      </c>
    </row>
    <row r="137" spans="1:95" ht="15.75" customHeight="1" x14ac:dyDescent="0.2">
      <c r="A137" s="661" t="s">
        <v>153</v>
      </c>
      <c r="B137" s="776" t="s">
        <v>679</v>
      </c>
      <c r="C137" s="637">
        <v>0.3</v>
      </c>
      <c r="D137" s="440" t="s">
        <v>674</v>
      </c>
      <c r="E137" s="440" t="s">
        <v>675</v>
      </c>
      <c r="F137" s="637">
        <v>0.37</v>
      </c>
      <c r="G137" s="440" t="s">
        <v>508</v>
      </c>
      <c r="H137" s="440" t="s">
        <v>508</v>
      </c>
      <c r="I137" s="637">
        <v>0</v>
      </c>
      <c r="J137" s="662">
        <f t="shared" si="139"/>
        <v>0.66999999999999993</v>
      </c>
      <c r="K137" s="637">
        <v>0.3</v>
      </c>
      <c r="L137" s="440" t="s">
        <v>674</v>
      </c>
      <c r="M137" s="440" t="s">
        <v>675</v>
      </c>
      <c r="N137" s="637">
        <v>0.37</v>
      </c>
      <c r="O137" s="440" t="s">
        <v>508</v>
      </c>
      <c r="P137" s="440" t="s">
        <v>508</v>
      </c>
      <c r="Q137" s="637">
        <v>0</v>
      </c>
      <c r="R137" s="662">
        <f t="shared" si="70"/>
        <v>0.66999999999999993</v>
      </c>
      <c r="S137" s="637">
        <v>0.3</v>
      </c>
      <c r="T137" s="302" t="s">
        <v>674</v>
      </c>
      <c r="U137" s="302" t="s">
        <v>675</v>
      </c>
      <c r="V137" s="637">
        <v>0.37</v>
      </c>
      <c r="W137" s="302" t="s">
        <v>508</v>
      </c>
      <c r="X137" s="302" t="s">
        <v>508</v>
      </c>
      <c r="Y137" s="637">
        <v>0</v>
      </c>
      <c r="Z137" s="645">
        <f t="shared" si="71"/>
        <v>0.66999999999999993</v>
      </c>
      <c r="AA137" s="637">
        <v>0.3</v>
      </c>
      <c r="AB137" s="302" t="s">
        <v>674</v>
      </c>
      <c r="AC137" s="302" t="s">
        <v>675</v>
      </c>
      <c r="AD137" s="637">
        <v>0.37</v>
      </c>
      <c r="AE137" s="302" t="s">
        <v>508</v>
      </c>
      <c r="AF137" s="302" t="s">
        <v>508</v>
      </c>
      <c r="AG137" s="637">
        <v>0</v>
      </c>
      <c r="AH137" s="645">
        <f t="shared" si="102"/>
        <v>0.66999999999999993</v>
      </c>
      <c r="AI137" s="637">
        <v>0.3</v>
      </c>
      <c r="AJ137" s="302" t="s">
        <v>674</v>
      </c>
      <c r="AK137" s="302" t="s">
        <v>675</v>
      </c>
      <c r="AL137" s="637">
        <v>0.37</v>
      </c>
      <c r="AM137" s="302" t="s">
        <v>508</v>
      </c>
      <c r="AN137" s="302" t="s">
        <v>508</v>
      </c>
      <c r="AO137" s="637">
        <v>0</v>
      </c>
      <c r="AP137" s="645">
        <f t="shared" si="140"/>
        <v>0.66999999999999993</v>
      </c>
      <c r="AQ137" s="637">
        <v>0.3</v>
      </c>
      <c r="AR137" s="302" t="s">
        <v>674</v>
      </c>
      <c r="AS137" s="302" t="s">
        <v>675</v>
      </c>
      <c r="AT137" s="637">
        <v>0.37</v>
      </c>
      <c r="AU137" s="302" t="s">
        <v>508</v>
      </c>
      <c r="AV137" s="302" t="s">
        <v>508</v>
      </c>
      <c r="AW137" s="637">
        <v>0</v>
      </c>
      <c r="AX137" s="645">
        <f t="shared" si="141"/>
        <v>0.66999999999999993</v>
      </c>
      <c r="AY137" s="637">
        <v>0.48</v>
      </c>
      <c r="AZ137" s="302" t="s">
        <v>674</v>
      </c>
      <c r="BA137" s="302" t="s">
        <v>675</v>
      </c>
      <c r="BB137" s="637">
        <v>0.27</v>
      </c>
      <c r="BC137" s="302" t="s">
        <v>508</v>
      </c>
      <c r="BD137" s="302" t="s">
        <v>508</v>
      </c>
      <c r="BE137" s="637">
        <v>0</v>
      </c>
      <c r="BF137" s="434">
        <f t="shared" si="142"/>
        <v>0.75</v>
      </c>
      <c r="BG137" s="587">
        <v>0.64</v>
      </c>
      <c r="BH137" s="302" t="s">
        <v>674</v>
      </c>
      <c r="BI137" s="302" t="s">
        <v>675</v>
      </c>
      <c r="BJ137" s="434">
        <v>0.36</v>
      </c>
      <c r="BK137" s="302" t="s">
        <v>508</v>
      </c>
      <c r="BL137" s="302" t="s">
        <v>508</v>
      </c>
      <c r="BM137" s="434">
        <v>0</v>
      </c>
      <c r="BN137" s="645">
        <f t="shared" si="143"/>
        <v>1</v>
      </c>
      <c r="BO137" s="434"/>
      <c r="BP137" s="434">
        <v>0.3</v>
      </c>
      <c r="BQ137" s="302" t="s">
        <v>674</v>
      </c>
      <c r="BR137" s="302" t="s">
        <v>675</v>
      </c>
      <c r="BS137" s="434">
        <v>0.37</v>
      </c>
      <c r="BT137" s="302" t="s">
        <v>508</v>
      </c>
      <c r="BU137" s="302" t="s">
        <v>508</v>
      </c>
      <c r="BV137" s="434">
        <v>0</v>
      </c>
      <c r="BW137" s="645">
        <f t="shared" si="144"/>
        <v>0.66999999999999993</v>
      </c>
      <c r="BX137" s="434">
        <v>0.3</v>
      </c>
      <c r="BY137" s="302" t="s">
        <v>674</v>
      </c>
      <c r="BZ137" s="302" t="s">
        <v>675</v>
      </c>
      <c r="CA137" s="434">
        <v>0.2</v>
      </c>
      <c r="CB137" s="302" t="s">
        <v>508</v>
      </c>
      <c r="CC137" s="302" t="s">
        <v>508</v>
      </c>
      <c r="CD137" s="434">
        <v>0</v>
      </c>
      <c r="CE137" s="434">
        <f t="shared" si="145"/>
        <v>0.5</v>
      </c>
      <c r="CF137" s="1620" t="s">
        <v>1166</v>
      </c>
      <c r="CG137" s="1620" t="s">
        <v>1166</v>
      </c>
      <c r="CH137" s="1620" t="s">
        <v>1166</v>
      </c>
      <c r="CI137" s="408" t="s">
        <v>862</v>
      </c>
      <c r="CJ137" s="642">
        <v>0.74099999999999999</v>
      </c>
      <c r="CK137" s="591" t="s">
        <v>922</v>
      </c>
      <c r="CL137" s="302" t="s">
        <v>674</v>
      </c>
      <c r="CM137" s="302" t="s">
        <v>675</v>
      </c>
      <c r="CN137" s="637">
        <v>0.2</v>
      </c>
      <c r="CO137" s="302" t="s">
        <v>508</v>
      </c>
      <c r="CP137" s="302" t="s">
        <v>508</v>
      </c>
      <c r="CQ137" s="637">
        <v>0</v>
      </c>
    </row>
    <row r="138" spans="1:95" ht="15.75" customHeight="1" x14ac:dyDescent="0.2">
      <c r="A138" s="661" t="s">
        <v>155</v>
      </c>
      <c r="B138" s="440" t="s">
        <v>154</v>
      </c>
      <c r="C138" s="637">
        <v>0.49</v>
      </c>
      <c r="D138" s="440" t="s">
        <v>508</v>
      </c>
      <c r="E138" s="440" t="s">
        <v>660</v>
      </c>
      <c r="F138" s="637">
        <v>0</v>
      </c>
      <c r="G138" s="440" t="s">
        <v>671</v>
      </c>
      <c r="H138" s="440" t="s">
        <v>672</v>
      </c>
      <c r="I138" s="637">
        <v>0.01</v>
      </c>
      <c r="J138" s="662">
        <f t="shared" si="139"/>
        <v>0.5</v>
      </c>
      <c r="K138" s="637">
        <v>0.49</v>
      </c>
      <c r="L138" s="440" t="s">
        <v>508</v>
      </c>
      <c r="M138" s="440" t="s">
        <v>660</v>
      </c>
      <c r="N138" s="637">
        <v>0</v>
      </c>
      <c r="O138" s="440" t="s">
        <v>671</v>
      </c>
      <c r="P138" s="440" t="s">
        <v>672</v>
      </c>
      <c r="Q138" s="637">
        <v>0.01</v>
      </c>
      <c r="R138" s="662">
        <f t="shared" si="70"/>
        <v>0.5</v>
      </c>
      <c r="S138" s="637">
        <v>0.49</v>
      </c>
      <c r="T138" s="302" t="s">
        <v>508</v>
      </c>
      <c r="U138" s="302" t="s">
        <v>660</v>
      </c>
      <c r="V138" s="637">
        <v>0</v>
      </c>
      <c r="W138" s="302" t="s">
        <v>671</v>
      </c>
      <c r="X138" s="302" t="s">
        <v>672</v>
      </c>
      <c r="Y138" s="637">
        <v>0.01</v>
      </c>
      <c r="Z138" s="645">
        <f t="shared" si="71"/>
        <v>0.5</v>
      </c>
      <c r="AA138" s="637">
        <v>0.49</v>
      </c>
      <c r="AB138" s="302" t="s">
        <v>508</v>
      </c>
      <c r="AC138" s="302" t="s">
        <v>660</v>
      </c>
      <c r="AD138" s="637">
        <v>0</v>
      </c>
      <c r="AE138" s="302" t="s">
        <v>671</v>
      </c>
      <c r="AF138" s="302" t="s">
        <v>672</v>
      </c>
      <c r="AG138" s="637">
        <v>0.01</v>
      </c>
      <c r="AH138" s="645">
        <f t="shared" si="102"/>
        <v>0.5</v>
      </c>
      <c r="AI138" s="637">
        <v>0.49</v>
      </c>
      <c r="AJ138" s="302" t="s">
        <v>508</v>
      </c>
      <c r="AK138" s="302" t="s">
        <v>660</v>
      </c>
      <c r="AL138" s="637">
        <v>0</v>
      </c>
      <c r="AM138" s="302" t="s">
        <v>671</v>
      </c>
      <c r="AN138" s="302" t="s">
        <v>672</v>
      </c>
      <c r="AO138" s="637">
        <v>0.01</v>
      </c>
      <c r="AP138" s="645">
        <f t="shared" ref="AP138:AP139" si="146">+AI138+AL138+AO138</f>
        <v>0.5</v>
      </c>
      <c r="AQ138" s="637">
        <v>0.49</v>
      </c>
      <c r="AR138" s="302" t="s">
        <v>508</v>
      </c>
      <c r="AS138" s="302" t="s">
        <v>660</v>
      </c>
      <c r="AT138" s="637">
        <v>0</v>
      </c>
      <c r="AU138" s="302" t="s">
        <v>671</v>
      </c>
      <c r="AV138" s="302" t="s">
        <v>672</v>
      </c>
      <c r="AW138" s="637">
        <v>0.01</v>
      </c>
      <c r="AX138" s="645">
        <f t="shared" ref="AX138:AX139" si="147">+AQ138+AT138+AW138</f>
        <v>0.5</v>
      </c>
      <c r="AY138" s="637">
        <v>0.74</v>
      </c>
      <c r="AZ138" s="302" t="s">
        <v>508</v>
      </c>
      <c r="BA138" s="302" t="s">
        <v>660</v>
      </c>
      <c r="BB138" s="637">
        <v>0</v>
      </c>
      <c r="BC138" s="302" t="s">
        <v>671</v>
      </c>
      <c r="BD138" s="302" t="s">
        <v>672</v>
      </c>
      <c r="BE138" s="637">
        <v>0.01</v>
      </c>
      <c r="BF138" s="434">
        <f t="shared" ref="BF138:BF139" si="148">+AY138+BB138+BE138</f>
        <v>0.75</v>
      </c>
      <c r="BG138" s="587">
        <v>0.99</v>
      </c>
      <c r="BH138" s="302" t="s">
        <v>508</v>
      </c>
      <c r="BI138" s="302" t="s">
        <v>660</v>
      </c>
      <c r="BJ138" s="434">
        <v>0</v>
      </c>
      <c r="BK138" s="302" t="s">
        <v>671</v>
      </c>
      <c r="BL138" s="302" t="s">
        <v>672</v>
      </c>
      <c r="BM138" s="434">
        <v>0.01</v>
      </c>
      <c r="BN138" s="645">
        <f t="shared" ref="BN138:BN139" si="149">+BG138+BJ138+BM138</f>
        <v>1</v>
      </c>
      <c r="BO138" s="434"/>
      <c r="BP138" s="434">
        <v>0.49</v>
      </c>
      <c r="BQ138" s="302" t="s">
        <v>508</v>
      </c>
      <c r="BR138" s="302" t="s">
        <v>660</v>
      </c>
      <c r="BS138" s="434">
        <v>0</v>
      </c>
      <c r="BT138" s="302" t="s">
        <v>671</v>
      </c>
      <c r="BU138" s="302" t="s">
        <v>672</v>
      </c>
      <c r="BV138" s="434">
        <v>0.01</v>
      </c>
      <c r="BW138" s="645">
        <f t="shared" ref="BW138:BW139" si="150">+BP138+BS138+BV138</f>
        <v>0.5</v>
      </c>
      <c r="BX138" s="434">
        <v>0.49</v>
      </c>
      <c r="BY138" s="302" t="s">
        <v>508</v>
      </c>
      <c r="BZ138" s="302" t="s">
        <v>660</v>
      </c>
      <c r="CA138" s="434">
        <v>0</v>
      </c>
      <c r="CB138" s="302" t="s">
        <v>671</v>
      </c>
      <c r="CC138" s="302" t="s">
        <v>672</v>
      </c>
      <c r="CD138" s="434">
        <v>0.01</v>
      </c>
      <c r="CE138" s="434">
        <f t="shared" ref="CE138:CE139" si="151">+BX138+CA138+CD138</f>
        <v>0.5</v>
      </c>
      <c r="CF138" s="1620" t="s">
        <v>862</v>
      </c>
      <c r="CG138" s="1620" t="s">
        <v>1166</v>
      </c>
      <c r="CH138" s="1620" t="s">
        <v>1166</v>
      </c>
      <c r="CI138" s="408" t="s">
        <v>862</v>
      </c>
      <c r="CJ138" s="642">
        <v>0.65300000000000002</v>
      </c>
      <c r="CK138" s="591" t="s">
        <v>922</v>
      </c>
      <c r="CL138" s="302" t="s">
        <v>508</v>
      </c>
      <c r="CM138" s="302" t="s">
        <v>660</v>
      </c>
      <c r="CN138" s="637">
        <v>0</v>
      </c>
      <c r="CO138" s="302" t="s">
        <v>671</v>
      </c>
      <c r="CP138" s="302" t="s">
        <v>672</v>
      </c>
      <c r="CQ138" s="637">
        <v>0.01</v>
      </c>
    </row>
    <row r="139" spans="1:95" ht="15.75" customHeight="1" x14ac:dyDescent="0.2">
      <c r="A139" s="661" t="s">
        <v>157</v>
      </c>
      <c r="B139" s="440" t="s">
        <v>156</v>
      </c>
      <c r="C139" s="637">
        <v>0.99</v>
      </c>
      <c r="D139" s="440" t="s">
        <v>508</v>
      </c>
      <c r="E139" s="440" t="s">
        <v>660</v>
      </c>
      <c r="F139" s="637">
        <v>0</v>
      </c>
      <c r="G139" s="440" t="s">
        <v>663</v>
      </c>
      <c r="H139" s="440" t="s">
        <v>664</v>
      </c>
      <c r="I139" s="637">
        <v>0.01</v>
      </c>
      <c r="J139" s="662">
        <f t="shared" si="139"/>
        <v>1</v>
      </c>
      <c r="K139" s="637">
        <v>0.99</v>
      </c>
      <c r="L139" s="440" t="s">
        <v>508</v>
      </c>
      <c r="M139" s="440" t="s">
        <v>660</v>
      </c>
      <c r="N139" s="637">
        <v>0</v>
      </c>
      <c r="O139" s="440" t="s">
        <v>663</v>
      </c>
      <c r="P139" s="440" t="s">
        <v>664</v>
      </c>
      <c r="Q139" s="637">
        <v>0.01</v>
      </c>
      <c r="R139" s="662">
        <f t="shared" si="70"/>
        <v>1</v>
      </c>
      <c r="S139" s="637">
        <v>0.99</v>
      </c>
      <c r="T139" s="302" t="s">
        <v>508</v>
      </c>
      <c r="U139" s="302" t="s">
        <v>660</v>
      </c>
      <c r="V139" s="637">
        <v>0</v>
      </c>
      <c r="W139" s="302" t="s">
        <v>663</v>
      </c>
      <c r="X139" s="302" t="s">
        <v>664</v>
      </c>
      <c r="Y139" s="637">
        <v>0.01</v>
      </c>
      <c r="Z139" s="645">
        <f t="shared" si="71"/>
        <v>1</v>
      </c>
      <c r="AA139" s="637">
        <v>0.99</v>
      </c>
      <c r="AB139" s="302" t="s">
        <v>508</v>
      </c>
      <c r="AC139" s="302" t="s">
        <v>660</v>
      </c>
      <c r="AD139" s="637">
        <v>0</v>
      </c>
      <c r="AE139" s="302" t="s">
        <v>663</v>
      </c>
      <c r="AF139" s="302" t="s">
        <v>664</v>
      </c>
      <c r="AG139" s="637">
        <v>0.01</v>
      </c>
      <c r="AH139" s="645">
        <f t="shared" si="102"/>
        <v>1</v>
      </c>
      <c r="AI139" s="637">
        <v>0.99</v>
      </c>
      <c r="AJ139" s="302" t="s">
        <v>508</v>
      </c>
      <c r="AK139" s="302" t="s">
        <v>660</v>
      </c>
      <c r="AL139" s="637">
        <v>0</v>
      </c>
      <c r="AM139" s="302" t="s">
        <v>663</v>
      </c>
      <c r="AN139" s="302" t="s">
        <v>664</v>
      </c>
      <c r="AO139" s="637">
        <v>0.01</v>
      </c>
      <c r="AP139" s="645">
        <f t="shared" si="146"/>
        <v>1</v>
      </c>
      <c r="AQ139" s="637">
        <v>0.99</v>
      </c>
      <c r="AR139" s="302" t="s">
        <v>508</v>
      </c>
      <c r="AS139" s="302" t="s">
        <v>660</v>
      </c>
      <c r="AT139" s="637">
        <v>0</v>
      </c>
      <c r="AU139" s="302" t="s">
        <v>663</v>
      </c>
      <c r="AV139" s="302" t="s">
        <v>664</v>
      </c>
      <c r="AW139" s="637">
        <v>0.01</v>
      </c>
      <c r="AX139" s="645">
        <f t="shared" si="147"/>
        <v>1</v>
      </c>
      <c r="AY139" s="637">
        <v>0.99</v>
      </c>
      <c r="AZ139" s="302" t="s">
        <v>508</v>
      </c>
      <c r="BA139" s="302" t="s">
        <v>660</v>
      </c>
      <c r="BB139" s="637">
        <v>0</v>
      </c>
      <c r="BC139" s="302" t="s">
        <v>663</v>
      </c>
      <c r="BD139" s="302" t="s">
        <v>664</v>
      </c>
      <c r="BE139" s="637">
        <v>0.01</v>
      </c>
      <c r="BF139" s="434">
        <f t="shared" si="148"/>
        <v>1</v>
      </c>
      <c r="BG139" s="587">
        <v>0.99</v>
      </c>
      <c r="BH139" s="302" t="s">
        <v>508</v>
      </c>
      <c r="BI139" s="302" t="s">
        <v>660</v>
      </c>
      <c r="BJ139" s="434">
        <v>0</v>
      </c>
      <c r="BK139" s="302" t="s">
        <v>663</v>
      </c>
      <c r="BL139" s="302" t="s">
        <v>664</v>
      </c>
      <c r="BM139" s="434">
        <v>0.01</v>
      </c>
      <c r="BN139" s="645">
        <f t="shared" si="149"/>
        <v>1</v>
      </c>
      <c r="BO139" s="434"/>
      <c r="BP139" s="434">
        <v>0.99</v>
      </c>
      <c r="BQ139" s="302" t="s">
        <v>508</v>
      </c>
      <c r="BR139" s="302" t="s">
        <v>660</v>
      </c>
      <c r="BS139" s="434">
        <v>0</v>
      </c>
      <c r="BT139" s="302" t="s">
        <v>663</v>
      </c>
      <c r="BU139" s="302" t="s">
        <v>664</v>
      </c>
      <c r="BV139" s="434">
        <v>0.01</v>
      </c>
      <c r="BW139" s="645">
        <f t="shared" si="150"/>
        <v>1</v>
      </c>
      <c r="BX139" s="434">
        <v>0.49</v>
      </c>
      <c r="BY139" s="302" t="s">
        <v>508</v>
      </c>
      <c r="BZ139" s="302" t="s">
        <v>660</v>
      </c>
      <c r="CA139" s="434">
        <v>0</v>
      </c>
      <c r="CB139" s="302" t="s">
        <v>663</v>
      </c>
      <c r="CC139" s="302" t="s">
        <v>664</v>
      </c>
      <c r="CD139" s="434">
        <v>0.01</v>
      </c>
      <c r="CE139" s="434">
        <f t="shared" si="151"/>
        <v>0.5</v>
      </c>
      <c r="CF139" s="1620" t="s">
        <v>1166</v>
      </c>
      <c r="CG139" s="1620" t="s">
        <v>1166</v>
      </c>
      <c r="CH139" s="1620" t="s">
        <v>1166</v>
      </c>
      <c r="CI139" s="408" t="s">
        <v>862</v>
      </c>
      <c r="CJ139" s="642">
        <v>0.68400000000000005</v>
      </c>
      <c r="CK139" s="591" t="s">
        <v>922</v>
      </c>
      <c r="CL139" s="302" t="s">
        <v>508</v>
      </c>
      <c r="CM139" s="302" t="s">
        <v>660</v>
      </c>
      <c r="CN139" s="637">
        <v>0</v>
      </c>
      <c r="CO139" s="302" t="s">
        <v>663</v>
      </c>
      <c r="CP139" s="302" t="s">
        <v>664</v>
      </c>
      <c r="CQ139" s="637">
        <v>0.01</v>
      </c>
    </row>
    <row r="140" spans="1:95" ht="15.75" customHeight="1" x14ac:dyDescent="0.2">
      <c r="A140" s="661" t="s">
        <v>159</v>
      </c>
      <c r="B140" s="440" t="s">
        <v>158</v>
      </c>
      <c r="C140" s="637">
        <v>0.3</v>
      </c>
      <c r="D140" s="440" t="s">
        <v>674</v>
      </c>
      <c r="E140" s="440" t="s">
        <v>675</v>
      </c>
      <c r="F140" s="637">
        <v>0.37</v>
      </c>
      <c r="G140" s="440" t="s">
        <v>508</v>
      </c>
      <c r="H140" s="440" t="s">
        <v>508</v>
      </c>
      <c r="I140" s="637">
        <v>0</v>
      </c>
      <c r="J140" s="662">
        <f t="shared" si="139"/>
        <v>0.66999999999999993</v>
      </c>
      <c r="K140" s="637">
        <v>0.3</v>
      </c>
      <c r="L140" s="440" t="s">
        <v>674</v>
      </c>
      <c r="M140" s="440" t="s">
        <v>675</v>
      </c>
      <c r="N140" s="637">
        <v>0.37</v>
      </c>
      <c r="O140" s="440" t="s">
        <v>508</v>
      </c>
      <c r="P140" s="440" t="s">
        <v>508</v>
      </c>
      <c r="Q140" s="637">
        <v>0</v>
      </c>
      <c r="R140" s="662">
        <f t="shared" si="70"/>
        <v>0.66999999999999993</v>
      </c>
      <c r="S140" s="637">
        <v>0.3</v>
      </c>
      <c r="T140" s="302" t="s">
        <v>674</v>
      </c>
      <c r="U140" s="302" t="s">
        <v>675</v>
      </c>
      <c r="V140" s="637">
        <v>0.37</v>
      </c>
      <c r="W140" s="302" t="s">
        <v>508</v>
      </c>
      <c r="X140" s="302" t="s">
        <v>508</v>
      </c>
      <c r="Y140" s="637">
        <v>0</v>
      </c>
      <c r="Z140" s="645">
        <f t="shared" si="71"/>
        <v>0.66999999999999993</v>
      </c>
      <c r="AA140" s="637">
        <v>0.3</v>
      </c>
      <c r="AB140" s="302" t="s">
        <v>674</v>
      </c>
      <c r="AC140" s="302" t="s">
        <v>675</v>
      </c>
      <c r="AD140" s="637">
        <v>0.37</v>
      </c>
      <c r="AE140" s="302" t="s">
        <v>508</v>
      </c>
      <c r="AF140" s="302" t="s">
        <v>508</v>
      </c>
      <c r="AG140" s="637">
        <v>0</v>
      </c>
      <c r="AH140" s="645">
        <f t="shared" si="102"/>
        <v>0.66999999999999993</v>
      </c>
      <c r="AI140" s="637">
        <v>0.3</v>
      </c>
      <c r="AJ140" s="302" t="s">
        <v>674</v>
      </c>
      <c r="AK140" s="302" t="s">
        <v>675</v>
      </c>
      <c r="AL140" s="637">
        <v>0.37</v>
      </c>
      <c r="AM140" s="302" t="s">
        <v>508</v>
      </c>
      <c r="AN140" s="302" t="s">
        <v>508</v>
      </c>
      <c r="AO140" s="637">
        <v>0</v>
      </c>
      <c r="AP140" s="645">
        <f t="shared" ref="AP140:AP141" si="152">+AI140+AL140+AO140</f>
        <v>0.66999999999999993</v>
      </c>
      <c r="AQ140" s="637">
        <v>0.3</v>
      </c>
      <c r="AR140" s="302" t="s">
        <v>674</v>
      </c>
      <c r="AS140" s="302" t="s">
        <v>675</v>
      </c>
      <c r="AT140" s="637">
        <v>0.37</v>
      </c>
      <c r="AU140" s="302" t="s">
        <v>508</v>
      </c>
      <c r="AV140" s="302" t="s">
        <v>508</v>
      </c>
      <c r="AW140" s="637">
        <v>0</v>
      </c>
      <c r="AX140" s="645">
        <f t="shared" ref="AX140:AX141" si="153">+AQ140+AT140+AW140</f>
        <v>0.66999999999999993</v>
      </c>
      <c r="AY140" s="637">
        <v>0.48</v>
      </c>
      <c r="AZ140" s="302" t="s">
        <v>674</v>
      </c>
      <c r="BA140" s="302" t="s">
        <v>675</v>
      </c>
      <c r="BB140" s="637">
        <v>0.27</v>
      </c>
      <c r="BC140" s="302" t="s">
        <v>508</v>
      </c>
      <c r="BD140" s="302" t="s">
        <v>508</v>
      </c>
      <c r="BE140" s="637">
        <v>0</v>
      </c>
      <c r="BF140" s="434">
        <f t="shared" ref="BF140:BF141" si="154">+AY140+BB140+BE140</f>
        <v>0.75</v>
      </c>
      <c r="BG140" s="587">
        <v>0.64</v>
      </c>
      <c r="BH140" s="302" t="s">
        <v>674</v>
      </c>
      <c r="BI140" s="302" t="s">
        <v>675</v>
      </c>
      <c r="BJ140" s="434">
        <v>0.36</v>
      </c>
      <c r="BK140" s="302" t="s">
        <v>508</v>
      </c>
      <c r="BL140" s="302" t="s">
        <v>508</v>
      </c>
      <c r="BM140" s="434">
        <v>0</v>
      </c>
      <c r="BN140" s="645">
        <f t="shared" ref="BN140:BN141" si="155">+BG140+BJ140+BM140</f>
        <v>1</v>
      </c>
      <c r="BO140" s="434"/>
      <c r="BP140" s="434">
        <v>0.3</v>
      </c>
      <c r="BQ140" s="302" t="s">
        <v>674</v>
      </c>
      <c r="BR140" s="302" t="s">
        <v>675</v>
      </c>
      <c r="BS140" s="434">
        <v>0.37</v>
      </c>
      <c r="BT140" s="302" t="s">
        <v>508</v>
      </c>
      <c r="BU140" s="302" t="s">
        <v>508</v>
      </c>
      <c r="BV140" s="434">
        <v>0</v>
      </c>
      <c r="BW140" s="645">
        <f t="shared" ref="BW140:BW141" si="156">+BP140+BS140+BV140</f>
        <v>0.66999999999999993</v>
      </c>
      <c r="BX140" s="434">
        <v>0.3</v>
      </c>
      <c r="BY140" s="302" t="s">
        <v>674</v>
      </c>
      <c r="BZ140" s="302" t="s">
        <v>675</v>
      </c>
      <c r="CA140" s="434">
        <v>0.2</v>
      </c>
      <c r="CB140" s="302" t="s">
        <v>508</v>
      </c>
      <c r="CC140" s="302" t="s">
        <v>508</v>
      </c>
      <c r="CD140" s="434">
        <v>0</v>
      </c>
      <c r="CE140" s="434">
        <f t="shared" ref="CE140:CE141" si="157">+BX140+CA140+CD140</f>
        <v>0.5</v>
      </c>
      <c r="CF140" s="1620" t="s">
        <v>862</v>
      </c>
      <c r="CG140" s="1620" t="s">
        <v>1166</v>
      </c>
      <c r="CH140" s="1620" t="s">
        <v>1166</v>
      </c>
      <c r="CI140" s="408" t="s">
        <v>862</v>
      </c>
      <c r="CJ140" s="642">
        <v>0.751</v>
      </c>
      <c r="CK140" s="591" t="s">
        <v>922</v>
      </c>
      <c r="CL140" s="302" t="s">
        <v>674</v>
      </c>
      <c r="CM140" s="302" t="s">
        <v>675</v>
      </c>
      <c r="CN140" s="637">
        <v>0.2</v>
      </c>
      <c r="CO140" s="302" t="s">
        <v>508</v>
      </c>
      <c r="CP140" s="302" t="s">
        <v>508</v>
      </c>
      <c r="CQ140" s="637">
        <v>0</v>
      </c>
    </row>
    <row r="141" spans="1:95" ht="15" x14ac:dyDescent="0.2">
      <c r="A141" s="661" t="s">
        <v>161</v>
      </c>
      <c r="B141" s="440" t="s">
        <v>160</v>
      </c>
      <c r="C141" s="637">
        <v>0.4</v>
      </c>
      <c r="D141" s="440" t="s">
        <v>609</v>
      </c>
      <c r="E141" s="440" t="s">
        <v>610</v>
      </c>
      <c r="F141" s="637">
        <v>0.09</v>
      </c>
      <c r="G141" s="440" t="s">
        <v>606</v>
      </c>
      <c r="H141" s="440" t="s">
        <v>607</v>
      </c>
      <c r="I141" s="637">
        <v>0.01</v>
      </c>
      <c r="J141" s="662">
        <f t="shared" si="139"/>
        <v>0.5</v>
      </c>
      <c r="K141" s="637">
        <v>0.4</v>
      </c>
      <c r="L141" s="440" t="s">
        <v>609</v>
      </c>
      <c r="M141" s="440" t="s">
        <v>610</v>
      </c>
      <c r="N141" s="637">
        <v>0.09</v>
      </c>
      <c r="O141" s="440" t="s">
        <v>606</v>
      </c>
      <c r="P141" s="440" t="s">
        <v>607</v>
      </c>
      <c r="Q141" s="637">
        <v>0.01</v>
      </c>
      <c r="R141" s="662">
        <f t="shared" si="70"/>
        <v>0.5</v>
      </c>
      <c r="S141" s="637">
        <v>0.4</v>
      </c>
      <c r="T141" s="302" t="s">
        <v>609</v>
      </c>
      <c r="U141" s="302" t="s">
        <v>610</v>
      </c>
      <c r="V141" s="637">
        <v>0.09</v>
      </c>
      <c r="W141" s="302" t="s">
        <v>606</v>
      </c>
      <c r="X141" s="302" t="s">
        <v>607</v>
      </c>
      <c r="Y141" s="637">
        <v>0.01</v>
      </c>
      <c r="Z141" s="645">
        <f t="shared" si="71"/>
        <v>0.5</v>
      </c>
      <c r="AA141" s="637">
        <v>0.4</v>
      </c>
      <c r="AB141" s="302" t="s">
        <v>609</v>
      </c>
      <c r="AC141" s="302" t="s">
        <v>610</v>
      </c>
      <c r="AD141" s="637">
        <v>0.09</v>
      </c>
      <c r="AE141" s="302" t="s">
        <v>606</v>
      </c>
      <c r="AF141" s="302" t="s">
        <v>607</v>
      </c>
      <c r="AG141" s="637">
        <v>0.01</v>
      </c>
      <c r="AH141" s="645">
        <f t="shared" si="102"/>
        <v>0.5</v>
      </c>
      <c r="AI141" s="637">
        <v>0.4</v>
      </c>
      <c r="AJ141" s="302" t="s">
        <v>609</v>
      </c>
      <c r="AK141" s="302" t="s">
        <v>610</v>
      </c>
      <c r="AL141" s="637">
        <v>0.09</v>
      </c>
      <c r="AM141" s="302" t="s">
        <v>606</v>
      </c>
      <c r="AN141" s="302" t="s">
        <v>607</v>
      </c>
      <c r="AO141" s="637">
        <v>0.01</v>
      </c>
      <c r="AP141" s="645">
        <f t="shared" si="152"/>
        <v>0.5</v>
      </c>
      <c r="AQ141" s="637">
        <v>0.4</v>
      </c>
      <c r="AR141" s="302" t="s">
        <v>609</v>
      </c>
      <c r="AS141" s="302" t="s">
        <v>610</v>
      </c>
      <c r="AT141" s="637">
        <v>0.09</v>
      </c>
      <c r="AU141" s="302" t="s">
        <v>606</v>
      </c>
      <c r="AV141" s="302" t="s">
        <v>607</v>
      </c>
      <c r="AW141" s="637">
        <v>0.01</v>
      </c>
      <c r="AX141" s="645">
        <f t="shared" si="153"/>
        <v>0.5</v>
      </c>
      <c r="AY141" s="637">
        <v>0.4</v>
      </c>
      <c r="AZ141" s="302" t="s">
        <v>609</v>
      </c>
      <c r="BA141" s="302" t="s">
        <v>610</v>
      </c>
      <c r="BB141" s="637">
        <v>0.09</v>
      </c>
      <c r="BC141" s="302" t="s">
        <v>606</v>
      </c>
      <c r="BD141" s="302" t="s">
        <v>607</v>
      </c>
      <c r="BE141" s="637">
        <v>0.01</v>
      </c>
      <c r="BF141" s="434">
        <f t="shared" si="154"/>
        <v>0.5</v>
      </c>
      <c r="BG141" s="587">
        <v>0.4</v>
      </c>
      <c r="BH141" s="302" t="s">
        <v>609</v>
      </c>
      <c r="BI141" s="302" t="s">
        <v>610</v>
      </c>
      <c r="BJ141" s="434">
        <v>0.09</v>
      </c>
      <c r="BK141" s="302" t="s">
        <v>606</v>
      </c>
      <c r="BL141" s="302" t="s">
        <v>607</v>
      </c>
      <c r="BM141" s="434">
        <v>0.01</v>
      </c>
      <c r="BN141" s="645">
        <f t="shared" si="155"/>
        <v>0.5</v>
      </c>
      <c r="BO141" s="434"/>
      <c r="BP141" s="434">
        <v>0.4</v>
      </c>
      <c r="BQ141" s="302" t="s">
        <v>609</v>
      </c>
      <c r="BR141" s="302" t="s">
        <v>610</v>
      </c>
      <c r="BS141" s="434">
        <v>0.09</v>
      </c>
      <c r="BT141" s="302" t="s">
        <v>606</v>
      </c>
      <c r="BU141" s="302" t="s">
        <v>607</v>
      </c>
      <c r="BV141" s="434">
        <v>0.01</v>
      </c>
      <c r="BW141" s="645">
        <f t="shared" si="156"/>
        <v>0.5</v>
      </c>
      <c r="BX141" s="434">
        <v>0.4</v>
      </c>
      <c r="BY141" s="302" t="s">
        <v>609</v>
      </c>
      <c r="BZ141" s="302" t="s">
        <v>610</v>
      </c>
      <c r="CA141" s="434">
        <v>0.09</v>
      </c>
      <c r="CB141" s="302" t="s">
        <v>606</v>
      </c>
      <c r="CC141" s="302" t="s">
        <v>607</v>
      </c>
      <c r="CD141" s="434">
        <v>0.01</v>
      </c>
      <c r="CE141" s="434">
        <f t="shared" si="157"/>
        <v>0.5</v>
      </c>
      <c r="CF141" s="1620" t="s">
        <v>1166</v>
      </c>
      <c r="CG141" s="1620" t="s">
        <v>1166</v>
      </c>
      <c r="CH141" s="1620" t="s">
        <v>1166</v>
      </c>
      <c r="CI141" s="406"/>
      <c r="CJ141" s="642">
        <v>0.64700000000000002</v>
      </c>
      <c r="CK141" s="591" t="s">
        <v>862</v>
      </c>
      <c r="CL141" s="302" t="s">
        <v>609</v>
      </c>
      <c r="CM141" s="302" t="s">
        <v>610</v>
      </c>
      <c r="CN141" s="637">
        <v>0.59</v>
      </c>
      <c r="CO141" s="302" t="s">
        <v>606</v>
      </c>
      <c r="CP141" s="302" t="s">
        <v>607</v>
      </c>
      <c r="CQ141" s="637">
        <v>0.01</v>
      </c>
    </row>
    <row r="142" spans="1:95" ht="15.75" customHeight="1" x14ac:dyDescent="0.2">
      <c r="A142" s="661" t="s">
        <v>163</v>
      </c>
      <c r="B142" s="440" t="s">
        <v>162</v>
      </c>
      <c r="C142" s="637">
        <v>0.49</v>
      </c>
      <c r="D142" s="440" t="s">
        <v>508</v>
      </c>
      <c r="E142" s="440" t="s">
        <v>660</v>
      </c>
      <c r="F142" s="637">
        <v>0</v>
      </c>
      <c r="G142" s="440" t="s">
        <v>671</v>
      </c>
      <c r="H142" s="440" t="s">
        <v>672</v>
      </c>
      <c r="I142" s="637">
        <v>0.01</v>
      </c>
      <c r="J142" s="662">
        <f t="shared" si="139"/>
        <v>0.5</v>
      </c>
      <c r="K142" s="637">
        <v>0.49</v>
      </c>
      <c r="L142" s="440" t="s">
        <v>508</v>
      </c>
      <c r="M142" s="440" t="s">
        <v>660</v>
      </c>
      <c r="N142" s="637">
        <v>0</v>
      </c>
      <c r="O142" s="440" t="s">
        <v>671</v>
      </c>
      <c r="P142" s="440" t="s">
        <v>672</v>
      </c>
      <c r="Q142" s="637">
        <v>0.01</v>
      </c>
      <c r="R142" s="662">
        <f t="shared" si="70"/>
        <v>0.5</v>
      </c>
      <c r="S142" s="637">
        <v>0.49</v>
      </c>
      <c r="T142" s="302" t="s">
        <v>508</v>
      </c>
      <c r="U142" s="302" t="s">
        <v>660</v>
      </c>
      <c r="V142" s="637">
        <v>0</v>
      </c>
      <c r="W142" s="302" t="s">
        <v>671</v>
      </c>
      <c r="X142" s="302" t="s">
        <v>672</v>
      </c>
      <c r="Y142" s="637">
        <v>0.01</v>
      </c>
      <c r="Z142" s="645">
        <f t="shared" si="71"/>
        <v>0.5</v>
      </c>
      <c r="AA142" s="637">
        <v>0.49</v>
      </c>
      <c r="AB142" s="302" t="s">
        <v>508</v>
      </c>
      <c r="AC142" s="302" t="s">
        <v>660</v>
      </c>
      <c r="AD142" s="637">
        <v>0</v>
      </c>
      <c r="AE142" s="302" t="s">
        <v>671</v>
      </c>
      <c r="AF142" s="302" t="s">
        <v>672</v>
      </c>
      <c r="AG142" s="637">
        <v>0.01</v>
      </c>
      <c r="AH142" s="645">
        <f t="shared" si="102"/>
        <v>0.5</v>
      </c>
      <c r="AI142" s="637">
        <v>0.49</v>
      </c>
      <c r="AJ142" s="302" t="s">
        <v>508</v>
      </c>
      <c r="AK142" s="302" t="s">
        <v>660</v>
      </c>
      <c r="AL142" s="637">
        <v>0</v>
      </c>
      <c r="AM142" s="302" t="s">
        <v>671</v>
      </c>
      <c r="AN142" s="302" t="s">
        <v>672</v>
      </c>
      <c r="AO142" s="637">
        <v>0.01</v>
      </c>
      <c r="AP142" s="645">
        <f t="shared" ref="AP142:AP143" si="158">+AI142+AL142+AO142</f>
        <v>0.5</v>
      </c>
      <c r="AQ142" s="637">
        <v>0.49</v>
      </c>
      <c r="AR142" s="302" t="s">
        <v>508</v>
      </c>
      <c r="AS142" s="302" t="s">
        <v>660</v>
      </c>
      <c r="AT142" s="637">
        <v>0</v>
      </c>
      <c r="AU142" s="302" t="s">
        <v>671</v>
      </c>
      <c r="AV142" s="302" t="s">
        <v>672</v>
      </c>
      <c r="AW142" s="637">
        <v>0.01</v>
      </c>
      <c r="AX142" s="645">
        <f t="shared" ref="AX142:AX143" si="159">+AQ142+AT142+AW142</f>
        <v>0.5</v>
      </c>
      <c r="AY142" s="637">
        <v>0.74</v>
      </c>
      <c r="AZ142" s="302" t="s">
        <v>508</v>
      </c>
      <c r="BA142" s="302" t="s">
        <v>660</v>
      </c>
      <c r="BB142" s="637">
        <v>0</v>
      </c>
      <c r="BC142" s="302" t="s">
        <v>671</v>
      </c>
      <c r="BD142" s="302" t="s">
        <v>672</v>
      </c>
      <c r="BE142" s="637">
        <v>0.01</v>
      </c>
      <c r="BF142" s="434">
        <f t="shared" ref="BF142:BF143" si="160">+AY142+BB142+BE142</f>
        <v>0.75</v>
      </c>
      <c r="BG142" s="587">
        <v>0.99</v>
      </c>
      <c r="BH142" s="302" t="s">
        <v>508</v>
      </c>
      <c r="BI142" s="302" t="s">
        <v>660</v>
      </c>
      <c r="BJ142" s="434">
        <v>0</v>
      </c>
      <c r="BK142" s="302" t="s">
        <v>671</v>
      </c>
      <c r="BL142" s="302" t="s">
        <v>672</v>
      </c>
      <c r="BM142" s="434">
        <v>0.01</v>
      </c>
      <c r="BN142" s="645">
        <f t="shared" ref="BN142:BN143" si="161">+BG142+BJ142+BM142</f>
        <v>1</v>
      </c>
      <c r="BO142" s="434"/>
      <c r="BP142" s="434">
        <v>0.49</v>
      </c>
      <c r="BQ142" s="302" t="s">
        <v>508</v>
      </c>
      <c r="BR142" s="302" t="s">
        <v>660</v>
      </c>
      <c r="BS142" s="434">
        <v>0</v>
      </c>
      <c r="BT142" s="302" t="s">
        <v>671</v>
      </c>
      <c r="BU142" s="302" t="s">
        <v>672</v>
      </c>
      <c r="BV142" s="434">
        <v>0.01</v>
      </c>
      <c r="BW142" s="645">
        <f t="shared" ref="BW142:BW143" si="162">+BP142+BS142+BV142</f>
        <v>0.5</v>
      </c>
      <c r="BX142" s="434">
        <v>0.49</v>
      </c>
      <c r="BY142" s="302" t="s">
        <v>508</v>
      </c>
      <c r="BZ142" s="302" t="s">
        <v>660</v>
      </c>
      <c r="CA142" s="434">
        <v>0</v>
      </c>
      <c r="CB142" s="302" t="s">
        <v>671</v>
      </c>
      <c r="CC142" s="302" t="s">
        <v>672</v>
      </c>
      <c r="CD142" s="434">
        <v>0.01</v>
      </c>
      <c r="CE142" s="434">
        <f t="shared" ref="CE142:CE143" si="163">+BX142+CA142+CD142</f>
        <v>0.5</v>
      </c>
      <c r="CF142" s="1620" t="s">
        <v>862</v>
      </c>
      <c r="CG142" s="1620" t="s">
        <v>1166</v>
      </c>
      <c r="CH142" s="1620" t="s">
        <v>1166</v>
      </c>
      <c r="CI142" s="408" t="s">
        <v>862</v>
      </c>
      <c r="CJ142" s="642">
        <v>0.69099999999999995</v>
      </c>
      <c r="CK142" s="591" t="s">
        <v>922</v>
      </c>
      <c r="CL142" s="302" t="s">
        <v>508</v>
      </c>
      <c r="CM142" s="302" t="s">
        <v>660</v>
      </c>
      <c r="CN142" s="637">
        <v>0</v>
      </c>
      <c r="CO142" s="302" t="s">
        <v>671</v>
      </c>
      <c r="CP142" s="302" t="s">
        <v>672</v>
      </c>
      <c r="CQ142" s="637">
        <v>0.01</v>
      </c>
    </row>
    <row r="143" spans="1:95" ht="15.75" customHeight="1" x14ac:dyDescent="0.2">
      <c r="A143" s="661" t="s">
        <v>165</v>
      </c>
      <c r="B143" s="776" t="s">
        <v>611</v>
      </c>
      <c r="C143" s="637">
        <v>0.49</v>
      </c>
      <c r="D143" s="440" t="s">
        <v>508</v>
      </c>
      <c r="E143" s="440" t="s">
        <v>509</v>
      </c>
      <c r="F143" s="637">
        <v>0</v>
      </c>
      <c r="G143" s="440" t="s">
        <v>612</v>
      </c>
      <c r="H143" s="440" t="s">
        <v>613</v>
      </c>
      <c r="I143" s="637">
        <v>0.01</v>
      </c>
      <c r="J143" s="662">
        <f t="shared" si="139"/>
        <v>0.5</v>
      </c>
      <c r="K143" s="637">
        <v>0.49</v>
      </c>
      <c r="L143" s="440" t="s">
        <v>508</v>
      </c>
      <c r="M143" s="440" t="s">
        <v>509</v>
      </c>
      <c r="N143" s="637">
        <v>0</v>
      </c>
      <c r="O143" s="440" t="s">
        <v>612</v>
      </c>
      <c r="P143" s="440" t="s">
        <v>613</v>
      </c>
      <c r="Q143" s="637">
        <v>0.01</v>
      </c>
      <c r="R143" s="662">
        <f t="shared" si="70"/>
        <v>0.5</v>
      </c>
      <c r="S143" s="637">
        <v>0.49</v>
      </c>
      <c r="T143" s="302" t="s">
        <v>508</v>
      </c>
      <c r="U143" s="302" t="s">
        <v>509</v>
      </c>
      <c r="V143" s="637">
        <v>0</v>
      </c>
      <c r="W143" s="302" t="s">
        <v>612</v>
      </c>
      <c r="X143" s="302" t="s">
        <v>613</v>
      </c>
      <c r="Y143" s="637">
        <v>0.01</v>
      </c>
      <c r="Z143" s="645">
        <f t="shared" si="71"/>
        <v>0.5</v>
      </c>
      <c r="AA143" s="637">
        <v>0.49</v>
      </c>
      <c r="AB143" s="302" t="s">
        <v>508</v>
      </c>
      <c r="AC143" s="302" t="s">
        <v>509</v>
      </c>
      <c r="AD143" s="637">
        <v>0</v>
      </c>
      <c r="AE143" s="302" t="s">
        <v>612</v>
      </c>
      <c r="AF143" s="302" t="s">
        <v>613</v>
      </c>
      <c r="AG143" s="637">
        <v>0.01</v>
      </c>
      <c r="AH143" s="645">
        <f t="shared" si="102"/>
        <v>0.5</v>
      </c>
      <c r="AI143" s="637">
        <v>0.49</v>
      </c>
      <c r="AJ143" s="302" t="s">
        <v>508</v>
      </c>
      <c r="AK143" s="302" t="s">
        <v>509</v>
      </c>
      <c r="AL143" s="637">
        <v>0</v>
      </c>
      <c r="AM143" s="302" t="s">
        <v>612</v>
      </c>
      <c r="AN143" s="302" t="s">
        <v>613</v>
      </c>
      <c r="AO143" s="637">
        <v>0.01</v>
      </c>
      <c r="AP143" s="645">
        <f t="shared" si="158"/>
        <v>0.5</v>
      </c>
      <c r="AQ143" s="637">
        <v>0.49</v>
      </c>
      <c r="AR143" s="302" t="s">
        <v>508</v>
      </c>
      <c r="AS143" s="302" t="s">
        <v>509</v>
      </c>
      <c r="AT143" s="637">
        <v>0</v>
      </c>
      <c r="AU143" s="302" t="s">
        <v>612</v>
      </c>
      <c r="AV143" s="302" t="s">
        <v>613</v>
      </c>
      <c r="AW143" s="637">
        <v>0.01</v>
      </c>
      <c r="AX143" s="645">
        <f t="shared" si="159"/>
        <v>0.5</v>
      </c>
      <c r="AY143" s="637">
        <v>0.74</v>
      </c>
      <c r="AZ143" s="302" t="s">
        <v>508</v>
      </c>
      <c r="BA143" s="302" t="s">
        <v>509</v>
      </c>
      <c r="BB143" s="637">
        <v>0</v>
      </c>
      <c r="BC143" s="302" t="s">
        <v>612</v>
      </c>
      <c r="BD143" s="302" t="s">
        <v>613</v>
      </c>
      <c r="BE143" s="637">
        <v>0.01</v>
      </c>
      <c r="BF143" s="434">
        <f t="shared" si="160"/>
        <v>0.75</v>
      </c>
      <c r="BG143" s="587">
        <v>0.49</v>
      </c>
      <c r="BH143" s="302" t="s">
        <v>508</v>
      </c>
      <c r="BI143" s="302" t="s">
        <v>509</v>
      </c>
      <c r="BJ143" s="434">
        <v>0</v>
      </c>
      <c r="BK143" s="302" t="s">
        <v>612</v>
      </c>
      <c r="BL143" s="302" t="s">
        <v>613</v>
      </c>
      <c r="BM143" s="434">
        <v>0.01</v>
      </c>
      <c r="BN143" s="645">
        <f t="shared" si="161"/>
        <v>0.5</v>
      </c>
      <c r="BO143" s="434"/>
      <c r="BP143" s="434">
        <v>0.49</v>
      </c>
      <c r="BQ143" s="302" t="s">
        <v>508</v>
      </c>
      <c r="BR143" s="302" t="s">
        <v>509</v>
      </c>
      <c r="BS143" s="434">
        <v>0</v>
      </c>
      <c r="BT143" s="302" t="s">
        <v>612</v>
      </c>
      <c r="BU143" s="302" t="s">
        <v>613</v>
      </c>
      <c r="BV143" s="434">
        <v>0.01</v>
      </c>
      <c r="BW143" s="645">
        <f t="shared" si="162"/>
        <v>0.5</v>
      </c>
      <c r="BX143" s="434">
        <v>0.49</v>
      </c>
      <c r="BY143" s="302" t="s">
        <v>508</v>
      </c>
      <c r="BZ143" s="302" t="s">
        <v>509</v>
      </c>
      <c r="CA143" s="434">
        <v>0</v>
      </c>
      <c r="CB143" s="302" t="s">
        <v>612</v>
      </c>
      <c r="CC143" s="302" t="s">
        <v>613</v>
      </c>
      <c r="CD143" s="434">
        <v>0.01</v>
      </c>
      <c r="CE143" s="434">
        <f t="shared" si="163"/>
        <v>0.5</v>
      </c>
      <c r="CF143" s="1620" t="s">
        <v>862</v>
      </c>
      <c r="CG143" s="1620" t="s">
        <v>1166</v>
      </c>
      <c r="CH143" s="1620" t="s">
        <v>1166</v>
      </c>
      <c r="CI143" s="408" t="s">
        <v>862</v>
      </c>
      <c r="CJ143" s="642">
        <v>0.68799999999999994</v>
      </c>
      <c r="CK143" s="591" t="s">
        <v>922</v>
      </c>
      <c r="CL143" s="302" t="s">
        <v>508</v>
      </c>
      <c r="CM143" s="302" t="s">
        <v>509</v>
      </c>
      <c r="CN143" s="637">
        <v>0</v>
      </c>
      <c r="CO143" s="302" t="s">
        <v>612</v>
      </c>
      <c r="CP143" s="302" t="s">
        <v>613</v>
      </c>
      <c r="CQ143" s="637">
        <v>0.01</v>
      </c>
    </row>
    <row r="144" spans="1:95" ht="15.75" customHeight="1" x14ac:dyDescent="0.2">
      <c r="A144" s="661" t="s">
        <v>167</v>
      </c>
      <c r="B144" s="440" t="s">
        <v>166</v>
      </c>
      <c r="C144" s="637">
        <v>0.4</v>
      </c>
      <c r="D144" s="440" t="s">
        <v>569</v>
      </c>
      <c r="E144" s="440" t="s">
        <v>570</v>
      </c>
      <c r="F144" s="637">
        <v>0.09</v>
      </c>
      <c r="G144" s="440" t="s">
        <v>567</v>
      </c>
      <c r="H144" s="440" t="s">
        <v>568</v>
      </c>
      <c r="I144" s="637">
        <v>0.01</v>
      </c>
      <c r="J144" s="662">
        <f t="shared" si="139"/>
        <v>0.5</v>
      </c>
      <c r="K144" s="637">
        <v>0.4</v>
      </c>
      <c r="L144" s="440" t="s">
        <v>569</v>
      </c>
      <c r="M144" s="440" t="s">
        <v>570</v>
      </c>
      <c r="N144" s="637">
        <v>0.09</v>
      </c>
      <c r="O144" s="440" t="s">
        <v>567</v>
      </c>
      <c r="P144" s="440" t="s">
        <v>568</v>
      </c>
      <c r="Q144" s="637">
        <v>0.01</v>
      </c>
      <c r="R144" s="662">
        <f t="shared" si="70"/>
        <v>0.5</v>
      </c>
      <c r="S144" s="637">
        <v>0.4</v>
      </c>
      <c r="T144" s="302" t="s">
        <v>569</v>
      </c>
      <c r="U144" s="302" t="s">
        <v>570</v>
      </c>
      <c r="V144" s="637">
        <v>0.09</v>
      </c>
      <c r="W144" s="302" t="s">
        <v>567</v>
      </c>
      <c r="X144" s="302" t="s">
        <v>568</v>
      </c>
      <c r="Y144" s="637">
        <v>0.01</v>
      </c>
      <c r="Z144" s="645">
        <f t="shared" si="71"/>
        <v>0.5</v>
      </c>
      <c r="AA144" s="637">
        <v>0.4</v>
      </c>
      <c r="AB144" s="302" t="s">
        <v>569</v>
      </c>
      <c r="AC144" s="302" t="s">
        <v>570</v>
      </c>
      <c r="AD144" s="637">
        <v>0.09</v>
      </c>
      <c r="AE144" s="302" t="s">
        <v>567</v>
      </c>
      <c r="AF144" s="302" t="s">
        <v>568</v>
      </c>
      <c r="AG144" s="637">
        <v>0.01</v>
      </c>
      <c r="AH144" s="645">
        <f t="shared" si="102"/>
        <v>0.5</v>
      </c>
      <c r="AI144" s="637">
        <v>0.4</v>
      </c>
      <c r="AJ144" s="302" t="s">
        <v>569</v>
      </c>
      <c r="AK144" s="302" t="s">
        <v>570</v>
      </c>
      <c r="AL144" s="637">
        <v>0.09</v>
      </c>
      <c r="AM144" s="302" t="s">
        <v>567</v>
      </c>
      <c r="AN144" s="302" t="s">
        <v>568</v>
      </c>
      <c r="AO144" s="637">
        <v>0.01</v>
      </c>
      <c r="AP144" s="645">
        <f t="shared" ref="AP144:AP145" si="164">+AI144+AL144+AO144</f>
        <v>0.5</v>
      </c>
      <c r="AQ144" s="637">
        <v>0.4</v>
      </c>
      <c r="AR144" s="302" t="s">
        <v>569</v>
      </c>
      <c r="AS144" s="302" t="s">
        <v>570</v>
      </c>
      <c r="AT144" s="637">
        <v>0.09</v>
      </c>
      <c r="AU144" s="302" t="s">
        <v>567</v>
      </c>
      <c r="AV144" s="302" t="s">
        <v>568</v>
      </c>
      <c r="AW144" s="637">
        <v>0.01</v>
      </c>
      <c r="AX144" s="645">
        <f t="shared" ref="AX144:AX145" si="165">+AQ144+AT144+AW144</f>
        <v>0.5</v>
      </c>
      <c r="AY144" s="637">
        <v>0.44</v>
      </c>
      <c r="AZ144" s="302" t="s">
        <v>569</v>
      </c>
      <c r="BA144" s="302" t="s">
        <v>570</v>
      </c>
      <c r="BB144" s="637">
        <v>0.26</v>
      </c>
      <c r="BC144" s="302" t="s">
        <v>567</v>
      </c>
      <c r="BD144" s="302" t="s">
        <v>568</v>
      </c>
      <c r="BE144" s="637">
        <v>0.05</v>
      </c>
      <c r="BF144" s="434">
        <f t="shared" ref="BF144:BF145" si="166">+AY144+BB144+BE144</f>
        <v>0.75</v>
      </c>
      <c r="BG144" s="587">
        <v>0.4</v>
      </c>
      <c r="BH144" s="302" t="s">
        <v>569</v>
      </c>
      <c r="BI144" s="302" t="s">
        <v>570</v>
      </c>
      <c r="BJ144" s="434">
        <v>0.09</v>
      </c>
      <c r="BK144" s="302" t="s">
        <v>567</v>
      </c>
      <c r="BL144" s="302" t="s">
        <v>568</v>
      </c>
      <c r="BM144" s="434">
        <v>0.01</v>
      </c>
      <c r="BN144" s="645">
        <f t="shared" ref="BN144:BN145" si="167">+BG144+BJ144+BM144</f>
        <v>0.5</v>
      </c>
      <c r="BO144" s="434"/>
      <c r="BP144" s="434">
        <v>0.4</v>
      </c>
      <c r="BQ144" s="302" t="s">
        <v>569</v>
      </c>
      <c r="BR144" s="302" t="s">
        <v>570</v>
      </c>
      <c r="BS144" s="434">
        <v>0.09</v>
      </c>
      <c r="BT144" s="302" t="s">
        <v>567</v>
      </c>
      <c r="BU144" s="302" t="s">
        <v>568</v>
      </c>
      <c r="BV144" s="434">
        <v>0.01</v>
      </c>
      <c r="BW144" s="645">
        <f t="shared" ref="BW144:BW145" si="168">+BP144+BS144+BV144</f>
        <v>0.5</v>
      </c>
      <c r="BX144" s="434">
        <v>0.4</v>
      </c>
      <c r="BY144" s="302" t="s">
        <v>569</v>
      </c>
      <c r="BZ144" s="302" t="s">
        <v>570</v>
      </c>
      <c r="CA144" s="434">
        <v>0.09</v>
      </c>
      <c r="CB144" s="302" t="s">
        <v>567</v>
      </c>
      <c r="CC144" s="302" t="s">
        <v>568</v>
      </c>
      <c r="CD144" s="434">
        <v>0.01</v>
      </c>
      <c r="CE144" s="434">
        <f t="shared" ref="CE144:CE145" si="169">+BX144+CA144+CD144</f>
        <v>0.5</v>
      </c>
      <c r="CF144" s="1620" t="s">
        <v>862</v>
      </c>
      <c r="CG144" s="1620" t="s">
        <v>1166</v>
      </c>
      <c r="CH144" s="1620" t="s">
        <v>1166</v>
      </c>
      <c r="CI144" s="406"/>
      <c r="CJ144" s="642">
        <v>0.68200000000000005</v>
      </c>
      <c r="CK144" s="591" t="s">
        <v>922</v>
      </c>
      <c r="CL144" s="302" t="s">
        <v>569</v>
      </c>
      <c r="CM144" s="302" t="s">
        <v>570</v>
      </c>
      <c r="CN144" s="637">
        <v>0.59</v>
      </c>
      <c r="CO144" s="302" t="s">
        <v>567</v>
      </c>
      <c r="CP144" s="302" t="s">
        <v>568</v>
      </c>
      <c r="CQ144" s="637">
        <v>0.01</v>
      </c>
    </row>
    <row r="145" spans="1:95" ht="15.75" customHeight="1" x14ac:dyDescent="0.2">
      <c r="A145" s="661" t="s">
        <v>169</v>
      </c>
      <c r="B145" s="440" t="s">
        <v>168</v>
      </c>
      <c r="C145" s="637">
        <v>0.3</v>
      </c>
      <c r="D145" s="440" t="s">
        <v>674</v>
      </c>
      <c r="E145" s="440" t="s">
        <v>675</v>
      </c>
      <c r="F145" s="637">
        <v>0.37</v>
      </c>
      <c r="G145" s="440" t="s">
        <v>508</v>
      </c>
      <c r="H145" s="440" t="s">
        <v>508</v>
      </c>
      <c r="I145" s="637">
        <v>0</v>
      </c>
      <c r="J145" s="662">
        <f t="shared" si="139"/>
        <v>0.66999999999999993</v>
      </c>
      <c r="K145" s="637">
        <v>0.3</v>
      </c>
      <c r="L145" s="440" t="s">
        <v>674</v>
      </c>
      <c r="M145" s="440" t="s">
        <v>675</v>
      </c>
      <c r="N145" s="637">
        <v>0.37</v>
      </c>
      <c r="O145" s="440" t="s">
        <v>508</v>
      </c>
      <c r="P145" s="440" t="s">
        <v>508</v>
      </c>
      <c r="Q145" s="637">
        <v>0</v>
      </c>
      <c r="R145" s="662">
        <f t="shared" si="70"/>
        <v>0.66999999999999993</v>
      </c>
      <c r="S145" s="637">
        <v>0.3</v>
      </c>
      <c r="T145" s="302" t="s">
        <v>674</v>
      </c>
      <c r="U145" s="302" t="s">
        <v>675</v>
      </c>
      <c r="V145" s="637">
        <v>0.37</v>
      </c>
      <c r="W145" s="302" t="s">
        <v>508</v>
      </c>
      <c r="X145" s="302" t="s">
        <v>508</v>
      </c>
      <c r="Y145" s="637">
        <v>0</v>
      </c>
      <c r="Z145" s="645">
        <f t="shared" si="71"/>
        <v>0.66999999999999993</v>
      </c>
      <c r="AA145" s="637">
        <v>0.3</v>
      </c>
      <c r="AB145" s="302" t="s">
        <v>674</v>
      </c>
      <c r="AC145" s="302" t="s">
        <v>675</v>
      </c>
      <c r="AD145" s="637">
        <v>0.37</v>
      </c>
      <c r="AE145" s="302" t="s">
        <v>508</v>
      </c>
      <c r="AF145" s="302" t="s">
        <v>508</v>
      </c>
      <c r="AG145" s="637">
        <v>0</v>
      </c>
      <c r="AH145" s="645">
        <f t="shared" si="102"/>
        <v>0.66999999999999993</v>
      </c>
      <c r="AI145" s="637">
        <v>0.3</v>
      </c>
      <c r="AJ145" s="302" t="s">
        <v>674</v>
      </c>
      <c r="AK145" s="302" t="s">
        <v>675</v>
      </c>
      <c r="AL145" s="637">
        <v>0.37</v>
      </c>
      <c r="AM145" s="302" t="s">
        <v>508</v>
      </c>
      <c r="AN145" s="302" t="s">
        <v>508</v>
      </c>
      <c r="AO145" s="637">
        <v>0</v>
      </c>
      <c r="AP145" s="645">
        <f t="shared" si="164"/>
        <v>0.66999999999999993</v>
      </c>
      <c r="AQ145" s="637">
        <v>0.3</v>
      </c>
      <c r="AR145" s="302" t="s">
        <v>674</v>
      </c>
      <c r="AS145" s="302" t="s">
        <v>675</v>
      </c>
      <c r="AT145" s="637">
        <v>0.37</v>
      </c>
      <c r="AU145" s="302" t="s">
        <v>508</v>
      </c>
      <c r="AV145" s="302" t="s">
        <v>508</v>
      </c>
      <c r="AW145" s="637">
        <v>0</v>
      </c>
      <c r="AX145" s="645">
        <f t="shared" si="165"/>
        <v>0.66999999999999993</v>
      </c>
      <c r="AY145" s="637">
        <v>0.48</v>
      </c>
      <c r="AZ145" s="302" t="s">
        <v>674</v>
      </c>
      <c r="BA145" s="302" t="s">
        <v>675</v>
      </c>
      <c r="BB145" s="637">
        <v>0.27</v>
      </c>
      <c r="BC145" s="302" t="s">
        <v>508</v>
      </c>
      <c r="BD145" s="302" t="s">
        <v>508</v>
      </c>
      <c r="BE145" s="637">
        <v>0</v>
      </c>
      <c r="BF145" s="434">
        <f t="shared" si="166"/>
        <v>0.75</v>
      </c>
      <c r="BG145" s="587">
        <v>0.64</v>
      </c>
      <c r="BH145" s="302" t="s">
        <v>674</v>
      </c>
      <c r="BI145" s="302" t="s">
        <v>675</v>
      </c>
      <c r="BJ145" s="434">
        <v>0.36</v>
      </c>
      <c r="BK145" s="302" t="s">
        <v>508</v>
      </c>
      <c r="BL145" s="302" t="s">
        <v>508</v>
      </c>
      <c r="BM145" s="434">
        <v>0</v>
      </c>
      <c r="BN145" s="645">
        <f t="shared" si="167"/>
        <v>1</v>
      </c>
      <c r="BO145" s="434"/>
      <c r="BP145" s="434">
        <v>0.3</v>
      </c>
      <c r="BQ145" s="302" t="s">
        <v>674</v>
      </c>
      <c r="BR145" s="302" t="s">
        <v>675</v>
      </c>
      <c r="BS145" s="434">
        <v>0.37</v>
      </c>
      <c r="BT145" s="302" t="s">
        <v>508</v>
      </c>
      <c r="BU145" s="302" t="s">
        <v>508</v>
      </c>
      <c r="BV145" s="434">
        <v>0</v>
      </c>
      <c r="BW145" s="645">
        <f t="shared" si="168"/>
        <v>0.66999999999999993</v>
      </c>
      <c r="BX145" s="434">
        <v>0.3</v>
      </c>
      <c r="BY145" s="302" t="s">
        <v>674</v>
      </c>
      <c r="BZ145" s="302" t="s">
        <v>675</v>
      </c>
      <c r="CA145" s="434">
        <v>0.2</v>
      </c>
      <c r="CB145" s="302" t="s">
        <v>508</v>
      </c>
      <c r="CC145" s="302" t="s">
        <v>508</v>
      </c>
      <c r="CD145" s="434">
        <v>0</v>
      </c>
      <c r="CE145" s="434">
        <f t="shared" si="169"/>
        <v>0.5</v>
      </c>
      <c r="CF145" s="1620" t="s">
        <v>1166</v>
      </c>
      <c r="CG145" s="1620" t="s">
        <v>1166</v>
      </c>
      <c r="CH145" s="1620" t="s">
        <v>1166</v>
      </c>
      <c r="CI145" s="408" t="s">
        <v>862</v>
      </c>
      <c r="CJ145" s="642">
        <v>0.749</v>
      </c>
      <c r="CK145" s="591" t="s">
        <v>922</v>
      </c>
      <c r="CL145" s="302" t="s">
        <v>674</v>
      </c>
      <c r="CM145" s="302" t="s">
        <v>675</v>
      </c>
      <c r="CN145" s="637">
        <v>0.2</v>
      </c>
      <c r="CO145" s="302" t="s">
        <v>508</v>
      </c>
      <c r="CP145" s="302" t="s">
        <v>508</v>
      </c>
      <c r="CQ145" s="637">
        <v>0</v>
      </c>
    </row>
    <row r="146" spans="1:95" ht="15.75" customHeight="1" x14ac:dyDescent="0.2">
      <c r="A146" s="661" t="s">
        <v>171</v>
      </c>
      <c r="B146" s="440" t="s">
        <v>170</v>
      </c>
      <c r="C146" s="637">
        <v>0.4</v>
      </c>
      <c r="D146" s="440" t="s">
        <v>645</v>
      </c>
      <c r="E146" s="440" t="s">
        <v>646</v>
      </c>
      <c r="F146" s="637">
        <v>0.09</v>
      </c>
      <c r="G146" s="440" t="s">
        <v>643</v>
      </c>
      <c r="H146" s="440" t="s">
        <v>1201</v>
      </c>
      <c r="I146" s="637">
        <v>0.01</v>
      </c>
      <c r="J146" s="662">
        <f t="shared" si="139"/>
        <v>0.5</v>
      </c>
      <c r="K146" s="637">
        <v>0.4</v>
      </c>
      <c r="L146" s="440" t="s">
        <v>645</v>
      </c>
      <c r="M146" s="440" t="s">
        <v>646</v>
      </c>
      <c r="N146" s="637">
        <v>0.09</v>
      </c>
      <c r="O146" s="440" t="s">
        <v>643</v>
      </c>
      <c r="P146" s="440" t="s">
        <v>1201</v>
      </c>
      <c r="Q146" s="637">
        <v>0.01</v>
      </c>
      <c r="R146" s="662">
        <f t="shared" si="70"/>
        <v>0.5</v>
      </c>
      <c r="S146" s="637">
        <v>0.4</v>
      </c>
      <c r="T146" s="302" t="s">
        <v>645</v>
      </c>
      <c r="U146" s="302" t="s">
        <v>646</v>
      </c>
      <c r="V146" s="637">
        <v>0.09</v>
      </c>
      <c r="W146" s="302" t="s">
        <v>643</v>
      </c>
      <c r="X146" s="302" t="s">
        <v>1201</v>
      </c>
      <c r="Y146" s="637">
        <v>0.01</v>
      </c>
      <c r="Z146" s="645">
        <f t="shared" si="71"/>
        <v>0.5</v>
      </c>
      <c r="AA146" s="637">
        <v>0.4</v>
      </c>
      <c r="AB146" s="302" t="s">
        <v>645</v>
      </c>
      <c r="AC146" s="302" t="s">
        <v>646</v>
      </c>
      <c r="AD146" s="637">
        <v>0.09</v>
      </c>
      <c r="AE146" s="302" t="s">
        <v>643</v>
      </c>
      <c r="AF146" s="302" t="s">
        <v>1201</v>
      </c>
      <c r="AG146" s="637">
        <v>0.01</v>
      </c>
      <c r="AH146" s="645">
        <f t="shared" si="102"/>
        <v>0.5</v>
      </c>
      <c r="AI146" s="637">
        <v>0.4</v>
      </c>
      <c r="AJ146" s="302" t="s">
        <v>645</v>
      </c>
      <c r="AK146" s="302" t="s">
        <v>646</v>
      </c>
      <c r="AL146" s="637">
        <v>0.09</v>
      </c>
      <c r="AM146" s="302" t="s">
        <v>643</v>
      </c>
      <c r="AN146" s="302" t="s">
        <v>1201</v>
      </c>
      <c r="AO146" s="637">
        <v>0.01</v>
      </c>
      <c r="AP146" s="645">
        <f t="shared" ref="AP146:AP147" si="170">+AI146+AL146+AO146</f>
        <v>0.5</v>
      </c>
      <c r="AQ146" s="637">
        <v>0.4</v>
      </c>
      <c r="AR146" s="302" t="s">
        <v>645</v>
      </c>
      <c r="AS146" s="302" t="s">
        <v>646</v>
      </c>
      <c r="AT146" s="637">
        <v>0.09</v>
      </c>
      <c r="AU146" s="302" t="s">
        <v>643</v>
      </c>
      <c r="AV146" s="302" t="s">
        <v>1201</v>
      </c>
      <c r="AW146" s="637">
        <v>0.01</v>
      </c>
      <c r="AX146" s="645">
        <f t="shared" ref="AX146:AX147" si="171">+AQ146+AT146+AW146</f>
        <v>0.5</v>
      </c>
      <c r="AY146" s="637">
        <v>0.4</v>
      </c>
      <c r="AZ146" s="302" t="s">
        <v>645</v>
      </c>
      <c r="BA146" s="302" t="s">
        <v>646</v>
      </c>
      <c r="BB146" s="637">
        <v>0.33999999999999997</v>
      </c>
      <c r="BC146" s="302" t="s">
        <v>643</v>
      </c>
      <c r="BD146" s="302" t="s">
        <v>1201</v>
      </c>
      <c r="BE146" s="637">
        <v>0.01</v>
      </c>
      <c r="BF146" s="434">
        <f t="shared" ref="BF146:BF147" si="172">+AY146+BB146+BE146</f>
        <v>0.75</v>
      </c>
      <c r="BG146" s="587">
        <v>0.4</v>
      </c>
      <c r="BH146" s="302" t="s">
        <v>645</v>
      </c>
      <c r="BI146" s="302" t="s">
        <v>646</v>
      </c>
      <c r="BJ146" s="434">
        <v>0.09</v>
      </c>
      <c r="BK146" s="302" t="s">
        <v>643</v>
      </c>
      <c r="BL146" s="302" t="s">
        <v>644</v>
      </c>
      <c r="BM146" s="434">
        <v>0.01</v>
      </c>
      <c r="BN146" s="645">
        <f t="shared" ref="BN146:BN147" si="173">+BG146+BJ146+BM146</f>
        <v>0.5</v>
      </c>
      <c r="BO146" s="434"/>
      <c r="BP146" s="434">
        <v>0.4</v>
      </c>
      <c r="BQ146" s="302" t="s">
        <v>645</v>
      </c>
      <c r="BR146" s="302" t="s">
        <v>646</v>
      </c>
      <c r="BS146" s="434">
        <v>0.09</v>
      </c>
      <c r="BT146" s="302" t="s">
        <v>643</v>
      </c>
      <c r="BU146" s="302" t="s">
        <v>644</v>
      </c>
      <c r="BV146" s="434">
        <v>0.01</v>
      </c>
      <c r="BW146" s="645">
        <f t="shared" ref="BW146:BW147" si="174">+BP146+BS146+BV146</f>
        <v>0.5</v>
      </c>
      <c r="BX146" s="434">
        <v>0.4</v>
      </c>
      <c r="BY146" s="302" t="s">
        <v>645</v>
      </c>
      <c r="BZ146" s="302" t="s">
        <v>646</v>
      </c>
      <c r="CA146" s="434">
        <v>0.09</v>
      </c>
      <c r="CB146" s="302" t="s">
        <v>643</v>
      </c>
      <c r="CC146" s="302" t="s">
        <v>644</v>
      </c>
      <c r="CD146" s="434">
        <v>0.01</v>
      </c>
      <c r="CE146" s="434">
        <f t="shared" ref="CE146:CE147" si="175">+BX146+CA146+CD146</f>
        <v>0.5</v>
      </c>
      <c r="CF146" s="1620" t="s">
        <v>1166</v>
      </c>
      <c r="CG146" s="1620" t="s">
        <v>1166</v>
      </c>
      <c r="CH146" s="1620" t="s">
        <v>1166</v>
      </c>
      <c r="CI146" s="406"/>
      <c r="CJ146" s="642">
        <v>0.71099999999999997</v>
      </c>
      <c r="CK146" s="591" t="s">
        <v>922</v>
      </c>
      <c r="CL146" s="302" t="s">
        <v>645</v>
      </c>
      <c r="CM146" s="302" t="s">
        <v>646</v>
      </c>
      <c r="CN146" s="637">
        <v>0.59</v>
      </c>
      <c r="CO146" s="302" t="s">
        <v>643</v>
      </c>
      <c r="CP146" s="302" t="s">
        <v>644</v>
      </c>
      <c r="CQ146" s="637">
        <v>0.01</v>
      </c>
    </row>
    <row r="147" spans="1:95" ht="15" x14ac:dyDescent="0.2">
      <c r="A147" s="661" t="s">
        <v>173</v>
      </c>
      <c r="B147" s="440" t="s">
        <v>172</v>
      </c>
      <c r="C147" s="637">
        <v>0.4</v>
      </c>
      <c r="D147" s="440" t="s">
        <v>619</v>
      </c>
      <c r="E147" s="440" t="s">
        <v>620</v>
      </c>
      <c r="F147" s="637">
        <v>0.1</v>
      </c>
      <c r="G147" s="440" t="s">
        <v>508</v>
      </c>
      <c r="H147" s="440" t="s">
        <v>546</v>
      </c>
      <c r="I147" s="637">
        <v>0</v>
      </c>
      <c r="J147" s="662">
        <f t="shared" si="139"/>
        <v>0.5</v>
      </c>
      <c r="K147" s="637">
        <v>0.4</v>
      </c>
      <c r="L147" s="440" t="s">
        <v>619</v>
      </c>
      <c r="M147" s="440" t="s">
        <v>620</v>
      </c>
      <c r="N147" s="637">
        <v>0.1</v>
      </c>
      <c r="O147" s="440" t="s">
        <v>508</v>
      </c>
      <c r="P147" s="440" t="s">
        <v>546</v>
      </c>
      <c r="Q147" s="637">
        <v>0</v>
      </c>
      <c r="R147" s="662">
        <f t="shared" si="70"/>
        <v>0.5</v>
      </c>
      <c r="S147" s="637">
        <v>0.4</v>
      </c>
      <c r="T147" s="302" t="s">
        <v>619</v>
      </c>
      <c r="U147" s="302" t="s">
        <v>620</v>
      </c>
      <c r="V147" s="637">
        <v>0.1</v>
      </c>
      <c r="W147" s="302" t="s">
        <v>508</v>
      </c>
      <c r="X147" s="302" t="s">
        <v>546</v>
      </c>
      <c r="Y147" s="637">
        <v>0</v>
      </c>
      <c r="Z147" s="645">
        <f t="shared" si="71"/>
        <v>0.5</v>
      </c>
      <c r="AA147" s="637">
        <v>0.4</v>
      </c>
      <c r="AB147" s="302" t="s">
        <v>619</v>
      </c>
      <c r="AC147" s="302" t="s">
        <v>620</v>
      </c>
      <c r="AD147" s="637">
        <v>0.1</v>
      </c>
      <c r="AE147" s="302" t="s">
        <v>508</v>
      </c>
      <c r="AF147" s="302" t="s">
        <v>546</v>
      </c>
      <c r="AG147" s="637">
        <v>0</v>
      </c>
      <c r="AH147" s="645">
        <f t="shared" si="102"/>
        <v>0.5</v>
      </c>
      <c r="AI147" s="637">
        <v>0.4</v>
      </c>
      <c r="AJ147" s="302" t="s">
        <v>619</v>
      </c>
      <c r="AK147" s="302" t="s">
        <v>620</v>
      </c>
      <c r="AL147" s="637">
        <v>0.1</v>
      </c>
      <c r="AM147" s="302" t="s">
        <v>508</v>
      </c>
      <c r="AN147" s="302" t="s">
        <v>546</v>
      </c>
      <c r="AO147" s="637">
        <v>0</v>
      </c>
      <c r="AP147" s="645">
        <f t="shared" si="170"/>
        <v>0.5</v>
      </c>
      <c r="AQ147" s="637">
        <v>0.4</v>
      </c>
      <c r="AR147" s="302" t="s">
        <v>619</v>
      </c>
      <c r="AS147" s="302" t="s">
        <v>620</v>
      </c>
      <c r="AT147" s="637">
        <v>0.1</v>
      </c>
      <c r="AU147" s="302" t="s">
        <v>508</v>
      </c>
      <c r="AV147" s="302" t="s">
        <v>546</v>
      </c>
      <c r="AW147" s="637">
        <v>0</v>
      </c>
      <c r="AX147" s="645">
        <f t="shared" si="171"/>
        <v>0.5</v>
      </c>
      <c r="AY147" s="637">
        <v>0.4</v>
      </c>
      <c r="AZ147" s="302" t="s">
        <v>619</v>
      </c>
      <c r="BA147" s="302" t="s">
        <v>620</v>
      </c>
      <c r="BB147" s="637">
        <v>0.1</v>
      </c>
      <c r="BC147" s="302" t="s">
        <v>508</v>
      </c>
      <c r="BD147" s="302" t="s">
        <v>546</v>
      </c>
      <c r="BE147" s="637">
        <v>0</v>
      </c>
      <c r="BF147" s="434">
        <f t="shared" si="172"/>
        <v>0.5</v>
      </c>
      <c r="BG147" s="587">
        <v>0.6</v>
      </c>
      <c r="BH147" s="302" t="s">
        <v>619</v>
      </c>
      <c r="BI147" s="302" t="s">
        <v>620</v>
      </c>
      <c r="BJ147" s="434">
        <v>0.4</v>
      </c>
      <c r="BK147" s="302" t="s">
        <v>508</v>
      </c>
      <c r="BL147" s="302" t="s">
        <v>546</v>
      </c>
      <c r="BM147" s="434">
        <v>0</v>
      </c>
      <c r="BN147" s="645">
        <f t="shared" si="173"/>
        <v>1</v>
      </c>
      <c r="BO147" s="434"/>
      <c r="BP147" s="434">
        <v>0.4</v>
      </c>
      <c r="BQ147" s="302" t="s">
        <v>619</v>
      </c>
      <c r="BR147" s="302" t="s">
        <v>620</v>
      </c>
      <c r="BS147" s="434">
        <v>0.1</v>
      </c>
      <c r="BT147" s="302" t="s">
        <v>508</v>
      </c>
      <c r="BU147" s="302" t="s">
        <v>546</v>
      </c>
      <c r="BV147" s="434">
        <v>0</v>
      </c>
      <c r="BW147" s="645">
        <f t="shared" si="174"/>
        <v>0.5</v>
      </c>
      <c r="BX147" s="434">
        <v>0.4</v>
      </c>
      <c r="BY147" s="302" t="s">
        <v>619</v>
      </c>
      <c r="BZ147" s="302" t="s">
        <v>620</v>
      </c>
      <c r="CA147" s="434">
        <v>0.1</v>
      </c>
      <c r="CB147" s="302" t="s">
        <v>508</v>
      </c>
      <c r="CC147" s="302" t="s">
        <v>546</v>
      </c>
      <c r="CD147" s="434">
        <v>0</v>
      </c>
      <c r="CE147" s="434">
        <f t="shared" si="175"/>
        <v>0.5</v>
      </c>
      <c r="CF147" s="1620" t="s">
        <v>1166</v>
      </c>
      <c r="CG147" s="1620" t="s">
        <v>1166</v>
      </c>
      <c r="CH147" s="1620" t="s">
        <v>1166</v>
      </c>
      <c r="CI147" s="406"/>
      <c r="CJ147" s="642">
        <v>0.7</v>
      </c>
      <c r="CK147" s="591" t="s">
        <v>922</v>
      </c>
      <c r="CL147" s="302" t="s">
        <v>619</v>
      </c>
      <c r="CM147" s="302" t="s">
        <v>620</v>
      </c>
      <c r="CN147" s="637">
        <v>0.6</v>
      </c>
      <c r="CO147" s="302" t="s">
        <v>508</v>
      </c>
      <c r="CP147" s="302" t="s">
        <v>546</v>
      </c>
      <c r="CQ147" s="637">
        <v>0</v>
      </c>
    </row>
    <row r="148" spans="1:95" ht="15" x14ac:dyDescent="0.2">
      <c r="A148" s="661" t="s">
        <v>175</v>
      </c>
      <c r="B148" s="440" t="s">
        <v>174</v>
      </c>
      <c r="C148" s="637">
        <v>0.99</v>
      </c>
      <c r="D148" s="440" t="s">
        <v>508</v>
      </c>
      <c r="E148" s="440" t="s">
        <v>660</v>
      </c>
      <c r="F148" s="637">
        <v>0</v>
      </c>
      <c r="G148" s="440" t="s">
        <v>663</v>
      </c>
      <c r="H148" s="440" t="s">
        <v>664</v>
      </c>
      <c r="I148" s="637">
        <v>0.01</v>
      </c>
      <c r="J148" s="662">
        <f t="shared" si="139"/>
        <v>1</v>
      </c>
      <c r="K148" s="637">
        <v>0.99</v>
      </c>
      <c r="L148" s="440" t="s">
        <v>508</v>
      </c>
      <c r="M148" s="440" t="s">
        <v>660</v>
      </c>
      <c r="N148" s="637">
        <v>0</v>
      </c>
      <c r="O148" s="440" t="s">
        <v>663</v>
      </c>
      <c r="P148" s="440" t="s">
        <v>664</v>
      </c>
      <c r="Q148" s="637">
        <v>0.01</v>
      </c>
      <c r="R148" s="662">
        <f t="shared" si="70"/>
        <v>1</v>
      </c>
      <c r="S148" s="637">
        <v>0.99</v>
      </c>
      <c r="T148" s="302" t="s">
        <v>508</v>
      </c>
      <c r="U148" s="302" t="s">
        <v>660</v>
      </c>
      <c r="V148" s="637">
        <v>0</v>
      </c>
      <c r="W148" s="302" t="s">
        <v>663</v>
      </c>
      <c r="X148" s="302" t="s">
        <v>664</v>
      </c>
      <c r="Y148" s="637">
        <v>0.01</v>
      </c>
      <c r="Z148" s="645">
        <f t="shared" si="71"/>
        <v>1</v>
      </c>
      <c r="AA148" s="637">
        <v>0.99</v>
      </c>
      <c r="AB148" s="302" t="s">
        <v>508</v>
      </c>
      <c r="AC148" s="302" t="s">
        <v>660</v>
      </c>
      <c r="AD148" s="637">
        <v>0</v>
      </c>
      <c r="AE148" s="302" t="s">
        <v>663</v>
      </c>
      <c r="AF148" s="302" t="s">
        <v>664</v>
      </c>
      <c r="AG148" s="637">
        <v>0.01</v>
      </c>
      <c r="AH148" s="645">
        <f t="shared" si="102"/>
        <v>1</v>
      </c>
      <c r="AI148" s="637">
        <v>0.99</v>
      </c>
      <c r="AJ148" s="302" t="s">
        <v>508</v>
      </c>
      <c r="AK148" s="302" t="s">
        <v>660</v>
      </c>
      <c r="AL148" s="637">
        <v>0</v>
      </c>
      <c r="AM148" s="302" t="s">
        <v>663</v>
      </c>
      <c r="AN148" s="302" t="s">
        <v>664</v>
      </c>
      <c r="AO148" s="637">
        <v>0.01</v>
      </c>
      <c r="AP148" s="645">
        <f t="shared" ref="AP148:AP149" si="176">+AI148+AL148+AO148</f>
        <v>1</v>
      </c>
      <c r="AQ148" s="637">
        <v>0.99</v>
      </c>
      <c r="AR148" s="302" t="s">
        <v>508</v>
      </c>
      <c r="AS148" s="302" t="s">
        <v>660</v>
      </c>
      <c r="AT148" s="637">
        <v>0</v>
      </c>
      <c r="AU148" s="302" t="s">
        <v>663</v>
      </c>
      <c r="AV148" s="302" t="s">
        <v>664</v>
      </c>
      <c r="AW148" s="637">
        <v>0.01</v>
      </c>
      <c r="AX148" s="645">
        <f t="shared" ref="AX148:AX149" si="177">+AQ148+AT148+AW148</f>
        <v>1</v>
      </c>
      <c r="AY148" s="637">
        <v>0.99</v>
      </c>
      <c r="AZ148" s="302" t="s">
        <v>508</v>
      </c>
      <c r="BA148" s="302" t="s">
        <v>660</v>
      </c>
      <c r="BB148" s="637">
        <v>0</v>
      </c>
      <c r="BC148" s="302" t="s">
        <v>663</v>
      </c>
      <c r="BD148" s="302" t="s">
        <v>664</v>
      </c>
      <c r="BE148" s="637">
        <v>0.01</v>
      </c>
      <c r="BF148" s="434">
        <f t="shared" ref="BF148:BF149" si="178">+AY148+BB148+BE148</f>
        <v>1</v>
      </c>
      <c r="BG148" s="587">
        <v>0.99</v>
      </c>
      <c r="BH148" s="302" t="s">
        <v>508</v>
      </c>
      <c r="BI148" s="302" t="s">
        <v>660</v>
      </c>
      <c r="BJ148" s="434">
        <v>0</v>
      </c>
      <c r="BK148" s="302" t="s">
        <v>663</v>
      </c>
      <c r="BL148" s="302" t="s">
        <v>664</v>
      </c>
      <c r="BM148" s="434">
        <v>0.01</v>
      </c>
      <c r="BN148" s="645">
        <f t="shared" ref="BN148:BN149" si="179">+BG148+BJ148+BM148</f>
        <v>1</v>
      </c>
      <c r="BO148" s="434"/>
      <c r="BP148" s="434">
        <v>0.99</v>
      </c>
      <c r="BQ148" s="302" t="s">
        <v>508</v>
      </c>
      <c r="BR148" s="302" t="s">
        <v>660</v>
      </c>
      <c r="BS148" s="434">
        <v>0</v>
      </c>
      <c r="BT148" s="302" t="s">
        <v>663</v>
      </c>
      <c r="BU148" s="302" t="s">
        <v>664</v>
      </c>
      <c r="BV148" s="434">
        <v>0.01</v>
      </c>
      <c r="BW148" s="645">
        <f t="shared" ref="BW148:BW149" si="180">+BP148+BS148+BV148</f>
        <v>1</v>
      </c>
      <c r="BX148" s="434">
        <v>0.49</v>
      </c>
      <c r="BY148" s="302" t="s">
        <v>508</v>
      </c>
      <c r="BZ148" s="302" t="s">
        <v>660</v>
      </c>
      <c r="CA148" s="434">
        <v>0</v>
      </c>
      <c r="CB148" s="302" t="s">
        <v>663</v>
      </c>
      <c r="CC148" s="302" t="s">
        <v>664</v>
      </c>
      <c r="CD148" s="434">
        <v>0.01</v>
      </c>
      <c r="CE148" s="434">
        <f t="shared" ref="CE148:CE149" si="181">+BX148+CA148+CD148</f>
        <v>0.5</v>
      </c>
      <c r="CF148" s="1620" t="s">
        <v>862</v>
      </c>
      <c r="CG148" s="1620" t="s">
        <v>1166</v>
      </c>
      <c r="CH148" s="1620" t="s">
        <v>1166</v>
      </c>
      <c r="CI148" s="408" t="s">
        <v>862</v>
      </c>
      <c r="CJ148" s="642">
        <v>0.66100000000000003</v>
      </c>
      <c r="CK148" s="591" t="s">
        <v>922</v>
      </c>
      <c r="CL148" s="302" t="s">
        <v>508</v>
      </c>
      <c r="CM148" s="302" t="s">
        <v>660</v>
      </c>
      <c r="CN148" s="637">
        <v>0</v>
      </c>
      <c r="CO148" s="302" t="s">
        <v>663</v>
      </c>
      <c r="CP148" s="302" t="s">
        <v>664</v>
      </c>
      <c r="CQ148" s="637">
        <v>0.01</v>
      </c>
    </row>
    <row r="149" spans="1:95" ht="15.75" customHeight="1" x14ac:dyDescent="0.2">
      <c r="A149" s="661" t="s">
        <v>177</v>
      </c>
      <c r="B149" s="440" t="s">
        <v>515</v>
      </c>
      <c r="C149" s="637">
        <v>0.49</v>
      </c>
      <c r="D149" s="440" t="s">
        <v>508</v>
      </c>
      <c r="E149" s="440" t="s">
        <v>509</v>
      </c>
      <c r="F149" s="637">
        <v>0</v>
      </c>
      <c r="G149" s="440" t="s">
        <v>516</v>
      </c>
      <c r="H149" s="440" t="s">
        <v>517</v>
      </c>
      <c r="I149" s="637">
        <v>0.01</v>
      </c>
      <c r="J149" s="662">
        <f t="shared" si="139"/>
        <v>0.5</v>
      </c>
      <c r="K149" s="637">
        <v>0.49</v>
      </c>
      <c r="L149" s="440" t="s">
        <v>508</v>
      </c>
      <c r="M149" s="440" t="s">
        <v>509</v>
      </c>
      <c r="N149" s="637">
        <v>0</v>
      </c>
      <c r="O149" s="440" t="s">
        <v>516</v>
      </c>
      <c r="P149" s="440" t="s">
        <v>517</v>
      </c>
      <c r="Q149" s="637">
        <v>0.01</v>
      </c>
      <c r="R149" s="662">
        <f t="shared" si="70"/>
        <v>0.5</v>
      </c>
      <c r="S149" s="637">
        <v>0.49</v>
      </c>
      <c r="T149" s="302" t="s">
        <v>508</v>
      </c>
      <c r="U149" s="302" t="s">
        <v>509</v>
      </c>
      <c r="V149" s="637">
        <v>0</v>
      </c>
      <c r="W149" s="302" t="s">
        <v>516</v>
      </c>
      <c r="X149" s="302" t="s">
        <v>517</v>
      </c>
      <c r="Y149" s="637">
        <v>0.01</v>
      </c>
      <c r="Z149" s="645">
        <f t="shared" si="71"/>
        <v>0.5</v>
      </c>
      <c r="AA149" s="637">
        <v>0.49</v>
      </c>
      <c r="AB149" s="302" t="s">
        <v>508</v>
      </c>
      <c r="AC149" s="302" t="s">
        <v>509</v>
      </c>
      <c r="AD149" s="637">
        <v>0</v>
      </c>
      <c r="AE149" s="302" t="s">
        <v>516</v>
      </c>
      <c r="AF149" s="302" t="s">
        <v>517</v>
      </c>
      <c r="AG149" s="637">
        <v>0.01</v>
      </c>
      <c r="AH149" s="645">
        <f t="shared" si="102"/>
        <v>0.5</v>
      </c>
      <c r="AI149" s="637">
        <v>0.49</v>
      </c>
      <c r="AJ149" s="302" t="s">
        <v>508</v>
      </c>
      <c r="AK149" s="302" t="s">
        <v>509</v>
      </c>
      <c r="AL149" s="637">
        <v>0</v>
      </c>
      <c r="AM149" s="302" t="s">
        <v>516</v>
      </c>
      <c r="AN149" s="302" t="s">
        <v>517</v>
      </c>
      <c r="AO149" s="637">
        <v>0.01</v>
      </c>
      <c r="AP149" s="645">
        <f t="shared" si="176"/>
        <v>0.5</v>
      </c>
      <c r="AQ149" s="637">
        <v>0.49</v>
      </c>
      <c r="AR149" s="302" t="s">
        <v>508</v>
      </c>
      <c r="AS149" s="302" t="s">
        <v>509</v>
      </c>
      <c r="AT149" s="637">
        <v>0</v>
      </c>
      <c r="AU149" s="302" t="s">
        <v>516</v>
      </c>
      <c r="AV149" s="302" t="s">
        <v>517</v>
      </c>
      <c r="AW149" s="637">
        <v>0.01</v>
      </c>
      <c r="AX149" s="645">
        <f t="shared" si="177"/>
        <v>0.5</v>
      </c>
      <c r="AY149" s="637">
        <v>0.49</v>
      </c>
      <c r="AZ149" s="302" t="s">
        <v>508</v>
      </c>
      <c r="BA149" s="302" t="s">
        <v>509</v>
      </c>
      <c r="BB149" s="637">
        <v>0</v>
      </c>
      <c r="BC149" s="302" t="s">
        <v>516</v>
      </c>
      <c r="BD149" s="302" t="s">
        <v>517</v>
      </c>
      <c r="BE149" s="637">
        <v>0.01</v>
      </c>
      <c r="BF149" s="434">
        <f t="shared" si="178"/>
        <v>0.5</v>
      </c>
      <c r="BG149" s="587">
        <v>0.49</v>
      </c>
      <c r="BH149" s="302" t="s">
        <v>508</v>
      </c>
      <c r="BI149" s="302" t="s">
        <v>509</v>
      </c>
      <c r="BJ149" s="434">
        <v>0</v>
      </c>
      <c r="BK149" s="302" t="s">
        <v>516</v>
      </c>
      <c r="BL149" s="302" t="s">
        <v>517</v>
      </c>
      <c r="BM149" s="434">
        <v>0.01</v>
      </c>
      <c r="BN149" s="645">
        <f t="shared" si="179"/>
        <v>0.5</v>
      </c>
      <c r="BO149" s="434"/>
      <c r="BP149" s="434">
        <v>0.49</v>
      </c>
      <c r="BQ149" s="302" t="s">
        <v>508</v>
      </c>
      <c r="BR149" s="302" t="s">
        <v>509</v>
      </c>
      <c r="BS149" s="434">
        <v>0</v>
      </c>
      <c r="BT149" s="302" t="s">
        <v>516</v>
      </c>
      <c r="BU149" s="302" t="s">
        <v>517</v>
      </c>
      <c r="BV149" s="434">
        <v>0.01</v>
      </c>
      <c r="BW149" s="645">
        <f t="shared" si="180"/>
        <v>0.5</v>
      </c>
      <c r="BX149" s="434">
        <v>0.49</v>
      </c>
      <c r="BY149" s="302" t="s">
        <v>508</v>
      </c>
      <c r="BZ149" s="302" t="s">
        <v>509</v>
      </c>
      <c r="CA149" s="434">
        <v>0</v>
      </c>
      <c r="CB149" s="302" t="s">
        <v>516</v>
      </c>
      <c r="CC149" s="302" t="s">
        <v>517</v>
      </c>
      <c r="CD149" s="434">
        <v>0.01</v>
      </c>
      <c r="CE149" s="434">
        <f t="shared" si="181"/>
        <v>0.5</v>
      </c>
      <c r="CF149" s="1620" t="s">
        <v>862</v>
      </c>
      <c r="CG149" s="1620" t="s">
        <v>1166</v>
      </c>
      <c r="CH149" s="1620" t="s">
        <v>1166</v>
      </c>
      <c r="CI149" s="408" t="s">
        <v>862</v>
      </c>
      <c r="CJ149" s="642">
        <v>0.71599999999999997</v>
      </c>
      <c r="CK149" s="591" t="s">
        <v>922</v>
      </c>
      <c r="CL149" s="302" t="s">
        <v>508</v>
      </c>
      <c r="CM149" s="302" t="s">
        <v>509</v>
      </c>
      <c r="CN149" s="637">
        <v>0</v>
      </c>
      <c r="CO149" s="302" t="s">
        <v>516</v>
      </c>
      <c r="CP149" s="302" t="s">
        <v>517</v>
      </c>
      <c r="CQ149" s="637">
        <v>0.01</v>
      </c>
    </row>
    <row r="150" spans="1:95" ht="15.75" customHeight="1" x14ac:dyDescent="0.2">
      <c r="A150" s="661" t="s">
        <v>179</v>
      </c>
      <c r="B150" s="440" t="s">
        <v>178</v>
      </c>
      <c r="C150" s="637">
        <v>0.4</v>
      </c>
      <c r="D150" s="440" t="s">
        <v>602</v>
      </c>
      <c r="E150" s="440" t="s">
        <v>603</v>
      </c>
      <c r="F150" s="637">
        <v>0.09</v>
      </c>
      <c r="G150" s="440" t="s">
        <v>600</v>
      </c>
      <c r="H150" s="440" t="s">
        <v>601</v>
      </c>
      <c r="I150" s="637">
        <v>0.01</v>
      </c>
      <c r="J150" s="662">
        <f t="shared" si="139"/>
        <v>0.5</v>
      </c>
      <c r="K150" s="637">
        <v>0.4</v>
      </c>
      <c r="L150" s="440" t="s">
        <v>602</v>
      </c>
      <c r="M150" s="440" t="s">
        <v>603</v>
      </c>
      <c r="N150" s="637">
        <v>0.09</v>
      </c>
      <c r="O150" s="440" t="s">
        <v>600</v>
      </c>
      <c r="P150" s="440" t="s">
        <v>601</v>
      </c>
      <c r="Q150" s="637">
        <v>0.01</v>
      </c>
      <c r="R150" s="662">
        <f t="shared" si="70"/>
        <v>0.5</v>
      </c>
      <c r="S150" s="637">
        <v>0.4</v>
      </c>
      <c r="T150" s="302" t="s">
        <v>602</v>
      </c>
      <c r="U150" s="302" t="s">
        <v>603</v>
      </c>
      <c r="V150" s="637">
        <v>0.09</v>
      </c>
      <c r="W150" s="302" t="s">
        <v>600</v>
      </c>
      <c r="X150" s="302" t="s">
        <v>601</v>
      </c>
      <c r="Y150" s="637">
        <v>0.01</v>
      </c>
      <c r="Z150" s="645">
        <f t="shared" si="71"/>
        <v>0.5</v>
      </c>
      <c r="AA150" s="637">
        <v>0.4</v>
      </c>
      <c r="AB150" s="302" t="s">
        <v>602</v>
      </c>
      <c r="AC150" s="302" t="s">
        <v>603</v>
      </c>
      <c r="AD150" s="637">
        <v>0.09</v>
      </c>
      <c r="AE150" s="302" t="s">
        <v>600</v>
      </c>
      <c r="AF150" s="302" t="s">
        <v>601</v>
      </c>
      <c r="AG150" s="637">
        <v>0.01</v>
      </c>
      <c r="AH150" s="645">
        <f t="shared" si="102"/>
        <v>0.5</v>
      </c>
      <c r="AI150" s="637">
        <v>0.4</v>
      </c>
      <c r="AJ150" s="302" t="s">
        <v>602</v>
      </c>
      <c r="AK150" s="302" t="s">
        <v>603</v>
      </c>
      <c r="AL150" s="637">
        <v>0.09</v>
      </c>
      <c r="AM150" s="302" t="s">
        <v>600</v>
      </c>
      <c r="AN150" s="302" t="s">
        <v>601</v>
      </c>
      <c r="AO150" s="637">
        <v>0.01</v>
      </c>
      <c r="AP150" s="645">
        <f t="shared" ref="AP150:AP151" si="182">+AI150+AL150+AO150</f>
        <v>0.5</v>
      </c>
      <c r="AQ150" s="637">
        <v>0.4</v>
      </c>
      <c r="AR150" s="302" t="s">
        <v>602</v>
      </c>
      <c r="AS150" s="302" t="s">
        <v>603</v>
      </c>
      <c r="AT150" s="637">
        <v>0.09</v>
      </c>
      <c r="AU150" s="302" t="s">
        <v>600</v>
      </c>
      <c r="AV150" s="302" t="s">
        <v>601</v>
      </c>
      <c r="AW150" s="637">
        <v>0.01</v>
      </c>
      <c r="AX150" s="645">
        <f t="shared" ref="AX150:AX151" si="183">+AQ150+AT150+AW150</f>
        <v>0.5</v>
      </c>
      <c r="AY150" s="637">
        <v>0.4</v>
      </c>
      <c r="AZ150" s="302" t="s">
        <v>602</v>
      </c>
      <c r="BA150" s="302" t="s">
        <v>603</v>
      </c>
      <c r="BB150" s="637">
        <v>0.09</v>
      </c>
      <c r="BC150" s="302" t="s">
        <v>600</v>
      </c>
      <c r="BD150" s="302" t="s">
        <v>601</v>
      </c>
      <c r="BE150" s="637">
        <v>0.01</v>
      </c>
      <c r="BF150" s="434">
        <f t="shared" ref="BF150:BF151" si="184">+AY150+BB150+BE150</f>
        <v>0.5</v>
      </c>
      <c r="BG150" s="587">
        <v>0.4</v>
      </c>
      <c r="BH150" s="302" t="s">
        <v>602</v>
      </c>
      <c r="BI150" s="302" t="s">
        <v>603</v>
      </c>
      <c r="BJ150" s="434">
        <v>0.59</v>
      </c>
      <c r="BK150" s="302" t="s">
        <v>600</v>
      </c>
      <c r="BL150" s="302" t="s">
        <v>601</v>
      </c>
      <c r="BM150" s="434">
        <v>0.01</v>
      </c>
      <c r="BN150" s="645">
        <f t="shared" ref="BN150:BN151" si="185">+BG150+BJ150+BM150</f>
        <v>1</v>
      </c>
      <c r="BO150" s="434"/>
      <c r="BP150" s="434">
        <v>0.4</v>
      </c>
      <c r="BQ150" s="302" t="s">
        <v>602</v>
      </c>
      <c r="BR150" s="302" t="s">
        <v>603</v>
      </c>
      <c r="BS150" s="434">
        <v>0.09</v>
      </c>
      <c r="BT150" s="302" t="s">
        <v>600</v>
      </c>
      <c r="BU150" s="302" t="s">
        <v>601</v>
      </c>
      <c r="BV150" s="434">
        <v>0.01</v>
      </c>
      <c r="BW150" s="645">
        <f t="shared" ref="BW150:BW151" si="186">+BP150+BS150+BV150</f>
        <v>0.5</v>
      </c>
      <c r="BX150" s="434">
        <v>0.4</v>
      </c>
      <c r="BY150" s="302" t="s">
        <v>602</v>
      </c>
      <c r="BZ150" s="302" t="s">
        <v>603</v>
      </c>
      <c r="CA150" s="434">
        <v>0.09</v>
      </c>
      <c r="CB150" s="302" t="s">
        <v>600</v>
      </c>
      <c r="CC150" s="302" t="s">
        <v>601</v>
      </c>
      <c r="CD150" s="434">
        <v>0.01</v>
      </c>
      <c r="CE150" s="434">
        <f t="shared" ref="CE150:CE151" si="187">+BX150+CA150+CD150</f>
        <v>0.5</v>
      </c>
      <c r="CF150" s="1620" t="s">
        <v>862</v>
      </c>
      <c r="CG150" s="1620" t="s">
        <v>1166</v>
      </c>
      <c r="CH150" s="1620" t="s">
        <v>1166</v>
      </c>
      <c r="CI150" s="406"/>
      <c r="CJ150" s="642">
        <v>0.70499999999999996</v>
      </c>
      <c r="CK150" s="591" t="s">
        <v>922</v>
      </c>
      <c r="CL150" s="302" t="s">
        <v>602</v>
      </c>
      <c r="CM150" s="302" t="s">
        <v>603</v>
      </c>
      <c r="CN150" s="637">
        <v>0.59</v>
      </c>
      <c r="CO150" s="302" t="s">
        <v>600</v>
      </c>
      <c r="CP150" s="302" t="s">
        <v>601</v>
      </c>
      <c r="CQ150" s="637">
        <v>0.01</v>
      </c>
    </row>
    <row r="151" spans="1:95" ht="15.75" customHeight="1" x14ac:dyDescent="0.2">
      <c r="A151" s="661" t="s">
        <v>181</v>
      </c>
      <c r="B151" s="440" t="s">
        <v>180</v>
      </c>
      <c r="C151" s="637">
        <v>0.4</v>
      </c>
      <c r="D151" s="440" t="s">
        <v>575</v>
      </c>
      <c r="E151" s="440" t="s">
        <v>576</v>
      </c>
      <c r="F151" s="637">
        <v>0.09</v>
      </c>
      <c r="G151" s="440" t="s">
        <v>572</v>
      </c>
      <c r="H151" s="440" t="s">
        <v>1200</v>
      </c>
      <c r="I151" s="637">
        <v>0.01</v>
      </c>
      <c r="J151" s="662">
        <f t="shared" si="139"/>
        <v>0.5</v>
      </c>
      <c r="K151" s="637">
        <v>0.4</v>
      </c>
      <c r="L151" s="440" t="s">
        <v>575</v>
      </c>
      <c r="M151" s="440" t="s">
        <v>576</v>
      </c>
      <c r="N151" s="637">
        <v>0.09</v>
      </c>
      <c r="O151" s="440" t="s">
        <v>572</v>
      </c>
      <c r="P151" s="440" t="s">
        <v>1200</v>
      </c>
      <c r="Q151" s="637">
        <v>0.01</v>
      </c>
      <c r="R151" s="662">
        <f t="shared" si="70"/>
        <v>0.5</v>
      </c>
      <c r="S151" s="637">
        <v>0.4</v>
      </c>
      <c r="T151" s="302" t="s">
        <v>575</v>
      </c>
      <c r="U151" s="302" t="s">
        <v>576</v>
      </c>
      <c r="V151" s="637">
        <v>0.09</v>
      </c>
      <c r="W151" s="302" t="s">
        <v>572</v>
      </c>
      <c r="X151" s="302" t="s">
        <v>1200</v>
      </c>
      <c r="Y151" s="637">
        <v>0.01</v>
      </c>
      <c r="Z151" s="645">
        <f t="shared" si="71"/>
        <v>0.5</v>
      </c>
      <c r="AA151" s="637">
        <v>0.4</v>
      </c>
      <c r="AB151" s="302" t="s">
        <v>575</v>
      </c>
      <c r="AC151" s="302" t="s">
        <v>576</v>
      </c>
      <c r="AD151" s="637">
        <v>0.09</v>
      </c>
      <c r="AE151" s="302" t="s">
        <v>572</v>
      </c>
      <c r="AF151" s="302" t="s">
        <v>1200</v>
      </c>
      <c r="AG151" s="637">
        <v>0.01</v>
      </c>
      <c r="AH151" s="645">
        <f t="shared" si="102"/>
        <v>0.5</v>
      </c>
      <c r="AI151" s="637">
        <v>0.4</v>
      </c>
      <c r="AJ151" s="302" t="s">
        <v>575</v>
      </c>
      <c r="AK151" s="302" t="s">
        <v>576</v>
      </c>
      <c r="AL151" s="637">
        <v>0.09</v>
      </c>
      <c r="AM151" s="302" t="s">
        <v>572</v>
      </c>
      <c r="AN151" s="302" t="s">
        <v>1200</v>
      </c>
      <c r="AO151" s="637">
        <v>0.01</v>
      </c>
      <c r="AP151" s="645">
        <f t="shared" si="182"/>
        <v>0.5</v>
      </c>
      <c r="AQ151" s="637">
        <v>0.4</v>
      </c>
      <c r="AR151" s="302" t="s">
        <v>575</v>
      </c>
      <c r="AS151" s="302" t="s">
        <v>576</v>
      </c>
      <c r="AT151" s="637">
        <v>0.09</v>
      </c>
      <c r="AU151" s="302" t="s">
        <v>572</v>
      </c>
      <c r="AV151" s="302" t="s">
        <v>1200</v>
      </c>
      <c r="AW151" s="637">
        <v>0.01</v>
      </c>
      <c r="AX151" s="645">
        <f t="shared" si="183"/>
        <v>0.5</v>
      </c>
      <c r="AY151" s="637">
        <v>0.4</v>
      </c>
      <c r="AZ151" s="302" t="s">
        <v>575</v>
      </c>
      <c r="BA151" s="302" t="s">
        <v>576</v>
      </c>
      <c r="BB151" s="637">
        <v>0.09</v>
      </c>
      <c r="BC151" s="302" t="s">
        <v>572</v>
      </c>
      <c r="BD151" s="302" t="s">
        <v>1200</v>
      </c>
      <c r="BE151" s="637">
        <v>0.01</v>
      </c>
      <c r="BF151" s="434">
        <f t="shared" si="184"/>
        <v>0.5</v>
      </c>
      <c r="BG151" s="587">
        <v>0.4</v>
      </c>
      <c r="BH151" s="302" t="s">
        <v>575</v>
      </c>
      <c r="BI151" s="302" t="s">
        <v>576</v>
      </c>
      <c r="BJ151" s="434">
        <v>0.09</v>
      </c>
      <c r="BK151" s="302" t="s">
        <v>572</v>
      </c>
      <c r="BL151" s="302" t="s">
        <v>573</v>
      </c>
      <c r="BM151" s="434">
        <v>0.01</v>
      </c>
      <c r="BN151" s="645">
        <f t="shared" si="185"/>
        <v>0.5</v>
      </c>
      <c r="BO151" s="434"/>
      <c r="BP151" s="434">
        <v>0.4</v>
      </c>
      <c r="BQ151" s="302" t="s">
        <v>575</v>
      </c>
      <c r="BR151" s="302" t="s">
        <v>576</v>
      </c>
      <c r="BS151" s="434">
        <v>0.09</v>
      </c>
      <c r="BT151" s="302" t="s">
        <v>572</v>
      </c>
      <c r="BU151" s="302" t="s">
        <v>573</v>
      </c>
      <c r="BV151" s="434">
        <v>0.01</v>
      </c>
      <c r="BW151" s="645">
        <f t="shared" si="186"/>
        <v>0.5</v>
      </c>
      <c r="BX151" s="434">
        <v>0.4</v>
      </c>
      <c r="BY151" s="302" t="s">
        <v>575</v>
      </c>
      <c r="BZ151" s="302" t="s">
        <v>576</v>
      </c>
      <c r="CA151" s="434">
        <v>0.09</v>
      </c>
      <c r="CB151" s="302" t="s">
        <v>572</v>
      </c>
      <c r="CC151" s="302" t="s">
        <v>573</v>
      </c>
      <c r="CD151" s="434">
        <v>0.01</v>
      </c>
      <c r="CE151" s="434">
        <f t="shared" si="187"/>
        <v>0.5</v>
      </c>
      <c r="CF151" s="1620" t="s">
        <v>1166</v>
      </c>
      <c r="CG151" s="1620" t="s">
        <v>1166</v>
      </c>
      <c r="CH151" s="1620" t="s">
        <v>1166</v>
      </c>
      <c r="CI151" s="406"/>
      <c r="CJ151" s="642">
        <v>0.68600000000000005</v>
      </c>
      <c r="CK151" s="591" t="s">
        <v>922</v>
      </c>
      <c r="CL151" s="302" t="s">
        <v>575</v>
      </c>
      <c r="CM151" s="302" t="s">
        <v>576</v>
      </c>
      <c r="CN151" s="637">
        <v>0.59</v>
      </c>
      <c r="CO151" s="302" t="s">
        <v>572</v>
      </c>
      <c r="CP151" s="302" t="s">
        <v>573</v>
      </c>
      <c r="CQ151" s="637">
        <v>0.01</v>
      </c>
    </row>
    <row r="152" spans="1:95" ht="15" x14ac:dyDescent="0.2">
      <c r="A152" s="661" t="s">
        <v>183</v>
      </c>
      <c r="B152" s="440" t="s">
        <v>182</v>
      </c>
      <c r="C152" s="637">
        <v>0.4</v>
      </c>
      <c r="D152" s="440" t="s">
        <v>588</v>
      </c>
      <c r="E152" s="440" t="s">
        <v>589</v>
      </c>
      <c r="F152" s="637">
        <v>0.09</v>
      </c>
      <c r="G152" s="440" t="s">
        <v>586</v>
      </c>
      <c r="H152" s="440" t="s">
        <v>587</v>
      </c>
      <c r="I152" s="637">
        <v>0.01</v>
      </c>
      <c r="J152" s="662">
        <f t="shared" si="139"/>
        <v>0.5</v>
      </c>
      <c r="K152" s="637">
        <v>0.4</v>
      </c>
      <c r="L152" s="440" t="s">
        <v>588</v>
      </c>
      <c r="M152" s="440" t="s">
        <v>589</v>
      </c>
      <c r="N152" s="637">
        <v>0.09</v>
      </c>
      <c r="O152" s="440" t="s">
        <v>586</v>
      </c>
      <c r="P152" s="440" t="s">
        <v>587</v>
      </c>
      <c r="Q152" s="637">
        <v>0.01</v>
      </c>
      <c r="R152" s="662">
        <f t="shared" si="70"/>
        <v>0.5</v>
      </c>
      <c r="S152" s="637">
        <v>0.4</v>
      </c>
      <c r="T152" s="302" t="s">
        <v>588</v>
      </c>
      <c r="U152" s="302" t="s">
        <v>589</v>
      </c>
      <c r="V152" s="637">
        <v>0.09</v>
      </c>
      <c r="W152" s="302" t="s">
        <v>586</v>
      </c>
      <c r="X152" s="302" t="s">
        <v>587</v>
      </c>
      <c r="Y152" s="637">
        <v>0.01</v>
      </c>
      <c r="Z152" s="645">
        <f t="shared" si="71"/>
        <v>0.5</v>
      </c>
      <c r="AA152" s="637">
        <v>0.4</v>
      </c>
      <c r="AB152" s="302" t="s">
        <v>588</v>
      </c>
      <c r="AC152" s="302" t="s">
        <v>589</v>
      </c>
      <c r="AD152" s="637">
        <v>0.09</v>
      </c>
      <c r="AE152" s="302" t="s">
        <v>586</v>
      </c>
      <c r="AF152" s="302" t="s">
        <v>587</v>
      </c>
      <c r="AG152" s="637">
        <v>0.01</v>
      </c>
      <c r="AH152" s="645">
        <f t="shared" si="102"/>
        <v>0.5</v>
      </c>
      <c r="AI152" s="637">
        <v>0.4</v>
      </c>
      <c r="AJ152" s="302" t="s">
        <v>588</v>
      </c>
      <c r="AK152" s="302" t="s">
        <v>589</v>
      </c>
      <c r="AL152" s="637">
        <v>0.09</v>
      </c>
      <c r="AM152" s="302" t="s">
        <v>586</v>
      </c>
      <c r="AN152" s="302" t="s">
        <v>587</v>
      </c>
      <c r="AO152" s="637">
        <v>0.01</v>
      </c>
      <c r="AP152" s="645">
        <f t="shared" ref="AP152:AP153" si="188">+AI152+AL152+AO152</f>
        <v>0.5</v>
      </c>
      <c r="AQ152" s="637">
        <v>0.4</v>
      </c>
      <c r="AR152" s="302" t="s">
        <v>588</v>
      </c>
      <c r="AS152" s="302" t="s">
        <v>589</v>
      </c>
      <c r="AT152" s="637">
        <v>0.09</v>
      </c>
      <c r="AU152" s="302" t="s">
        <v>586</v>
      </c>
      <c r="AV152" s="302" t="s">
        <v>587</v>
      </c>
      <c r="AW152" s="637">
        <v>0.01</v>
      </c>
      <c r="AX152" s="645">
        <f t="shared" ref="AX152:AX153" si="189">+AQ152+AT152+AW152</f>
        <v>0.5</v>
      </c>
      <c r="AY152" s="637">
        <v>0</v>
      </c>
      <c r="AZ152" s="302" t="s">
        <v>588</v>
      </c>
      <c r="BA152" s="302" t="s">
        <v>589</v>
      </c>
      <c r="BB152" s="637">
        <v>0.74</v>
      </c>
      <c r="BC152" s="302" t="s">
        <v>586</v>
      </c>
      <c r="BD152" s="302" t="s">
        <v>587</v>
      </c>
      <c r="BE152" s="637">
        <v>0.01</v>
      </c>
      <c r="BF152" s="434">
        <f t="shared" ref="BF152:BF153" si="190">+AY152+BB152+BE152</f>
        <v>0.75</v>
      </c>
      <c r="BG152" s="587">
        <v>0.4</v>
      </c>
      <c r="BH152" s="302" t="s">
        <v>588</v>
      </c>
      <c r="BI152" s="302" t="s">
        <v>589</v>
      </c>
      <c r="BJ152" s="434">
        <v>0.09</v>
      </c>
      <c r="BK152" s="302" t="s">
        <v>586</v>
      </c>
      <c r="BL152" s="302" t="s">
        <v>587</v>
      </c>
      <c r="BM152" s="434">
        <v>0.01</v>
      </c>
      <c r="BN152" s="645">
        <f t="shared" ref="BN152:BN153" si="191">+BG152+BJ152+BM152</f>
        <v>0.5</v>
      </c>
      <c r="BO152" s="434"/>
      <c r="BP152" s="434">
        <v>0.4</v>
      </c>
      <c r="BQ152" s="302" t="s">
        <v>588</v>
      </c>
      <c r="BR152" s="302" t="s">
        <v>589</v>
      </c>
      <c r="BS152" s="434">
        <v>0.09</v>
      </c>
      <c r="BT152" s="302" t="s">
        <v>586</v>
      </c>
      <c r="BU152" s="302" t="s">
        <v>587</v>
      </c>
      <c r="BV152" s="434">
        <v>0.01</v>
      </c>
      <c r="BW152" s="645">
        <f t="shared" ref="BW152:BW153" si="192">+BP152+BS152+BV152</f>
        <v>0.5</v>
      </c>
      <c r="BX152" s="434">
        <v>0.4</v>
      </c>
      <c r="BY152" s="302" t="s">
        <v>588</v>
      </c>
      <c r="BZ152" s="302" t="s">
        <v>589</v>
      </c>
      <c r="CA152" s="434">
        <v>0.09</v>
      </c>
      <c r="CB152" s="302" t="s">
        <v>586</v>
      </c>
      <c r="CC152" s="302" t="s">
        <v>587</v>
      </c>
      <c r="CD152" s="434">
        <v>0.01</v>
      </c>
      <c r="CE152" s="434">
        <f t="shared" ref="CE152:CE153" si="193">+BX152+CA152+CD152</f>
        <v>0.5</v>
      </c>
      <c r="CF152" s="1620" t="s">
        <v>1166</v>
      </c>
      <c r="CG152" s="1620" t="s">
        <v>1166</v>
      </c>
      <c r="CH152" s="1620" t="s">
        <v>1166</v>
      </c>
      <c r="CI152" s="406"/>
      <c r="CJ152" s="642">
        <v>0.65800000000000003</v>
      </c>
      <c r="CK152" s="591" t="s">
        <v>922</v>
      </c>
      <c r="CL152" s="302" t="s">
        <v>588</v>
      </c>
      <c r="CM152" s="302" t="s">
        <v>589</v>
      </c>
      <c r="CN152" s="637">
        <v>0.59</v>
      </c>
      <c r="CO152" s="302" t="s">
        <v>586</v>
      </c>
      <c r="CP152" s="302" t="s">
        <v>587</v>
      </c>
      <c r="CQ152" s="637">
        <v>0.01</v>
      </c>
    </row>
    <row r="153" spans="1:95" ht="15.75" customHeight="1" x14ac:dyDescent="0.2">
      <c r="A153" s="661" t="s">
        <v>185</v>
      </c>
      <c r="B153" s="440" t="s">
        <v>184</v>
      </c>
      <c r="C153" s="637">
        <v>0.99</v>
      </c>
      <c r="D153" s="440" t="s">
        <v>508</v>
      </c>
      <c r="E153" s="440" t="s">
        <v>660</v>
      </c>
      <c r="F153" s="637">
        <v>0</v>
      </c>
      <c r="G153" s="440" t="s">
        <v>1281</v>
      </c>
      <c r="H153" s="440" t="s">
        <v>1199</v>
      </c>
      <c r="I153" s="637">
        <v>0.01</v>
      </c>
      <c r="J153" s="662">
        <f t="shared" si="139"/>
        <v>1</v>
      </c>
      <c r="K153" s="637">
        <v>0.99</v>
      </c>
      <c r="L153" s="440" t="s">
        <v>508</v>
      </c>
      <c r="M153" s="440" t="s">
        <v>660</v>
      </c>
      <c r="N153" s="637">
        <v>0</v>
      </c>
      <c r="O153" s="440" t="s">
        <v>1281</v>
      </c>
      <c r="P153" s="440" t="s">
        <v>1199</v>
      </c>
      <c r="Q153" s="637">
        <v>0.01</v>
      </c>
      <c r="R153" s="662">
        <f t="shared" si="70"/>
        <v>1</v>
      </c>
      <c r="S153" s="637">
        <v>0.99</v>
      </c>
      <c r="T153" s="302" t="s">
        <v>508</v>
      </c>
      <c r="U153" s="302" t="s">
        <v>660</v>
      </c>
      <c r="V153" s="637">
        <v>0</v>
      </c>
      <c r="W153" s="302" t="s">
        <v>1281</v>
      </c>
      <c r="X153" s="302" t="s">
        <v>1199</v>
      </c>
      <c r="Y153" s="637">
        <v>0.01</v>
      </c>
      <c r="Z153" s="645">
        <f t="shared" si="71"/>
        <v>1</v>
      </c>
      <c r="AA153" s="637">
        <v>0.99</v>
      </c>
      <c r="AB153" s="302" t="s">
        <v>508</v>
      </c>
      <c r="AC153" s="302" t="s">
        <v>660</v>
      </c>
      <c r="AD153" s="637">
        <v>0</v>
      </c>
      <c r="AE153" s="302" t="s">
        <v>1281</v>
      </c>
      <c r="AF153" s="302" t="s">
        <v>1199</v>
      </c>
      <c r="AG153" s="637">
        <v>0.01</v>
      </c>
      <c r="AH153" s="645">
        <f t="shared" si="102"/>
        <v>1</v>
      </c>
      <c r="AI153" s="637">
        <v>0.99</v>
      </c>
      <c r="AJ153" s="302" t="s">
        <v>508</v>
      </c>
      <c r="AK153" s="302" t="s">
        <v>660</v>
      </c>
      <c r="AL153" s="637">
        <v>0</v>
      </c>
      <c r="AM153" s="302" t="s">
        <v>1281</v>
      </c>
      <c r="AN153" s="302" t="s">
        <v>1199</v>
      </c>
      <c r="AO153" s="637">
        <v>0.01</v>
      </c>
      <c r="AP153" s="645">
        <f t="shared" si="188"/>
        <v>1</v>
      </c>
      <c r="AQ153" s="637">
        <v>0.99</v>
      </c>
      <c r="AR153" s="302" t="s">
        <v>508</v>
      </c>
      <c r="AS153" s="302" t="s">
        <v>660</v>
      </c>
      <c r="AT153" s="637">
        <v>0</v>
      </c>
      <c r="AU153" s="302" t="s">
        <v>1281</v>
      </c>
      <c r="AV153" s="302" t="s">
        <v>1199</v>
      </c>
      <c r="AW153" s="637">
        <v>0.01</v>
      </c>
      <c r="AX153" s="645">
        <f t="shared" si="189"/>
        <v>1</v>
      </c>
      <c r="AY153" s="637">
        <v>0.99</v>
      </c>
      <c r="AZ153" s="302" t="s">
        <v>508</v>
      </c>
      <c r="BA153" s="302" t="s">
        <v>660</v>
      </c>
      <c r="BB153" s="637">
        <v>0</v>
      </c>
      <c r="BC153" s="302" t="s">
        <v>661</v>
      </c>
      <c r="BD153" s="302" t="s">
        <v>1199</v>
      </c>
      <c r="BE153" s="637">
        <v>0.01</v>
      </c>
      <c r="BF153" s="434">
        <f t="shared" si="190"/>
        <v>1</v>
      </c>
      <c r="BG153" s="587">
        <v>0.99</v>
      </c>
      <c r="BH153" s="302" t="s">
        <v>508</v>
      </c>
      <c r="BI153" s="302" t="s">
        <v>660</v>
      </c>
      <c r="BJ153" s="434">
        <v>0</v>
      </c>
      <c r="BK153" s="302" t="s">
        <v>661</v>
      </c>
      <c r="BL153" s="302" t="s">
        <v>662</v>
      </c>
      <c r="BM153" s="434">
        <v>0.01</v>
      </c>
      <c r="BN153" s="645">
        <f t="shared" si="191"/>
        <v>1</v>
      </c>
      <c r="BO153" s="434"/>
      <c r="BP153" s="434">
        <v>0.99</v>
      </c>
      <c r="BQ153" s="302" t="s">
        <v>508</v>
      </c>
      <c r="BR153" s="302" t="s">
        <v>660</v>
      </c>
      <c r="BS153" s="434">
        <v>0</v>
      </c>
      <c r="BT153" s="302" t="s">
        <v>661</v>
      </c>
      <c r="BU153" s="302" t="s">
        <v>662</v>
      </c>
      <c r="BV153" s="434">
        <v>0.01</v>
      </c>
      <c r="BW153" s="645">
        <f t="shared" si="192"/>
        <v>1</v>
      </c>
      <c r="BX153" s="434">
        <v>0.49</v>
      </c>
      <c r="BY153" s="302" t="s">
        <v>508</v>
      </c>
      <c r="BZ153" s="302" t="s">
        <v>660</v>
      </c>
      <c r="CA153" s="434">
        <v>0</v>
      </c>
      <c r="CB153" s="302" t="s">
        <v>661</v>
      </c>
      <c r="CC153" s="302" t="s">
        <v>662</v>
      </c>
      <c r="CD153" s="434">
        <v>0.01</v>
      </c>
      <c r="CE153" s="434">
        <f t="shared" si="193"/>
        <v>0.5</v>
      </c>
      <c r="CF153" s="1620" t="s">
        <v>862</v>
      </c>
      <c r="CG153" s="1620" t="s">
        <v>1166</v>
      </c>
      <c r="CH153" s="1620" t="s">
        <v>862</v>
      </c>
      <c r="CI153" s="408" t="s">
        <v>862</v>
      </c>
      <c r="CJ153" s="642">
        <v>0.67900000000000005</v>
      </c>
      <c r="CK153" s="591" t="s">
        <v>922</v>
      </c>
      <c r="CL153" s="302" t="s">
        <v>508</v>
      </c>
      <c r="CM153" s="302" t="s">
        <v>660</v>
      </c>
      <c r="CN153" s="637">
        <v>0</v>
      </c>
      <c r="CO153" s="302" t="s">
        <v>661</v>
      </c>
      <c r="CP153" s="302" t="s">
        <v>662</v>
      </c>
      <c r="CQ153" s="637">
        <v>0.01</v>
      </c>
    </row>
    <row r="154" spans="1:95" ht="15.75" customHeight="1" x14ac:dyDescent="0.2">
      <c r="A154" s="661" t="s">
        <v>187</v>
      </c>
      <c r="B154" s="440" t="s">
        <v>186</v>
      </c>
      <c r="C154" s="637">
        <v>0.4</v>
      </c>
      <c r="D154" s="440" t="s">
        <v>633</v>
      </c>
      <c r="E154" s="440" t="s">
        <v>634</v>
      </c>
      <c r="F154" s="637">
        <v>0.09</v>
      </c>
      <c r="G154" s="440" t="s">
        <v>631</v>
      </c>
      <c r="H154" s="440" t="s">
        <v>632</v>
      </c>
      <c r="I154" s="637">
        <v>0.01</v>
      </c>
      <c r="J154" s="662">
        <f t="shared" si="139"/>
        <v>0.5</v>
      </c>
      <c r="K154" s="637">
        <v>0.4</v>
      </c>
      <c r="L154" s="440" t="s">
        <v>633</v>
      </c>
      <c r="M154" s="440" t="s">
        <v>634</v>
      </c>
      <c r="N154" s="637">
        <v>0.09</v>
      </c>
      <c r="O154" s="440" t="s">
        <v>631</v>
      </c>
      <c r="P154" s="440" t="s">
        <v>632</v>
      </c>
      <c r="Q154" s="637">
        <v>0.01</v>
      </c>
      <c r="R154" s="662">
        <f t="shared" si="70"/>
        <v>0.5</v>
      </c>
      <c r="S154" s="637">
        <v>0.4</v>
      </c>
      <c r="T154" s="302" t="s">
        <v>633</v>
      </c>
      <c r="U154" s="302" t="s">
        <v>634</v>
      </c>
      <c r="V154" s="637">
        <v>0.09</v>
      </c>
      <c r="W154" s="302" t="s">
        <v>631</v>
      </c>
      <c r="X154" s="302" t="s">
        <v>632</v>
      </c>
      <c r="Y154" s="637">
        <v>0.01</v>
      </c>
      <c r="Z154" s="645">
        <f t="shared" si="71"/>
        <v>0.5</v>
      </c>
      <c r="AA154" s="637">
        <v>0.4</v>
      </c>
      <c r="AB154" s="302" t="s">
        <v>633</v>
      </c>
      <c r="AC154" s="302" t="s">
        <v>634</v>
      </c>
      <c r="AD154" s="637">
        <v>0.09</v>
      </c>
      <c r="AE154" s="302" t="s">
        <v>631</v>
      </c>
      <c r="AF154" s="302" t="s">
        <v>632</v>
      </c>
      <c r="AG154" s="637">
        <v>0.01</v>
      </c>
      <c r="AH154" s="645">
        <f t="shared" si="102"/>
        <v>0.5</v>
      </c>
      <c r="AI154" s="637">
        <v>0.4</v>
      </c>
      <c r="AJ154" s="302" t="s">
        <v>633</v>
      </c>
      <c r="AK154" s="302" t="s">
        <v>634</v>
      </c>
      <c r="AL154" s="637">
        <v>0.09</v>
      </c>
      <c r="AM154" s="302" t="s">
        <v>631</v>
      </c>
      <c r="AN154" s="302" t="s">
        <v>632</v>
      </c>
      <c r="AO154" s="637">
        <v>0.01</v>
      </c>
      <c r="AP154" s="645">
        <f t="shared" ref="AP154:AP155" si="194">+AI154+AL154+AO154</f>
        <v>0.5</v>
      </c>
      <c r="AQ154" s="637">
        <v>0.4</v>
      </c>
      <c r="AR154" s="302" t="s">
        <v>633</v>
      </c>
      <c r="AS154" s="302" t="s">
        <v>634</v>
      </c>
      <c r="AT154" s="637">
        <v>0.09</v>
      </c>
      <c r="AU154" s="302" t="s">
        <v>631</v>
      </c>
      <c r="AV154" s="302" t="s">
        <v>632</v>
      </c>
      <c r="AW154" s="637">
        <v>0.01</v>
      </c>
      <c r="AX154" s="645">
        <f t="shared" ref="AX154:AX155" si="195">+AQ154+AT154+AW154</f>
        <v>0.5</v>
      </c>
      <c r="AY154" s="637">
        <v>0.4</v>
      </c>
      <c r="AZ154" s="302" t="s">
        <v>633</v>
      </c>
      <c r="BA154" s="302" t="s">
        <v>634</v>
      </c>
      <c r="BB154" s="637">
        <v>0.09</v>
      </c>
      <c r="BC154" s="302" t="s">
        <v>631</v>
      </c>
      <c r="BD154" s="302" t="s">
        <v>632</v>
      </c>
      <c r="BE154" s="637">
        <v>0.01</v>
      </c>
      <c r="BF154" s="434">
        <f t="shared" ref="BF154:BF155" si="196">+AY154+BB154+BE154</f>
        <v>0.5</v>
      </c>
      <c r="BG154" s="587">
        <v>0.4</v>
      </c>
      <c r="BH154" s="302" t="s">
        <v>633</v>
      </c>
      <c r="BI154" s="302" t="s">
        <v>634</v>
      </c>
      <c r="BJ154" s="434">
        <v>0.09</v>
      </c>
      <c r="BK154" s="302" t="s">
        <v>631</v>
      </c>
      <c r="BL154" s="302" t="s">
        <v>632</v>
      </c>
      <c r="BM154" s="434">
        <v>0.01</v>
      </c>
      <c r="BN154" s="645">
        <f t="shared" ref="BN154:BN155" si="197">+BG154+BJ154+BM154</f>
        <v>0.5</v>
      </c>
      <c r="BO154" s="434"/>
      <c r="BP154" s="434">
        <v>0.4</v>
      </c>
      <c r="BQ154" s="302" t="s">
        <v>633</v>
      </c>
      <c r="BR154" s="302" t="s">
        <v>634</v>
      </c>
      <c r="BS154" s="434">
        <v>0.09</v>
      </c>
      <c r="BT154" s="302" t="s">
        <v>631</v>
      </c>
      <c r="BU154" s="302" t="s">
        <v>632</v>
      </c>
      <c r="BV154" s="434">
        <v>0.01</v>
      </c>
      <c r="BW154" s="645">
        <f t="shared" ref="BW154:BW155" si="198">+BP154+BS154+BV154</f>
        <v>0.5</v>
      </c>
      <c r="BX154" s="434">
        <v>0.4</v>
      </c>
      <c r="BY154" s="302" t="s">
        <v>633</v>
      </c>
      <c r="BZ154" s="302" t="s">
        <v>634</v>
      </c>
      <c r="CA154" s="434">
        <v>0.09</v>
      </c>
      <c r="CB154" s="302" t="s">
        <v>631</v>
      </c>
      <c r="CC154" s="302" t="s">
        <v>632</v>
      </c>
      <c r="CD154" s="434">
        <v>0.01</v>
      </c>
      <c r="CE154" s="434">
        <f t="shared" ref="CE154:CE155" si="199">+BX154+CA154+CD154</f>
        <v>0.5</v>
      </c>
      <c r="CF154" s="1620" t="s">
        <v>1166</v>
      </c>
      <c r="CG154" s="1620" t="s">
        <v>1166</v>
      </c>
      <c r="CH154" s="1620" t="s">
        <v>1166</v>
      </c>
      <c r="CI154" s="406"/>
      <c r="CJ154" s="642">
        <v>0.67400000000000004</v>
      </c>
      <c r="CK154" s="591" t="s">
        <v>922</v>
      </c>
      <c r="CL154" s="302" t="s">
        <v>633</v>
      </c>
      <c r="CM154" s="302" t="s">
        <v>634</v>
      </c>
      <c r="CN154" s="637">
        <v>0.59</v>
      </c>
      <c r="CO154" s="302" t="s">
        <v>631</v>
      </c>
      <c r="CP154" s="302" t="s">
        <v>632</v>
      </c>
      <c r="CQ154" s="637">
        <v>0.01</v>
      </c>
    </row>
    <row r="155" spans="1:95" ht="15.75" customHeight="1" x14ac:dyDescent="0.2">
      <c r="A155" s="661" t="s">
        <v>189</v>
      </c>
      <c r="B155" s="440" t="s">
        <v>599</v>
      </c>
      <c r="C155" s="637">
        <v>0.49</v>
      </c>
      <c r="D155" s="440" t="s">
        <v>508</v>
      </c>
      <c r="E155" s="440" t="s">
        <v>509</v>
      </c>
      <c r="F155" s="637">
        <v>0</v>
      </c>
      <c r="G155" s="440" t="s">
        <v>600</v>
      </c>
      <c r="H155" s="440" t="s">
        <v>601</v>
      </c>
      <c r="I155" s="637">
        <v>0.01</v>
      </c>
      <c r="J155" s="662">
        <f t="shared" si="139"/>
        <v>0.5</v>
      </c>
      <c r="K155" s="637">
        <v>0.49</v>
      </c>
      <c r="L155" s="440" t="s">
        <v>508</v>
      </c>
      <c r="M155" s="440" t="s">
        <v>509</v>
      </c>
      <c r="N155" s="637">
        <v>0</v>
      </c>
      <c r="O155" s="440" t="s">
        <v>600</v>
      </c>
      <c r="P155" s="440" t="s">
        <v>601</v>
      </c>
      <c r="Q155" s="637">
        <v>0.01</v>
      </c>
      <c r="R155" s="662">
        <f t="shared" si="70"/>
        <v>0.5</v>
      </c>
      <c r="S155" s="637">
        <v>0.49</v>
      </c>
      <c r="T155" s="302" t="s">
        <v>508</v>
      </c>
      <c r="U155" s="302" t="s">
        <v>509</v>
      </c>
      <c r="V155" s="637">
        <v>0</v>
      </c>
      <c r="W155" s="302" t="s">
        <v>600</v>
      </c>
      <c r="X155" s="302" t="s">
        <v>601</v>
      </c>
      <c r="Y155" s="637">
        <v>0.01</v>
      </c>
      <c r="Z155" s="645">
        <f t="shared" si="71"/>
        <v>0.5</v>
      </c>
      <c r="AA155" s="637">
        <v>0.49</v>
      </c>
      <c r="AB155" s="302" t="s">
        <v>508</v>
      </c>
      <c r="AC155" s="302" t="s">
        <v>509</v>
      </c>
      <c r="AD155" s="637">
        <v>0</v>
      </c>
      <c r="AE155" s="302" t="s">
        <v>600</v>
      </c>
      <c r="AF155" s="302" t="s">
        <v>601</v>
      </c>
      <c r="AG155" s="637">
        <v>0.01</v>
      </c>
      <c r="AH155" s="645">
        <f t="shared" si="102"/>
        <v>0.5</v>
      </c>
      <c r="AI155" s="637">
        <v>0.49</v>
      </c>
      <c r="AJ155" s="302" t="s">
        <v>508</v>
      </c>
      <c r="AK155" s="302" t="s">
        <v>509</v>
      </c>
      <c r="AL155" s="637">
        <v>0</v>
      </c>
      <c r="AM155" s="302" t="s">
        <v>600</v>
      </c>
      <c r="AN155" s="302" t="s">
        <v>601</v>
      </c>
      <c r="AO155" s="637">
        <v>0.01</v>
      </c>
      <c r="AP155" s="645">
        <f t="shared" si="194"/>
        <v>0.5</v>
      </c>
      <c r="AQ155" s="637">
        <v>0.49</v>
      </c>
      <c r="AR155" s="302" t="s">
        <v>508</v>
      </c>
      <c r="AS155" s="302" t="s">
        <v>509</v>
      </c>
      <c r="AT155" s="637">
        <v>0</v>
      </c>
      <c r="AU155" s="302" t="s">
        <v>600</v>
      </c>
      <c r="AV155" s="302" t="s">
        <v>601</v>
      </c>
      <c r="AW155" s="637">
        <v>0.01</v>
      </c>
      <c r="AX155" s="645">
        <f t="shared" si="195"/>
        <v>0.5</v>
      </c>
      <c r="AY155" s="637">
        <v>0.49</v>
      </c>
      <c r="AZ155" s="302" t="s">
        <v>508</v>
      </c>
      <c r="BA155" s="302" t="s">
        <v>509</v>
      </c>
      <c r="BB155" s="637">
        <v>0</v>
      </c>
      <c r="BC155" s="302" t="s">
        <v>600</v>
      </c>
      <c r="BD155" s="302" t="s">
        <v>601</v>
      </c>
      <c r="BE155" s="637">
        <v>0.01</v>
      </c>
      <c r="BF155" s="434">
        <f t="shared" si="196"/>
        <v>0.5</v>
      </c>
      <c r="BG155" s="587">
        <v>0.99</v>
      </c>
      <c r="BH155" s="302" t="s">
        <v>508</v>
      </c>
      <c r="BI155" s="302" t="s">
        <v>509</v>
      </c>
      <c r="BJ155" s="434">
        <v>0</v>
      </c>
      <c r="BK155" s="302" t="s">
        <v>600</v>
      </c>
      <c r="BL155" s="302" t="s">
        <v>601</v>
      </c>
      <c r="BM155" s="434">
        <v>0.01</v>
      </c>
      <c r="BN155" s="645">
        <f t="shared" si="197"/>
        <v>1</v>
      </c>
      <c r="BO155" s="434"/>
      <c r="BP155" s="434">
        <v>0.49</v>
      </c>
      <c r="BQ155" s="302" t="s">
        <v>508</v>
      </c>
      <c r="BR155" s="302" t="s">
        <v>509</v>
      </c>
      <c r="BS155" s="434">
        <v>0</v>
      </c>
      <c r="BT155" s="302" t="s">
        <v>600</v>
      </c>
      <c r="BU155" s="302" t="s">
        <v>601</v>
      </c>
      <c r="BV155" s="434">
        <v>0.01</v>
      </c>
      <c r="BW155" s="645">
        <f t="shared" si="198"/>
        <v>0.5</v>
      </c>
      <c r="BX155" s="434">
        <v>0.49</v>
      </c>
      <c r="BY155" s="302" t="s">
        <v>508</v>
      </c>
      <c r="BZ155" s="302" t="s">
        <v>509</v>
      </c>
      <c r="CA155" s="434">
        <v>0</v>
      </c>
      <c r="CB155" s="302" t="s">
        <v>600</v>
      </c>
      <c r="CC155" s="302" t="s">
        <v>601</v>
      </c>
      <c r="CD155" s="434">
        <v>0.01</v>
      </c>
      <c r="CE155" s="434">
        <f t="shared" si="199"/>
        <v>0.5</v>
      </c>
      <c r="CF155" s="1620" t="s">
        <v>862</v>
      </c>
      <c r="CG155" s="1620" t="s">
        <v>1166</v>
      </c>
      <c r="CH155" s="1620" t="s">
        <v>1166</v>
      </c>
      <c r="CI155" s="408" t="s">
        <v>862</v>
      </c>
      <c r="CJ155" s="642">
        <v>0.71099999999999997</v>
      </c>
      <c r="CK155" s="591" t="s">
        <v>922</v>
      </c>
      <c r="CL155" s="302" t="s">
        <v>508</v>
      </c>
      <c r="CM155" s="302" t="s">
        <v>509</v>
      </c>
      <c r="CN155" s="637">
        <v>0</v>
      </c>
      <c r="CO155" s="302" t="s">
        <v>600</v>
      </c>
      <c r="CP155" s="302" t="s">
        <v>601</v>
      </c>
      <c r="CQ155" s="637">
        <v>0.01</v>
      </c>
    </row>
    <row r="156" spans="1:95" ht="15.75" customHeight="1" x14ac:dyDescent="0.2">
      <c r="A156" s="661" t="s">
        <v>191</v>
      </c>
      <c r="B156" s="440" t="s">
        <v>190</v>
      </c>
      <c r="C156" s="637">
        <v>0.4</v>
      </c>
      <c r="D156" s="440" t="s">
        <v>615</v>
      </c>
      <c r="E156" s="440" t="s">
        <v>616</v>
      </c>
      <c r="F156" s="637">
        <v>0.09</v>
      </c>
      <c r="G156" s="440" t="s">
        <v>612</v>
      </c>
      <c r="H156" s="440" t="s">
        <v>613</v>
      </c>
      <c r="I156" s="637">
        <v>0.01</v>
      </c>
      <c r="J156" s="662">
        <f t="shared" si="139"/>
        <v>0.5</v>
      </c>
      <c r="K156" s="637">
        <v>0.4</v>
      </c>
      <c r="L156" s="440" t="s">
        <v>615</v>
      </c>
      <c r="M156" s="440" t="s">
        <v>616</v>
      </c>
      <c r="N156" s="637">
        <v>0.09</v>
      </c>
      <c r="O156" s="440" t="s">
        <v>612</v>
      </c>
      <c r="P156" s="440" t="s">
        <v>613</v>
      </c>
      <c r="Q156" s="637">
        <v>0.01</v>
      </c>
      <c r="R156" s="662">
        <f t="shared" si="70"/>
        <v>0.5</v>
      </c>
      <c r="S156" s="637">
        <v>0.4</v>
      </c>
      <c r="T156" s="302" t="s">
        <v>615</v>
      </c>
      <c r="U156" s="302" t="s">
        <v>616</v>
      </c>
      <c r="V156" s="637">
        <v>0.09</v>
      </c>
      <c r="W156" s="302" t="s">
        <v>612</v>
      </c>
      <c r="X156" s="302" t="s">
        <v>613</v>
      </c>
      <c r="Y156" s="637">
        <v>0.01</v>
      </c>
      <c r="Z156" s="645">
        <f t="shared" si="71"/>
        <v>0.5</v>
      </c>
      <c r="AA156" s="637">
        <v>0.4</v>
      </c>
      <c r="AB156" s="302" t="s">
        <v>615</v>
      </c>
      <c r="AC156" s="302" t="s">
        <v>616</v>
      </c>
      <c r="AD156" s="637">
        <v>0.09</v>
      </c>
      <c r="AE156" s="302" t="s">
        <v>612</v>
      </c>
      <c r="AF156" s="302" t="s">
        <v>613</v>
      </c>
      <c r="AG156" s="637">
        <v>0.01</v>
      </c>
      <c r="AH156" s="645">
        <f t="shared" si="102"/>
        <v>0.5</v>
      </c>
      <c r="AI156" s="637">
        <v>0.4</v>
      </c>
      <c r="AJ156" s="302" t="s">
        <v>615</v>
      </c>
      <c r="AK156" s="302" t="s">
        <v>616</v>
      </c>
      <c r="AL156" s="637">
        <v>0.09</v>
      </c>
      <c r="AM156" s="302" t="s">
        <v>612</v>
      </c>
      <c r="AN156" s="302" t="s">
        <v>613</v>
      </c>
      <c r="AO156" s="637">
        <v>0.01</v>
      </c>
      <c r="AP156" s="645">
        <f t="shared" ref="AP156:AP157" si="200">+AI156+AL156+AO156</f>
        <v>0.5</v>
      </c>
      <c r="AQ156" s="637">
        <v>0.4</v>
      </c>
      <c r="AR156" s="302" t="s">
        <v>615</v>
      </c>
      <c r="AS156" s="302" t="s">
        <v>616</v>
      </c>
      <c r="AT156" s="637">
        <v>0.09</v>
      </c>
      <c r="AU156" s="302" t="s">
        <v>612</v>
      </c>
      <c r="AV156" s="302" t="s">
        <v>613</v>
      </c>
      <c r="AW156" s="637">
        <v>0.01</v>
      </c>
      <c r="AX156" s="645">
        <f t="shared" ref="AX156:AX157" si="201">+AQ156+AT156+AW156</f>
        <v>0.5</v>
      </c>
      <c r="AY156" s="637">
        <v>0.375</v>
      </c>
      <c r="AZ156" s="302" t="s">
        <v>615</v>
      </c>
      <c r="BA156" s="302" t="s">
        <v>616</v>
      </c>
      <c r="BB156" s="637">
        <v>0.36499999999999999</v>
      </c>
      <c r="BC156" s="302" t="s">
        <v>612</v>
      </c>
      <c r="BD156" s="302" t="s">
        <v>613</v>
      </c>
      <c r="BE156" s="637">
        <v>0.01</v>
      </c>
      <c r="BF156" s="434">
        <f t="shared" ref="BF156:BF157" si="202">+AY156+BB156+BE156</f>
        <v>0.75</v>
      </c>
      <c r="BG156" s="587">
        <v>0.4</v>
      </c>
      <c r="BH156" s="302" t="s">
        <v>615</v>
      </c>
      <c r="BI156" s="302" t="s">
        <v>616</v>
      </c>
      <c r="BJ156" s="434">
        <v>0.09</v>
      </c>
      <c r="BK156" s="302" t="s">
        <v>612</v>
      </c>
      <c r="BL156" s="302" t="s">
        <v>613</v>
      </c>
      <c r="BM156" s="434">
        <v>0.01</v>
      </c>
      <c r="BN156" s="645">
        <f t="shared" ref="BN156:BN157" si="203">+BG156+BJ156+BM156</f>
        <v>0.5</v>
      </c>
      <c r="BO156" s="434"/>
      <c r="BP156" s="434">
        <v>0.4</v>
      </c>
      <c r="BQ156" s="302" t="s">
        <v>615</v>
      </c>
      <c r="BR156" s="302" t="s">
        <v>616</v>
      </c>
      <c r="BS156" s="434">
        <v>0.09</v>
      </c>
      <c r="BT156" s="302" t="s">
        <v>612</v>
      </c>
      <c r="BU156" s="302" t="s">
        <v>613</v>
      </c>
      <c r="BV156" s="434">
        <v>0.01</v>
      </c>
      <c r="BW156" s="645">
        <f t="shared" ref="BW156:BW157" si="204">+BP156+BS156+BV156</f>
        <v>0.5</v>
      </c>
      <c r="BX156" s="434">
        <v>0.4</v>
      </c>
      <c r="BY156" s="302" t="s">
        <v>615</v>
      </c>
      <c r="BZ156" s="302" t="s">
        <v>616</v>
      </c>
      <c r="CA156" s="434">
        <v>0.09</v>
      </c>
      <c r="CB156" s="302" t="s">
        <v>612</v>
      </c>
      <c r="CC156" s="302" t="s">
        <v>613</v>
      </c>
      <c r="CD156" s="434">
        <v>0.01</v>
      </c>
      <c r="CE156" s="434">
        <f t="shared" ref="CE156:CE157" si="205">+BX156+CA156+CD156</f>
        <v>0.5</v>
      </c>
      <c r="CF156" s="1621" t="s">
        <v>1166</v>
      </c>
      <c r="CG156" s="1621" t="s">
        <v>1166</v>
      </c>
      <c r="CH156" s="1621" t="s">
        <v>1166</v>
      </c>
      <c r="CI156" s="406"/>
      <c r="CJ156" s="642">
        <v>0.69</v>
      </c>
      <c r="CK156" s="591" t="s">
        <v>922</v>
      </c>
      <c r="CL156" s="302" t="s">
        <v>615</v>
      </c>
      <c r="CM156" s="302" t="s">
        <v>616</v>
      </c>
      <c r="CN156" s="637">
        <v>0.59</v>
      </c>
      <c r="CO156" s="302" t="s">
        <v>612</v>
      </c>
      <c r="CP156" s="302" t="s">
        <v>613</v>
      </c>
      <c r="CQ156" s="637">
        <v>0.01</v>
      </c>
    </row>
    <row r="157" spans="1:95" ht="15.75" customHeight="1" x14ac:dyDescent="0.2">
      <c r="A157" s="661" t="s">
        <v>193</v>
      </c>
      <c r="B157" s="440" t="s">
        <v>192</v>
      </c>
      <c r="C157" s="637">
        <v>0.3</v>
      </c>
      <c r="D157" s="440" t="s">
        <v>674</v>
      </c>
      <c r="E157" s="440" t="s">
        <v>675</v>
      </c>
      <c r="F157" s="637">
        <v>0.37</v>
      </c>
      <c r="G157" s="440" t="s">
        <v>508</v>
      </c>
      <c r="H157" s="440" t="s">
        <v>508</v>
      </c>
      <c r="I157" s="637">
        <v>0</v>
      </c>
      <c r="J157" s="662">
        <f t="shared" si="139"/>
        <v>0.66999999999999993</v>
      </c>
      <c r="K157" s="637">
        <v>0.3</v>
      </c>
      <c r="L157" s="440" t="s">
        <v>674</v>
      </c>
      <c r="M157" s="440" t="s">
        <v>675</v>
      </c>
      <c r="N157" s="637">
        <v>0.37</v>
      </c>
      <c r="O157" s="440" t="s">
        <v>508</v>
      </c>
      <c r="P157" s="440" t="s">
        <v>508</v>
      </c>
      <c r="Q157" s="637">
        <v>0</v>
      </c>
      <c r="R157" s="662">
        <f t="shared" si="70"/>
        <v>0.66999999999999993</v>
      </c>
      <c r="S157" s="637">
        <v>0.3</v>
      </c>
      <c r="T157" s="302" t="s">
        <v>674</v>
      </c>
      <c r="U157" s="302" t="s">
        <v>675</v>
      </c>
      <c r="V157" s="637">
        <v>0.37</v>
      </c>
      <c r="W157" s="302" t="s">
        <v>508</v>
      </c>
      <c r="X157" s="302" t="s">
        <v>508</v>
      </c>
      <c r="Y157" s="637">
        <v>0</v>
      </c>
      <c r="Z157" s="645">
        <f t="shared" si="71"/>
        <v>0.66999999999999993</v>
      </c>
      <c r="AA157" s="637">
        <v>0.3</v>
      </c>
      <c r="AB157" s="302" t="s">
        <v>674</v>
      </c>
      <c r="AC157" s="302" t="s">
        <v>675</v>
      </c>
      <c r="AD157" s="637">
        <v>0.37</v>
      </c>
      <c r="AE157" s="302" t="s">
        <v>508</v>
      </c>
      <c r="AF157" s="302" t="s">
        <v>508</v>
      </c>
      <c r="AG157" s="637">
        <v>0</v>
      </c>
      <c r="AH157" s="645">
        <f t="shared" si="102"/>
        <v>0.66999999999999993</v>
      </c>
      <c r="AI157" s="637">
        <v>0.3</v>
      </c>
      <c r="AJ157" s="302" t="s">
        <v>674</v>
      </c>
      <c r="AK157" s="302" t="s">
        <v>675</v>
      </c>
      <c r="AL157" s="637">
        <v>0.37</v>
      </c>
      <c r="AM157" s="302" t="s">
        <v>508</v>
      </c>
      <c r="AN157" s="302" t="s">
        <v>508</v>
      </c>
      <c r="AO157" s="637">
        <v>0</v>
      </c>
      <c r="AP157" s="645">
        <f t="shared" si="200"/>
        <v>0.66999999999999993</v>
      </c>
      <c r="AQ157" s="637">
        <v>0.3</v>
      </c>
      <c r="AR157" s="302" t="s">
        <v>674</v>
      </c>
      <c r="AS157" s="302" t="s">
        <v>675</v>
      </c>
      <c r="AT157" s="637">
        <v>0.37</v>
      </c>
      <c r="AU157" s="302" t="s">
        <v>508</v>
      </c>
      <c r="AV157" s="302" t="s">
        <v>508</v>
      </c>
      <c r="AW157" s="637">
        <v>0</v>
      </c>
      <c r="AX157" s="645">
        <f t="shared" si="201"/>
        <v>0.66999999999999993</v>
      </c>
      <c r="AY157" s="637">
        <v>0.48</v>
      </c>
      <c r="AZ157" s="302" t="s">
        <v>674</v>
      </c>
      <c r="BA157" s="302" t="s">
        <v>675</v>
      </c>
      <c r="BB157" s="637">
        <v>0.27</v>
      </c>
      <c r="BC157" s="302" t="s">
        <v>508</v>
      </c>
      <c r="BD157" s="302" t="s">
        <v>508</v>
      </c>
      <c r="BE157" s="637">
        <v>0</v>
      </c>
      <c r="BF157" s="434">
        <f t="shared" si="202"/>
        <v>0.75</v>
      </c>
      <c r="BG157" s="587">
        <v>0.64</v>
      </c>
      <c r="BH157" s="302" t="s">
        <v>674</v>
      </c>
      <c r="BI157" s="302" t="s">
        <v>675</v>
      </c>
      <c r="BJ157" s="434">
        <v>0.36</v>
      </c>
      <c r="BK157" s="302" t="s">
        <v>508</v>
      </c>
      <c r="BL157" s="302" t="s">
        <v>508</v>
      </c>
      <c r="BM157" s="434">
        <v>0</v>
      </c>
      <c r="BN157" s="645">
        <f t="shared" si="203"/>
        <v>1</v>
      </c>
      <c r="BO157" s="434"/>
      <c r="BP157" s="434">
        <v>0.3</v>
      </c>
      <c r="BQ157" s="302" t="s">
        <v>674</v>
      </c>
      <c r="BR157" s="302" t="s">
        <v>675</v>
      </c>
      <c r="BS157" s="434">
        <v>0.37</v>
      </c>
      <c r="BT157" s="302" t="s">
        <v>508</v>
      </c>
      <c r="BU157" s="302" t="s">
        <v>508</v>
      </c>
      <c r="BV157" s="434">
        <v>0</v>
      </c>
      <c r="BW157" s="645">
        <f t="shared" si="204"/>
        <v>0.66999999999999993</v>
      </c>
      <c r="BX157" s="434">
        <v>0.3</v>
      </c>
      <c r="BY157" s="302" t="s">
        <v>674</v>
      </c>
      <c r="BZ157" s="302" t="s">
        <v>675</v>
      </c>
      <c r="CA157" s="434">
        <v>0.2</v>
      </c>
      <c r="CB157" s="302" t="s">
        <v>508</v>
      </c>
      <c r="CC157" s="302" t="s">
        <v>508</v>
      </c>
      <c r="CD157" s="434">
        <v>0</v>
      </c>
      <c r="CE157" s="434">
        <f t="shared" si="205"/>
        <v>0.5</v>
      </c>
      <c r="CF157" s="1620" t="s">
        <v>1166</v>
      </c>
      <c r="CG157" s="1620" t="s">
        <v>1166</v>
      </c>
      <c r="CH157" s="1620" t="s">
        <v>1166</v>
      </c>
      <c r="CI157" s="408" t="s">
        <v>862</v>
      </c>
      <c r="CJ157" s="642">
        <v>0.72899999999999998</v>
      </c>
      <c r="CK157" s="591" t="s">
        <v>922</v>
      </c>
      <c r="CL157" s="302" t="s">
        <v>674</v>
      </c>
      <c r="CM157" s="302" t="s">
        <v>675</v>
      </c>
      <c r="CN157" s="637">
        <v>0.2</v>
      </c>
      <c r="CO157" s="302" t="s">
        <v>508</v>
      </c>
      <c r="CP157" s="302" t="s">
        <v>508</v>
      </c>
      <c r="CQ157" s="637">
        <v>0</v>
      </c>
    </row>
    <row r="158" spans="1:95" ht="15" x14ac:dyDescent="0.2">
      <c r="A158" s="661" t="s">
        <v>195</v>
      </c>
      <c r="B158" s="440" t="s">
        <v>194</v>
      </c>
      <c r="C158" s="637">
        <v>0.4</v>
      </c>
      <c r="D158" s="440" t="s">
        <v>557</v>
      </c>
      <c r="E158" s="440" t="s">
        <v>558</v>
      </c>
      <c r="F158" s="637">
        <v>0.09</v>
      </c>
      <c r="G158" s="440" t="s">
        <v>554</v>
      </c>
      <c r="H158" s="440" t="s">
        <v>555</v>
      </c>
      <c r="I158" s="637">
        <v>0.01</v>
      </c>
      <c r="J158" s="662">
        <f t="shared" si="139"/>
        <v>0.5</v>
      </c>
      <c r="K158" s="637">
        <v>0.4</v>
      </c>
      <c r="L158" s="440" t="s">
        <v>557</v>
      </c>
      <c r="M158" s="440" t="s">
        <v>558</v>
      </c>
      <c r="N158" s="637">
        <v>0.09</v>
      </c>
      <c r="O158" s="440" t="s">
        <v>554</v>
      </c>
      <c r="P158" s="440" t="s">
        <v>555</v>
      </c>
      <c r="Q158" s="637">
        <v>0.01</v>
      </c>
      <c r="R158" s="662">
        <f t="shared" si="70"/>
        <v>0.5</v>
      </c>
      <c r="S158" s="637">
        <v>0.4</v>
      </c>
      <c r="T158" s="302" t="s">
        <v>557</v>
      </c>
      <c r="U158" s="302" t="s">
        <v>558</v>
      </c>
      <c r="V158" s="637">
        <v>0.09</v>
      </c>
      <c r="W158" s="302" t="s">
        <v>554</v>
      </c>
      <c r="X158" s="302" t="s">
        <v>555</v>
      </c>
      <c r="Y158" s="637">
        <v>0.01</v>
      </c>
      <c r="Z158" s="645">
        <f t="shared" si="71"/>
        <v>0.5</v>
      </c>
      <c r="AA158" s="637">
        <v>0.4</v>
      </c>
      <c r="AB158" s="302" t="s">
        <v>557</v>
      </c>
      <c r="AC158" s="302" t="s">
        <v>558</v>
      </c>
      <c r="AD158" s="637">
        <v>0.09</v>
      </c>
      <c r="AE158" s="302" t="s">
        <v>554</v>
      </c>
      <c r="AF158" s="302" t="s">
        <v>555</v>
      </c>
      <c r="AG158" s="637">
        <v>0.01</v>
      </c>
      <c r="AH158" s="645">
        <f t="shared" si="102"/>
        <v>0.5</v>
      </c>
      <c r="AI158" s="637">
        <v>0.4</v>
      </c>
      <c r="AJ158" s="302" t="s">
        <v>557</v>
      </c>
      <c r="AK158" s="302" t="s">
        <v>558</v>
      </c>
      <c r="AL158" s="637">
        <v>0.09</v>
      </c>
      <c r="AM158" s="302" t="s">
        <v>554</v>
      </c>
      <c r="AN158" s="302" t="s">
        <v>555</v>
      </c>
      <c r="AO158" s="637">
        <v>0.01</v>
      </c>
      <c r="AP158" s="645">
        <f t="shared" ref="AP158:AP159" si="206">+AI158+AL158+AO158</f>
        <v>0.5</v>
      </c>
      <c r="AQ158" s="637">
        <v>0.4</v>
      </c>
      <c r="AR158" s="302" t="s">
        <v>557</v>
      </c>
      <c r="AS158" s="302" t="s">
        <v>558</v>
      </c>
      <c r="AT158" s="637">
        <v>0.09</v>
      </c>
      <c r="AU158" s="302" t="s">
        <v>554</v>
      </c>
      <c r="AV158" s="302" t="s">
        <v>555</v>
      </c>
      <c r="AW158" s="637">
        <v>0.01</v>
      </c>
      <c r="AX158" s="645">
        <f t="shared" ref="AX158:AX159" si="207">+AQ158+AT158+AW158</f>
        <v>0.5</v>
      </c>
      <c r="AY158" s="637">
        <v>0.4</v>
      </c>
      <c r="AZ158" s="302" t="s">
        <v>557</v>
      </c>
      <c r="BA158" s="302" t="s">
        <v>558</v>
      </c>
      <c r="BB158" s="637">
        <v>0.09</v>
      </c>
      <c r="BC158" s="302" t="s">
        <v>554</v>
      </c>
      <c r="BD158" s="302" t="s">
        <v>555</v>
      </c>
      <c r="BE158" s="637">
        <v>0.01</v>
      </c>
      <c r="BF158" s="434">
        <f t="shared" ref="BF158:BF159" si="208">+AY158+BB158+BE158</f>
        <v>0.5</v>
      </c>
      <c r="BG158" s="587">
        <v>0.4</v>
      </c>
      <c r="BH158" s="302" t="s">
        <v>557</v>
      </c>
      <c r="BI158" s="302" t="s">
        <v>558</v>
      </c>
      <c r="BJ158" s="434">
        <v>0.59</v>
      </c>
      <c r="BK158" s="302" t="s">
        <v>554</v>
      </c>
      <c r="BL158" s="302" t="s">
        <v>555</v>
      </c>
      <c r="BM158" s="434">
        <v>0.01</v>
      </c>
      <c r="BN158" s="645">
        <f t="shared" ref="BN158:BN159" si="209">+BG158+BJ158+BM158</f>
        <v>1</v>
      </c>
      <c r="BO158" s="434"/>
      <c r="BP158" s="434">
        <v>0.4</v>
      </c>
      <c r="BQ158" s="302" t="s">
        <v>557</v>
      </c>
      <c r="BR158" s="302" t="s">
        <v>558</v>
      </c>
      <c r="BS158" s="434">
        <v>0.09</v>
      </c>
      <c r="BT158" s="302" t="s">
        <v>554</v>
      </c>
      <c r="BU158" s="302" t="s">
        <v>555</v>
      </c>
      <c r="BV158" s="434">
        <v>0.01</v>
      </c>
      <c r="BW158" s="645">
        <f t="shared" ref="BW158:BW159" si="210">+BP158+BS158+BV158</f>
        <v>0.5</v>
      </c>
      <c r="BX158" s="434">
        <v>0.4</v>
      </c>
      <c r="BY158" s="302" t="s">
        <v>557</v>
      </c>
      <c r="BZ158" s="302" t="s">
        <v>558</v>
      </c>
      <c r="CA158" s="434">
        <v>0.09</v>
      </c>
      <c r="CB158" s="302" t="s">
        <v>554</v>
      </c>
      <c r="CC158" s="302" t="s">
        <v>555</v>
      </c>
      <c r="CD158" s="434">
        <v>0.01</v>
      </c>
      <c r="CE158" s="434">
        <f t="shared" ref="CE158:CE159" si="211">+BX158+CA158+CD158</f>
        <v>0.5</v>
      </c>
      <c r="CF158" s="1620" t="s">
        <v>1166</v>
      </c>
      <c r="CG158" s="1620" t="s">
        <v>1166</v>
      </c>
      <c r="CH158" s="1620" t="s">
        <v>1166</v>
      </c>
      <c r="CI158" s="406"/>
      <c r="CJ158" s="642">
        <v>0.66</v>
      </c>
      <c r="CK158" s="591" t="s">
        <v>922</v>
      </c>
      <c r="CL158" s="302" t="s">
        <v>557</v>
      </c>
      <c r="CM158" s="302" t="s">
        <v>558</v>
      </c>
      <c r="CN158" s="637">
        <v>0.59</v>
      </c>
      <c r="CO158" s="302" t="s">
        <v>554</v>
      </c>
      <c r="CP158" s="302" t="s">
        <v>555</v>
      </c>
      <c r="CQ158" s="637">
        <v>0.01</v>
      </c>
    </row>
    <row r="159" spans="1:95" ht="15.75" customHeight="1" x14ac:dyDescent="0.2">
      <c r="A159" s="661" t="s">
        <v>197</v>
      </c>
      <c r="B159" s="440" t="s">
        <v>196</v>
      </c>
      <c r="C159" s="637">
        <v>0.4</v>
      </c>
      <c r="D159" s="440" t="s">
        <v>647</v>
      </c>
      <c r="E159" s="440" t="s">
        <v>648</v>
      </c>
      <c r="F159" s="637">
        <v>0.1</v>
      </c>
      <c r="G159" s="440" t="s">
        <v>508</v>
      </c>
      <c r="H159" s="440" t="s">
        <v>546</v>
      </c>
      <c r="I159" s="637">
        <v>0</v>
      </c>
      <c r="J159" s="662">
        <f t="shared" si="139"/>
        <v>0.5</v>
      </c>
      <c r="K159" s="637">
        <v>0.4</v>
      </c>
      <c r="L159" s="440" t="s">
        <v>647</v>
      </c>
      <c r="M159" s="440" t="s">
        <v>648</v>
      </c>
      <c r="N159" s="637">
        <v>0.1</v>
      </c>
      <c r="O159" s="440" t="s">
        <v>508</v>
      </c>
      <c r="P159" s="440" t="s">
        <v>546</v>
      </c>
      <c r="Q159" s="637">
        <v>0</v>
      </c>
      <c r="R159" s="662">
        <f t="shared" si="70"/>
        <v>0.5</v>
      </c>
      <c r="S159" s="637">
        <v>0.4</v>
      </c>
      <c r="T159" s="302" t="s">
        <v>647</v>
      </c>
      <c r="U159" s="302" t="s">
        <v>648</v>
      </c>
      <c r="V159" s="637">
        <v>0.1</v>
      </c>
      <c r="W159" s="302" t="s">
        <v>508</v>
      </c>
      <c r="X159" s="302" t="s">
        <v>546</v>
      </c>
      <c r="Y159" s="637">
        <v>0</v>
      </c>
      <c r="Z159" s="645">
        <f t="shared" si="71"/>
        <v>0.5</v>
      </c>
      <c r="AA159" s="637">
        <v>0.4</v>
      </c>
      <c r="AB159" s="302" t="s">
        <v>647</v>
      </c>
      <c r="AC159" s="302" t="s">
        <v>648</v>
      </c>
      <c r="AD159" s="637">
        <v>0.1</v>
      </c>
      <c r="AE159" s="302" t="s">
        <v>508</v>
      </c>
      <c r="AF159" s="302" t="s">
        <v>546</v>
      </c>
      <c r="AG159" s="637">
        <v>0</v>
      </c>
      <c r="AH159" s="645">
        <f t="shared" si="102"/>
        <v>0.5</v>
      </c>
      <c r="AI159" s="637">
        <v>0.4</v>
      </c>
      <c r="AJ159" s="302" t="s">
        <v>647</v>
      </c>
      <c r="AK159" s="302" t="s">
        <v>648</v>
      </c>
      <c r="AL159" s="637">
        <v>0.1</v>
      </c>
      <c r="AM159" s="302" t="s">
        <v>508</v>
      </c>
      <c r="AN159" s="302" t="s">
        <v>546</v>
      </c>
      <c r="AO159" s="637">
        <v>0</v>
      </c>
      <c r="AP159" s="645">
        <f t="shared" si="206"/>
        <v>0.5</v>
      </c>
      <c r="AQ159" s="637">
        <v>0.4</v>
      </c>
      <c r="AR159" s="302" t="s">
        <v>647</v>
      </c>
      <c r="AS159" s="302" t="s">
        <v>648</v>
      </c>
      <c r="AT159" s="637">
        <v>0.1</v>
      </c>
      <c r="AU159" s="302" t="s">
        <v>508</v>
      </c>
      <c r="AV159" s="302" t="s">
        <v>546</v>
      </c>
      <c r="AW159" s="637">
        <v>0</v>
      </c>
      <c r="AX159" s="645">
        <f t="shared" si="207"/>
        <v>0.5</v>
      </c>
      <c r="AY159" s="637">
        <v>0.4</v>
      </c>
      <c r="AZ159" s="302" t="s">
        <v>647</v>
      </c>
      <c r="BA159" s="302" t="s">
        <v>648</v>
      </c>
      <c r="BB159" s="637">
        <v>0.1</v>
      </c>
      <c r="BC159" s="302" t="s">
        <v>508</v>
      </c>
      <c r="BD159" s="302" t="s">
        <v>546</v>
      </c>
      <c r="BE159" s="637">
        <v>0</v>
      </c>
      <c r="BF159" s="434">
        <f t="shared" si="208"/>
        <v>0.5</v>
      </c>
      <c r="BG159" s="587">
        <v>0.8</v>
      </c>
      <c r="BH159" s="302" t="s">
        <v>647</v>
      </c>
      <c r="BI159" s="302" t="s">
        <v>648</v>
      </c>
      <c r="BJ159" s="434">
        <v>0.2</v>
      </c>
      <c r="BK159" s="302" t="s">
        <v>508</v>
      </c>
      <c r="BL159" s="302" t="s">
        <v>546</v>
      </c>
      <c r="BM159" s="434">
        <v>0</v>
      </c>
      <c r="BN159" s="645">
        <f t="shared" si="209"/>
        <v>1</v>
      </c>
      <c r="BO159" s="434"/>
      <c r="BP159" s="434">
        <v>0.4</v>
      </c>
      <c r="BQ159" s="302" t="s">
        <v>647</v>
      </c>
      <c r="BR159" s="302" t="s">
        <v>648</v>
      </c>
      <c r="BS159" s="434">
        <v>0.1</v>
      </c>
      <c r="BT159" s="302" t="s">
        <v>508</v>
      </c>
      <c r="BU159" s="302" t="s">
        <v>546</v>
      </c>
      <c r="BV159" s="434">
        <v>0</v>
      </c>
      <c r="BW159" s="645">
        <f t="shared" si="210"/>
        <v>0.5</v>
      </c>
      <c r="BX159" s="434">
        <v>0.4</v>
      </c>
      <c r="BY159" s="302" t="s">
        <v>647</v>
      </c>
      <c r="BZ159" s="302" t="s">
        <v>648</v>
      </c>
      <c r="CA159" s="434">
        <v>0.1</v>
      </c>
      <c r="CB159" s="302" t="s">
        <v>508</v>
      </c>
      <c r="CC159" s="302" t="s">
        <v>546</v>
      </c>
      <c r="CD159" s="434">
        <v>0</v>
      </c>
      <c r="CE159" s="434">
        <f t="shared" si="211"/>
        <v>0.5</v>
      </c>
      <c r="CF159" s="1620" t="s">
        <v>862</v>
      </c>
      <c r="CG159" s="1620" t="s">
        <v>862</v>
      </c>
      <c r="CH159" s="1620" t="s">
        <v>1166</v>
      </c>
      <c r="CI159" s="406"/>
      <c r="CJ159" s="642">
        <v>0.65500000000000003</v>
      </c>
      <c r="CK159" s="591" t="s">
        <v>922</v>
      </c>
      <c r="CL159" s="302" t="s">
        <v>647</v>
      </c>
      <c r="CM159" s="302" t="s">
        <v>648</v>
      </c>
      <c r="CN159" s="637">
        <v>0.6</v>
      </c>
      <c r="CO159" s="302" t="s">
        <v>508</v>
      </c>
      <c r="CP159" s="302" t="s">
        <v>546</v>
      </c>
      <c r="CQ159" s="637">
        <v>0</v>
      </c>
    </row>
    <row r="160" spans="1:95" ht="15" x14ac:dyDescent="0.2">
      <c r="A160" s="661" t="s">
        <v>199</v>
      </c>
      <c r="B160" s="440" t="s">
        <v>198</v>
      </c>
      <c r="C160" s="637">
        <v>0.4</v>
      </c>
      <c r="D160" s="440" t="s">
        <v>655</v>
      </c>
      <c r="E160" s="440" t="s">
        <v>656</v>
      </c>
      <c r="F160" s="637">
        <v>0.1</v>
      </c>
      <c r="G160" s="440" t="s">
        <v>508</v>
      </c>
      <c r="H160" s="440" t="s">
        <v>546</v>
      </c>
      <c r="I160" s="637">
        <v>0</v>
      </c>
      <c r="J160" s="662">
        <f t="shared" si="139"/>
        <v>0.5</v>
      </c>
      <c r="K160" s="637">
        <v>0.4</v>
      </c>
      <c r="L160" s="440" t="s">
        <v>655</v>
      </c>
      <c r="M160" s="440" t="s">
        <v>656</v>
      </c>
      <c r="N160" s="637">
        <v>0.1</v>
      </c>
      <c r="O160" s="440" t="s">
        <v>508</v>
      </c>
      <c r="P160" s="440" t="s">
        <v>546</v>
      </c>
      <c r="Q160" s="637">
        <v>0</v>
      </c>
      <c r="R160" s="662">
        <f t="shared" si="70"/>
        <v>0.5</v>
      </c>
      <c r="S160" s="637">
        <v>0.4</v>
      </c>
      <c r="T160" s="302" t="s">
        <v>655</v>
      </c>
      <c r="U160" s="302" t="s">
        <v>656</v>
      </c>
      <c r="V160" s="637">
        <v>0.1</v>
      </c>
      <c r="W160" s="302" t="s">
        <v>508</v>
      </c>
      <c r="X160" s="302" t="s">
        <v>546</v>
      </c>
      <c r="Y160" s="637">
        <v>0</v>
      </c>
      <c r="Z160" s="645">
        <f t="shared" si="71"/>
        <v>0.5</v>
      </c>
      <c r="AA160" s="637">
        <v>0.4</v>
      </c>
      <c r="AB160" s="302" t="s">
        <v>655</v>
      </c>
      <c r="AC160" s="302" t="s">
        <v>656</v>
      </c>
      <c r="AD160" s="637">
        <v>0.1</v>
      </c>
      <c r="AE160" s="302" t="s">
        <v>508</v>
      </c>
      <c r="AF160" s="302" t="s">
        <v>546</v>
      </c>
      <c r="AG160" s="637">
        <v>0</v>
      </c>
      <c r="AH160" s="645">
        <f t="shared" si="102"/>
        <v>0.5</v>
      </c>
      <c r="AI160" s="637">
        <v>0.4</v>
      </c>
      <c r="AJ160" s="302" t="s">
        <v>655</v>
      </c>
      <c r="AK160" s="302" t="s">
        <v>656</v>
      </c>
      <c r="AL160" s="637">
        <v>0.1</v>
      </c>
      <c r="AM160" s="302" t="s">
        <v>508</v>
      </c>
      <c r="AN160" s="302" t="s">
        <v>546</v>
      </c>
      <c r="AO160" s="637">
        <v>0</v>
      </c>
      <c r="AP160" s="645">
        <f t="shared" ref="AP160:AP161" si="212">+AI160+AL160+AO160</f>
        <v>0.5</v>
      </c>
      <c r="AQ160" s="637">
        <v>0.4</v>
      </c>
      <c r="AR160" s="302" t="s">
        <v>655</v>
      </c>
      <c r="AS160" s="302" t="s">
        <v>656</v>
      </c>
      <c r="AT160" s="637">
        <v>0.1</v>
      </c>
      <c r="AU160" s="302" t="s">
        <v>508</v>
      </c>
      <c r="AV160" s="302" t="s">
        <v>546</v>
      </c>
      <c r="AW160" s="637">
        <v>0</v>
      </c>
      <c r="AX160" s="645">
        <f t="shared" ref="AX160:AX161" si="213">+AQ160+AT160+AW160</f>
        <v>0.5</v>
      </c>
      <c r="AY160" s="637">
        <v>0.2</v>
      </c>
      <c r="AZ160" s="302" t="s">
        <v>655</v>
      </c>
      <c r="BA160" s="302" t="s">
        <v>656</v>
      </c>
      <c r="BB160" s="637">
        <v>0.55000000000000004</v>
      </c>
      <c r="BC160" s="302" t="s">
        <v>508</v>
      </c>
      <c r="BD160" s="302" t="s">
        <v>546</v>
      </c>
      <c r="BE160" s="637">
        <v>0</v>
      </c>
      <c r="BF160" s="434">
        <f t="shared" ref="BF160:BF161" si="214">+AY160+BB160+BE160</f>
        <v>0.75</v>
      </c>
      <c r="BG160" s="587">
        <v>0.4</v>
      </c>
      <c r="BH160" s="302" t="s">
        <v>655</v>
      </c>
      <c r="BI160" s="302" t="s">
        <v>656</v>
      </c>
      <c r="BJ160" s="434">
        <v>0.1</v>
      </c>
      <c r="BK160" s="302" t="s">
        <v>508</v>
      </c>
      <c r="BL160" s="302" t="s">
        <v>546</v>
      </c>
      <c r="BM160" s="434">
        <v>0</v>
      </c>
      <c r="BN160" s="645">
        <f t="shared" ref="BN160:BN161" si="215">+BG160+BJ160+BM160</f>
        <v>0.5</v>
      </c>
      <c r="BO160" s="434"/>
      <c r="BP160" s="434">
        <v>0.4</v>
      </c>
      <c r="BQ160" s="302" t="s">
        <v>655</v>
      </c>
      <c r="BR160" s="302" t="s">
        <v>656</v>
      </c>
      <c r="BS160" s="434">
        <v>0.1</v>
      </c>
      <c r="BT160" s="302" t="s">
        <v>508</v>
      </c>
      <c r="BU160" s="302" t="s">
        <v>546</v>
      </c>
      <c r="BV160" s="434">
        <v>0</v>
      </c>
      <c r="BW160" s="645">
        <f t="shared" ref="BW160:BW161" si="216">+BP160+BS160+BV160</f>
        <v>0.5</v>
      </c>
      <c r="BX160" s="434">
        <v>0.4</v>
      </c>
      <c r="BY160" s="302" t="s">
        <v>655</v>
      </c>
      <c r="BZ160" s="302" t="s">
        <v>656</v>
      </c>
      <c r="CA160" s="434">
        <v>0.1</v>
      </c>
      <c r="CB160" s="302" t="s">
        <v>508</v>
      </c>
      <c r="CC160" s="302" t="s">
        <v>546</v>
      </c>
      <c r="CD160" s="434">
        <v>0</v>
      </c>
      <c r="CE160" s="434">
        <f t="shared" ref="CE160:CE161" si="217">+BX160+CA160+CD160</f>
        <v>0.5</v>
      </c>
      <c r="CF160" s="1620" t="s">
        <v>1166</v>
      </c>
      <c r="CG160" s="1620" t="s">
        <v>1166</v>
      </c>
      <c r="CH160" s="1620" t="s">
        <v>1166</v>
      </c>
      <c r="CI160" s="406"/>
      <c r="CJ160" s="642">
        <v>0.71699999999999997</v>
      </c>
      <c r="CK160" s="591" t="s">
        <v>922</v>
      </c>
      <c r="CL160" s="302" t="s">
        <v>655</v>
      </c>
      <c r="CM160" s="302" t="s">
        <v>656</v>
      </c>
      <c r="CN160" s="637">
        <v>0.6</v>
      </c>
      <c r="CO160" s="302" t="s">
        <v>508</v>
      </c>
      <c r="CP160" s="302" t="s">
        <v>546</v>
      </c>
      <c r="CQ160" s="637">
        <v>0</v>
      </c>
    </row>
    <row r="161" spans="1:98" ht="15.75" customHeight="1" x14ac:dyDescent="0.2">
      <c r="A161" s="661" t="s">
        <v>201</v>
      </c>
      <c r="B161" s="440" t="s">
        <v>543</v>
      </c>
      <c r="C161" s="637">
        <v>0.49</v>
      </c>
      <c r="D161" s="440" t="s">
        <v>508</v>
      </c>
      <c r="E161" s="440" t="s">
        <v>509</v>
      </c>
      <c r="F161" s="637">
        <v>0</v>
      </c>
      <c r="G161" s="440" t="s">
        <v>541</v>
      </c>
      <c r="H161" s="440" t="s">
        <v>542</v>
      </c>
      <c r="I161" s="637">
        <v>0.01</v>
      </c>
      <c r="J161" s="662">
        <f t="shared" si="139"/>
        <v>0.5</v>
      </c>
      <c r="K161" s="637">
        <v>0.49</v>
      </c>
      <c r="L161" s="440" t="s">
        <v>508</v>
      </c>
      <c r="M161" s="440" t="s">
        <v>509</v>
      </c>
      <c r="N161" s="637">
        <v>0</v>
      </c>
      <c r="O161" s="440" t="s">
        <v>541</v>
      </c>
      <c r="P161" s="440" t="s">
        <v>542</v>
      </c>
      <c r="Q161" s="637">
        <v>0.01</v>
      </c>
      <c r="R161" s="662">
        <f t="shared" si="70"/>
        <v>0.5</v>
      </c>
      <c r="S161" s="637">
        <v>0.49</v>
      </c>
      <c r="T161" s="302" t="s">
        <v>508</v>
      </c>
      <c r="U161" s="302" t="s">
        <v>509</v>
      </c>
      <c r="V161" s="637">
        <v>0</v>
      </c>
      <c r="W161" s="302" t="s">
        <v>541</v>
      </c>
      <c r="X161" s="302" t="s">
        <v>542</v>
      </c>
      <c r="Y161" s="637">
        <v>0.01</v>
      </c>
      <c r="Z161" s="645">
        <f t="shared" si="71"/>
        <v>0.5</v>
      </c>
      <c r="AA161" s="637">
        <v>0.49</v>
      </c>
      <c r="AB161" s="302" t="s">
        <v>508</v>
      </c>
      <c r="AC161" s="302" t="s">
        <v>509</v>
      </c>
      <c r="AD161" s="637">
        <v>0</v>
      </c>
      <c r="AE161" s="302" t="s">
        <v>541</v>
      </c>
      <c r="AF161" s="302" t="s">
        <v>542</v>
      </c>
      <c r="AG161" s="637">
        <v>0.01</v>
      </c>
      <c r="AH161" s="645">
        <f t="shared" si="102"/>
        <v>0.5</v>
      </c>
      <c r="AI161" s="637">
        <v>0.49</v>
      </c>
      <c r="AJ161" s="302" t="s">
        <v>508</v>
      </c>
      <c r="AK161" s="302" t="s">
        <v>509</v>
      </c>
      <c r="AL161" s="637">
        <v>0</v>
      </c>
      <c r="AM161" s="302" t="s">
        <v>541</v>
      </c>
      <c r="AN161" s="302" t="s">
        <v>542</v>
      </c>
      <c r="AO161" s="637">
        <v>0.01</v>
      </c>
      <c r="AP161" s="645">
        <f t="shared" si="212"/>
        <v>0.5</v>
      </c>
      <c r="AQ161" s="637">
        <v>0.49</v>
      </c>
      <c r="AR161" s="302" t="s">
        <v>508</v>
      </c>
      <c r="AS161" s="302" t="s">
        <v>509</v>
      </c>
      <c r="AT161" s="637">
        <v>0</v>
      </c>
      <c r="AU161" s="302" t="s">
        <v>541</v>
      </c>
      <c r="AV161" s="302" t="s">
        <v>542</v>
      </c>
      <c r="AW161" s="637">
        <v>0.01</v>
      </c>
      <c r="AX161" s="645">
        <f t="shared" si="213"/>
        <v>0.5</v>
      </c>
      <c r="AY161" s="637">
        <v>0.49</v>
      </c>
      <c r="AZ161" s="302" t="s">
        <v>508</v>
      </c>
      <c r="BA161" s="302" t="s">
        <v>509</v>
      </c>
      <c r="BB161" s="637">
        <v>0</v>
      </c>
      <c r="BC161" s="302" t="s">
        <v>541</v>
      </c>
      <c r="BD161" s="302" t="s">
        <v>542</v>
      </c>
      <c r="BE161" s="637">
        <v>0.01</v>
      </c>
      <c r="BF161" s="434">
        <f t="shared" si="214"/>
        <v>0.5</v>
      </c>
      <c r="BG161" s="587">
        <v>0.49</v>
      </c>
      <c r="BH161" s="302" t="s">
        <v>508</v>
      </c>
      <c r="BI161" s="302" t="s">
        <v>509</v>
      </c>
      <c r="BJ161" s="434">
        <v>0</v>
      </c>
      <c r="BK161" s="302" t="s">
        <v>541</v>
      </c>
      <c r="BL161" s="302" t="s">
        <v>542</v>
      </c>
      <c r="BM161" s="434">
        <v>0.01</v>
      </c>
      <c r="BN161" s="645">
        <f t="shared" si="215"/>
        <v>0.5</v>
      </c>
      <c r="BO161" s="434"/>
      <c r="BP161" s="434">
        <v>0.49</v>
      </c>
      <c r="BQ161" s="302" t="s">
        <v>508</v>
      </c>
      <c r="BR161" s="302" t="s">
        <v>509</v>
      </c>
      <c r="BS161" s="434">
        <v>0</v>
      </c>
      <c r="BT161" s="302" t="s">
        <v>541</v>
      </c>
      <c r="BU161" s="302" t="s">
        <v>542</v>
      </c>
      <c r="BV161" s="434">
        <v>0.01</v>
      </c>
      <c r="BW161" s="645">
        <f t="shared" si="216"/>
        <v>0.5</v>
      </c>
      <c r="BX161" s="434">
        <v>0.49</v>
      </c>
      <c r="BY161" s="302" t="s">
        <v>508</v>
      </c>
      <c r="BZ161" s="302" t="s">
        <v>509</v>
      </c>
      <c r="CA161" s="434">
        <v>0</v>
      </c>
      <c r="CB161" s="302" t="s">
        <v>541</v>
      </c>
      <c r="CC161" s="302" t="s">
        <v>542</v>
      </c>
      <c r="CD161" s="434">
        <v>0.01</v>
      </c>
      <c r="CE161" s="434">
        <f t="shared" si="217"/>
        <v>0.5</v>
      </c>
      <c r="CF161" s="1620" t="s">
        <v>862</v>
      </c>
      <c r="CG161" s="1620" t="s">
        <v>1166</v>
      </c>
      <c r="CH161" s="1620" t="s">
        <v>862</v>
      </c>
      <c r="CI161" s="408" t="s">
        <v>862</v>
      </c>
      <c r="CJ161" s="642">
        <v>0.67800000000000005</v>
      </c>
      <c r="CK161" s="591" t="s">
        <v>922</v>
      </c>
      <c r="CL161" s="302" t="s">
        <v>508</v>
      </c>
      <c r="CM161" s="302" t="s">
        <v>509</v>
      </c>
      <c r="CN161" s="637">
        <v>0</v>
      </c>
      <c r="CO161" s="302" t="s">
        <v>541</v>
      </c>
      <c r="CP161" s="302" t="s">
        <v>542</v>
      </c>
      <c r="CQ161" s="637">
        <v>0.01</v>
      </c>
    </row>
    <row r="162" spans="1:98" ht="15.75" customHeight="1" x14ac:dyDescent="0.2">
      <c r="A162" s="661" t="s">
        <v>203</v>
      </c>
      <c r="B162" s="440" t="s">
        <v>526</v>
      </c>
      <c r="C162" s="637">
        <v>0.49</v>
      </c>
      <c r="D162" s="440" t="s">
        <v>508</v>
      </c>
      <c r="E162" s="440" t="s">
        <v>509</v>
      </c>
      <c r="F162" s="637">
        <v>0</v>
      </c>
      <c r="G162" s="440" t="s">
        <v>527</v>
      </c>
      <c r="H162" s="440" t="s">
        <v>528</v>
      </c>
      <c r="I162" s="637">
        <v>0.01</v>
      </c>
      <c r="J162" s="662">
        <f t="shared" si="139"/>
        <v>0.5</v>
      </c>
      <c r="K162" s="637">
        <v>0.49</v>
      </c>
      <c r="L162" s="440" t="s">
        <v>508</v>
      </c>
      <c r="M162" s="440" t="s">
        <v>509</v>
      </c>
      <c r="N162" s="637">
        <v>0</v>
      </c>
      <c r="O162" s="440" t="s">
        <v>527</v>
      </c>
      <c r="P162" s="440" t="s">
        <v>528</v>
      </c>
      <c r="Q162" s="637">
        <v>0.01</v>
      </c>
      <c r="R162" s="662">
        <f t="shared" si="70"/>
        <v>0.5</v>
      </c>
      <c r="S162" s="637">
        <v>0.49</v>
      </c>
      <c r="T162" s="302" t="s">
        <v>508</v>
      </c>
      <c r="U162" s="302" t="s">
        <v>509</v>
      </c>
      <c r="V162" s="637">
        <v>0</v>
      </c>
      <c r="W162" s="302" t="s">
        <v>527</v>
      </c>
      <c r="X162" s="302" t="s">
        <v>528</v>
      </c>
      <c r="Y162" s="637">
        <v>0.01</v>
      </c>
      <c r="Z162" s="645">
        <f t="shared" si="71"/>
        <v>0.5</v>
      </c>
      <c r="AA162" s="637">
        <v>0.49</v>
      </c>
      <c r="AB162" s="302" t="s">
        <v>508</v>
      </c>
      <c r="AC162" s="302" t="s">
        <v>509</v>
      </c>
      <c r="AD162" s="637">
        <v>0</v>
      </c>
      <c r="AE162" s="302" t="s">
        <v>527</v>
      </c>
      <c r="AF162" s="302" t="s">
        <v>528</v>
      </c>
      <c r="AG162" s="637">
        <v>0.01</v>
      </c>
      <c r="AH162" s="645">
        <f t="shared" si="102"/>
        <v>0.5</v>
      </c>
      <c r="AI162" s="637">
        <v>0.49</v>
      </c>
      <c r="AJ162" s="302" t="s">
        <v>508</v>
      </c>
      <c r="AK162" s="302" t="s">
        <v>509</v>
      </c>
      <c r="AL162" s="637">
        <v>0</v>
      </c>
      <c r="AM162" s="302" t="s">
        <v>527</v>
      </c>
      <c r="AN162" s="302" t="s">
        <v>528</v>
      </c>
      <c r="AO162" s="637">
        <v>0.01</v>
      </c>
      <c r="AP162" s="645">
        <f t="shared" ref="AP162:AP163" si="218">+AI162+AL162+AO162</f>
        <v>0.5</v>
      </c>
      <c r="AQ162" s="637">
        <v>0.49</v>
      </c>
      <c r="AR162" s="302" t="s">
        <v>508</v>
      </c>
      <c r="AS162" s="302" t="s">
        <v>509</v>
      </c>
      <c r="AT162" s="637">
        <v>0</v>
      </c>
      <c r="AU162" s="302" t="s">
        <v>527</v>
      </c>
      <c r="AV162" s="302" t="s">
        <v>528</v>
      </c>
      <c r="AW162" s="637">
        <v>0.01</v>
      </c>
      <c r="AX162" s="645">
        <f t="shared" ref="AX162:AX163" si="219">+AQ162+AT162+AW162</f>
        <v>0.5</v>
      </c>
      <c r="AY162" s="637">
        <v>0.49</v>
      </c>
      <c r="AZ162" s="302" t="s">
        <v>508</v>
      </c>
      <c r="BA162" s="302" t="s">
        <v>509</v>
      </c>
      <c r="BB162" s="637">
        <v>0</v>
      </c>
      <c r="BC162" s="302" t="s">
        <v>527</v>
      </c>
      <c r="BD162" s="302" t="s">
        <v>528</v>
      </c>
      <c r="BE162" s="637">
        <v>0.01</v>
      </c>
      <c r="BF162" s="434">
        <f t="shared" ref="BF162:BF163" si="220">+AY162+BB162+BE162</f>
        <v>0.5</v>
      </c>
      <c r="BG162" s="587">
        <v>0.49</v>
      </c>
      <c r="BH162" s="302" t="s">
        <v>508</v>
      </c>
      <c r="BI162" s="302" t="s">
        <v>509</v>
      </c>
      <c r="BJ162" s="434">
        <v>0</v>
      </c>
      <c r="BK162" s="302" t="s">
        <v>527</v>
      </c>
      <c r="BL162" s="302" t="s">
        <v>528</v>
      </c>
      <c r="BM162" s="434">
        <v>0.01</v>
      </c>
      <c r="BN162" s="645">
        <f t="shared" ref="BN162:BN163" si="221">+BG162+BJ162+BM162</f>
        <v>0.5</v>
      </c>
      <c r="BO162" s="434"/>
      <c r="BP162" s="434">
        <v>0.49</v>
      </c>
      <c r="BQ162" s="302" t="s">
        <v>508</v>
      </c>
      <c r="BR162" s="302" t="s">
        <v>509</v>
      </c>
      <c r="BS162" s="434">
        <v>0</v>
      </c>
      <c r="BT162" s="302" t="s">
        <v>527</v>
      </c>
      <c r="BU162" s="302" t="s">
        <v>528</v>
      </c>
      <c r="BV162" s="434">
        <v>0.01</v>
      </c>
      <c r="BW162" s="645">
        <f t="shared" ref="BW162:BW163" si="222">+BP162+BS162+BV162</f>
        <v>0.5</v>
      </c>
      <c r="BX162" s="434">
        <v>0.49</v>
      </c>
      <c r="BY162" s="302" t="s">
        <v>508</v>
      </c>
      <c r="BZ162" s="302" t="s">
        <v>509</v>
      </c>
      <c r="CA162" s="434">
        <v>0</v>
      </c>
      <c r="CB162" s="302" t="s">
        <v>527</v>
      </c>
      <c r="CC162" s="302" t="s">
        <v>528</v>
      </c>
      <c r="CD162" s="434">
        <v>0.01</v>
      </c>
      <c r="CE162" s="434">
        <f t="shared" ref="CE162:CE163" si="223">+BX162+CA162+CD162</f>
        <v>0.5</v>
      </c>
      <c r="CF162" s="1620" t="s">
        <v>1166</v>
      </c>
      <c r="CG162" s="1620" t="s">
        <v>1166</v>
      </c>
      <c r="CH162" s="1620" t="s">
        <v>1166</v>
      </c>
      <c r="CI162" s="408" t="s">
        <v>862</v>
      </c>
      <c r="CJ162" s="642">
        <v>0.72199999999999998</v>
      </c>
      <c r="CK162" s="591" t="s">
        <v>922</v>
      </c>
      <c r="CL162" s="302" t="s">
        <v>508</v>
      </c>
      <c r="CM162" s="302" t="s">
        <v>509</v>
      </c>
      <c r="CN162" s="637">
        <v>0</v>
      </c>
      <c r="CO162" s="302" t="s">
        <v>527</v>
      </c>
      <c r="CP162" s="302" t="s">
        <v>528</v>
      </c>
      <c r="CQ162" s="637">
        <v>0.01</v>
      </c>
    </row>
    <row r="163" spans="1:98" ht="15.75" customHeight="1" x14ac:dyDescent="0.2">
      <c r="A163" s="661" t="s">
        <v>205</v>
      </c>
      <c r="B163" s="440" t="s">
        <v>204</v>
      </c>
      <c r="C163" s="637">
        <v>0.4</v>
      </c>
      <c r="D163" s="440" t="s">
        <v>649</v>
      </c>
      <c r="E163" s="440" t="s">
        <v>650</v>
      </c>
      <c r="F163" s="637">
        <v>0.1</v>
      </c>
      <c r="G163" s="440" t="s">
        <v>508</v>
      </c>
      <c r="H163" s="440" t="s">
        <v>546</v>
      </c>
      <c r="I163" s="637">
        <v>0</v>
      </c>
      <c r="J163" s="662">
        <f t="shared" si="139"/>
        <v>0.5</v>
      </c>
      <c r="K163" s="637">
        <v>0.4</v>
      </c>
      <c r="L163" s="440" t="s">
        <v>649</v>
      </c>
      <c r="M163" s="440" t="s">
        <v>650</v>
      </c>
      <c r="N163" s="637">
        <v>0.1</v>
      </c>
      <c r="O163" s="440" t="s">
        <v>508</v>
      </c>
      <c r="P163" s="440" t="s">
        <v>546</v>
      </c>
      <c r="Q163" s="637">
        <v>0</v>
      </c>
      <c r="R163" s="662">
        <f t="shared" ref="R163:R175" si="224">+K163+N163+Q163</f>
        <v>0.5</v>
      </c>
      <c r="S163" s="637">
        <v>0.4</v>
      </c>
      <c r="T163" s="302" t="s">
        <v>649</v>
      </c>
      <c r="U163" s="302" t="s">
        <v>650</v>
      </c>
      <c r="V163" s="637">
        <v>0.1</v>
      </c>
      <c r="W163" s="302" t="s">
        <v>508</v>
      </c>
      <c r="X163" s="302" t="s">
        <v>546</v>
      </c>
      <c r="Y163" s="637">
        <v>0</v>
      </c>
      <c r="Z163" s="645">
        <f t="shared" si="71"/>
        <v>0.5</v>
      </c>
      <c r="AA163" s="637">
        <v>0.4</v>
      </c>
      <c r="AB163" s="302" t="s">
        <v>649</v>
      </c>
      <c r="AC163" s="302" t="s">
        <v>650</v>
      </c>
      <c r="AD163" s="637">
        <v>0.1</v>
      </c>
      <c r="AE163" s="302" t="s">
        <v>508</v>
      </c>
      <c r="AF163" s="302" t="s">
        <v>546</v>
      </c>
      <c r="AG163" s="637">
        <v>0</v>
      </c>
      <c r="AH163" s="645">
        <f t="shared" si="102"/>
        <v>0.5</v>
      </c>
      <c r="AI163" s="637">
        <v>0.4</v>
      </c>
      <c r="AJ163" s="302" t="s">
        <v>649</v>
      </c>
      <c r="AK163" s="302" t="s">
        <v>650</v>
      </c>
      <c r="AL163" s="637">
        <v>0.1</v>
      </c>
      <c r="AM163" s="302" t="s">
        <v>508</v>
      </c>
      <c r="AN163" s="302" t="s">
        <v>546</v>
      </c>
      <c r="AO163" s="637">
        <v>0</v>
      </c>
      <c r="AP163" s="645">
        <f t="shared" si="218"/>
        <v>0.5</v>
      </c>
      <c r="AQ163" s="637">
        <v>0.4</v>
      </c>
      <c r="AR163" s="302" t="s">
        <v>649</v>
      </c>
      <c r="AS163" s="302" t="s">
        <v>650</v>
      </c>
      <c r="AT163" s="637">
        <v>0.1</v>
      </c>
      <c r="AU163" s="302" t="s">
        <v>508</v>
      </c>
      <c r="AV163" s="302" t="s">
        <v>546</v>
      </c>
      <c r="AW163" s="637">
        <v>0</v>
      </c>
      <c r="AX163" s="645">
        <f t="shared" si="219"/>
        <v>0.5</v>
      </c>
      <c r="AY163" s="637">
        <v>0.4</v>
      </c>
      <c r="AZ163" s="302" t="s">
        <v>649</v>
      </c>
      <c r="BA163" s="302" t="s">
        <v>650</v>
      </c>
      <c r="BB163" s="637">
        <v>0.1</v>
      </c>
      <c r="BC163" s="302" t="s">
        <v>508</v>
      </c>
      <c r="BD163" s="302" t="s">
        <v>546</v>
      </c>
      <c r="BE163" s="637">
        <v>0</v>
      </c>
      <c r="BF163" s="434">
        <f t="shared" si="220"/>
        <v>0.5</v>
      </c>
      <c r="BG163" s="587">
        <v>0.3</v>
      </c>
      <c r="BH163" s="302" t="s">
        <v>649</v>
      </c>
      <c r="BI163" s="302" t="s">
        <v>650</v>
      </c>
      <c r="BJ163" s="434">
        <v>0.7</v>
      </c>
      <c r="BK163" s="302" t="s">
        <v>508</v>
      </c>
      <c r="BL163" s="302" t="s">
        <v>546</v>
      </c>
      <c r="BM163" s="434">
        <v>0</v>
      </c>
      <c r="BN163" s="645">
        <f t="shared" si="221"/>
        <v>1</v>
      </c>
      <c r="BO163" s="434"/>
      <c r="BP163" s="434">
        <v>0.4</v>
      </c>
      <c r="BQ163" s="302" t="s">
        <v>649</v>
      </c>
      <c r="BR163" s="302" t="s">
        <v>650</v>
      </c>
      <c r="BS163" s="434">
        <v>0.1</v>
      </c>
      <c r="BT163" s="302" t="s">
        <v>508</v>
      </c>
      <c r="BU163" s="302" t="s">
        <v>546</v>
      </c>
      <c r="BV163" s="434">
        <v>0</v>
      </c>
      <c r="BW163" s="645">
        <f t="shared" si="222"/>
        <v>0.5</v>
      </c>
      <c r="BX163" s="434">
        <v>0.4</v>
      </c>
      <c r="BY163" s="302" t="s">
        <v>649</v>
      </c>
      <c r="BZ163" s="302" t="s">
        <v>650</v>
      </c>
      <c r="CA163" s="434">
        <v>0.1</v>
      </c>
      <c r="CB163" s="302" t="s">
        <v>508</v>
      </c>
      <c r="CC163" s="302" t="s">
        <v>546</v>
      </c>
      <c r="CD163" s="434">
        <v>0</v>
      </c>
      <c r="CE163" s="434">
        <f t="shared" si="223"/>
        <v>0.5</v>
      </c>
      <c r="CF163" s="1620" t="s">
        <v>1166</v>
      </c>
      <c r="CG163" s="1620" t="s">
        <v>1166</v>
      </c>
      <c r="CH163" s="1620" t="s">
        <v>1166</v>
      </c>
      <c r="CI163" s="406"/>
      <c r="CJ163" s="642">
        <v>0.70699999999999996</v>
      </c>
      <c r="CK163" s="591" t="s">
        <v>922</v>
      </c>
      <c r="CL163" s="302" t="s">
        <v>649</v>
      </c>
      <c r="CM163" s="302" t="s">
        <v>650</v>
      </c>
      <c r="CN163" s="637">
        <v>0.6</v>
      </c>
      <c r="CO163" s="302" t="s">
        <v>508</v>
      </c>
      <c r="CP163" s="302" t="s">
        <v>546</v>
      </c>
      <c r="CQ163" s="637">
        <v>0</v>
      </c>
    </row>
    <row r="164" spans="1:98" ht="15.75" customHeight="1" x14ac:dyDescent="0.2">
      <c r="A164" s="661" t="s">
        <v>207</v>
      </c>
      <c r="B164" s="440" t="s">
        <v>206</v>
      </c>
      <c r="C164" s="637">
        <v>0.4</v>
      </c>
      <c r="D164" s="440" t="s">
        <v>583</v>
      </c>
      <c r="E164" s="440" t="s">
        <v>584</v>
      </c>
      <c r="F164" s="637">
        <v>0.09</v>
      </c>
      <c r="G164" s="440" t="s">
        <v>2218</v>
      </c>
      <c r="H164" s="440" t="s">
        <v>2219</v>
      </c>
      <c r="I164" s="637">
        <v>0.01</v>
      </c>
      <c r="J164" s="662">
        <f t="shared" si="139"/>
        <v>0.5</v>
      </c>
      <c r="K164" s="637">
        <v>0.4</v>
      </c>
      <c r="L164" s="440" t="s">
        <v>583</v>
      </c>
      <c r="M164" s="440" t="s">
        <v>584</v>
      </c>
      <c r="N164" s="637">
        <v>0.09</v>
      </c>
      <c r="O164" s="440" t="s">
        <v>2218</v>
      </c>
      <c r="P164" s="440" t="s">
        <v>2219</v>
      </c>
      <c r="Q164" s="637">
        <v>0.01</v>
      </c>
      <c r="R164" s="662">
        <f t="shared" si="224"/>
        <v>0.5</v>
      </c>
      <c r="S164" s="637">
        <v>0.4</v>
      </c>
      <c r="T164" s="302" t="s">
        <v>583</v>
      </c>
      <c r="U164" s="302" t="s">
        <v>584</v>
      </c>
      <c r="V164" s="637">
        <v>0.09</v>
      </c>
      <c r="W164" s="302" t="s">
        <v>2218</v>
      </c>
      <c r="X164" s="302" t="s">
        <v>2219</v>
      </c>
      <c r="Y164" s="637">
        <v>0.01</v>
      </c>
      <c r="Z164" s="645">
        <f t="shared" si="71"/>
        <v>0.5</v>
      </c>
      <c r="AA164" s="637">
        <v>0.4</v>
      </c>
      <c r="AB164" s="302" t="s">
        <v>583</v>
      </c>
      <c r="AC164" s="302" t="s">
        <v>584</v>
      </c>
      <c r="AD164" s="637">
        <v>0.09</v>
      </c>
      <c r="AE164" s="302" t="s">
        <v>2218</v>
      </c>
      <c r="AF164" s="302" t="s">
        <v>2219</v>
      </c>
      <c r="AG164" s="637">
        <v>0.01</v>
      </c>
      <c r="AH164" s="645">
        <f t="shared" si="102"/>
        <v>0.5</v>
      </c>
      <c r="AI164" s="637">
        <v>0.4</v>
      </c>
      <c r="AJ164" s="302" t="s">
        <v>583</v>
      </c>
      <c r="AK164" s="302" t="s">
        <v>584</v>
      </c>
      <c r="AL164" s="637">
        <v>0.09</v>
      </c>
      <c r="AM164" s="302" t="s">
        <v>2218</v>
      </c>
      <c r="AN164" s="302" t="s">
        <v>2219</v>
      </c>
      <c r="AO164" s="637">
        <v>0.01</v>
      </c>
      <c r="AP164" s="645">
        <f t="shared" ref="AP164:AP165" si="225">+AI164+AL164+AO164</f>
        <v>0.5</v>
      </c>
      <c r="AQ164" s="637">
        <v>0.4</v>
      </c>
      <c r="AR164" s="302" t="s">
        <v>583</v>
      </c>
      <c r="AS164" s="302" t="s">
        <v>584</v>
      </c>
      <c r="AT164" s="637">
        <v>0.09</v>
      </c>
      <c r="AU164" s="302" t="s">
        <v>580</v>
      </c>
      <c r="AV164" s="302" t="s">
        <v>1293</v>
      </c>
      <c r="AW164" s="637">
        <v>0.01</v>
      </c>
      <c r="AX164" s="645">
        <f t="shared" ref="AX164:AX165" si="226">+AQ164+AT164+AW164</f>
        <v>0.5</v>
      </c>
      <c r="AY164" s="637">
        <v>0.4</v>
      </c>
      <c r="AZ164" s="302" t="s">
        <v>583</v>
      </c>
      <c r="BA164" s="302" t="s">
        <v>584</v>
      </c>
      <c r="BB164" s="637">
        <v>0.09</v>
      </c>
      <c r="BC164" s="302" t="s">
        <v>580</v>
      </c>
      <c r="BD164" s="302" t="s">
        <v>581</v>
      </c>
      <c r="BE164" s="637">
        <v>0.01</v>
      </c>
      <c r="BF164" s="434">
        <f t="shared" ref="BF164:BF165" si="227">+AY164+BB164+BE164</f>
        <v>0.5</v>
      </c>
      <c r="BG164" s="587">
        <v>0.4</v>
      </c>
      <c r="BH164" s="302" t="s">
        <v>583</v>
      </c>
      <c r="BI164" s="302" t="s">
        <v>584</v>
      </c>
      <c r="BJ164" s="434">
        <v>0.09</v>
      </c>
      <c r="BK164" s="302" t="s">
        <v>580</v>
      </c>
      <c r="BL164" s="302" t="s">
        <v>581</v>
      </c>
      <c r="BM164" s="434">
        <v>0.01</v>
      </c>
      <c r="BN164" s="645">
        <f t="shared" ref="BN164:BN165" si="228">+BG164+BJ164+BM164</f>
        <v>0.5</v>
      </c>
      <c r="BO164" s="434"/>
      <c r="BP164" s="434">
        <v>0.4</v>
      </c>
      <c r="BQ164" s="302" t="s">
        <v>583</v>
      </c>
      <c r="BR164" s="302" t="s">
        <v>584</v>
      </c>
      <c r="BS164" s="434">
        <v>0.09</v>
      </c>
      <c r="BT164" s="302" t="s">
        <v>580</v>
      </c>
      <c r="BU164" s="302" t="s">
        <v>581</v>
      </c>
      <c r="BV164" s="434">
        <v>0.01</v>
      </c>
      <c r="BW164" s="645">
        <f t="shared" ref="BW164:BW165" si="229">+BP164+BS164+BV164</f>
        <v>0.5</v>
      </c>
      <c r="BX164" s="434">
        <v>0.4</v>
      </c>
      <c r="BY164" s="302" t="s">
        <v>583</v>
      </c>
      <c r="BZ164" s="302" t="s">
        <v>584</v>
      </c>
      <c r="CA164" s="434">
        <v>0.09</v>
      </c>
      <c r="CB164" s="302" t="s">
        <v>580</v>
      </c>
      <c r="CC164" s="302" t="s">
        <v>581</v>
      </c>
      <c r="CD164" s="434">
        <v>0.01</v>
      </c>
      <c r="CE164" s="434">
        <f t="shared" ref="CE164:CE165" si="230">+BX164+CA164+CD164</f>
        <v>0.5</v>
      </c>
      <c r="CF164" s="1620" t="s">
        <v>862</v>
      </c>
      <c r="CG164" s="1620" t="s">
        <v>862</v>
      </c>
      <c r="CH164" s="1620" t="s">
        <v>1166</v>
      </c>
      <c r="CI164" s="406"/>
      <c r="CJ164" s="642">
        <v>0.69899999999999995</v>
      </c>
      <c r="CK164" s="591" t="s">
        <v>922</v>
      </c>
      <c r="CL164" s="302" t="s">
        <v>583</v>
      </c>
      <c r="CM164" s="302" t="s">
        <v>584</v>
      </c>
      <c r="CN164" s="637">
        <v>0.59</v>
      </c>
      <c r="CO164" s="302" t="s">
        <v>580</v>
      </c>
      <c r="CP164" s="302" t="s">
        <v>581</v>
      </c>
      <c r="CQ164" s="637">
        <v>0.01</v>
      </c>
    </row>
    <row r="165" spans="1:98" ht="15" x14ac:dyDescent="0.2">
      <c r="A165" s="661" t="s">
        <v>209</v>
      </c>
      <c r="B165" s="440" t="s">
        <v>635</v>
      </c>
      <c r="C165" s="637">
        <v>0.4</v>
      </c>
      <c r="D165" s="440" t="s">
        <v>633</v>
      </c>
      <c r="E165" s="440" t="s">
        <v>634</v>
      </c>
      <c r="F165" s="637">
        <v>0.09</v>
      </c>
      <c r="G165" s="440" t="s">
        <v>631</v>
      </c>
      <c r="H165" s="440" t="s">
        <v>632</v>
      </c>
      <c r="I165" s="637">
        <v>0.01</v>
      </c>
      <c r="J165" s="662">
        <f t="shared" si="139"/>
        <v>0.5</v>
      </c>
      <c r="K165" s="637">
        <v>0.4</v>
      </c>
      <c r="L165" s="440" t="s">
        <v>633</v>
      </c>
      <c r="M165" s="440" t="s">
        <v>634</v>
      </c>
      <c r="N165" s="637">
        <v>0.09</v>
      </c>
      <c r="O165" s="440" t="s">
        <v>631</v>
      </c>
      <c r="P165" s="440" t="s">
        <v>632</v>
      </c>
      <c r="Q165" s="637">
        <v>0.01</v>
      </c>
      <c r="R165" s="662">
        <f t="shared" si="224"/>
        <v>0.5</v>
      </c>
      <c r="S165" s="637">
        <v>0.4</v>
      </c>
      <c r="T165" s="302" t="s">
        <v>633</v>
      </c>
      <c r="U165" s="302" t="s">
        <v>634</v>
      </c>
      <c r="V165" s="637">
        <v>0.09</v>
      </c>
      <c r="W165" s="302" t="s">
        <v>631</v>
      </c>
      <c r="X165" s="302" t="s">
        <v>632</v>
      </c>
      <c r="Y165" s="637">
        <v>0.01</v>
      </c>
      <c r="Z165" s="645">
        <f t="shared" si="71"/>
        <v>0.5</v>
      </c>
      <c r="AA165" s="637">
        <v>0.4</v>
      </c>
      <c r="AB165" s="302" t="s">
        <v>633</v>
      </c>
      <c r="AC165" s="302" t="s">
        <v>634</v>
      </c>
      <c r="AD165" s="637">
        <v>0.09</v>
      </c>
      <c r="AE165" s="302" t="s">
        <v>631</v>
      </c>
      <c r="AF165" s="302" t="s">
        <v>632</v>
      </c>
      <c r="AG165" s="637">
        <v>0.01</v>
      </c>
      <c r="AH165" s="645">
        <f t="shared" si="102"/>
        <v>0.5</v>
      </c>
      <c r="AI165" s="637">
        <v>0.4</v>
      </c>
      <c r="AJ165" s="302" t="s">
        <v>633</v>
      </c>
      <c r="AK165" s="302" t="s">
        <v>634</v>
      </c>
      <c r="AL165" s="637">
        <v>0.09</v>
      </c>
      <c r="AM165" s="302" t="s">
        <v>631</v>
      </c>
      <c r="AN165" s="302" t="s">
        <v>632</v>
      </c>
      <c r="AO165" s="637">
        <v>0.01</v>
      </c>
      <c r="AP165" s="645">
        <f t="shared" si="225"/>
        <v>0.5</v>
      </c>
      <c r="AQ165" s="637">
        <v>0.4</v>
      </c>
      <c r="AR165" s="302" t="s">
        <v>633</v>
      </c>
      <c r="AS165" s="302" t="s">
        <v>634</v>
      </c>
      <c r="AT165" s="637">
        <v>0.09</v>
      </c>
      <c r="AU165" s="302" t="s">
        <v>631</v>
      </c>
      <c r="AV165" s="302" t="s">
        <v>632</v>
      </c>
      <c r="AW165" s="637">
        <v>0.01</v>
      </c>
      <c r="AX165" s="645">
        <f t="shared" si="226"/>
        <v>0.5</v>
      </c>
      <c r="AY165" s="637">
        <v>0.4</v>
      </c>
      <c r="AZ165" s="302" t="s">
        <v>633</v>
      </c>
      <c r="BA165" s="302" t="s">
        <v>634</v>
      </c>
      <c r="BB165" s="637">
        <v>0.09</v>
      </c>
      <c r="BC165" s="302" t="s">
        <v>631</v>
      </c>
      <c r="BD165" s="302" t="s">
        <v>632</v>
      </c>
      <c r="BE165" s="637">
        <v>0.01</v>
      </c>
      <c r="BF165" s="434">
        <f t="shared" si="227"/>
        <v>0.5</v>
      </c>
      <c r="BG165" s="587">
        <v>0.4</v>
      </c>
      <c r="BH165" s="302" t="s">
        <v>633</v>
      </c>
      <c r="BI165" s="302" t="s">
        <v>634</v>
      </c>
      <c r="BJ165" s="434">
        <v>0.09</v>
      </c>
      <c r="BK165" s="302" t="s">
        <v>631</v>
      </c>
      <c r="BL165" s="302" t="s">
        <v>632</v>
      </c>
      <c r="BM165" s="434">
        <v>0.01</v>
      </c>
      <c r="BN165" s="645">
        <f t="shared" si="228"/>
        <v>0.5</v>
      </c>
      <c r="BO165" s="434"/>
      <c r="BP165" s="434">
        <v>0.4</v>
      </c>
      <c r="BQ165" s="302" t="s">
        <v>633</v>
      </c>
      <c r="BR165" s="302" t="s">
        <v>634</v>
      </c>
      <c r="BS165" s="434">
        <v>0.09</v>
      </c>
      <c r="BT165" s="302" t="s">
        <v>631</v>
      </c>
      <c r="BU165" s="302" t="s">
        <v>632</v>
      </c>
      <c r="BV165" s="434">
        <v>0.01</v>
      </c>
      <c r="BW165" s="645">
        <f t="shared" si="229"/>
        <v>0.5</v>
      </c>
      <c r="BX165" s="434">
        <v>0.4</v>
      </c>
      <c r="BY165" s="302" t="s">
        <v>633</v>
      </c>
      <c r="BZ165" s="302" t="s">
        <v>634</v>
      </c>
      <c r="CA165" s="434">
        <v>0.09</v>
      </c>
      <c r="CB165" s="302" t="s">
        <v>631</v>
      </c>
      <c r="CC165" s="302" t="s">
        <v>632</v>
      </c>
      <c r="CD165" s="434">
        <v>0.01</v>
      </c>
      <c r="CE165" s="434">
        <f t="shared" si="230"/>
        <v>0.5</v>
      </c>
      <c r="CF165" s="1620" t="s">
        <v>1166</v>
      </c>
      <c r="CG165" s="1620" t="s">
        <v>1166</v>
      </c>
      <c r="CH165" s="1620" t="s">
        <v>1166</v>
      </c>
      <c r="CI165" s="406"/>
      <c r="CJ165" s="642">
        <v>0.67300000000000004</v>
      </c>
      <c r="CK165" s="591" t="s">
        <v>922</v>
      </c>
      <c r="CL165" s="302" t="s">
        <v>633</v>
      </c>
      <c r="CM165" s="302" t="s">
        <v>634</v>
      </c>
      <c r="CN165" s="637">
        <v>0.59</v>
      </c>
      <c r="CO165" s="302" t="s">
        <v>631</v>
      </c>
      <c r="CP165" s="302" t="s">
        <v>632</v>
      </c>
      <c r="CQ165" s="637">
        <v>0.01</v>
      </c>
    </row>
    <row r="166" spans="1:98" ht="15" x14ac:dyDescent="0.2">
      <c r="A166" s="661" t="s">
        <v>213</v>
      </c>
      <c r="B166" s="440" t="s">
        <v>212</v>
      </c>
      <c r="C166" s="637">
        <v>0.4</v>
      </c>
      <c r="D166" s="440" t="s">
        <v>645</v>
      </c>
      <c r="E166" s="440" t="s">
        <v>646</v>
      </c>
      <c r="F166" s="637">
        <v>0.09</v>
      </c>
      <c r="G166" s="440" t="s">
        <v>643</v>
      </c>
      <c r="H166" s="440" t="s">
        <v>1201</v>
      </c>
      <c r="I166" s="637">
        <v>0.01</v>
      </c>
      <c r="J166" s="662">
        <f t="shared" si="139"/>
        <v>0.5</v>
      </c>
      <c r="K166" s="637">
        <v>0.4</v>
      </c>
      <c r="L166" s="440" t="s">
        <v>645</v>
      </c>
      <c r="M166" s="440" t="s">
        <v>646</v>
      </c>
      <c r="N166" s="637">
        <v>0.09</v>
      </c>
      <c r="O166" s="440" t="s">
        <v>643</v>
      </c>
      <c r="P166" s="440" t="s">
        <v>1201</v>
      </c>
      <c r="Q166" s="637">
        <v>0.01</v>
      </c>
      <c r="R166" s="662">
        <f t="shared" si="224"/>
        <v>0.5</v>
      </c>
      <c r="S166" s="637">
        <v>0.4</v>
      </c>
      <c r="T166" s="302" t="s">
        <v>645</v>
      </c>
      <c r="U166" s="302" t="s">
        <v>646</v>
      </c>
      <c r="V166" s="637">
        <v>0.09</v>
      </c>
      <c r="W166" s="302" t="s">
        <v>643</v>
      </c>
      <c r="X166" s="302" t="s">
        <v>1201</v>
      </c>
      <c r="Y166" s="637">
        <v>0.01</v>
      </c>
      <c r="Z166" s="645">
        <f t="shared" ref="Z166:Z175" si="231">+S166+V166+Y166</f>
        <v>0.5</v>
      </c>
      <c r="AA166" s="637">
        <v>0.4</v>
      </c>
      <c r="AB166" s="302" t="s">
        <v>645</v>
      </c>
      <c r="AC166" s="302" t="s">
        <v>646</v>
      </c>
      <c r="AD166" s="637">
        <v>0.09</v>
      </c>
      <c r="AE166" s="302" t="s">
        <v>643</v>
      </c>
      <c r="AF166" s="302" t="s">
        <v>1201</v>
      </c>
      <c r="AG166" s="637">
        <v>0.01</v>
      </c>
      <c r="AH166" s="645">
        <f t="shared" si="102"/>
        <v>0.5</v>
      </c>
      <c r="AI166" s="637">
        <v>0.4</v>
      </c>
      <c r="AJ166" s="302" t="s">
        <v>645</v>
      </c>
      <c r="AK166" s="302" t="s">
        <v>646</v>
      </c>
      <c r="AL166" s="637">
        <v>0.09</v>
      </c>
      <c r="AM166" s="302" t="s">
        <v>643</v>
      </c>
      <c r="AN166" s="302" t="s">
        <v>1201</v>
      </c>
      <c r="AO166" s="637">
        <v>0.01</v>
      </c>
      <c r="AP166" s="645">
        <f t="shared" ref="AP166:AP167" si="232">+AI166+AL166+AO166</f>
        <v>0.5</v>
      </c>
      <c r="AQ166" s="637">
        <v>0.4</v>
      </c>
      <c r="AR166" s="302" t="s">
        <v>645</v>
      </c>
      <c r="AS166" s="302" t="s">
        <v>646</v>
      </c>
      <c r="AT166" s="637">
        <v>0.09</v>
      </c>
      <c r="AU166" s="302" t="s">
        <v>643</v>
      </c>
      <c r="AV166" s="302" t="s">
        <v>1201</v>
      </c>
      <c r="AW166" s="637">
        <v>0.01</v>
      </c>
      <c r="AX166" s="645">
        <f t="shared" ref="AX166:AX167" si="233">+AQ166+AT166+AW166</f>
        <v>0.5</v>
      </c>
      <c r="AY166" s="637">
        <v>0.4</v>
      </c>
      <c r="AZ166" s="302" t="s">
        <v>645</v>
      </c>
      <c r="BA166" s="302" t="s">
        <v>646</v>
      </c>
      <c r="BB166" s="637">
        <v>0.33999999999999997</v>
      </c>
      <c r="BC166" s="302" t="s">
        <v>643</v>
      </c>
      <c r="BD166" s="302" t="s">
        <v>1201</v>
      </c>
      <c r="BE166" s="637">
        <v>0.01</v>
      </c>
      <c r="BF166" s="434">
        <f t="shared" ref="BF166:BF167" si="234">+AY166+BB166+BE166</f>
        <v>0.75</v>
      </c>
      <c r="BG166" s="587">
        <v>0.4</v>
      </c>
      <c r="BH166" s="302" t="s">
        <v>645</v>
      </c>
      <c r="BI166" s="302" t="s">
        <v>646</v>
      </c>
      <c r="BJ166" s="434">
        <v>0.09</v>
      </c>
      <c r="BK166" s="302" t="s">
        <v>643</v>
      </c>
      <c r="BL166" s="302" t="s">
        <v>644</v>
      </c>
      <c r="BM166" s="434">
        <v>0.01</v>
      </c>
      <c r="BN166" s="645">
        <f t="shared" ref="BN166:BN167" si="235">+BG166+BJ166+BM166</f>
        <v>0.5</v>
      </c>
      <c r="BO166" s="434"/>
      <c r="BP166" s="434">
        <v>0.4</v>
      </c>
      <c r="BQ166" s="302" t="s">
        <v>645</v>
      </c>
      <c r="BR166" s="302" t="s">
        <v>646</v>
      </c>
      <c r="BS166" s="434">
        <v>0.09</v>
      </c>
      <c r="BT166" s="302" t="s">
        <v>643</v>
      </c>
      <c r="BU166" s="302" t="s">
        <v>644</v>
      </c>
      <c r="BV166" s="434">
        <v>0.01</v>
      </c>
      <c r="BW166" s="645">
        <f t="shared" ref="BW166:BW167" si="236">+BP166+BS166+BV166</f>
        <v>0.5</v>
      </c>
      <c r="BX166" s="434">
        <v>0.4</v>
      </c>
      <c r="BY166" s="302" t="s">
        <v>645</v>
      </c>
      <c r="BZ166" s="302" t="s">
        <v>646</v>
      </c>
      <c r="CA166" s="434">
        <v>0.09</v>
      </c>
      <c r="CB166" s="302" t="s">
        <v>643</v>
      </c>
      <c r="CC166" s="302" t="s">
        <v>644</v>
      </c>
      <c r="CD166" s="434">
        <v>0.01</v>
      </c>
      <c r="CE166" s="434">
        <f t="shared" ref="CE166:CE167" si="237">+BX166+CA166+CD166</f>
        <v>0.5</v>
      </c>
      <c r="CF166" s="1620" t="s">
        <v>862</v>
      </c>
      <c r="CG166" s="1620" t="s">
        <v>1166</v>
      </c>
      <c r="CH166" s="1620" t="s">
        <v>1166</v>
      </c>
      <c r="CI166" s="406"/>
      <c r="CJ166" s="642">
        <v>0.66500000000000004</v>
      </c>
      <c r="CK166" s="591" t="s">
        <v>922</v>
      </c>
      <c r="CL166" s="302" t="s">
        <v>645</v>
      </c>
      <c r="CM166" s="302" t="s">
        <v>646</v>
      </c>
      <c r="CN166" s="637">
        <v>0.59</v>
      </c>
      <c r="CO166" s="302" t="s">
        <v>643</v>
      </c>
      <c r="CP166" s="302" t="s">
        <v>644</v>
      </c>
      <c r="CQ166" s="637">
        <v>0.01</v>
      </c>
    </row>
    <row r="167" spans="1:98" ht="15" x14ac:dyDescent="0.2">
      <c r="A167" s="661" t="s">
        <v>211</v>
      </c>
      <c r="B167" s="776" t="s">
        <v>210</v>
      </c>
      <c r="C167" s="637">
        <v>0.49</v>
      </c>
      <c r="D167" s="440" t="s">
        <v>508</v>
      </c>
      <c r="E167" s="440" t="s">
        <v>660</v>
      </c>
      <c r="F167" s="637">
        <v>0</v>
      </c>
      <c r="G167" s="440" t="s">
        <v>667</v>
      </c>
      <c r="H167" s="440" t="s">
        <v>668</v>
      </c>
      <c r="I167" s="637">
        <v>0.01</v>
      </c>
      <c r="J167" s="662">
        <f t="shared" si="139"/>
        <v>0.5</v>
      </c>
      <c r="K167" s="637">
        <v>0.49</v>
      </c>
      <c r="L167" s="440" t="s">
        <v>508</v>
      </c>
      <c r="M167" s="440" t="s">
        <v>660</v>
      </c>
      <c r="N167" s="637">
        <v>0</v>
      </c>
      <c r="O167" s="440" t="s">
        <v>667</v>
      </c>
      <c r="P167" s="440" t="s">
        <v>668</v>
      </c>
      <c r="Q167" s="637">
        <v>0.01</v>
      </c>
      <c r="R167" s="662">
        <f t="shared" si="224"/>
        <v>0.5</v>
      </c>
      <c r="S167" s="637">
        <v>0.49</v>
      </c>
      <c r="T167" s="302" t="s">
        <v>508</v>
      </c>
      <c r="U167" s="302" t="s">
        <v>660</v>
      </c>
      <c r="V167" s="637">
        <v>0</v>
      </c>
      <c r="W167" s="302" t="s">
        <v>667</v>
      </c>
      <c r="X167" s="302" t="s">
        <v>668</v>
      </c>
      <c r="Y167" s="637">
        <v>0.01</v>
      </c>
      <c r="Z167" s="645">
        <f t="shared" si="231"/>
        <v>0.5</v>
      </c>
      <c r="AA167" s="637">
        <v>0.49</v>
      </c>
      <c r="AB167" s="302" t="s">
        <v>508</v>
      </c>
      <c r="AC167" s="302" t="s">
        <v>660</v>
      </c>
      <c r="AD167" s="637">
        <v>0</v>
      </c>
      <c r="AE167" s="302" t="s">
        <v>667</v>
      </c>
      <c r="AF167" s="302" t="s">
        <v>668</v>
      </c>
      <c r="AG167" s="637">
        <v>0.01</v>
      </c>
      <c r="AH167" s="645">
        <f t="shared" si="102"/>
        <v>0.5</v>
      </c>
      <c r="AI167" s="637">
        <v>0.49</v>
      </c>
      <c r="AJ167" s="302" t="s">
        <v>508</v>
      </c>
      <c r="AK167" s="302" t="s">
        <v>660</v>
      </c>
      <c r="AL167" s="637">
        <v>0</v>
      </c>
      <c r="AM167" s="302" t="s">
        <v>667</v>
      </c>
      <c r="AN167" s="302" t="s">
        <v>668</v>
      </c>
      <c r="AO167" s="637">
        <v>0.01</v>
      </c>
      <c r="AP167" s="645">
        <f t="shared" si="232"/>
        <v>0.5</v>
      </c>
      <c r="AQ167" s="637">
        <v>0.49</v>
      </c>
      <c r="AR167" s="302" t="s">
        <v>508</v>
      </c>
      <c r="AS167" s="302" t="s">
        <v>660</v>
      </c>
      <c r="AT167" s="637">
        <v>0</v>
      </c>
      <c r="AU167" s="302" t="s">
        <v>667</v>
      </c>
      <c r="AV167" s="302" t="s">
        <v>668</v>
      </c>
      <c r="AW167" s="637">
        <v>0.01</v>
      </c>
      <c r="AX167" s="645">
        <f t="shared" si="233"/>
        <v>0.5</v>
      </c>
      <c r="AY167" s="637">
        <v>0.74</v>
      </c>
      <c r="AZ167" s="302" t="s">
        <v>508</v>
      </c>
      <c r="BA167" s="302" t="s">
        <v>660</v>
      </c>
      <c r="BB167" s="637">
        <v>0</v>
      </c>
      <c r="BC167" s="302" t="s">
        <v>667</v>
      </c>
      <c r="BD167" s="302" t="s">
        <v>668</v>
      </c>
      <c r="BE167" s="637">
        <v>0.01</v>
      </c>
      <c r="BF167" s="434">
        <f t="shared" si="234"/>
        <v>0.75</v>
      </c>
      <c r="BG167" s="587">
        <v>0.49</v>
      </c>
      <c r="BH167" s="302" t="s">
        <v>508</v>
      </c>
      <c r="BI167" s="302" t="s">
        <v>660</v>
      </c>
      <c r="BJ167" s="434">
        <v>0</v>
      </c>
      <c r="BK167" s="302" t="s">
        <v>667</v>
      </c>
      <c r="BL167" s="302" t="s">
        <v>668</v>
      </c>
      <c r="BM167" s="434">
        <v>0.01</v>
      </c>
      <c r="BN167" s="645">
        <f t="shared" si="235"/>
        <v>0.5</v>
      </c>
      <c r="BO167" s="434"/>
      <c r="BP167" s="434">
        <v>0.49</v>
      </c>
      <c r="BQ167" s="302" t="s">
        <v>508</v>
      </c>
      <c r="BR167" s="302" t="s">
        <v>660</v>
      </c>
      <c r="BS167" s="434">
        <v>0</v>
      </c>
      <c r="BT167" s="302" t="s">
        <v>667</v>
      </c>
      <c r="BU167" s="302" t="s">
        <v>668</v>
      </c>
      <c r="BV167" s="434">
        <v>0.01</v>
      </c>
      <c r="BW167" s="645">
        <f t="shared" si="236"/>
        <v>0.5</v>
      </c>
      <c r="BX167" s="434">
        <v>0.49</v>
      </c>
      <c r="BY167" s="302" t="s">
        <v>508</v>
      </c>
      <c r="BZ167" s="302" t="s">
        <v>660</v>
      </c>
      <c r="CA167" s="434">
        <v>0</v>
      </c>
      <c r="CB167" s="302" t="s">
        <v>667</v>
      </c>
      <c r="CC167" s="302" t="s">
        <v>668</v>
      </c>
      <c r="CD167" s="434">
        <v>0.01</v>
      </c>
      <c r="CE167" s="434">
        <f t="shared" si="237"/>
        <v>0.5</v>
      </c>
      <c r="CF167" s="1620" t="s">
        <v>862</v>
      </c>
      <c r="CG167" s="1620" t="s">
        <v>1166</v>
      </c>
      <c r="CH167" s="1620" t="s">
        <v>1166</v>
      </c>
      <c r="CI167" s="408" t="s">
        <v>862</v>
      </c>
      <c r="CJ167" s="642">
        <v>0.69199999999999995</v>
      </c>
      <c r="CK167" s="591" t="s">
        <v>922</v>
      </c>
      <c r="CL167" s="302" t="s">
        <v>508</v>
      </c>
      <c r="CM167" s="302" t="s">
        <v>660</v>
      </c>
      <c r="CN167" s="637">
        <v>0</v>
      </c>
      <c r="CO167" s="302" t="s">
        <v>667</v>
      </c>
      <c r="CP167" s="302" t="s">
        <v>668</v>
      </c>
      <c r="CQ167" s="637">
        <v>0.01</v>
      </c>
    </row>
    <row r="168" spans="1:98" ht="15.75" customHeight="1" x14ac:dyDescent="0.2">
      <c r="A168" s="661" t="s">
        <v>215</v>
      </c>
      <c r="B168" s="440" t="s">
        <v>214</v>
      </c>
      <c r="C168" s="637">
        <v>0.3</v>
      </c>
      <c r="D168" s="440" t="s">
        <v>674</v>
      </c>
      <c r="E168" s="440" t="s">
        <v>675</v>
      </c>
      <c r="F168" s="637">
        <v>0.37</v>
      </c>
      <c r="G168" s="440" t="s">
        <v>508</v>
      </c>
      <c r="H168" s="440" t="s">
        <v>508</v>
      </c>
      <c r="I168" s="637">
        <v>0</v>
      </c>
      <c r="J168" s="662">
        <f t="shared" si="139"/>
        <v>0.66999999999999993</v>
      </c>
      <c r="K168" s="637">
        <v>0.3</v>
      </c>
      <c r="L168" s="440" t="s">
        <v>674</v>
      </c>
      <c r="M168" s="440" t="s">
        <v>675</v>
      </c>
      <c r="N168" s="637">
        <v>0.37</v>
      </c>
      <c r="O168" s="440" t="s">
        <v>508</v>
      </c>
      <c r="P168" s="440" t="s">
        <v>508</v>
      </c>
      <c r="Q168" s="637">
        <v>0</v>
      </c>
      <c r="R168" s="662">
        <f t="shared" si="224"/>
        <v>0.66999999999999993</v>
      </c>
      <c r="S168" s="637">
        <v>0.3</v>
      </c>
      <c r="T168" s="302" t="s">
        <v>674</v>
      </c>
      <c r="U168" s="302" t="s">
        <v>675</v>
      </c>
      <c r="V168" s="637">
        <v>0.37</v>
      </c>
      <c r="W168" s="302" t="s">
        <v>508</v>
      </c>
      <c r="X168" s="302" t="s">
        <v>508</v>
      </c>
      <c r="Y168" s="637">
        <v>0</v>
      </c>
      <c r="Z168" s="645">
        <f t="shared" si="231"/>
        <v>0.66999999999999993</v>
      </c>
      <c r="AA168" s="637">
        <v>0.3</v>
      </c>
      <c r="AB168" s="302" t="s">
        <v>674</v>
      </c>
      <c r="AC168" s="302" t="s">
        <v>675</v>
      </c>
      <c r="AD168" s="637">
        <v>0.37</v>
      </c>
      <c r="AE168" s="302" t="s">
        <v>508</v>
      </c>
      <c r="AF168" s="302" t="s">
        <v>508</v>
      </c>
      <c r="AG168" s="637">
        <v>0</v>
      </c>
      <c r="AH168" s="645">
        <f t="shared" si="102"/>
        <v>0.66999999999999993</v>
      </c>
      <c r="AI168" s="637">
        <v>0.3</v>
      </c>
      <c r="AJ168" s="302" t="s">
        <v>674</v>
      </c>
      <c r="AK168" s="302" t="s">
        <v>675</v>
      </c>
      <c r="AL168" s="637">
        <v>0.37</v>
      </c>
      <c r="AM168" s="302" t="s">
        <v>508</v>
      </c>
      <c r="AN168" s="302" t="s">
        <v>508</v>
      </c>
      <c r="AO168" s="637">
        <v>0</v>
      </c>
      <c r="AP168" s="645">
        <f t="shared" ref="AP168:AP169" si="238">+AI168+AL168+AO168</f>
        <v>0.66999999999999993</v>
      </c>
      <c r="AQ168" s="637">
        <v>0.3</v>
      </c>
      <c r="AR168" s="302" t="s">
        <v>674</v>
      </c>
      <c r="AS168" s="302" t="s">
        <v>675</v>
      </c>
      <c r="AT168" s="637">
        <v>0.37</v>
      </c>
      <c r="AU168" s="302" t="s">
        <v>508</v>
      </c>
      <c r="AV168" s="302" t="s">
        <v>508</v>
      </c>
      <c r="AW168" s="637">
        <v>0</v>
      </c>
      <c r="AX168" s="645">
        <f t="shared" ref="AX168:AX169" si="239">+AQ168+AT168+AW168</f>
        <v>0.66999999999999993</v>
      </c>
      <c r="AY168" s="637">
        <v>0.48</v>
      </c>
      <c r="AZ168" s="302" t="s">
        <v>674</v>
      </c>
      <c r="BA168" s="302" t="s">
        <v>675</v>
      </c>
      <c r="BB168" s="637">
        <v>0.27</v>
      </c>
      <c r="BC168" s="302" t="s">
        <v>508</v>
      </c>
      <c r="BD168" s="302" t="s">
        <v>508</v>
      </c>
      <c r="BE168" s="637">
        <v>0</v>
      </c>
      <c r="BF168" s="434">
        <f t="shared" ref="BF168:BF169" si="240">+AY168+BB168+BE168</f>
        <v>0.75</v>
      </c>
      <c r="BG168" s="587">
        <v>0.64</v>
      </c>
      <c r="BH168" s="302" t="s">
        <v>674</v>
      </c>
      <c r="BI168" s="302" t="s">
        <v>675</v>
      </c>
      <c r="BJ168" s="434">
        <v>0.36</v>
      </c>
      <c r="BK168" s="302" t="s">
        <v>508</v>
      </c>
      <c r="BL168" s="302" t="s">
        <v>508</v>
      </c>
      <c r="BM168" s="434">
        <v>0</v>
      </c>
      <c r="BN168" s="645">
        <f t="shared" ref="BN168:BN169" si="241">+BG168+BJ168+BM168</f>
        <v>1</v>
      </c>
      <c r="BO168" s="434"/>
      <c r="BP168" s="434">
        <v>0.3</v>
      </c>
      <c r="BQ168" s="302" t="s">
        <v>674</v>
      </c>
      <c r="BR168" s="302" t="s">
        <v>675</v>
      </c>
      <c r="BS168" s="434">
        <v>0.37</v>
      </c>
      <c r="BT168" s="302" t="s">
        <v>508</v>
      </c>
      <c r="BU168" s="302" t="s">
        <v>508</v>
      </c>
      <c r="BV168" s="434">
        <v>0</v>
      </c>
      <c r="BW168" s="645">
        <f t="shared" ref="BW168:BW169" si="242">+BP168+BS168+BV168</f>
        <v>0.66999999999999993</v>
      </c>
      <c r="BX168" s="434">
        <v>0.3</v>
      </c>
      <c r="BY168" s="302" t="s">
        <v>674</v>
      </c>
      <c r="BZ168" s="302" t="s">
        <v>675</v>
      </c>
      <c r="CA168" s="434">
        <v>0.2</v>
      </c>
      <c r="CB168" s="302" t="s">
        <v>508</v>
      </c>
      <c r="CC168" s="302" t="s">
        <v>508</v>
      </c>
      <c r="CD168" s="434">
        <v>0</v>
      </c>
      <c r="CE168" s="434">
        <f t="shared" ref="CE168:CE169" si="243">+BX168+CA168+CD168</f>
        <v>0.5</v>
      </c>
      <c r="CF168" s="1620" t="s">
        <v>862</v>
      </c>
      <c r="CG168" s="1620" t="s">
        <v>1166</v>
      </c>
      <c r="CH168" s="1620" t="s">
        <v>1166</v>
      </c>
      <c r="CI168" s="408" t="s">
        <v>862</v>
      </c>
      <c r="CJ168" s="642">
        <v>0.74399999999999999</v>
      </c>
      <c r="CK168" s="591" t="s">
        <v>922</v>
      </c>
      <c r="CL168" s="302" t="s">
        <v>674</v>
      </c>
      <c r="CM168" s="302" t="s">
        <v>675</v>
      </c>
      <c r="CN168" s="637">
        <v>0.2</v>
      </c>
      <c r="CO168" s="302" t="s">
        <v>508</v>
      </c>
      <c r="CP168" s="302" t="s">
        <v>508</v>
      </c>
      <c r="CQ168" s="637">
        <v>0</v>
      </c>
    </row>
    <row r="169" spans="1:98" ht="15.75" customHeight="1" x14ac:dyDescent="0.2">
      <c r="A169" s="661" t="s">
        <v>217</v>
      </c>
      <c r="B169" s="440" t="s">
        <v>216</v>
      </c>
      <c r="C169" s="637">
        <v>0.4</v>
      </c>
      <c r="D169" s="440" t="s">
        <v>557</v>
      </c>
      <c r="E169" s="440" t="s">
        <v>558</v>
      </c>
      <c r="F169" s="637">
        <v>0.09</v>
      </c>
      <c r="G169" s="440" t="s">
        <v>554</v>
      </c>
      <c r="H169" s="440" t="s">
        <v>555</v>
      </c>
      <c r="I169" s="637">
        <v>0.01</v>
      </c>
      <c r="J169" s="662">
        <f t="shared" si="139"/>
        <v>0.5</v>
      </c>
      <c r="K169" s="637">
        <v>0.4</v>
      </c>
      <c r="L169" s="440" t="s">
        <v>557</v>
      </c>
      <c r="M169" s="440" t="s">
        <v>558</v>
      </c>
      <c r="N169" s="637">
        <v>0.09</v>
      </c>
      <c r="O169" s="440" t="s">
        <v>554</v>
      </c>
      <c r="P169" s="440" t="s">
        <v>555</v>
      </c>
      <c r="Q169" s="637">
        <v>0.01</v>
      </c>
      <c r="R169" s="662">
        <f t="shared" si="224"/>
        <v>0.5</v>
      </c>
      <c r="S169" s="637">
        <v>0.4</v>
      </c>
      <c r="T169" s="302" t="s">
        <v>557</v>
      </c>
      <c r="U169" s="302" t="s">
        <v>558</v>
      </c>
      <c r="V169" s="637">
        <v>0.09</v>
      </c>
      <c r="W169" s="302" t="s">
        <v>554</v>
      </c>
      <c r="X169" s="302" t="s">
        <v>555</v>
      </c>
      <c r="Y169" s="637">
        <v>0.01</v>
      </c>
      <c r="Z169" s="645">
        <f t="shared" si="231"/>
        <v>0.5</v>
      </c>
      <c r="AA169" s="637">
        <v>0.4</v>
      </c>
      <c r="AB169" s="302" t="s">
        <v>557</v>
      </c>
      <c r="AC169" s="302" t="s">
        <v>558</v>
      </c>
      <c r="AD169" s="637">
        <v>0.09</v>
      </c>
      <c r="AE169" s="302" t="s">
        <v>554</v>
      </c>
      <c r="AF169" s="302" t="s">
        <v>555</v>
      </c>
      <c r="AG169" s="637">
        <v>0.01</v>
      </c>
      <c r="AH169" s="645">
        <f t="shared" si="102"/>
        <v>0.5</v>
      </c>
      <c r="AI169" s="637">
        <v>0.4</v>
      </c>
      <c r="AJ169" s="302" t="s">
        <v>557</v>
      </c>
      <c r="AK169" s="302" t="s">
        <v>558</v>
      </c>
      <c r="AL169" s="637">
        <v>0.09</v>
      </c>
      <c r="AM169" s="302" t="s">
        <v>554</v>
      </c>
      <c r="AN169" s="302" t="s">
        <v>555</v>
      </c>
      <c r="AO169" s="637">
        <v>0.01</v>
      </c>
      <c r="AP169" s="645">
        <f t="shared" si="238"/>
        <v>0.5</v>
      </c>
      <c r="AQ169" s="637">
        <v>0.4</v>
      </c>
      <c r="AR169" s="302" t="s">
        <v>557</v>
      </c>
      <c r="AS169" s="302" t="s">
        <v>558</v>
      </c>
      <c r="AT169" s="637">
        <v>0.09</v>
      </c>
      <c r="AU169" s="302" t="s">
        <v>554</v>
      </c>
      <c r="AV169" s="302" t="s">
        <v>555</v>
      </c>
      <c r="AW169" s="637">
        <v>0.01</v>
      </c>
      <c r="AX169" s="645">
        <f t="shared" si="239"/>
        <v>0.5</v>
      </c>
      <c r="AY169" s="637">
        <v>0.4</v>
      </c>
      <c r="AZ169" s="302" t="s">
        <v>557</v>
      </c>
      <c r="BA169" s="302" t="s">
        <v>558</v>
      </c>
      <c r="BB169" s="637">
        <v>0.09</v>
      </c>
      <c r="BC169" s="302" t="s">
        <v>554</v>
      </c>
      <c r="BD169" s="302" t="s">
        <v>555</v>
      </c>
      <c r="BE169" s="637">
        <v>0.01</v>
      </c>
      <c r="BF169" s="434">
        <f t="shared" si="240"/>
        <v>0.5</v>
      </c>
      <c r="BG169" s="587">
        <v>0.4</v>
      </c>
      <c r="BH169" s="302" t="s">
        <v>557</v>
      </c>
      <c r="BI169" s="302" t="s">
        <v>558</v>
      </c>
      <c r="BJ169" s="434">
        <v>0.59</v>
      </c>
      <c r="BK169" s="302" t="s">
        <v>554</v>
      </c>
      <c r="BL169" s="302" t="s">
        <v>555</v>
      </c>
      <c r="BM169" s="434">
        <v>0.01</v>
      </c>
      <c r="BN169" s="645">
        <f t="shared" si="241"/>
        <v>1</v>
      </c>
      <c r="BO169" s="434"/>
      <c r="BP169" s="434">
        <v>0.4</v>
      </c>
      <c r="BQ169" s="302" t="s">
        <v>557</v>
      </c>
      <c r="BR169" s="302" t="s">
        <v>558</v>
      </c>
      <c r="BS169" s="434">
        <v>0.09</v>
      </c>
      <c r="BT169" s="302" t="s">
        <v>554</v>
      </c>
      <c r="BU169" s="302" t="s">
        <v>555</v>
      </c>
      <c r="BV169" s="434">
        <v>0.01</v>
      </c>
      <c r="BW169" s="645">
        <f t="shared" si="242"/>
        <v>0.5</v>
      </c>
      <c r="BX169" s="434">
        <v>0.4</v>
      </c>
      <c r="BY169" s="302" t="s">
        <v>557</v>
      </c>
      <c r="BZ169" s="302" t="s">
        <v>558</v>
      </c>
      <c r="CA169" s="434">
        <v>0.09</v>
      </c>
      <c r="CB169" s="302" t="s">
        <v>554</v>
      </c>
      <c r="CC169" s="302" t="s">
        <v>555</v>
      </c>
      <c r="CD169" s="434">
        <v>0.01</v>
      </c>
      <c r="CE169" s="434">
        <f t="shared" si="243"/>
        <v>0.5</v>
      </c>
      <c r="CF169" s="1620" t="s">
        <v>1166</v>
      </c>
      <c r="CG169" s="1620" t="s">
        <v>1166</v>
      </c>
      <c r="CH169" s="1620" t="s">
        <v>1166</v>
      </c>
      <c r="CI169" s="406"/>
      <c r="CJ169" s="642">
        <v>0.64700000000000002</v>
      </c>
      <c r="CK169" s="591" t="s">
        <v>922</v>
      </c>
      <c r="CL169" s="302" t="s">
        <v>557</v>
      </c>
      <c r="CM169" s="302" t="s">
        <v>558</v>
      </c>
      <c r="CN169" s="637">
        <v>0.59</v>
      </c>
      <c r="CO169" s="302" t="s">
        <v>554</v>
      </c>
      <c r="CP169" s="302" t="s">
        <v>555</v>
      </c>
      <c r="CQ169" s="637">
        <v>0.01</v>
      </c>
    </row>
    <row r="170" spans="1:98" customFormat="1" ht="15" x14ac:dyDescent="0.2">
      <c r="A170" s="440" t="s">
        <v>219</v>
      </c>
      <c r="B170" s="440" t="s">
        <v>218</v>
      </c>
      <c r="C170" s="637">
        <v>0.4</v>
      </c>
      <c r="D170" s="440" t="s">
        <v>550</v>
      </c>
      <c r="E170" s="440" t="s">
        <v>551</v>
      </c>
      <c r="F170" s="637">
        <v>0.09</v>
      </c>
      <c r="G170" s="440" t="s">
        <v>548</v>
      </c>
      <c r="H170" s="440" t="s">
        <v>549</v>
      </c>
      <c r="I170" s="637">
        <v>0.01</v>
      </c>
      <c r="J170" s="662">
        <f t="shared" si="139"/>
        <v>0.5</v>
      </c>
      <c r="K170" s="637">
        <v>0.4</v>
      </c>
      <c r="L170" s="440" t="s">
        <v>550</v>
      </c>
      <c r="M170" s="440" t="s">
        <v>551</v>
      </c>
      <c r="N170" s="637">
        <v>0.09</v>
      </c>
      <c r="O170" s="440" t="s">
        <v>548</v>
      </c>
      <c r="P170" s="440" t="s">
        <v>549</v>
      </c>
      <c r="Q170" s="637">
        <v>0.01</v>
      </c>
      <c r="R170" s="662">
        <f t="shared" si="224"/>
        <v>0.5</v>
      </c>
      <c r="S170" s="637">
        <v>0.4</v>
      </c>
      <c r="T170" s="302" t="s">
        <v>550</v>
      </c>
      <c r="U170" s="302" t="s">
        <v>551</v>
      </c>
      <c r="V170" s="637">
        <v>0.09</v>
      </c>
      <c r="W170" s="302" t="s">
        <v>548</v>
      </c>
      <c r="X170" s="302" t="s">
        <v>549</v>
      </c>
      <c r="Y170" s="637">
        <v>0.01</v>
      </c>
      <c r="Z170" s="645">
        <f t="shared" si="231"/>
        <v>0.5</v>
      </c>
      <c r="AA170" s="637">
        <v>0.4</v>
      </c>
      <c r="AB170" s="302" t="s">
        <v>550</v>
      </c>
      <c r="AC170" s="302" t="s">
        <v>551</v>
      </c>
      <c r="AD170" s="637">
        <v>0.09</v>
      </c>
      <c r="AE170" s="302" t="s">
        <v>548</v>
      </c>
      <c r="AF170" s="302" t="s">
        <v>549</v>
      </c>
      <c r="AG170" s="637">
        <v>0.01</v>
      </c>
      <c r="AH170" s="645">
        <f t="shared" si="102"/>
        <v>0.5</v>
      </c>
      <c r="AI170" s="637">
        <v>0.4</v>
      </c>
      <c r="AJ170" s="302" t="s">
        <v>550</v>
      </c>
      <c r="AK170" s="302" t="s">
        <v>551</v>
      </c>
      <c r="AL170" s="637">
        <v>0.09</v>
      </c>
      <c r="AM170" s="302" t="s">
        <v>548</v>
      </c>
      <c r="AN170" s="302" t="s">
        <v>549</v>
      </c>
      <c r="AO170" s="637">
        <v>0.01</v>
      </c>
      <c r="AP170" s="645">
        <f t="shared" ref="AP170:AP171" si="244">+AI170+AL170+AO170</f>
        <v>0.5</v>
      </c>
      <c r="AQ170" s="637">
        <v>0.4</v>
      </c>
      <c r="AR170" s="302" t="s">
        <v>550</v>
      </c>
      <c r="AS170" s="302" t="s">
        <v>551</v>
      </c>
      <c r="AT170" s="637">
        <v>0.09</v>
      </c>
      <c r="AU170" s="302" t="s">
        <v>548</v>
      </c>
      <c r="AV170" s="302" t="s">
        <v>549</v>
      </c>
      <c r="AW170" s="637">
        <v>0.01</v>
      </c>
      <c r="AX170" s="645">
        <f t="shared" ref="AX170:AX171" si="245">+AQ170+AT170+AW170</f>
        <v>0.5</v>
      </c>
      <c r="AY170" s="637">
        <v>0.4</v>
      </c>
      <c r="AZ170" s="302" t="s">
        <v>550</v>
      </c>
      <c r="BA170" s="302" t="s">
        <v>551</v>
      </c>
      <c r="BB170" s="637">
        <v>0.09</v>
      </c>
      <c r="BC170" s="302" t="s">
        <v>548</v>
      </c>
      <c r="BD170" s="302" t="s">
        <v>549</v>
      </c>
      <c r="BE170" s="637">
        <v>0.01</v>
      </c>
      <c r="BF170" s="434">
        <f t="shared" ref="BF170:BF171" si="246">+AY170+BB170+BE170</f>
        <v>0.5</v>
      </c>
      <c r="BG170" s="587">
        <v>0.5</v>
      </c>
      <c r="BH170" s="302" t="s">
        <v>550</v>
      </c>
      <c r="BI170" s="302" t="s">
        <v>551</v>
      </c>
      <c r="BJ170" s="434">
        <v>0.49</v>
      </c>
      <c r="BK170" s="302" t="s">
        <v>548</v>
      </c>
      <c r="BL170" s="302" t="s">
        <v>549</v>
      </c>
      <c r="BM170" s="434">
        <v>0.01</v>
      </c>
      <c r="BN170" s="645">
        <f t="shared" ref="BN170:BN171" si="247">+BG170+BJ170+BM170</f>
        <v>1</v>
      </c>
      <c r="BO170" s="434"/>
      <c r="BP170" s="434">
        <v>0.4</v>
      </c>
      <c r="BQ170" s="302" t="s">
        <v>550</v>
      </c>
      <c r="BR170" s="302" t="s">
        <v>551</v>
      </c>
      <c r="BS170" s="434">
        <v>0.09</v>
      </c>
      <c r="BT170" s="302" t="s">
        <v>548</v>
      </c>
      <c r="BU170" s="302" t="s">
        <v>549</v>
      </c>
      <c r="BV170" s="434">
        <v>0.01</v>
      </c>
      <c r="BW170" s="645">
        <f t="shared" ref="BW170:BW171" si="248">+BP170+BS170+BV170</f>
        <v>0.5</v>
      </c>
      <c r="BX170" s="434">
        <v>0.4</v>
      </c>
      <c r="BY170" s="302" t="s">
        <v>550</v>
      </c>
      <c r="BZ170" s="302" t="s">
        <v>551</v>
      </c>
      <c r="CA170" s="434">
        <v>0.09</v>
      </c>
      <c r="CB170" s="302" t="s">
        <v>548</v>
      </c>
      <c r="CC170" s="302" t="s">
        <v>549</v>
      </c>
      <c r="CD170" s="434">
        <v>0.01</v>
      </c>
      <c r="CE170" s="434">
        <f t="shared" ref="CE170:CE171" si="249">+BX170+CA170+CD170</f>
        <v>0.5</v>
      </c>
      <c r="CF170" s="1620" t="s">
        <v>1166</v>
      </c>
      <c r="CG170" s="1620" t="s">
        <v>1166</v>
      </c>
      <c r="CH170" s="1620" t="s">
        <v>1166</v>
      </c>
      <c r="CI170" s="406"/>
      <c r="CJ170" s="642">
        <v>0.65600000000000003</v>
      </c>
      <c r="CK170" s="591" t="s">
        <v>922</v>
      </c>
      <c r="CL170" s="302" t="s">
        <v>550</v>
      </c>
      <c r="CM170" s="302" t="s">
        <v>551</v>
      </c>
      <c r="CN170" s="637">
        <v>0.59</v>
      </c>
      <c r="CO170" s="302" t="s">
        <v>548</v>
      </c>
      <c r="CP170" s="302" t="s">
        <v>549</v>
      </c>
      <c r="CQ170" s="637">
        <v>0.01</v>
      </c>
      <c r="CS170" s="428"/>
      <c r="CT170" s="428"/>
    </row>
    <row r="171" spans="1:98" s="509" customFormat="1" ht="15.75" customHeight="1" x14ac:dyDescent="0.2">
      <c r="A171" s="667" t="s">
        <v>221</v>
      </c>
      <c r="B171" s="668" t="s">
        <v>596</v>
      </c>
      <c r="C171" s="439">
        <v>0.49</v>
      </c>
      <c r="D171" s="668" t="s">
        <v>508</v>
      </c>
      <c r="E171" s="668" t="s">
        <v>509</v>
      </c>
      <c r="F171" s="639">
        <v>0</v>
      </c>
      <c r="G171" s="668" t="s">
        <v>593</v>
      </c>
      <c r="H171" s="668" t="s">
        <v>594</v>
      </c>
      <c r="I171" s="639">
        <v>0.01</v>
      </c>
      <c r="J171" s="662">
        <f t="shared" si="139"/>
        <v>0.5</v>
      </c>
      <c r="K171" s="439">
        <v>0.49</v>
      </c>
      <c r="L171" s="668" t="s">
        <v>508</v>
      </c>
      <c r="M171" s="668" t="s">
        <v>509</v>
      </c>
      <c r="N171" s="639">
        <v>0</v>
      </c>
      <c r="O171" s="668" t="s">
        <v>593</v>
      </c>
      <c r="P171" s="668" t="s">
        <v>594</v>
      </c>
      <c r="Q171" s="639">
        <v>0.01</v>
      </c>
      <c r="R171" s="669">
        <f t="shared" si="224"/>
        <v>0.5</v>
      </c>
      <c r="S171" s="439">
        <v>0.49</v>
      </c>
      <c r="T171" s="668" t="s">
        <v>508</v>
      </c>
      <c r="U171" s="668" t="s">
        <v>509</v>
      </c>
      <c r="V171" s="639">
        <v>0</v>
      </c>
      <c r="W171" s="668" t="s">
        <v>593</v>
      </c>
      <c r="X171" s="668" t="s">
        <v>594</v>
      </c>
      <c r="Y171" s="639">
        <v>0.01</v>
      </c>
      <c r="Z171" s="669">
        <f t="shared" si="231"/>
        <v>0.5</v>
      </c>
      <c r="AA171" s="439">
        <v>0.49</v>
      </c>
      <c r="AB171" s="668" t="s">
        <v>508</v>
      </c>
      <c r="AC171" s="668" t="s">
        <v>509</v>
      </c>
      <c r="AD171" s="639">
        <v>0</v>
      </c>
      <c r="AE171" s="668" t="s">
        <v>593</v>
      </c>
      <c r="AF171" s="668" t="s">
        <v>594</v>
      </c>
      <c r="AG171" s="639">
        <v>0.01</v>
      </c>
      <c r="AH171" s="669">
        <f t="shared" si="102"/>
        <v>0.5</v>
      </c>
      <c r="AI171" s="439">
        <v>0.49</v>
      </c>
      <c r="AJ171" s="668" t="s">
        <v>508</v>
      </c>
      <c r="AK171" s="668" t="s">
        <v>509</v>
      </c>
      <c r="AL171" s="639">
        <v>0</v>
      </c>
      <c r="AM171" s="668" t="s">
        <v>593</v>
      </c>
      <c r="AN171" s="668" t="s">
        <v>594</v>
      </c>
      <c r="AO171" s="639">
        <v>0.01</v>
      </c>
      <c r="AP171" s="669">
        <f t="shared" si="244"/>
        <v>0.5</v>
      </c>
      <c r="AQ171" s="439">
        <v>0.49</v>
      </c>
      <c r="AR171" s="668" t="s">
        <v>508</v>
      </c>
      <c r="AS171" s="668" t="s">
        <v>509</v>
      </c>
      <c r="AT171" s="639">
        <v>0</v>
      </c>
      <c r="AU171" s="668" t="s">
        <v>593</v>
      </c>
      <c r="AV171" s="668" t="s">
        <v>594</v>
      </c>
      <c r="AW171" s="639">
        <v>0.01</v>
      </c>
      <c r="AX171" s="669">
        <f t="shared" si="245"/>
        <v>0.5</v>
      </c>
      <c r="AY171" s="439">
        <v>0.49</v>
      </c>
      <c r="AZ171" s="668" t="s">
        <v>508</v>
      </c>
      <c r="BA171" s="668" t="s">
        <v>509</v>
      </c>
      <c r="BB171" s="639">
        <v>0</v>
      </c>
      <c r="BC171" s="668" t="s">
        <v>593</v>
      </c>
      <c r="BD171" s="668" t="s">
        <v>594</v>
      </c>
      <c r="BE171" s="639">
        <v>0.01</v>
      </c>
      <c r="BF171" s="640">
        <f t="shared" si="246"/>
        <v>0.5</v>
      </c>
      <c r="BG171" s="670">
        <v>0.49</v>
      </c>
      <c r="BH171" s="668" t="s">
        <v>508</v>
      </c>
      <c r="BI171" s="668" t="s">
        <v>509</v>
      </c>
      <c r="BJ171" s="639">
        <v>0</v>
      </c>
      <c r="BK171" s="668" t="s">
        <v>593</v>
      </c>
      <c r="BL171" s="668" t="s">
        <v>594</v>
      </c>
      <c r="BM171" s="639">
        <v>0.01</v>
      </c>
      <c r="BN171" s="669">
        <f t="shared" si="247"/>
        <v>0.5</v>
      </c>
      <c r="BO171" s="640"/>
      <c r="BP171" s="639">
        <v>0.49</v>
      </c>
      <c r="BQ171" s="668" t="s">
        <v>508</v>
      </c>
      <c r="BR171" s="668" t="s">
        <v>509</v>
      </c>
      <c r="BS171" s="639">
        <v>0</v>
      </c>
      <c r="BT171" s="668" t="s">
        <v>593</v>
      </c>
      <c r="BU171" s="668" t="s">
        <v>594</v>
      </c>
      <c r="BV171" s="639">
        <v>0.01</v>
      </c>
      <c r="BW171" s="669">
        <f t="shared" si="248"/>
        <v>0.5</v>
      </c>
      <c r="BX171" s="639">
        <v>0.49</v>
      </c>
      <c r="BY171" s="668" t="s">
        <v>508</v>
      </c>
      <c r="BZ171" s="668" t="s">
        <v>509</v>
      </c>
      <c r="CA171" s="639">
        <v>0</v>
      </c>
      <c r="CB171" s="668" t="s">
        <v>593</v>
      </c>
      <c r="CC171" s="668" t="s">
        <v>594</v>
      </c>
      <c r="CD171" s="639">
        <v>0.01</v>
      </c>
      <c r="CE171" s="640">
        <f t="shared" si="249"/>
        <v>0.5</v>
      </c>
      <c r="CF171" s="1621" t="s">
        <v>862</v>
      </c>
      <c r="CG171" s="1621" t="s">
        <v>1166</v>
      </c>
      <c r="CH171" s="1621" t="s">
        <v>1166</v>
      </c>
      <c r="CI171" s="671" t="s">
        <v>862</v>
      </c>
      <c r="CJ171" s="642">
        <v>0.65600000000000003</v>
      </c>
      <c r="CK171" s="665" t="s">
        <v>922</v>
      </c>
      <c r="CL171" s="668" t="s">
        <v>508</v>
      </c>
      <c r="CM171" s="668" t="s">
        <v>509</v>
      </c>
      <c r="CN171" s="637">
        <v>0</v>
      </c>
      <c r="CO171" s="668" t="s">
        <v>593</v>
      </c>
      <c r="CP171" s="668" t="s">
        <v>594</v>
      </c>
      <c r="CQ171" s="639">
        <v>0.01</v>
      </c>
      <c r="CS171" s="428"/>
      <c r="CT171" s="428"/>
    </row>
    <row r="172" spans="1:98" ht="15.75" customHeight="1" x14ac:dyDescent="0.2">
      <c r="A172" s="661" t="s">
        <v>223</v>
      </c>
      <c r="B172" s="440" t="s">
        <v>222</v>
      </c>
      <c r="C172" s="637">
        <v>0.4</v>
      </c>
      <c r="D172" s="440" t="s">
        <v>590</v>
      </c>
      <c r="E172" s="440" t="s">
        <v>591</v>
      </c>
      <c r="F172" s="637">
        <v>0.1</v>
      </c>
      <c r="G172" s="440" t="s">
        <v>508</v>
      </c>
      <c r="H172" s="440" t="s">
        <v>546</v>
      </c>
      <c r="I172" s="637">
        <v>0</v>
      </c>
      <c r="J172" s="662">
        <f t="shared" si="139"/>
        <v>0.5</v>
      </c>
      <c r="K172" s="637">
        <v>0.4</v>
      </c>
      <c r="L172" s="440" t="s">
        <v>590</v>
      </c>
      <c r="M172" s="440" t="s">
        <v>591</v>
      </c>
      <c r="N172" s="637">
        <v>0.1</v>
      </c>
      <c r="O172" s="440" t="s">
        <v>508</v>
      </c>
      <c r="P172" s="440" t="s">
        <v>546</v>
      </c>
      <c r="Q172" s="637">
        <v>0</v>
      </c>
      <c r="R172" s="662">
        <f t="shared" si="224"/>
        <v>0.5</v>
      </c>
      <c r="S172" s="637">
        <v>0.4</v>
      </c>
      <c r="T172" s="302" t="s">
        <v>590</v>
      </c>
      <c r="U172" s="302" t="s">
        <v>591</v>
      </c>
      <c r="V172" s="637">
        <v>0.1</v>
      </c>
      <c r="W172" s="302" t="s">
        <v>508</v>
      </c>
      <c r="X172" s="302" t="s">
        <v>546</v>
      </c>
      <c r="Y172" s="637">
        <v>0</v>
      </c>
      <c r="Z172" s="645">
        <f t="shared" si="231"/>
        <v>0.5</v>
      </c>
      <c r="AA172" s="637">
        <v>0.4</v>
      </c>
      <c r="AB172" s="302" t="s">
        <v>590</v>
      </c>
      <c r="AC172" s="302" t="s">
        <v>591</v>
      </c>
      <c r="AD172" s="637">
        <v>0.1</v>
      </c>
      <c r="AE172" s="302" t="s">
        <v>508</v>
      </c>
      <c r="AF172" s="302" t="s">
        <v>546</v>
      </c>
      <c r="AG172" s="637">
        <v>0</v>
      </c>
      <c r="AH172" s="645">
        <f t="shared" si="102"/>
        <v>0.5</v>
      </c>
      <c r="AI172" s="637">
        <v>0.4</v>
      </c>
      <c r="AJ172" s="302" t="s">
        <v>590</v>
      </c>
      <c r="AK172" s="302" t="s">
        <v>591</v>
      </c>
      <c r="AL172" s="637">
        <v>0.1</v>
      </c>
      <c r="AM172" s="302" t="s">
        <v>508</v>
      </c>
      <c r="AN172" s="302" t="s">
        <v>546</v>
      </c>
      <c r="AO172" s="637">
        <v>0</v>
      </c>
      <c r="AP172" s="645">
        <f t="shared" ref="AP172:AP173" si="250">+AI172+AL172+AO172</f>
        <v>0.5</v>
      </c>
      <c r="AQ172" s="637">
        <v>0.4</v>
      </c>
      <c r="AR172" s="302" t="s">
        <v>590</v>
      </c>
      <c r="AS172" s="302" t="s">
        <v>591</v>
      </c>
      <c r="AT172" s="637">
        <v>0.1</v>
      </c>
      <c r="AU172" s="302" t="s">
        <v>508</v>
      </c>
      <c r="AV172" s="302" t="s">
        <v>546</v>
      </c>
      <c r="AW172" s="637">
        <v>0</v>
      </c>
      <c r="AX172" s="645">
        <f t="shared" ref="AX172:AX173" si="251">+AQ172+AT172+AW172</f>
        <v>0.5</v>
      </c>
      <c r="AY172" s="637">
        <v>0.35</v>
      </c>
      <c r="AZ172" s="302" t="s">
        <v>590</v>
      </c>
      <c r="BA172" s="302" t="s">
        <v>591</v>
      </c>
      <c r="BB172" s="637">
        <v>0.4</v>
      </c>
      <c r="BC172" s="302" t="s">
        <v>508</v>
      </c>
      <c r="BD172" s="302" t="s">
        <v>546</v>
      </c>
      <c r="BE172" s="637">
        <v>0</v>
      </c>
      <c r="BF172" s="434">
        <f t="shared" ref="BF172:BF173" si="252">+AY172+BB172+BE172</f>
        <v>0.75</v>
      </c>
      <c r="BG172" s="587">
        <v>0.4</v>
      </c>
      <c r="BH172" s="302" t="s">
        <v>590</v>
      </c>
      <c r="BI172" s="302" t="s">
        <v>591</v>
      </c>
      <c r="BJ172" s="434">
        <v>0.1</v>
      </c>
      <c r="BK172" s="302" t="s">
        <v>508</v>
      </c>
      <c r="BL172" s="302" t="s">
        <v>546</v>
      </c>
      <c r="BM172" s="434">
        <v>0</v>
      </c>
      <c r="BN172" s="645">
        <f t="shared" ref="BN172:BN173" si="253">+BG172+BJ172+BM172</f>
        <v>0.5</v>
      </c>
      <c r="BO172" s="434"/>
      <c r="BP172" s="434">
        <v>0.4</v>
      </c>
      <c r="BQ172" s="302" t="s">
        <v>590</v>
      </c>
      <c r="BR172" s="302" t="s">
        <v>591</v>
      </c>
      <c r="BS172" s="434">
        <v>0.1</v>
      </c>
      <c r="BT172" s="302" t="s">
        <v>508</v>
      </c>
      <c r="BU172" s="302" t="s">
        <v>546</v>
      </c>
      <c r="BV172" s="434">
        <v>0</v>
      </c>
      <c r="BW172" s="645">
        <f t="shared" ref="BW172:BW173" si="254">+BP172+BS172+BV172</f>
        <v>0.5</v>
      </c>
      <c r="BX172" s="434">
        <v>0.4</v>
      </c>
      <c r="BY172" s="302" t="s">
        <v>590</v>
      </c>
      <c r="BZ172" s="302" t="s">
        <v>591</v>
      </c>
      <c r="CA172" s="434">
        <v>0.1</v>
      </c>
      <c r="CB172" s="302" t="s">
        <v>508</v>
      </c>
      <c r="CC172" s="302" t="s">
        <v>546</v>
      </c>
      <c r="CD172" s="434">
        <v>0</v>
      </c>
      <c r="CE172" s="434">
        <f t="shared" ref="CE172:CE173" si="255">+BX172+CA172+CD172</f>
        <v>0.5</v>
      </c>
      <c r="CF172" s="1620" t="s">
        <v>1166</v>
      </c>
      <c r="CG172" s="1620" t="s">
        <v>1166</v>
      </c>
      <c r="CH172" s="1620" t="s">
        <v>1166</v>
      </c>
      <c r="CI172" s="407"/>
      <c r="CJ172" s="642">
        <v>0.70699999999999996</v>
      </c>
      <c r="CK172" s="591" t="s">
        <v>922</v>
      </c>
      <c r="CL172" s="302" t="s">
        <v>590</v>
      </c>
      <c r="CM172" s="302" t="s">
        <v>591</v>
      </c>
      <c r="CN172" s="637">
        <v>0.6</v>
      </c>
      <c r="CO172" s="302" t="s">
        <v>508</v>
      </c>
      <c r="CP172" s="302" t="s">
        <v>546</v>
      </c>
      <c r="CQ172" s="637">
        <v>0</v>
      </c>
    </row>
    <row r="173" spans="1:98" customFormat="1" ht="15" x14ac:dyDescent="0.2">
      <c r="A173" s="440" t="s">
        <v>225</v>
      </c>
      <c r="B173" s="440" t="s">
        <v>224</v>
      </c>
      <c r="C173" s="637">
        <v>0.4</v>
      </c>
      <c r="D173" s="440" t="s">
        <v>619</v>
      </c>
      <c r="E173" s="440" t="s">
        <v>620</v>
      </c>
      <c r="F173" s="637">
        <v>0.1</v>
      </c>
      <c r="G173" s="440" t="s">
        <v>508</v>
      </c>
      <c r="H173" s="440" t="s">
        <v>546</v>
      </c>
      <c r="I173" s="637">
        <v>0</v>
      </c>
      <c r="J173" s="662">
        <f t="shared" si="139"/>
        <v>0.5</v>
      </c>
      <c r="K173" s="637">
        <v>0.4</v>
      </c>
      <c r="L173" s="440" t="s">
        <v>619</v>
      </c>
      <c r="M173" s="440" t="s">
        <v>620</v>
      </c>
      <c r="N173" s="637">
        <v>0.1</v>
      </c>
      <c r="O173" s="440" t="s">
        <v>508</v>
      </c>
      <c r="P173" s="440" t="s">
        <v>546</v>
      </c>
      <c r="Q173" s="637">
        <v>0</v>
      </c>
      <c r="R173" s="662">
        <f t="shared" si="224"/>
        <v>0.5</v>
      </c>
      <c r="S173" s="637">
        <v>0.4</v>
      </c>
      <c r="T173" s="302" t="s">
        <v>619</v>
      </c>
      <c r="U173" s="302" t="s">
        <v>620</v>
      </c>
      <c r="V173" s="637">
        <v>0.1</v>
      </c>
      <c r="W173" s="302" t="s">
        <v>508</v>
      </c>
      <c r="X173" s="302" t="s">
        <v>546</v>
      </c>
      <c r="Y173" s="637">
        <v>0</v>
      </c>
      <c r="Z173" s="645">
        <f t="shared" si="231"/>
        <v>0.5</v>
      </c>
      <c r="AA173" s="637">
        <v>0.4</v>
      </c>
      <c r="AB173" s="302" t="s">
        <v>619</v>
      </c>
      <c r="AC173" s="302" t="s">
        <v>620</v>
      </c>
      <c r="AD173" s="637">
        <v>0.1</v>
      </c>
      <c r="AE173" s="302" t="s">
        <v>508</v>
      </c>
      <c r="AF173" s="302" t="s">
        <v>546</v>
      </c>
      <c r="AG173" s="637">
        <v>0</v>
      </c>
      <c r="AH173" s="645">
        <f t="shared" si="102"/>
        <v>0.5</v>
      </c>
      <c r="AI173" s="637">
        <v>0.4</v>
      </c>
      <c r="AJ173" s="302" t="s">
        <v>619</v>
      </c>
      <c r="AK173" s="302" t="s">
        <v>620</v>
      </c>
      <c r="AL173" s="637">
        <v>0.1</v>
      </c>
      <c r="AM173" s="302" t="s">
        <v>508</v>
      </c>
      <c r="AN173" s="302" t="s">
        <v>546</v>
      </c>
      <c r="AO173" s="637">
        <v>0</v>
      </c>
      <c r="AP173" s="645">
        <f t="shared" si="250"/>
        <v>0.5</v>
      </c>
      <c r="AQ173" s="637">
        <v>0.4</v>
      </c>
      <c r="AR173" s="302" t="s">
        <v>619</v>
      </c>
      <c r="AS173" s="302" t="s">
        <v>620</v>
      </c>
      <c r="AT173" s="637">
        <v>0.1</v>
      </c>
      <c r="AU173" s="302" t="s">
        <v>508</v>
      </c>
      <c r="AV173" s="302" t="s">
        <v>546</v>
      </c>
      <c r="AW173" s="637">
        <v>0</v>
      </c>
      <c r="AX173" s="645">
        <f t="shared" si="251"/>
        <v>0.5</v>
      </c>
      <c r="AY173" s="637">
        <v>0.4</v>
      </c>
      <c r="AZ173" s="302" t="s">
        <v>619</v>
      </c>
      <c r="BA173" s="302" t="s">
        <v>620</v>
      </c>
      <c r="BB173" s="637">
        <v>0.1</v>
      </c>
      <c r="BC173" s="302" t="s">
        <v>508</v>
      </c>
      <c r="BD173" s="302" t="s">
        <v>546</v>
      </c>
      <c r="BE173" s="637">
        <v>0</v>
      </c>
      <c r="BF173" s="434">
        <f t="shared" si="252"/>
        <v>0.5</v>
      </c>
      <c r="BG173" s="587">
        <v>0.6</v>
      </c>
      <c r="BH173" s="302" t="s">
        <v>619</v>
      </c>
      <c r="BI173" s="302" t="s">
        <v>620</v>
      </c>
      <c r="BJ173" s="434">
        <v>0.4</v>
      </c>
      <c r="BK173" s="302" t="s">
        <v>508</v>
      </c>
      <c r="BL173" s="302" t="s">
        <v>546</v>
      </c>
      <c r="BM173" s="434">
        <v>0</v>
      </c>
      <c r="BN173" s="645">
        <f t="shared" si="253"/>
        <v>1</v>
      </c>
      <c r="BO173" s="434"/>
      <c r="BP173" s="434">
        <v>0.4</v>
      </c>
      <c r="BQ173" s="302" t="s">
        <v>619</v>
      </c>
      <c r="BR173" s="302" t="s">
        <v>620</v>
      </c>
      <c r="BS173" s="434">
        <v>0.1</v>
      </c>
      <c r="BT173" s="302" t="s">
        <v>508</v>
      </c>
      <c r="BU173" s="302" t="s">
        <v>546</v>
      </c>
      <c r="BV173" s="434">
        <v>0</v>
      </c>
      <c r="BW173" s="645">
        <f t="shared" si="254"/>
        <v>0.5</v>
      </c>
      <c r="BX173" s="434">
        <v>0.4</v>
      </c>
      <c r="BY173" s="302" t="s">
        <v>619</v>
      </c>
      <c r="BZ173" s="302" t="s">
        <v>620</v>
      </c>
      <c r="CA173" s="434">
        <v>0.1</v>
      </c>
      <c r="CB173" s="302" t="s">
        <v>508</v>
      </c>
      <c r="CC173" s="302" t="s">
        <v>546</v>
      </c>
      <c r="CD173" s="434">
        <v>0</v>
      </c>
      <c r="CE173" s="434">
        <f t="shared" si="255"/>
        <v>0.5</v>
      </c>
      <c r="CF173" s="1620" t="s">
        <v>1166</v>
      </c>
      <c r="CG173" s="1620" t="s">
        <v>1166</v>
      </c>
      <c r="CH173" s="1620" t="s">
        <v>1166</v>
      </c>
      <c r="CI173" s="407"/>
      <c r="CJ173" s="642">
        <v>0.66200000000000003</v>
      </c>
      <c r="CK173" s="591" t="s">
        <v>922</v>
      </c>
      <c r="CL173" s="302" t="s">
        <v>619</v>
      </c>
      <c r="CM173" s="302" t="s">
        <v>620</v>
      </c>
      <c r="CN173" s="637">
        <v>0.6</v>
      </c>
      <c r="CO173" s="302" t="s">
        <v>508</v>
      </c>
      <c r="CP173" s="302" t="s">
        <v>546</v>
      </c>
      <c r="CQ173" s="637">
        <v>0</v>
      </c>
      <c r="CS173" s="428"/>
      <c r="CT173" s="428"/>
    </row>
    <row r="174" spans="1:98" s="509" customFormat="1" x14ac:dyDescent="0.2">
      <c r="A174" s="667" t="s">
        <v>227</v>
      </c>
      <c r="B174" s="668" t="s">
        <v>597</v>
      </c>
      <c r="C174" s="439">
        <v>0.49</v>
      </c>
      <c r="D174" s="668" t="s">
        <v>508</v>
      </c>
      <c r="E174" s="668" t="s">
        <v>509</v>
      </c>
      <c r="F174" s="639">
        <v>0</v>
      </c>
      <c r="G174" s="668" t="s">
        <v>593</v>
      </c>
      <c r="H174" s="668" t="s">
        <v>594</v>
      </c>
      <c r="I174" s="639">
        <v>0.01</v>
      </c>
      <c r="J174" s="662">
        <f t="shared" si="139"/>
        <v>0.5</v>
      </c>
      <c r="K174" s="439">
        <v>0.49</v>
      </c>
      <c r="L174" s="668" t="s">
        <v>508</v>
      </c>
      <c r="M174" s="668" t="s">
        <v>509</v>
      </c>
      <c r="N174" s="639">
        <v>0</v>
      </c>
      <c r="O174" s="668" t="s">
        <v>593</v>
      </c>
      <c r="P174" s="668" t="s">
        <v>594</v>
      </c>
      <c r="Q174" s="639">
        <v>0.01</v>
      </c>
      <c r="R174" s="669">
        <f t="shared" si="224"/>
        <v>0.5</v>
      </c>
      <c r="S174" s="439">
        <v>0.49</v>
      </c>
      <c r="T174" s="668" t="s">
        <v>508</v>
      </c>
      <c r="U174" s="668" t="s">
        <v>509</v>
      </c>
      <c r="V174" s="639">
        <v>0</v>
      </c>
      <c r="W174" s="668" t="s">
        <v>593</v>
      </c>
      <c r="X174" s="668" t="s">
        <v>594</v>
      </c>
      <c r="Y174" s="639">
        <v>0.01</v>
      </c>
      <c r="Z174" s="669">
        <f t="shared" si="231"/>
        <v>0.5</v>
      </c>
      <c r="AA174" s="439">
        <v>0.49</v>
      </c>
      <c r="AB174" s="668" t="s">
        <v>508</v>
      </c>
      <c r="AC174" s="668" t="s">
        <v>509</v>
      </c>
      <c r="AD174" s="639">
        <v>0</v>
      </c>
      <c r="AE174" s="668" t="s">
        <v>593</v>
      </c>
      <c r="AF174" s="668" t="s">
        <v>594</v>
      </c>
      <c r="AG174" s="639">
        <v>0.01</v>
      </c>
      <c r="AH174" s="669">
        <f t="shared" si="102"/>
        <v>0.5</v>
      </c>
      <c r="AI174" s="439">
        <v>0.49</v>
      </c>
      <c r="AJ174" s="668" t="s">
        <v>508</v>
      </c>
      <c r="AK174" s="668" t="s">
        <v>509</v>
      </c>
      <c r="AL174" s="639">
        <v>0</v>
      </c>
      <c r="AM174" s="668" t="s">
        <v>593</v>
      </c>
      <c r="AN174" s="668" t="s">
        <v>594</v>
      </c>
      <c r="AO174" s="639">
        <v>0.01</v>
      </c>
      <c r="AP174" s="669">
        <f t="shared" ref="AP174:AP175" si="256">+AI174+AL174+AO174</f>
        <v>0.5</v>
      </c>
      <c r="AQ174" s="439">
        <v>0.49</v>
      </c>
      <c r="AR174" s="668" t="s">
        <v>508</v>
      </c>
      <c r="AS174" s="668" t="s">
        <v>509</v>
      </c>
      <c r="AT174" s="639">
        <v>0</v>
      </c>
      <c r="AU174" s="668" t="s">
        <v>593</v>
      </c>
      <c r="AV174" s="668" t="s">
        <v>594</v>
      </c>
      <c r="AW174" s="639">
        <v>0.01</v>
      </c>
      <c r="AX174" s="669">
        <f t="shared" ref="AX174:AX175" si="257">+AQ174+AT174+AW174</f>
        <v>0.5</v>
      </c>
      <c r="AY174" s="439">
        <v>0.49</v>
      </c>
      <c r="AZ174" s="668" t="s">
        <v>508</v>
      </c>
      <c r="BA174" s="668" t="s">
        <v>509</v>
      </c>
      <c r="BB174" s="639">
        <v>0</v>
      </c>
      <c r="BC174" s="668" t="s">
        <v>593</v>
      </c>
      <c r="BD174" s="668" t="s">
        <v>594</v>
      </c>
      <c r="BE174" s="639">
        <v>0.01</v>
      </c>
      <c r="BF174" s="640">
        <f t="shared" ref="BF174:BF175" si="258">+AY174+BB174+BE174</f>
        <v>0.5</v>
      </c>
      <c r="BG174" s="670">
        <v>0.99</v>
      </c>
      <c r="BH174" s="668" t="s">
        <v>508</v>
      </c>
      <c r="BI174" s="668" t="s">
        <v>509</v>
      </c>
      <c r="BJ174" s="639">
        <v>0</v>
      </c>
      <c r="BK174" s="668" t="s">
        <v>593</v>
      </c>
      <c r="BL174" s="668" t="s">
        <v>594</v>
      </c>
      <c r="BM174" s="639">
        <v>0.01</v>
      </c>
      <c r="BN174" s="669">
        <f t="shared" ref="BN174:BN175" si="259">+BG174+BJ174+BM174</f>
        <v>1</v>
      </c>
      <c r="BO174" s="640"/>
      <c r="BP174" s="639">
        <v>0.49</v>
      </c>
      <c r="BQ174" s="668" t="s">
        <v>508</v>
      </c>
      <c r="BR174" s="668" t="s">
        <v>509</v>
      </c>
      <c r="BS174" s="639">
        <v>0</v>
      </c>
      <c r="BT174" s="668" t="s">
        <v>593</v>
      </c>
      <c r="BU174" s="668" t="s">
        <v>594</v>
      </c>
      <c r="BV174" s="639">
        <v>0.01</v>
      </c>
      <c r="BW174" s="669">
        <f t="shared" ref="BW174:BW175" si="260">+BP174+BS174+BV174</f>
        <v>0.5</v>
      </c>
      <c r="BX174" s="639">
        <v>0.49</v>
      </c>
      <c r="BY174" s="668" t="s">
        <v>508</v>
      </c>
      <c r="BZ174" s="668" t="s">
        <v>509</v>
      </c>
      <c r="CA174" s="639">
        <v>0</v>
      </c>
      <c r="CB174" s="668" t="s">
        <v>593</v>
      </c>
      <c r="CC174" s="668" t="s">
        <v>594</v>
      </c>
      <c r="CD174" s="639">
        <v>0.01</v>
      </c>
      <c r="CE174" s="640">
        <f t="shared" ref="CE174:CE175" si="261">+BX174+CA174+CD174</f>
        <v>0.5</v>
      </c>
      <c r="CF174" s="1621" t="s">
        <v>862</v>
      </c>
      <c r="CG174" s="1621" t="s">
        <v>862</v>
      </c>
      <c r="CH174" s="1621" t="s">
        <v>1166</v>
      </c>
      <c r="CI174" s="671" t="s">
        <v>862</v>
      </c>
      <c r="CJ174" s="642">
        <v>0.65800000000000003</v>
      </c>
      <c r="CK174" s="665" t="s">
        <v>922</v>
      </c>
      <c r="CL174" s="668" t="s">
        <v>508</v>
      </c>
      <c r="CM174" s="668" t="s">
        <v>509</v>
      </c>
      <c r="CN174" s="637">
        <v>0</v>
      </c>
      <c r="CO174" s="668" t="s">
        <v>593</v>
      </c>
      <c r="CP174" s="668" t="s">
        <v>594</v>
      </c>
      <c r="CQ174" s="639">
        <v>0.01</v>
      </c>
      <c r="CS174" s="428"/>
      <c r="CT174" s="428"/>
    </row>
    <row r="175" spans="1:98" ht="15" x14ac:dyDescent="0.2">
      <c r="A175" s="661" t="s">
        <v>229</v>
      </c>
      <c r="B175" s="440" t="s">
        <v>228</v>
      </c>
      <c r="C175" s="637">
        <v>0.4</v>
      </c>
      <c r="D175" s="440" t="s">
        <v>621</v>
      </c>
      <c r="E175" s="440" t="s">
        <v>622</v>
      </c>
      <c r="F175" s="637">
        <v>0.1</v>
      </c>
      <c r="G175" s="440" t="s">
        <v>508</v>
      </c>
      <c r="H175" s="440" t="s">
        <v>546</v>
      </c>
      <c r="I175" s="637">
        <v>0</v>
      </c>
      <c r="J175" s="662">
        <f t="shared" si="139"/>
        <v>0.5</v>
      </c>
      <c r="K175" s="637">
        <v>0.4</v>
      </c>
      <c r="L175" s="440" t="s">
        <v>621</v>
      </c>
      <c r="M175" s="440" t="s">
        <v>622</v>
      </c>
      <c r="N175" s="637">
        <v>0.1</v>
      </c>
      <c r="O175" s="440" t="s">
        <v>508</v>
      </c>
      <c r="P175" s="440" t="s">
        <v>546</v>
      </c>
      <c r="Q175" s="637">
        <v>0</v>
      </c>
      <c r="R175" s="662">
        <f t="shared" si="224"/>
        <v>0.5</v>
      </c>
      <c r="S175" s="637">
        <v>0.4</v>
      </c>
      <c r="T175" s="302" t="s">
        <v>621</v>
      </c>
      <c r="U175" s="302" t="s">
        <v>622</v>
      </c>
      <c r="V175" s="637">
        <v>0.1</v>
      </c>
      <c r="W175" s="302" t="s">
        <v>508</v>
      </c>
      <c r="X175" s="302" t="s">
        <v>546</v>
      </c>
      <c r="Y175" s="637">
        <v>0</v>
      </c>
      <c r="Z175" s="645">
        <f t="shared" si="231"/>
        <v>0.5</v>
      </c>
      <c r="AA175" s="637">
        <v>0.4</v>
      </c>
      <c r="AB175" s="302" t="s">
        <v>621</v>
      </c>
      <c r="AC175" s="302" t="s">
        <v>622</v>
      </c>
      <c r="AD175" s="637">
        <v>0.1</v>
      </c>
      <c r="AE175" s="302" t="s">
        <v>508</v>
      </c>
      <c r="AF175" s="302" t="s">
        <v>546</v>
      </c>
      <c r="AG175" s="637">
        <v>0</v>
      </c>
      <c r="AH175" s="645">
        <f t="shared" si="102"/>
        <v>0.5</v>
      </c>
      <c r="AI175" s="637">
        <v>0.4</v>
      </c>
      <c r="AJ175" s="302" t="s">
        <v>621</v>
      </c>
      <c r="AK175" s="302" t="s">
        <v>622</v>
      </c>
      <c r="AL175" s="637">
        <v>0.1</v>
      </c>
      <c r="AM175" s="302" t="s">
        <v>508</v>
      </c>
      <c r="AN175" s="302" t="s">
        <v>546</v>
      </c>
      <c r="AO175" s="637">
        <v>0</v>
      </c>
      <c r="AP175" s="645">
        <f t="shared" si="256"/>
        <v>0.5</v>
      </c>
      <c r="AQ175" s="637">
        <v>0.4</v>
      </c>
      <c r="AR175" s="302" t="s">
        <v>621</v>
      </c>
      <c r="AS175" s="302" t="s">
        <v>622</v>
      </c>
      <c r="AT175" s="637">
        <v>0.1</v>
      </c>
      <c r="AU175" s="302" t="s">
        <v>508</v>
      </c>
      <c r="AV175" s="302" t="s">
        <v>546</v>
      </c>
      <c r="AW175" s="637">
        <v>0</v>
      </c>
      <c r="AX175" s="645">
        <f t="shared" si="257"/>
        <v>0.5</v>
      </c>
      <c r="AY175" s="637">
        <v>0.42499999999999999</v>
      </c>
      <c r="AZ175" s="302" t="s">
        <v>621</v>
      </c>
      <c r="BA175" s="302" t="s">
        <v>622</v>
      </c>
      <c r="BB175" s="637">
        <v>0.32500000000000001</v>
      </c>
      <c r="BC175" s="302" t="s">
        <v>508</v>
      </c>
      <c r="BD175" s="302" t="s">
        <v>546</v>
      </c>
      <c r="BE175" s="637">
        <v>0</v>
      </c>
      <c r="BF175" s="434">
        <f t="shared" si="258"/>
        <v>0.75</v>
      </c>
      <c r="BG175" s="587">
        <v>0.4</v>
      </c>
      <c r="BH175" s="302" t="s">
        <v>621</v>
      </c>
      <c r="BI175" s="302" t="s">
        <v>622</v>
      </c>
      <c r="BJ175" s="434">
        <v>0.1</v>
      </c>
      <c r="BK175" s="302" t="s">
        <v>508</v>
      </c>
      <c r="BL175" s="302" t="s">
        <v>546</v>
      </c>
      <c r="BM175" s="434">
        <v>0</v>
      </c>
      <c r="BN175" s="645">
        <f t="shared" si="259"/>
        <v>0.5</v>
      </c>
      <c r="BO175" s="434"/>
      <c r="BP175" s="434">
        <v>0.4</v>
      </c>
      <c r="BQ175" s="302" t="s">
        <v>621</v>
      </c>
      <c r="BR175" s="302" t="s">
        <v>622</v>
      </c>
      <c r="BS175" s="434">
        <v>0.1</v>
      </c>
      <c r="BT175" s="302" t="s">
        <v>508</v>
      </c>
      <c r="BU175" s="302" t="s">
        <v>546</v>
      </c>
      <c r="BV175" s="434">
        <v>0</v>
      </c>
      <c r="BW175" s="645">
        <f t="shared" si="260"/>
        <v>0.5</v>
      </c>
      <c r="BX175" s="434">
        <v>0.4</v>
      </c>
      <c r="BY175" s="302" t="s">
        <v>621</v>
      </c>
      <c r="BZ175" s="302" t="s">
        <v>622</v>
      </c>
      <c r="CA175" s="434">
        <v>0.1</v>
      </c>
      <c r="CB175" s="302" t="s">
        <v>508</v>
      </c>
      <c r="CC175" s="302" t="s">
        <v>546</v>
      </c>
      <c r="CD175" s="434">
        <v>0</v>
      </c>
      <c r="CE175" s="434">
        <f t="shared" si="261"/>
        <v>0.5</v>
      </c>
      <c r="CF175" s="1620" t="s">
        <v>862</v>
      </c>
      <c r="CG175" s="1620" t="s">
        <v>1166</v>
      </c>
      <c r="CH175" s="1620" t="s">
        <v>1166</v>
      </c>
      <c r="CI175" s="406"/>
      <c r="CJ175" s="642">
        <v>0.63</v>
      </c>
      <c r="CK175" s="591" t="s">
        <v>922</v>
      </c>
      <c r="CL175" s="302" t="s">
        <v>621</v>
      </c>
      <c r="CM175" s="302" t="s">
        <v>622</v>
      </c>
      <c r="CN175" s="637">
        <v>0.6</v>
      </c>
      <c r="CO175" s="302" t="s">
        <v>508</v>
      </c>
      <c r="CP175" s="302" t="s">
        <v>546</v>
      </c>
      <c r="CQ175" s="637">
        <v>0</v>
      </c>
    </row>
    <row r="176" spans="1:98" ht="15" x14ac:dyDescent="0.2">
      <c r="A176" s="440" t="s">
        <v>1313</v>
      </c>
      <c r="B176" s="440" t="s">
        <v>1288</v>
      </c>
      <c r="C176" s="637">
        <v>0.49</v>
      </c>
      <c r="D176" s="440" t="s">
        <v>508</v>
      </c>
      <c r="E176" s="440" t="s">
        <v>509</v>
      </c>
      <c r="F176" s="637">
        <v>0</v>
      </c>
      <c r="G176" s="440" t="s">
        <v>2258</v>
      </c>
      <c r="H176" s="440" t="s">
        <v>1186</v>
      </c>
      <c r="I176" s="637">
        <v>0.01</v>
      </c>
      <c r="J176" s="662">
        <f t="shared" si="139"/>
        <v>0.5</v>
      </c>
      <c r="K176" s="637">
        <v>0.49</v>
      </c>
      <c r="L176" s="440" t="s">
        <v>508</v>
      </c>
      <c r="M176" s="440" t="s">
        <v>509</v>
      </c>
      <c r="N176" s="637">
        <v>0</v>
      </c>
      <c r="O176" s="440" t="s">
        <v>2258</v>
      </c>
      <c r="P176" s="440" t="s">
        <v>1186</v>
      </c>
      <c r="Q176" s="637">
        <v>0.01</v>
      </c>
      <c r="R176" s="662">
        <f>+K176+N176+Q176</f>
        <v>0.5</v>
      </c>
      <c r="S176" s="637">
        <v>0.49</v>
      </c>
      <c r="T176" s="440" t="s">
        <v>508</v>
      </c>
      <c r="U176" s="440" t="s">
        <v>509</v>
      </c>
      <c r="V176" s="637">
        <v>0</v>
      </c>
      <c r="W176" s="440" t="s">
        <v>2258</v>
      </c>
      <c r="X176" s="440" t="s">
        <v>1186</v>
      </c>
      <c r="Y176" s="637">
        <v>0.01</v>
      </c>
      <c r="Z176" s="662">
        <f>+S176+V176+Y176</f>
        <v>0.5</v>
      </c>
      <c r="AA176" s="637">
        <v>0.49</v>
      </c>
      <c r="AB176" s="440" t="s">
        <v>508</v>
      </c>
      <c r="AC176" s="440" t="s">
        <v>509</v>
      </c>
      <c r="AD176" s="637">
        <v>0</v>
      </c>
      <c r="AE176" s="440" t="s">
        <v>2258</v>
      </c>
      <c r="AF176" s="440" t="s">
        <v>1186</v>
      </c>
      <c r="AG176" s="637">
        <v>0.01</v>
      </c>
      <c r="AH176" s="662">
        <f>+AA176+AD176+AG176</f>
        <v>0.5</v>
      </c>
      <c r="AI176" s="711">
        <v>0.49</v>
      </c>
      <c r="AJ176" s="712" t="s">
        <v>508</v>
      </c>
      <c r="AK176" s="712" t="s">
        <v>509</v>
      </c>
      <c r="AL176" s="711">
        <v>0</v>
      </c>
      <c r="AM176" s="712" t="s">
        <v>2258</v>
      </c>
      <c r="AN176" s="712" t="s">
        <v>1186</v>
      </c>
      <c r="AO176" s="711">
        <v>0.01</v>
      </c>
      <c r="AP176" s="713">
        <f>+AI176+AL176+AO176</f>
        <v>0.5</v>
      </c>
      <c r="AQ176" s="711">
        <v>0.49</v>
      </c>
      <c r="AR176" s="712" t="s">
        <v>508</v>
      </c>
      <c r="AS176" s="712" t="s">
        <v>509</v>
      </c>
      <c r="AT176" s="711">
        <v>0</v>
      </c>
      <c r="AU176" s="712" t="s">
        <v>1187</v>
      </c>
      <c r="AV176" s="712" t="s">
        <v>1186</v>
      </c>
      <c r="AW176" s="711">
        <v>0.01</v>
      </c>
      <c r="AX176" s="713">
        <f>+AQ176+AT176+AW176</f>
        <v>0.5</v>
      </c>
      <c r="AY176" s="711">
        <v>0.74</v>
      </c>
      <c r="AZ176" s="712" t="s">
        <v>508</v>
      </c>
      <c r="BA176" s="712" t="s">
        <v>509</v>
      </c>
      <c r="BB176" s="711">
        <v>0</v>
      </c>
      <c r="BC176" s="712" t="s">
        <v>1187</v>
      </c>
      <c r="BD176" s="712" t="s">
        <v>1186</v>
      </c>
      <c r="BE176" s="711">
        <v>0.01</v>
      </c>
      <c r="BF176" s="713">
        <f>+AY176+BB176+BE176</f>
        <v>0.75</v>
      </c>
      <c r="BG176" s="711">
        <v>0.49</v>
      </c>
      <c r="BH176" s="712" t="s">
        <v>508</v>
      </c>
      <c r="BI176" s="712" t="s">
        <v>509</v>
      </c>
      <c r="BJ176" s="711">
        <v>0</v>
      </c>
      <c r="BK176" s="712" t="s">
        <v>1187</v>
      </c>
      <c r="BL176" s="712" t="s">
        <v>1186</v>
      </c>
      <c r="BM176" s="711">
        <v>0.01</v>
      </c>
      <c r="BN176" s="713">
        <f>+BG176+BJ176+BM176</f>
        <v>0.5</v>
      </c>
      <c r="BO176" s="711"/>
      <c r="BP176" s="711">
        <v>0.49</v>
      </c>
      <c r="BQ176" s="712" t="s">
        <v>508</v>
      </c>
      <c r="BR176" s="712" t="s">
        <v>509</v>
      </c>
      <c r="BS176" s="711">
        <v>0</v>
      </c>
      <c r="BT176" s="712" t="s">
        <v>1187</v>
      </c>
      <c r="BU176" s="712" t="s">
        <v>1186</v>
      </c>
      <c r="BV176" s="711">
        <v>0.01</v>
      </c>
      <c r="BW176" s="713">
        <f>+BP176+BS176+BV176</f>
        <v>0.5</v>
      </c>
      <c r="BX176" s="711">
        <v>0.49</v>
      </c>
      <c r="BY176" s="712" t="s">
        <v>508</v>
      </c>
      <c r="BZ176" s="712" t="s">
        <v>509</v>
      </c>
      <c r="CA176" s="711">
        <v>0</v>
      </c>
      <c r="CB176" s="712" t="s">
        <v>1187</v>
      </c>
      <c r="CC176" s="712" t="s">
        <v>1186</v>
      </c>
      <c r="CD176" s="711">
        <v>0.01</v>
      </c>
      <c r="CE176" s="713">
        <f>+BX176+CA176+CD176</f>
        <v>0.5</v>
      </c>
      <c r="CF176" s="1620" t="s">
        <v>1166</v>
      </c>
      <c r="CG176" s="1620" t="s">
        <v>1166</v>
      </c>
      <c r="CH176" s="1620" t="s">
        <v>1166</v>
      </c>
      <c r="CI176" s="774" t="s">
        <v>862</v>
      </c>
      <c r="CJ176" s="642">
        <v>0.67800000000000005</v>
      </c>
      <c r="CK176" s="665" t="s">
        <v>922</v>
      </c>
      <c r="CL176" s="440" t="s">
        <v>628</v>
      </c>
      <c r="CM176" s="440" t="s">
        <v>629</v>
      </c>
      <c r="CN176" s="637">
        <v>0.59</v>
      </c>
      <c r="CO176" s="440" t="s">
        <v>1187</v>
      </c>
      <c r="CP176" s="440" t="s">
        <v>1186</v>
      </c>
      <c r="CQ176" s="637">
        <v>0.01</v>
      </c>
    </row>
    <row r="177" spans="1:95" ht="15" x14ac:dyDescent="0.2">
      <c r="A177" s="661" t="s">
        <v>231</v>
      </c>
      <c r="B177" s="440" t="s">
        <v>514</v>
      </c>
      <c r="C177" s="637">
        <v>0.49</v>
      </c>
      <c r="D177" s="440" t="s">
        <v>508</v>
      </c>
      <c r="E177" s="440" t="s">
        <v>509</v>
      </c>
      <c r="F177" s="637">
        <v>0</v>
      </c>
      <c r="G177" s="440" t="s">
        <v>510</v>
      </c>
      <c r="H177" s="440" t="s">
        <v>511</v>
      </c>
      <c r="I177" s="637">
        <v>0.01</v>
      </c>
      <c r="J177" s="662">
        <f t="shared" si="139"/>
        <v>0.5</v>
      </c>
      <c r="K177" s="637">
        <v>0.49</v>
      </c>
      <c r="L177" s="440" t="s">
        <v>508</v>
      </c>
      <c r="M177" s="440" t="s">
        <v>509</v>
      </c>
      <c r="N177" s="637">
        <v>0</v>
      </c>
      <c r="O177" s="440" t="s">
        <v>510</v>
      </c>
      <c r="P177" s="440" t="s">
        <v>511</v>
      </c>
      <c r="Q177" s="637">
        <v>0.01</v>
      </c>
      <c r="R177" s="662">
        <f t="shared" ref="R177:R234" si="262">+K177+N177+Q177</f>
        <v>0.5</v>
      </c>
      <c r="S177" s="637">
        <v>0.49</v>
      </c>
      <c r="T177" s="302" t="s">
        <v>508</v>
      </c>
      <c r="U177" s="302" t="s">
        <v>509</v>
      </c>
      <c r="V177" s="637">
        <v>0</v>
      </c>
      <c r="W177" s="302" t="s">
        <v>510</v>
      </c>
      <c r="X177" s="302" t="s">
        <v>511</v>
      </c>
      <c r="Y177" s="637">
        <v>0.01</v>
      </c>
      <c r="Z177" s="645">
        <f t="shared" ref="Z177:Z240" si="263">+S177+V177+Y177</f>
        <v>0.5</v>
      </c>
      <c r="AA177" s="637">
        <v>0.49</v>
      </c>
      <c r="AB177" s="302" t="s">
        <v>508</v>
      </c>
      <c r="AC177" s="302" t="s">
        <v>509</v>
      </c>
      <c r="AD177" s="637">
        <v>0</v>
      </c>
      <c r="AE177" s="302" t="s">
        <v>510</v>
      </c>
      <c r="AF177" s="302" t="s">
        <v>511</v>
      </c>
      <c r="AG177" s="637">
        <v>0.01</v>
      </c>
      <c r="AH177" s="645">
        <f t="shared" ref="AH177:AH178" si="264">+AA177+AD177+AG177</f>
        <v>0.5</v>
      </c>
      <c r="AI177" s="637">
        <v>0.49</v>
      </c>
      <c r="AJ177" s="302" t="s">
        <v>508</v>
      </c>
      <c r="AK177" s="302" t="s">
        <v>509</v>
      </c>
      <c r="AL177" s="637">
        <v>0</v>
      </c>
      <c r="AM177" s="302" t="s">
        <v>510</v>
      </c>
      <c r="AN177" s="302" t="s">
        <v>511</v>
      </c>
      <c r="AO177" s="637">
        <v>0.01</v>
      </c>
      <c r="AP177" s="645">
        <f t="shared" ref="AP177" si="265">+AI177+AL177+AO177</f>
        <v>0.5</v>
      </c>
      <c r="AQ177" s="637">
        <v>0.49</v>
      </c>
      <c r="AR177" s="302" t="s">
        <v>508</v>
      </c>
      <c r="AS177" s="302" t="s">
        <v>509</v>
      </c>
      <c r="AT177" s="637">
        <v>0</v>
      </c>
      <c r="AU177" s="302" t="s">
        <v>510</v>
      </c>
      <c r="AV177" s="302" t="s">
        <v>511</v>
      </c>
      <c r="AW177" s="637">
        <v>0.01</v>
      </c>
      <c r="AX177" s="645">
        <f t="shared" ref="AX177:AX178" si="266">+AQ177+AT177+AW177</f>
        <v>0.5</v>
      </c>
      <c r="AY177" s="637">
        <v>0.49</v>
      </c>
      <c r="AZ177" s="302" t="s">
        <v>508</v>
      </c>
      <c r="BA177" s="302" t="s">
        <v>509</v>
      </c>
      <c r="BB177" s="637">
        <v>0</v>
      </c>
      <c r="BC177" s="302" t="s">
        <v>510</v>
      </c>
      <c r="BD177" s="302" t="s">
        <v>511</v>
      </c>
      <c r="BE177" s="637">
        <v>0.01</v>
      </c>
      <c r="BF177" s="434">
        <f t="shared" ref="BF177:BF178" si="267">+AY177+BB177+BE177</f>
        <v>0.5</v>
      </c>
      <c r="BG177" s="587">
        <v>0.49</v>
      </c>
      <c r="BH177" s="302" t="s">
        <v>508</v>
      </c>
      <c r="BI177" s="302" t="s">
        <v>509</v>
      </c>
      <c r="BJ177" s="434">
        <v>0</v>
      </c>
      <c r="BK177" s="302" t="s">
        <v>510</v>
      </c>
      <c r="BL177" s="302" t="s">
        <v>511</v>
      </c>
      <c r="BM177" s="434">
        <v>0.01</v>
      </c>
      <c r="BN177" s="645">
        <f t="shared" ref="BN177:BN178" si="268">+BG177+BJ177+BM177</f>
        <v>0.5</v>
      </c>
      <c r="BO177" s="434"/>
      <c r="BP177" s="434">
        <v>0.49</v>
      </c>
      <c r="BQ177" s="302" t="s">
        <v>508</v>
      </c>
      <c r="BR177" s="302" t="s">
        <v>509</v>
      </c>
      <c r="BS177" s="434">
        <v>0</v>
      </c>
      <c r="BT177" s="302" t="s">
        <v>510</v>
      </c>
      <c r="BU177" s="302" t="s">
        <v>511</v>
      </c>
      <c r="BV177" s="434">
        <v>0.01</v>
      </c>
      <c r="BW177" s="645">
        <f t="shared" ref="BW177:BW178" si="269">+BP177+BS177+BV177</f>
        <v>0.5</v>
      </c>
      <c r="BX177" s="434">
        <v>0.49</v>
      </c>
      <c r="BY177" s="302" t="s">
        <v>508</v>
      </c>
      <c r="BZ177" s="302" t="s">
        <v>509</v>
      </c>
      <c r="CA177" s="434">
        <v>0</v>
      </c>
      <c r="CB177" s="302" t="s">
        <v>510</v>
      </c>
      <c r="CC177" s="302" t="s">
        <v>511</v>
      </c>
      <c r="CD177" s="434">
        <v>0.01</v>
      </c>
      <c r="CE177" s="434">
        <f t="shared" ref="CE177:CE178" si="270">+BX177+CA177+CD177</f>
        <v>0.5</v>
      </c>
      <c r="CF177" s="1620" t="s">
        <v>862</v>
      </c>
      <c r="CG177" s="1620" t="s">
        <v>1166</v>
      </c>
      <c r="CH177" s="1620" t="s">
        <v>1166</v>
      </c>
      <c r="CI177" s="408" t="s">
        <v>862</v>
      </c>
      <c r="CJ177" s="642">
        <v>0.69199999999999995</v>
      </c>
      <c r="CK177" s="591" t="s">
        <v>922</v>
      </c>
      <c r="CL177" s="302" t="s">
        <v>508</v>
      </c>
      <c r="CM177" s="302" t="s">
        <v>509</v>
      </c>
      <c r="CN177" s="637">
        <v>0</v>
      </c>
      <c r="CO177" s="302" t="s">
        <v>510</v>
      </c>
      <c r="CP177" s="302" t="s">
        <v>511</v>
      </c>
      <c r="CQ177" s="637">
        <v>0.01</v>
      </c>
    </row>
    <row r="178" spans="1:95" ht="15.75" customHeight="1" x14ac:dyDescent="0.2">
      <c r="A178" s="661" t="s">
        <v>233</v>
      </c>
      <c r="B178" s="440" t="s">
        <v>232</v>
      </c>
      <c r="C178" s="637">
        <v>0.49</v>
      </c>
      <c r="D178" s="440" t="s">
        <v>508</v>
      </c>
      <c r="E178" s="440" t="s">
        <v>660</v>
      </c>
      <c r="F178" s="637">
        <v>0</v>
      </c>
      <c r="G178" s="440" t="s">
        <v>667</v>
      </c>
      <c r="H178" s="440" t="s">
        <v>668</v>
      </c>
      <c r="I178" s="637">
        <v>0.01</v>
      </c>
      <c r="J178" s="662">
        <f t="shared" si="139"/>
        <v>0.5</v>
      </c>
      <c r="K178" s="637">
        <v>0.49</v>
      </c>
      <c r="L178" s="440" t="s">
        <v>508</v>
      </c>
      <c r="M178" s="440" t="s">
        <v>660</v>
      </c>
      <c r="N178" s="637">
        <v>0</v>
      </c>
      <c r="O178" s="440" t="s">
        <v>667</v>
      </c>
      <c r="P178" s="440" t="s">
        <v>668</v>
      </c>
      <c r="Q178" s="637">
        <v>0.01</v>
      </c>
      <c r="R178" s="662">
        <f t="shared" si="262"/>
        <v>0.5</v>
      </c>
      <c r="S178" s="637">
        <v>0.49</v>
      </c>
      <c r="T178" s="302" t="s">
        <v>508</v>
      </c>
      <c r="U178" s="302" t="s">
        <v>660</v>
      </c>
      <c r="V178" s="637">
        <v>0</v>
      </c>
      <c r="W178" s="302" t="s">
        <v>667</v>
      </c>
      <c r="X178" s="302" t="s">
        <v>668</v>
      </c>
      <c r="Y178" s="637">
        <v>0.01</v>
      </c>
      <c r="Z178" s="645">
        <f t="shared" si="263"/>
        <v>0.5</v>
      </c>
      <c r="AA178" s="637">
        <v>0.49</v>
      </c>
      <c r="AB178" s="302" t="s">
        <v>508</v>
      </c>
      <c r="AC178" s="302" t="s">
        <v>660</v>
      </c>
      <c r="AD178" s="637">
        <v>0</v>
      </c>
      <c r="AE178" s="302" t="s">
        <v>667</v>
      </c>
      <c r="AF178" s="302" t="s">
        <v>668</v>
      </c>
      <c r="AG178" s="637">
        <v>0.01</v>
      </c>
      <c r="AH178" s="645">
        <f t="shared" si="264"/>
        <v>0.5</v>
      </c>
      <c r="AI178" s="637">
        <v>0.49</v>
      </c>
      <c r="AJ178" s="302" t="s">
        <v>508</v>
      </c>
      <c r="AK178" s="302" t="s">
        <v>660</v>
      </c>
      <c r="AL178" s="637">
        <v>0</v>
      </c>
      <c r="AM178" s="302" t="s">
        <v>667</v>
      </c>
      <c r="AN178" s="302" t="s">
        <v>668</v>
      </c>
      <c r="AO178" s="637">
        <v>0.01</v>
      </c>
      <c r="AP178" s="645">
        <f t="shared" ref="AP178:AP179" si="271">+AI178+AL178+AO178</f>
        <v>0.5</v>
      </c>
      <c r="AQ178" s="637">
        <v>0.49</v>
      </c>
      <c r="AR178" s="302" t="s">
        <v>508</v>
      </c>
      <c r="AS178" s="302" t="s">
        <v>660</v>
      </c>
      <c r="AT178" s="637">
        <v>0</v>
      </c>
      <c r="AU178" s="302" t="s">
        <v>667</v>
      </c>
      <c r="AV178" s="302" t="s">
        <v>668</v>
      </c>
      <c r="AW178" s="637">
        <v>0.01</v>
      </c>
      <c r="AX178" s="645">
        <f t="shared" si="266"/>
        <v>0.5</v>
      </c>
      <c r="AY178" s="637">
        <v>0.74</v>
      </c>
      <c r="AZ178" s="302" t="s">
        <v>508</v>
      </c>
      <c r="BA178" s="302" t="s">
        <v>660</v>
      </c>
      <c r="BB178" s="637">
        <v>0</v>
      </c>
      <c r="BC178" s="302" t="s">
        <v>667</v>
      </c>
      <c r="BD178" s="302" t="s">
        <v>668</v>
      </c>
      <c r="BE178" s="637">
        <v>0.01</v>
      </c>
      <c r="BF178" s="434">
        <f t="shared" si="267"/>
        <v>0.75</v>
      </c>
      <c r="BG178" s="587">
        <v>0.49</v>
      </c>
      <c r="BH178" s="302" t="s">
        <v>508</v>
      </c>
      <c r="BI178" s="302" t="s">
        <v>660</v>
      </c>
      <c r="BJ178" s="434">
        <v>0</v>
      </c>
      <c r="BK178" s="302" t="s">
        <v>667</v>
      </c>
      <c r="BL178" s="302" t="s">
        <v>668</v>
      </c>
      <c r="BM178" s="434">
        <v>0.01</v>
      </c>
      <c r="BN178" s="645">
        <f t="shared" si="268"/>
        <v>0.5</v>
      </c>
      <c r="BO178" s="434"/>
      <c r="BP178" s="434">
        <v>0.49</v>
      </c>
      <c r="BQ178" s="302" t="s">
        <v>508</v>
      </c>
      <c r="BR178" s="302" t="s">
        <v>660</v>
      </c>
      <c r="BS178" s="434">
        <v>0</v>
      </c>
      <c r="BT178" s="302" t="s">
        <v>667</v>
      </c>
      <c r="BU178" s="302" t="s">
        <v>668</v>
      </c>
      <c r="BV178" s="434">
        <v>0.01</v>
      </c>
      <c r="BW178" s="645">
        <f t="shared" si="269"/>
        <v>0.5</v>
      </c>
      <c r="BX178" s="434">
        <v>0.49</v>
      </c>
      <c r="BY178" s="302" t="s">
        <v>508</v>
      </c>
      <c r="BZ178" s="302" t="s">
        <v>660</v>
      </c>
      <c r="CA178" s="434">
        <v>0</v>
      </c>
      <c r="CB178" s="302" t="s">
        <v>667</v>
      </c>
      <c r="CC178" s="302" t="s">
        <v>668</v>
      </c>
      <c r="CD178" s="434">
        <v>0.01</v>
      </c>
      <c r="CE178" s="434">
        <f t="shared" si="270"/>
        <v>0.5</v>
      </c>
      <c r="CF178" s="1620" t="s">
        <v>862</v>
      </c>
      <c r="CG178" s="1620" t="s">
        <v>1166</v>
      </c>
      <c r="CH178" s="1620" t="s">
        <v>1166</v>
      </c>
      <c r="CI178" s="408" t="s">
        <v>862</v>
      </c>
      <c r="CJ178" s="642">
        <v>0.68500000000000005</v>
      </c>
      <c r="CK178" s="591" t="s">
        <v>922</v>
      </c>
      <c r="CL178" s="302" t="s">
        <v>508</v>
      </c>
      <c r="CM178" s="302" t="s">
        <v>660</v>
      </c>
      <c r="CN178" s="637">
        <v>0</v>
      </c>
      <c r="CO178" s="302" t="s">
        <v>667</v>
      </c>
      <c r="CP178" s="302" t="s">
        <v>668</v>
      </c>
      <c r="CQ178" s="637">
        <v>0.01</v>
      </c>
    </row>
    <row r="179" spans="1:95" ht="15.75" customHeight="1" x14ac:dyDescent="0.2">
      <c r="A179" s="661" t="s">
        <v>235</v>
      </c>
      <c r="B179" s="440" t="s">
        <v>234</v>
      </c>
      <c r="C179" s="637">
        <v>0.4</v>
      </c>
      <c r="D179" s="440" t="s">
        <v>652</v>
      </c>
      <c r="E179" s="440" t="s">
        <v>653</v>
      </c>
      <c r="F179" s="637">
        <v>0.1</v>
      </c>
      <c r="G179" s="440" t="s">
        <v>508</v>
      </c>
      <c r="H179" s="440" t="s">
        <v>546</v>
      </c>
      <c r="I179" s="637">
        <v>0</v>
      </c>
      <c r="J179" s="662">
        <f t="shared" si="139"/>
        <v>0.5</v>
      </c>
      <c r="K179" s="637">
        <v>0.4</v>
      </c>
      <c r="L179" s="440" t="s">
        <v>652</v>
      </c>
      <c r="M179" s="440" t="s">
        <v>653</v>
      </c>
      <c r="N179" s="637">
        <v>0.1</v>
      </c>
      <c r="O179" s="440" t="s">
        <v>508</v>
      </c>
      <c r="P179" s="440" t="s">
        <v>546</v>
      </c>
      <c r="Q179" s="637">
        <v>0</v>
      </c>
      <c r="R179" s="662">
        <f t="shared" si="262"/>
        <v>0.5</v>
      </c>
      <c r="S179" s="637">
        <v>0.4</v>
      </c>
      <c r="T179" s="302" t="s">
        <v>652</v>
      </c>
      <c r="U179" s="302" t="s">
        <v>653</v>
      </c>
      <c r="V179" s="637">
        <v>0.1</v>
      </c>
      <c r="W179" s="302" t="s">
        <v>508</v>
      </c>
      <c r="X179" s="302" t="s">
        <v>546</v>
      </c>
      <c r="Y179" s="637">
        <v>0</v>
      </c>
      <c r="Z179" s="645">
        <f t="shared" si="263"/>
        <v>0.5</v>
      </c>
      <c r="AA179" s="637">
        <v>0.4</v>
      </c>
      <c r="AB179" s="302" t="s">
        <v>652</v>
      </c>
      <c r="AC179" s="302" t="s">
        <v>653</v>
      </c>
      <c r="AD179" s="637">
        <v>0.1</v>
      </c>
      <c r="AE179" s="302" t="s">
        <v>508</v>
      </c>
      <c r="AF179" s="302" t="s">
        <v>546</v>
      </c>
      <c r="AG179" s="637">
        <v>0</v>
      </c>
      <c r="AH179" s="645">
        <f t="shared" ref="AH179:AH185" si="272">+AA179+AD179+AG179</f>
        <v>0.5</v>
      </c>
      <c r="AI179" s="637">
        <v>0.4</v>
      </c>
      <c r="AJ179" s="302" t="s">
        <v>652</v>
      </c>
      <c r="AK179" s="302" t="s">
        <v>653</v>
      </c>
      <c r="AL179" s="637">
        <v>0.1</v>
      </c>
      <c r="AM179" s="302" t="s">
        <v>508</v>
      </c>
      <c r="AN179" s="302" t="s">
        <v>546</v>
      </c>
      <c r="AO179" s="637">
        <v>0</v>
      </c>
      <c r="AP179" s="645">
        <f t="shared" si="271"/>
        <v>0.5</v>
      </c>
      <c r="AQ179" s="637">
        <v>0.4</v>
      </c>
      <c r="AR179" s="302" t="s">
        <v>652</v>
      </c>
      <c r="AS179" s="302" t="s">
        <v>653</v>
      </c>
      <c r="AT179" s="637">
        <v>0.1</v>
      </c>
      <c r="AU179" s="302" t="s">
        <v>508</v>
      </c>
      <c r="AV179" s="302" t="s">
        <v>546</v>
      </c>
      <c r="AW179" s="637">
        <v>0</v>
      </c>
      <c r="AX179" s="645">
        <f t="shared" ref="AX179:AX188" si="273">+AQ179+AT179+AW179</f>
        <v>0.5</v>
      </c>
      <c r="AY179" s="637">
        <v>0.4</v>
      </c>
      <c r="AZ179" s="302" t="s">
        <v>652</v>
      </c>
      <c r="BA179" s="302" t="s">
        <v>653</v>
      </c>
      <c r="BB179" s="637">
        <v>0.1</v>
      </c>
      <c r="BC179" s="302" t="s">
        <v>508</v>
      </c>
      <c r="BD179" s="302" t="s">
        <v>546</v>
      </c>
      <c r="BE179" s="637">
        <v>0</v>
      </c>
      <c r="BF179" s="434">
        <f t="shared" ref="BF179:BF188" si="274">+AY179+BB179+BE179</f>
        <v>0.5</v>
      </c>
      <c r="BG179" s="587">
        <v>0.4</v>
      </c>
      <c r="BH179" s="302" t="s">
        <v>652</v>
      </c>
      <c r="BI179" s="302" t="s">
        <v>653</v>
      </c>
      <c r="BJ179" s="434">
        <v>0.1</v>
      </c>
      <c r="BK179" s="302" t="s">
        <v>508</v>
      </c>
      <c r="BL179" s="302" t="s">
        <v>546</v>
      </c>
      <c r="BM179" s="434">
        <v>0</v>
      </c>
      <c r="BN179" s="645">
        <f t="shared" ref="BN179:BN188" si="275">+BG179+BJ179+BM179</f>
        <v>0.5</v>
      </c>
      <c r="BO179" s="434"/>
      <c r="BP179" s="434">
        <v>0.4</v>
      </c>
      <c r="BQ179" s="302" t="s">
        <v>652</v>
      </c>
      <c r="BR179" s="302" t="s">
        <v>653</v>
      </c>
      <c r="BS179" s="434">
        <v>0.1</v>
      </c>
      <c r="BT179" s="302" t="s">
        <v>508</v>
      </c>
      <c r="BU179" s="302" t="s">
        <v>546</v>
      </c>
      <c r="BV179" s="434">
        <v>0</v>
      </c>
      <c r="BW179" s="645">
        <f t="shared" ref="BW179:BW188" si="276">+BP179+BS179+BV179</f>
        <v>0.5</v>
      </c>
      <c r="BX179" s="434">
        <v>0.4</v>
      </c>
      <c r="BY179" s="302" t="s">
        <v>652</v>
      </c>
      <c r="BZ179" s="302" t="s">
        <v>653</v>
      </c>
      <c r="CA179" s="434">
        <v>0.1</v>
      </c>
      <c r="CB179" s="302" t="s">
        <v>508</v>
      </c>
      <c r="CC179" s="302" t="s">
        <v>546</v>
      </c>
      <c r="CD179" s="434">
        <v>0</v>
      </c>
      <c r="CE179" s="434">
        <f t="shared" ref="CE179:CE188" si="277">+BX179+CA179+CD179</f>
        <v>0.5</v>
      </c>
      <c r="CF179" s="1620" t="s">
        <v>1166</v>
      </c>
      <c r="CG179" s="1620" t="s">
        <v>1166</v>
      </c>
      <c r="CH179" s="1620" t="s">
        <v>1166</v>
      </c>
      <c r="CI179" s="406"/>
      <c r="CJ179" s="642">
        <v>0.68</v>
      </c>
      <c r="CK179" s="591" t="s">
        <v>922</v>
      </c>
      <c r="CL179" s="302" t="s">
        <v>652</v>
      </c>
      <c r="CM179" s="302" t="s">
        <v>653</v>
      </c>
      <c r="CN179" s="637">
        <v>0.6</v>
      </c>
      <c r="CO179" s="302" t="s">
        <v>508</v>
      </c>
      <c r="CP179" s="302" t="s">
        <v>546</v>
      </c>
      <c r="CQ179" s="637">
        <v>0</v>
      </c>
    </row>
    <row r="180" spans="1:95" ht="15" x14ac:dyDescent="0.2">
      <c r="A180" s="661" t="s">
        <v>248</v>
      </c>
      <c r="B180" s="440" t="s">
        <v>247</v>
      </c>
      <c r="C180" s="637">
        <v>0.4</v>
      </c>
      <c r="D180" s="440" t="s">
        <v>615</v>
      </c>
      <c r="E180" s="440" t="s">
        <v>616</v>
      </c>
      <c r="F180" s="637">
        <v>0.09</v>
      </c>
      <c r="G180" s="440" t="s">
        <v>612</v>
      </c>
      <c r="H180" s="440" t="s">
        <v>613</v>
      </c>
      <c r="I180" s="637">
        <v>0.01</v>
      </c>
      <c r="J180" s="662">
        <f t="shared" si="139"/>
        <v>0.5</v>
      </c>
      <c r="K180" s="637">
        <v>0.4</v>
      </c>
      <c r="L180" s="440" t="s">
        <v>615</v>
      </c>
      <c r="M180" s="440" t="s">
        <v>616</v>
      </c>
      <c r="N180" s="637">
        <v>0.09</v>
      </c>
      <c r="O180" s="440" t="s">
        <v>612</v>
      </c>
      <c r="P180" s="440" t="s">
        <v>613</v>
      </c>
      <c r="Q180" s="637">
        <v>0.01</v>
      </c>
      <c r="R180" s="662">
        <f t="shared" si="262"/>
        <v>0.5</v>
      </c>
      <c r="S180" s="637">
        <v>0.4</v>
      </c>
      <c r="T180" s="302" t="s">
        <v>615</v>
      </c>
      <c r="U180" s="302" t="s">
        <v>616</v>
      </c>
      <c r="V180" s="637">
        <v>0.09</v>
      </c>
      <c r="W180" s="302" t="s">
        <v>612</v>
      </c>
      <c r="X180" s="302" t="s">
        <v>613</v>
      </c>
      <c r="Y180" s="637">
        <v>0.01</v>
      </c>
      <c r="Z180" s="645">
        <f t="shared" si="263"/>
        <v>0.5</v>
      </c>
      <c r="AA180" s="637">
        <v>0.4</v>
      </c>
      <c r="AB180" s="302" t="s">
        <v>615</v>
      </c>
      <c r="AC180" s="302" t="s">
        <v>616</v>
      </c>
      <c r="AD180" s="637">
        <v>0.09</v>
      </c>
      <c r="AE180" s="302" t="s">
        <v>612</v>
      </c>
      <c r="AF180" s="302" t="s">
        <v>613</v>
      </c>
      <c r="AG180" s="637">
        <v>0.01</v>
      </c>
      <c r="AH180" s="645">
        <f t="shared" si="272"/>
        <v>0.5</v>
      </c>
      <c r="AI180" s="637">
        <v>0.4</v>
      </c>
      <c r="AJ180" s="302" t="s">
        <v>615</v>
      </c>
      <c r="AK180" s="302" t="s">
        <v>616</v>
      </c>
      <c r="AL180" s="637">
        <v>0.09</v>
      </c>
      <c r="AM180" s="302" t="s">
        <v>612</v>
      </c>
      <c r="AN180" s="302" t="s">
        <v>613</v>
      </c>
      <c r="AO180" s="637">
        <v>0.01</v>
      </c>
      <c r="AP180" s="645">
        <f t="shared" ref="AP180:AP181" si="278">+AI180+AL180+AO180</f>
        <v>0.5</v>
      </c>
      <c r="AQ180" s="637">
        <v>0.4</v>
      </c>
      <c r="AR180" s="302" t="s">
        <v>615</v>
      </c>
      <c r="AS180" s="302" t="s">
        <v>616</v>
      </c>
      <c r="AT180" s="637">
        <v>0.09</v>
      </c>
      <c r="AU180" s="302" t="s">
        <v>612</v>
      </c>
      <c r="AV180" s="302" t="s">
        <v>613</v>
      </c>
      <c r="AW180" s="637">
        <v>0.01</v>
      </c>
      <c r="AX180" s="645">
        <f t="shared" si="273"/>
        <v>0.5</v>
      </c>
      <c r="AY180" s="637">
        <v>0.375</v>
      </c>
      <c r="AZ180" s="302" t="s">
        <v>615</v>
      </c>
      <c r="BA180" s="302" t="s">
        <v>616</v>
      </c>
      <c r="BB180" s="637">
        <v>0.36499999999999999</v>
      </c>
      <c r="BC180" s="302" t="s">
        <v>612</v>
      </c>
      <c r="BD180" s="302" t="s">
        <v>613</v>
      </c>
      <c r="BE180" s="637">
        <v>0.01</v>
      </c>
      <c r="BF180" s="434">
        <f t="shared" si="274"/>
        <v>0.75</v>
      </c>
      <c r="BG180" s="587">
        <v>0.4</v>
      </c>
      <c r="BH180" s="302" t="s">
        <v>615</v>
      </c>
      <c r="BI180" s="302" t="s">
        <v>616</v>
      </c>
      <c r="BJ180" s="434">
        <v>0.09</v>
      </c>
      <c r="BK180" s="302" t="s">
        <v>612</v>
      </c>
      <c r="BL180" s="302" t="s">
        <v>613</v>
      </c>
      <c r="BM180" s="434">
        <v>0.01</v>
      </c>
      <c r="BN180" s="645">
        <f t="shared" si="275"/>
        <v>0.5</v>
      </c>
      <c r="BO180" s="434"/>
      <c r="BP180" s="434">
        <v>0.4</v>
      </c>
      <c r="BQ180" s="302" t="s">
        <v>615</v>
      </c>
      <c r="BR180" s="302" t="s">
        <v>616</v>
      </c>
      <c r="BS180" s="434">
        <v>0.09</v>
      </c>
      <c r="BT180" s="302" t="s">
        <v>612</v>
      </c>
      <c r="BU180" s="302" t="s">
        <v>613</v>
      </c>
      <c r="BV180" s="434">
        <v>0.01</v>
      </c>
      <c r="BW180" s="645">
        <f t="shared" si="276"/>
        <v>0.5</v>
      </c>
      <c r="BX180" s="434">
        <v>0.4</v>
      </c>
      <c r="BY180" s="302" t="s">
        <v>615</v>
      </c>
      <c r="BZ180" s="302" t="s">
        <v>616</v>
      </c>
      <c r="CA180" s="434">
        <v>0.09</v>
      </c>
      <c r="CB180" s="302" t="s">
        <v>612</v>
      </c>
      <c r="CC180" s="302" t="s">
        <v>613</v>
      </c>
      <c r="CD180" s="434">
        <v>0.01</v>
      </c>
      <c r="CE180" s="434">
        <f t="shared" si="277"/>
        <v>0.5</v>
      </c>
      <c r="CF180" s="1620" t="s">
        <v>862</v>
      </c>
      <c r="CG180" s="1620" t="s">
        <v>862</v>
      </c>
      <c r="CH180" s="1620" t="s">
        <v>1166</v>
      </c>
      <c r="CI180" s="406"/>
      <c r="CJ180" s="642">
        <v>0.66300000000000003</v>
      </c>
      <c r="CK180" s="591" t="s">
        <v>922</v>
      </c>
      <c r="CL180" s="302" t="s">
        <v>615</v>
      </c>
      <c r="CM180" s="302" t="s">
        <v>616</v>
      </c>
      <c r="CN180" s="637">
        <v>0.59</v>
      </c>
      <c r="CO180" s="302" t="s">
        <v>612</v>
      </c>
      <c r="CP180" s="302" t="s">
        <v>613</v>
      </c>
      <c r="CQ180" s="637">
        <v>0.01</v>
      </c>
    </row>
    <row r="181" spans="1:95" ht="15" x14ac:dyDescent="0.2">
      <c r="A181" s="1277" t="s">
        <v>2334</v>
      </c>
      <c r="B181" s="1276" t="s">
        <v>627</v>
      </c>
      <c r="C181" s="1278">
        <v>0.49</v>
      </c>
      <c r="D181" s="1276" t="s">
        <v>508</v>
      </c>
      <c r="E181" s="1276" t="s">
        <v>509</v>
      </c>
      <c r="F181" s="1278">
        <v>0</v>
      </c>
      <c r="G181" s="1276" t="s">
        <v>5865</v>
      </c>
      <c r="H181" s="1276" t="s">
        <v>5449</v>
      </c>
      <c r="I181" s="1278">
        <v>0.01</v>
      </c>
      <c r="J181" s="1279">
        <f t="shared" si="139"/>
        <v>0.5</v>
      </c>
      <c r="K181" s="637">
        <v>0.49</v>
      </c>
      <c r="L181" s="440" t="s">
        <v>508</v>
      </c>
      <c r="M181" s="440" t="s">
        <v>509</v>
      </c>
      <c r="N181" s="637">
        <v>0</v>
      </c>
      <c r="O181" s="440" t="s">
        <v>625</v>
      </c>
      <c r="P181" s="440" t="s">
        <v>626</v>
      </c>
      <c r="Q181" s="637">
        <v>0.01</v>
      </c>
      <c r="R181" s="662">
        <f t="shared" si="262"/>
        <v>0.5</v>
      </c>
      <c r="S181" s="711">
        <v>0.49</v>
      </c>
      <c r="T181" s="712" t="s">
        <v>508</v>
      </c>
      <c r="U181" s="712" t="s">
        <v>509</v>
      </c>
      <c r="V181" s="711">
        <v>0</v>
      </c>
      <c r="W181" s="712" t="s">
        <v>625</v>
      </c>
      <c r="X181" s="712" t="s">
        <v>626</v>
      </c>
      <c r="Y181" s="711">
        <v>0.01</v>
      </c>
      <c r="Z181" s="713">
        <f t="shared" si="263"/>
        <v>0.5</v>
      </c>
      <c r="AA181" s="711">
        <v>0.49</v>
      </c>
      <c r="AB181" s="712" t="s">
        <v>508</v>
      </c>
      <c r="AC181" s="712" t="s">
        <v>509</v>
      </c>
      <c r="AD181" s="711">
        <v>0</v>
      </c>
      <c r="AE181" s="712" t="s">
        <v>625</v>
      </c>
      <c r="AF181" s="712" t="s">
        <v>626</v>
      </c>
      <c r="AG181" s="711">
        <v>0.01</v>
      </c>
      <c r="AH181" s="713">
        <f t="shared" si="272"/>
        <v>0.5</v>
      </c>
      <c r="AI181" s="711">
        <v>0.49</v>
      </c>
      <c r="AJ181" s="712" t="s">
        <v>508</v>
      </c>
      <c r="AK181" s="712" t="s">
        <v>509</v>
      </c>
      <c r="AL181" s="711">
        <v>0</v>
      </c>
      <c r="AM181" s="712" t="s">
        <v>625</v>
      </c>
      <c r="AN181" s="712" t="s">
        <v>626</v>
      </c>
      <c r="AO181" s="711">
        <v>0.01</v>
      </c>
      <c r="AP181" s="713">
        <f t="shared" si="278"/>
        <v>0.5</v>
      </c>
      <c r="AQ181" s="711">
        <v>0.49</v>
      </c>
      <c r="AR181" s="712" t="s">
        <v>508</v>
      </c>
      <c r="AS181" s="712" t="s">
        <v>509</v>
      </c>
      <c r="AT181" s="711">
        <v>0</v>
      </c>
      <c r="AU181" s="712" t="s">
        <v>625</v>
      </c>
      <c r="AV181" s="712" t="s">
        <v>626</v>
      </c>
      <c r="AW181" s="711">
        <v>0.01</v>
      </c>
      <c r="AX181" s="713">
        <f t="shared" si="273"/>
        <v>0.5</v>
      </c>
      <c r="AY181" s="711">
        <v>0.74</v>
      </c>
      <c r="AZ181" s="712" t="s">
        <v>508</v>
      </c>
      <c r="BA181" s="712" t="s">
        <v>509</v>
      </c>
      <c r="BB181" s="711">
        <v>0</v>
      </c>
      <c r="BC181" s="712" t="s">
        <v>625</v>
      </c>
      <c r="BD181" s="712" t="s">
        <v>626</v>
      </c>
      <c r="BE181" s="711">
        <v>0.01</v>
      </c>
      <c r="BF181" s="713">
        <f t="shared" si="274"/>
        <v>0.75</v>
      </c>
      <c r="BG181" s="711">
        <v>0.49</v>
      </c>
      <c r="BH181" s="712" t="s">
        <v>508</v>
      </c>
      <c r="BI181" s="712" t="s">
        <v>509</v>
      </c>
      <c r="BJ181" s="711">
        <v>0</v>
      </c>
      <c r="BK181" s="712" t="s">
        <v>625</v>
      </c>
      <c r="BL181" s="712" t="s">
        <v>626</v>
      </c>
      <c r="BM181" s="711">
        <v>0.01</v>
      </c>
      <c r="BN181" s="713">
        <f t="shared" si="275"/>
        <v>0.5</v>
      </c>
      <c r="BO181" s="711"/>
      <c r="BP181" s="711">
        <v>0.49</v>
      </c>
      <c r="BQ181" s="712" t="s">
        <v>508</v>
      </c>
      <c r="BR181" s="712" t="s">
        <v>509</v>
      </c>
      <c r="BS181" s="711">
        <v>0</v>
      </c>
      <c r="BT181" s="712" t="s">
        <v>625</v>
      </c>
      <c r="BU181" s="712" t="s">
        <v>626</v>
      </c>
      <c r="BV181" s="711">
        <v>0.01</v>
      </c>
      <c r="BW181" s="713">
        <f t="shared" si="276"/>
        <v>0.5</v>
      </c>
      <c r="BX181" s="711">
        <v>0.49</v>
      </c>
      <c r="BY181" s="712" t="s">
        <v>508</v>
      </c>
      <c r="BZ181" s="712" t="s">
        <v>509</v>
      </c>
      <c r="CA181" s="711">
        <v>0</v>
      </c>
      <c r="CB181" s="712" t="s">
        <v>625</v>
      </c>
      <c r="CC181" s="712" t="s">
        <v>626</v>
      </c>
      <c r="CD181" s="711">
        <v>0.01</v>
      </c>
      <c r="CE181" s="713">
        <f t="shared" si="277"/>
        <v>0.5</v>
      </c>
      <c r="CF181" s="1620" t="s">
        <v>1166</v>
      </c>
      <c r="CG181" s="1620" t="s">
        <v>1166</v>
      </c>
      <c r="CH181" s="1620" t="s">
        <v>1166</v>
      </c>
      <c r="CI181" s="408" t="s">
        <v>862</v>
      </c>
      <c r="CJ181" s="642">
        <v>0.66</v>
      </c>
      <c r="CK181" s="591" t="s">
        <v>922</v>
      </c>
      <c r="CL181" s="302" t="s">
        <v>508</v>
      </c>
      <c r="CM181" s="302" t="s">
        <v>509</v>
      </c>
      <c r="CN181" s="637">
        <v>0</v>
      </c>
      <c r="CO181" s="302" t="s">
        <v>625</v>
      </c>
      <c r="CP181" s="302" t="s">
        <v>626</v>
      </c>
      <c r="CQ181" s="637">
        <v>0.01</v>
      </c>
    </row>
    <row r="182" spans="1:95" ht="15.75" customHeight="1" x14ac:dyDescent="0.2">
      <c r="A182" s="661" t="s">
        <v>250</v>
      </c>
      <c r="B182" s="440" t="s">
        <v>249</v>
      </c>
      <c r="C182" s="637">
        <v>0.5</v>
      </c>
      <c r="D182" s="440" t="s">
        <v>508</v>
      </c>
      <c r="E182" s="440" t="s">
        <v>509</v>
      </c>
      <c r="F182" s="637">
        <v>0</v>
      </c>
      <c r="G182" s="440" t="s">
        <v>508</v>
      </c>
      <c r="H182" s="440" t="s">
        <v>546</v>
      </c>
      <c r="I182" s="637">
        <v>0</v>
      </c>
      <c r="J182" s="662">
        <f t="shared" si="139"/>
        <v>0.5</v>
      </c>
      <c r="K182" s="637">
        <v>0.5</v>
      </c>
      <c r="L182" s="440" t="s">
        <v>508</v>
      </c>
      <c r="M182" s="440" t="s">
        <v>509</v>
      </c>
      <c r="N182" s="637">
        <v>0</v>
      </c>
      <c r="O182" s="440" t="s">
        <v>508</v>
      </c>
      <c r="P182" s="440" t="s">
        <v>546</v>
      </c>
      <c r="Q182" s="637">
        <v>0</v>
      </c>
      <c r="R182" s="662">
        <f t="shared" si="262"/>
        <v>0.5</v>
      </c>
      <c r="S182" s="637">
        <v>0.5</v>
      </c>
      <c r="T182" s="302" t="s">
        <v>508</v>
      </c>
      <c r="U182" s="302" t="s">
        <v>509</v>
      </c>
      <c r="V182" s="637">
        <v>0</v>
      </c>
      <c r="W182" s="302" t="s">
        <v>508</v>
      </c>
      <c r="X182" s="302" t="s">
        <v>546</v>
      </c>
      <c r="Y182" s="637">
        <v>0</v>
      </c>
      <c r="Z182" s="645">
        <f t="shared" si="263"/>
        <v>0.5</v>
      </c>
      <c r="AA182" s="637">
        <v>0.5</v>
      </c>
      <c r="AB182" s="302" t="s">
        <v>508</v>
      </c>
      <c r="AC182" s="302" t="s">
        <v>509</v>
      </c>
      <c r="AD182" s="637">
        <v>0</v>
      </c>
      <c r="AE182" s="302" t="s">
        <v>508</v>
      </c>
      <c r="AF182" s="302" t="s">
        <v>546</v>
      </c>
      <c r="AG182" s="637">
        <v>0</v>
      </c>
      <c r="AH182" s="645">
        <f t="shared" si="272"/>
        <v>0.5</v>
      </c>
      <c r="AI182" s="637">
        <v>0.5</v>
      </c>
      <c r="AJ182" s="302" t="s">
        <v>508</v>
      </c>
      <c r="AK182" s="302" t="s">
        <v>509</v>
      </c>
      <c r="AL182" s="637">
        <v>0</v>
      </c>
      <c r="AM182" s="302" t="s">
        <v>508</v>
      </c>
      <c r="AN182" s="302" t="s">
        <v>546</v>
      </c>
      <c r="AO182" s="637">
        <v>0</v>
      </c>
      <c r="AP182" s="645">
        <f t="shared" ref="AP182:AP183" si="279">+AI182+AL182+AO182</f>
        <v>0.5</v>
      </c>
      <c r="AQ182" s="637">
        <v>0.5</v>
      </c>
      <c r="AR182" s="302" t="s">
        <v>508</v>
      </c>
      <c r="AS182" s="302" t="s">
        <v>509</v>
      </c>
      <c r="AT182" s="637">
        <v>0</v>
      </c>
      <c r="AU182" s="302" t="s">
        <v>508</v>
      </c>
      <c r="AV182" s="302" t="s">
        <v>546</v>
      </c>
      <c r="AW182" s="637">
        <v>0</v>
      </c>
      <c r="AX182" s="645">
        <f t="shared" si="273"/>
        <v>0.5</v>
      </c>
      <c r="AY182" s="637">
        <v>0.75</v>
      </c>
      <c r="AZ182" s="302" t="s">
        <v>508</v>
      </c>
      <c r="BA182" s="302" t="s">
        <v>509</v>
      </c>
      <c r="BB182" s="637">
        <v>0</v>
      </c>
      <c r="BC182" s="302" t="s">
        <v>508</v>
      </c>
      <c r="BD182" s="302" t="s">
        <v>546</v>
      </c>
      <c r="BE182" s="637">
        <v>0</v>
      </c>
      <c r="BF182" s="434">
        <f t="shared" si="274"/>
        <v>0.75</v>
      </c>
      <c r="BG182" s="587">
        <v>0.5</v>
      </c>
      <c r="BH182" s="302" t="s">
        <v>508</v>
      </c>
      <c r="BI182" s="302" t="s">
        <v>509</v>
      </c>
      <c r="BJ182" s="434">
        <v>0</v>
      </c>
      <c r="BK182" s="302" t="s">
        <v>508</v>
      </c>
      <c r="BL182" s="302" t="s">
        <v>546</v>
      </c>
      <c r="BM182" s="434">
        <v>0</v>
      </c>
      <c r="BN182" s="645">
        <f t="shared" si="275"/>
        <v>0.5</v>
      </c>
      <c r="BO182" s="434"/>
      <c r="BP182" s="434">
        <v>0.5</v>
      </c>
      <c r="BQ182" s="302" t="s">
        <v>508</v>
      </c>
      <c r="BR182" s="302" t="s">
        <v>509</v>
      </c>
      <c r="BS182" s="434">
        <v>0</v>
      </c>
      <c r="BT182" s="302" t="s">
        <v>508</v>
      </c>
      <c r="BU182" s="302" t="s">
        <v>546</v>
      </c>
      <c r="BV182" s="434">
        <v>0</v>
      </c>
      <c r="BW182" s="645">
        <f t="shared" si="276"/>
        <v>0.5</v>
      </c>
      <c r="BX182" s="434">
        <v>0.5</v>
      </c>
      <c r="BY182" s="302" t="s">
        <v>508</v>
      </c>
      <c r="BZ182" s="302" t="s">
        <v>509</v>
      </c>
      <c r="CA182" s="434">
        <v>0</v>
      </c>
      <c r="CB182" s="302" t="s">
        <v>508</v>
      </c>
      <c r="CC182" s="302" t="s">
        <v>546</v>
      </c>
      <c r="CD182" s="434">
        <v>0</v>
      </c>
      <c r="CE182" s="434">
        <f t="shared" si="277"/>
        <v>0.5</v>
      </c>
      <c r="CF182" s="1620" t="s">
        <v>862</v>
      </c>
      <c r="CG182" s="1620" t="s">
        <v>1166</v>
      </c>
      <c r="CH182" s="1620" t="s">
        <v>862</v>
      </c>
      <c r="CI182" s="408" t="s">
        <v>862</v>
      </c>
      <c r="CJ182" s="642">
        <v>0.65700000000000003</v>
      </c>
      <c r="CK182" s="591" t="s">
        <v>922</v>
      </c>
      <c r="CL182" s="302" t="s">
        <v>508</v>
      </c>
      <c r="CM182" s="302" t="s">
        <v>509</v>
      </c>
      <c r="CN182" s="637">
        <v>0</v>
      </c>
      <c r="CO182" s="302" t="s">
        <v>508</v>
      </c>
      <c r="CP182" s="302" t="s">
        <v>546</v>
      </c>
      <c r="CQ182" s="637">
        <v>0</v>
      </c>
    </row>
    <row r="183" spans="1:95" ht="15" x14ac:dyDescent="0.2">
      <c r="A183" s="661" t="s">
        <v>252</v>
      </c>
      <c r="B183" s="440" t="s">
        <v>251</v>
      </c>
      <c r="C183" s="637">
        <v>0.4</v>
      </c>
      <c r="D183" s="440" t="s">
        <v>621</v>
      </c>
      <c r="E183" s="440" t="s">
        <v>622</v>
      </c>
      <c r="F183" s="637">
        <v>0.1</v>
      </c>
      <c r="G183" s="440" t="s">
        <v>508</v>
      </c>
      <c r="H183" s="440" t="s">
        <v>546</v>
      </c>
      <c r="I183" s="637">
        <v>0</v>
      </c>
      <c r="J183" s="662">
        <f t="shared" si="139"/>
        <v>0.5</v>
      </c>
      <c r="K183" s="637">
        <v>0.4</v>
      </c>
      <c r="L183" s="440" t="s">
        <v>621</v>
      </c>
      <c r="M183" s="440" t="s">
        <v>622</v>
      </c>
      <c r="N183" s="637">
        <v>0.1</v>
      </c>
      <c r="O183" s="440" t="s">
        <v>508</v>
      </c>
      <c r="P183" s="440" t="s">
        <v>546</v>
      </c>
      <c r="Q183" s="637">
        <v>0</v>
      </c>
      <c r="R183" s="662">
        <f t="shared" si="262"/>
        <v>0.5</v>
      </c>
      <c r="S183" s="637">
        <v>0.4</v>
      </c>
      <c r="T183" s="302" t="s">
        <v>621</v>
      </c>
      <c r="U183" s="302" t="s">
        <v>622</v>
      </c>
      <c r="V183" s="637">
        <v>0.1</v>
      </c>
      <c r="W183" s="302" t="s">
        <v>508</v>
      </c>
      <c r="X183" s="302" t="s">
        <v>546</v>
      </c>
      <c r="Y183" s="637">
        <v>0</v>
      </c>
      <c r="Z183" s="645">
        <f t="shared" si="263"/>
        <v>0.5</v>
      </c>
      <c r="AA183" s="637">
        <v>0.4</v>
      </c>
      <c r="AB183" s="302" t="s">
        <v>621</v>
      </c>
      <c r="AC183" s="302" t="s">
        <v>622</v>
      </c>
      <c r="AD183" s="637">
        <v>0.1</v>
      </c>
      <c r="AE183" s="302" t="s">
        <v>508</v>
      </c>
      <c r="AF183" s="302" t="s">
        <v>546</v>
      </c>
      <c r="AG183" s="637">
        <v>0</v>
      </c>
      <c r="AH183" s="645">
        <f t="shared" si="272"/>
        <v>0.5</v>
      </c>
      <c r="AI183" s="637">
        <v>0.4</v>
      </c>
      <c r="AJ183" s="302" t="s">
        <v>621</v>
      </c>
      <c r="AK183" s="302" t="s">
        <v>622</v>
      </c>
      <c r="AL183" s="637">
        <v>0.1</v>
      </c>
      <c r="AM183" s="302" t="s">
        <v>508</v>
      </c>
      <c r="AN183" s="302" t="s">
        <v>546</v>
      </c>
      <c r="AO183" s="637">
        <v>0</v>
      </c>
      <c r="AP183" s="645">
        <f t="shared" si="279"/>
        <v>0.5</v>
      </c>
      <c r="AQ183" s="637">
        <v>0.4</v>
      </c>
      <c r="AR183" s="302" t="s">
        <v>621</v>
      </c>
      <c r="AS183" s="302" t="s">
        <v>622</v>
      </c>
      <c r="AT183" s="637">
        <v>0.1</v>
      </c>
      <c r="AU183" s="302" t="s">
        <v>508</v>
      </c>
      <c r="AV183" s="302" t="s">
        <v>546</v>
      </c>
      <c r="AW183" s="637">
        <v>0</v>
      </c>
      <c r="AX183" s="645">
        <f t="shared" si="273"/>
        <v>0.5</v>
      </c>
      <c r="AY183" s="637">
        <v>0.42499999999999999</v>
      </c>
      <c r="AZ183" s="302" t="s">
        <v>621</v>
      </c>
      <c r="BA183" s="302" t="s">
        <v>622</v>
      </c>
      <c r="BB183" s="637">
        <v>0.32500000000000001</v>
      </c>
      <c r="BC183" s="302" t="s">
        <v>508</v>
      </c>
      <c r="BD183" s="302" t="s">
        <v>546</v>
      </c>
      <c r="BE183" s="637">
        <v>0</v>
      </c>
      <c r="BF183" s="434">
        <f t="shared" si="274"/>
        <v>0.75</v>
      </c>
      <c r="BG183" s="587">
        <v>0.4</v>
      </c>
      <c r="BH183" s="302" t="s">
        <v>621</v>
      </c>
      <c r="BI183" s="302" t="s">
        <v>622</v>
      </c>
      <c r="BJ183" s="434">
        <v>0.1</v>
      </c>
      <c r="BK183" s="302" t="s">
        <v>508</v>
      </c>
      <c r="BL183" s="302" t="s">
        <v>546</v>
      </c>
      <c r="BM183" s="434">
        <v>0</v>
      </c>
      <c r="BN183" s="645">
        <f t="shared" si="275"/>
        <v>0.5</v>
      </c>
      <c r="BO183" s="434"/>
      <c r="BP183" s="434">
        <v>0.4</v>
      </c>
      <c r="BQ183" s="302" t="s">
        <v>621</v>
      </c>
      <c r="BR183" s="302" t="s">
        <v>622</v>
      </c>
      <c r="BS183" s="434">
        <v>0.1</v>
      </c>
      <c r="BT183" s="302" t="s">
        <v>508</v>
      </c>
      <c r="BU183" s="302" t="s">
        <v>546</v>
      </c>
      <c r="BV183" s="434">
        <v>0</v>
      </c>
      <c r="BW183" s="645">
        <f t="shared" si="276"/>
        <v>0.5</v>
      </c>
      <c r="BX183" s="434">
        <v>0.4</v>
      </c>
      <c r="BY183" s="302" t="s">
        <v>621</v>
      </c>
      <c r="BZ183" s="302" t="s">
        <v>622</v>
      </c>
      <c r="CA183" s="434">
        <v>0.1</v>
      </c>
      <c r="CB183" s="302" t="s">
        <v>508</v>
      </c>
      <c r="CC183" s="302" t="s">
        <v>546</v>
      </c>
      <c r="CD183" s="434">
        <v>0</v>
      </c>
      <c r="CE183" s="434">
        <f t="shared" si="277"/>
        <v>0.5</v>
      </c>
      <c r="CF183" s="1620" t="s">
        <v>1166</v>
      </c>
      <c r="CG183" s="1620" t="s">
        <v>1166</v>
      </c>
      <c r="CH183" s="1620" t="s">
        <v>1166</v>
      </c>
      <c r="CI183" s="406"/>
      <c r="CJ183" s="642">
        <v>0.69799999999999995</v>
      </c>
      <c r="CK183" s="591" t="s">
        <v>922</v>
      </c>
      <c r="CL183" s="302" t="s">
        <v>621</v>
      </c>
      <c r="CM183" s="302" t="s">
        <v>622</v>
      </c>
      <c r="CN183" s="637">
        <v>0.6</v>
      </c>
      <c r="CO183" s="302" t="s">
        <v>508</v>
      </c>
      <c r="CP183" s="302" t="s">
        <v>546</v>
      </c>
      <c r="CQ183" s="637">
        <v>0</v>
      </c>
    </row>
    <row r="184" spans="1:95" ht="15.75" customHeight="1" x14ac:dyDescent="0.2">
      <c r="A184" s="661" t="s">
        <v>254</v>
      </c>
      <c r="B184" s="440" t="s">
        <v>630</v>
      </c>
      <c r="C184" s="637">
        <v>0.49</v>
      </c>
      <c r="D184" s="440" t="s">
        <v>508</v>
      </c>
      <c r="E184" s="440" t="s">
        <v>509</v>
      </c>
      <c r="F184" s="637">
        <v>0</v>
      </c>
      <c r="G184" s="440" t="s">
        <v>631</v>
      </c>
      <c r="H184" s="440" t="s">
        <v>632</v>
      </c>
      <c r="I184" s="637">
        <v>0.01</v>
      </c>
      <c r="J184" s="662">
        <f t="shared" si="139"/>
        <v>0.5</v>
      </c>
      <c r="K184" s="637">
        <v>0.49</v>
      </c>
      <c r="L184" s="440" t="s">
        <v>508</v>
      </c>
      <c r="M184" s="440" t="s">
        <v>509</v>
      </c>
      <c r="N184" s="637">
        <v>0</v>
      </c>
      <c r="O184" s="440" t="s">
        <v>631</v>
      </c>
      <c r="P184" s="440" t="s">
        <v>632</v>
      </c>
      <c r="Q184" s="637">
        <v>0.01</v>
      </c>
      <c r="R184" s="662">
        <f t="shared" si="262"/>
        <v>0.5</v>
      </c>
      <c r="S184" s="637">
        <v>0.49</v>
      </c>
      <c r="T184" s="302" t="s">
        <v>508</v>
      </c>
      <c r="U184" s="302" t="s">
        <v>509</v>
      </c>
      <c r="V184" s="637">
        <v>0</v>
      </c>
      <c r="W184" s="302" t="s">
        <v>631</v>
      </c>
      <c r="X184" s="302" t="s">
        <v>632</v>
      </c>
      <c r="Y184" s="637">
        <v>0.01</v>
      </c>
      <c r="Z184" s="645">
        <f t="shared" si="263"/>
        <v>0.5</v>
      </c>
      <c r="AA184" s="637">
        <v>0.49</v>
      </c>
      <c r="AB184" s="302" t="s">
        <v>508</v>
      </c>
      <c r="AC184" s="302" t="s">
        <v>509</v>
      </c>
      <c r="AD184" s="637">
        <v>0</v>
      </c>
      <c r="AE184" s="302" t="s">
        <v>631</v>
      </c>
      <c r="AF184" s="302" t="s">
        <v>632</v>
      </c>
      <c r="AG184" s="637">
        <v>0.01</v>
      </c>
      <c r="AH184" s="645">
        <f t="shared" si="272"/>
        <v>0.5</v>
      </c>
      <c r="AI184" s="637">
        <v>0.49</v>
      </c>
      <c r="AJ184" s="302" t="s">
        <v>508</v>
      </c>
      <c r="AK184" s="302" t="s">
        <v>509</v>
      </c>
      <c r="AL184" s="637">
        <v>0</v>
      </c>
      <c r="AM184" s="302" t="s">
        <v>631</v>
      </c>
      <c r="AN184" s="302" t="s">
        <v>632</v>
      </c>
      <c r="AO184" s="637">
        <v>0.01</v>
      </c>
      <c r="AP184" s="645">
        <f t="shared" ref="AP184:AP192" si="280">+AI184+AL184+AO184</f>
        <v>0.5</v>
      </c>
      <c r="AQ184" s="637">
        <v>0.49</v>
      </c>
      <c r="AR184" s="302" t="s">
        <v>508</v>
      </c>
      <c r="AS184" s="302" t="s">
        <v>509</v>
      </c>
      <c r="AT184" s="637">
        <v>0</v>
      </c>
      <c r="AU184" s="302" t="s">
        <v>631</v>
      </c>
      <c r="AV184" s="302" t="s">
        <v>632</v>
      </c>
      <c r="AW184" s="637">
        <v>0.01</v>
      </c>
      <c r="AX184" s="645">
        <f t="shared" si="273"/>
        <v>0.5</v>
      </c>
      <c r="AY184" s="637">
        <v>0.49</v>
      </c>
      <c r="AZ184" s="302" t="s">
        <v>508</v>
      </c>
      <c r="BA184" s="302" t="s">
        <v>509</v>
      </c>
      <c r="BB184" s="637">
        <v>0</v>
      </c>
      <c r="BC184" s="302" t="s">
        <v>631</v>
      </c>
      <c r="BD184" s="302" t="s">
        <v>632</v>
      </c>
      <c r="BE184" s="637">
        <v>0.01</v>
      </c>
      <c r="BF184" s="434">
        <f t="shared" si="274"/>
        <v>0.5</v>
      </c>
      <c r="BG184" s="587">
        <v>0.49</v>
      </c>
      <c r="BH184" s="302" t="s">
        <v>508</v>
      </c>
      <c r="BI184" s="302" t="s">
        <v>509</v>
      </c>
      <c r="BJ184" s="434">
        <v>0</v>
      </c>
      <c r="BK184" s="302" t="s">
        <v>631</v>
      </c>
      <c r="BL184" s="302" t="s">
        <v>632</v>
      </c>
      <c r="BM184" s="434">
        <v>0.01</v>
      </c>
      <c r="BN184" s="645">
        <f t="shared" si="275"/>
        <v>0.5</v>
      </c>
      <c r="BO184" s="434"/>
      <c r="BP184" s="434">
        <v>0.49</v>
      </c>
      <c r="BQ184" s="302" t="s">
        <v>508</v>
      </c>
      <c r="BR184" s="302" t="s">
        <v>509</v>
      </c>
      <c r="BS184" s="434">
        <v>0</v>
      </c>
      <c r="BT184" s="302" t="s">
        <v>631</v>
      </c>
      <c r="BU184" s="302" t="s">
        <v>632</v>
      </c>
      <c r="BV184" s="434">
        <v>0.01</v>
      </c>
      <c r="BW184" s="645">
        <f t="shared" si="276"/>
        <v>0.5</v>
      </c>
      <c r="BX184" s="434">
        <v>0.49</v>
      </c>
      <c r="BY184" s="302" t="s">
        <v>508</v>
      </c>
      <c r="BZ184" s="302" t="s">
        <v>509</v>
      </c>
      <c r="CA184" s="434">
        <v>0</v>
      </c>
      <c r="CB184" s="302" t="s">
        <v>631</v>
      </c>
      <c r="CC184" s="302" t="s">
        <v>632</v>
      </c>
      <c r="CD184" s="434">
        <v>0.01</v>
      </c>
      <c r="CE184" s="434">
        <f t="shared" si="277"/>
        <v>0.5</v>
      </c>
      <c r="CF184" s="1620" t="s">
        <v>862</v>
      </c>
      <c r="CG184" s="1620" t="s">
        <v>1166</v>
      </c>
      <c r="CH184" s="1620" t="s">
        <v>1166</v>
      </c>
      <c r="CI184" s="408" t="s">
        <v>862</v>
      </c>
      <c r="CJ184" s="642">
        <v>0.67100000000000004</v>
      </c>
      <c r="CK184" s="591" t="s">
        <v>922</v>
      </c>
      <c r="CL184" s="302" t="s">
        <v>508</v>
      </c>
      <c r="CM184" s="302" t="s">
        <v>509</v>
      </c>
      <c r="CN184" s="637">
        <v>0</v>
      </c>
      <c r="CO184" s="302" t="s">
        <v>631</v>
      </c>
      <c r="CP184" s="302" t="s">
        <v>632</v>
      </c>
      <c r="CQ184" s="637">
        <v>0.01</v>
      </c>
    </row>
    <row r="185" spans="1:95" ht="15.75" customHeight="1" x14ac:dyDescent="0.2">
      <c r="A185" s="661" t="s">
        <v>256</v>
      </c>
      <c r="B185" s="440" t="s">
        <v>654</v>
      </c>
      <c r="C185" s="637">
        <v>0.4</v>
      </c>
      <c r="D185" s="440" t="s">
        <v>652</v>
      </c>
      <c r="E185" s="440" t="s">
        <v>653</v>
      </c>
      <c r="F185" s="637">
        <v>0.1</v>
      </c>
      <c r="G185" s="440" t="s">
        <v>508</v>
      </c>
      <c r="H185" s="440" t="s">
        <v>546</v>
      </c>
      <c r="I185" s="637">
        <v>0</v>
      </c>
      <c r="J185" s="662">
        <f t="shared" si="139"/>
        <v>0.5</v>
      </c>
      <c r="K185" s="637">
        <v>0.4</v>
      </c>
      <c r="L185" s="440" t="s">
        <v>652</v>
      </c>
      <c r="M185" s="440" t="s">
        <v>653</v>
      </c>
      <c r="N185" s="637">
        <v>0.1</v>
      </c>
      <c r="O185" s="440" t="s">
        <v>508</v>
      </c>
      <c r="P185" s="440" t="s">
        <v>546</v>
      </c>
      <c r="Q185" s="637">
        <v>0</v>
      </c>
      <c r="R185" s="662">
        <f t="shared" si="262"/>
        <v>0.5</v>
      </c>
      <c r="S185" s="637">
        <v>0.4</v>
      </c>
      <c r="T185" s="302" t="s">
        <v>652</v>
      </c>
      <c r="U185" s="302" t="s">
        <v>653</v>
      </c>
      <c r="V185" s="637">
        <v>0.1</v>
      </c>
      <c r="W185" s="302" t="s">
        <v>508</v>
      </c>
      <c r="X185" s="302" t="s">
        <v>546</v>
      </c>
      <c r="Y185" s="637">
        <v>0</v>
      </c>
      <c r="Z185" s="645">
        <f t="shared" si="263"/>
        <v>0.5</v>
      </c>
      <c r="AA185" s="637">
        <v>0.4</v>
      </c>
      <c r="AB185" s="302" t="s">
        <v>652</v>
      </c>
      <c r="AC185" s="302" t="s">
        <v>653</v>
      </c>
      <c r="AD185" s="637">
        <v>0.1</v>
      </c>
      <c r="AE185" s="302" t="s">
        <v>508</v>
      </c>
      <c r="AF185" s="302" t="s">
        <v>546</v>
      </c>
      <c r="AG185" s="637">
        <v>0</v>
      </c>
      <c r="AH185" s="645">
        <f t="shared" si="272"/>
        <v>0.5</v>
      </c>
      <c r="AI185" s="637">
        <v>0.4</v>
      </c>
      <c r="AJ185" s="302" t="s">
        <v>652</v>
      </c>
      <c r="AK185" s="302" t="s">
        <v>653</v>
      </c>
      <c r="AL185" s="637">
        <v>0.1</v>
      </c>
      <c r="AM185" s="302" t="s">
        <v>508</v>
      </c>
      <c r="AN185" s="302" t="s">
        <v>546</v>
      </c>
      <c r="AO185" s="637">
        <v>0</v>
      </c>
      <c r="AP185" s="645">
        <f t="shared" si="280"/>
        <v>0.5</v>
      </c>
      <c r="AQ185" s="637">
        <v>0.4</v>
      </c>
      <c r="AR185" s="302" t="s">
        <v>652</v>
      </c>
      <c r="AS185" s="302" t="s">
        <v>653</v>
      </c>
      <c r="AT185" s="637">
        <v>0.1</v>
      </c>
      <c r="AU185" s="302" t="s">
        <v>508</v>
      </c>
      <c r="AV185" s="302" t="s">
        <v>546</v>
      </c>
      <c r="AW185" s="637">
        <v>0</v>
      </c>
      <c r="AX185" s="645">
        <f t="shared" si="273"/>
        <v>0.5</v>
      </c>
      <c r="AY185" s="637">
        <v>0.4</v>
      </c>
      <c r="AZ185" s="302" t="s">
        <v>652</v>
      </c>
      <c r="BA185" s="302" t="s">
        <v>653</v>
      </c>
      <c r="BB185" s="637">
        <v>0.1</v>
      </c>
      <c r="BC185" s="302" t="s">
        <v>508</v>
      </c>
      <c r="BD185" s="302" t="s">
        <v>546</v>
      </c>
      <c r="BE185" s="637">
        <v>0</v>
      </c>
      <c r="BF185" s="434">
        <f t="shared" si="274"/>
        <v>0.5</v>
      </c>
      <c r="BG185" s="587">
        <v>0.4</v>
      </c>
      <c r="BH185" s="302" t="s">
        <v>652</v>
      </c>
      <c r="BI185" s="302" t="s">
        <v>653</v>
      </c>
      <c r="BJ185" s="434">
        <v>0.1</v>
      </c>
      <c r="BK185" s="302" t="s">
        <v>508</v>
      </c>
      <c r="BL185" s="302" t="s">
        <v>546</v>
      </c>
      <c r="BM185" s="434">
        <v>0</v>
      </c>
      <c r="BN185" s="645">
        <f t="shared" si="275"/>
        <v>0.5</v>
      </c>
      <c r="BO185" s="434"/>
      <c r="BP185" s="434">
        <v>0.4</v>
      </c>
      <c r="BQ185" s="302" t="s">
        <v>652</v>
      </c>
      <c r="BR185" s="302" t="s">
        <v>653</v>
      </c>
      <c r="BS185" s="434">
        <v>0.1</v>
      </c>
      <c r="BT185" s="302" t="s">
        <v>508</v>
      </c>
      <c r="BU185" s="302" t="s">
        <v>546</v>
      </c>
      <c r="BV185" s="434">
        <v>0</v>
      </c>
      <c r="BW185" s="645">
        <f t="shared" si="276"/>
        <v>0.5</v>
      </c>
      <c r="BX185" s="434">
        <v>0.4</v>
      </c>
      <c r="BY185" s="302" t="s">
        <v>652</v>
      </c>
      <c r="BZ185" s="302" t="s">
        <v>653</v>
      </c>
      <c r="CA185" s="434">
        <v>0.1</v>
      </c>
      <c r="CB185" s="302" t="s">
        <v>508</v>
      </c>
      <c r="CC185" s="302" t="s">
        <v>546</v>
      </c>
      <c r="CD185" s="434">
        <v>0</v>
      </c>
      <c r="CE185" s="434">
        <f t="shared" si="277"/>
        <v>0.5</v>
      </c>
      <c r="CF185" s="1620" t="s">
        <v>1166</v>
      </c>
      <c r="CG185" s="1620" t="s">
        <v>1166</v>
      </c>
      <c r="CH185" s="1620" t="s">
        <v>1166</v>
      </c>
      <c r="CI185" s="406"/>
      <c r="CJ185" s="642">
        <v>0.69799999999999995</v>
      </c>
      <c r="CK185" s="591" t="s">
        <v>922</v>
      </c>
      <c r="CL185" s="302" t="s">
        <v>652</v>
      </c>
      <c r="CM185" s="302" t="s">
        <v>653</v>
      </c>
      <c r="CN185" s="637">
        <v>0.6</v>
      </c>
      <c r="CO185" s="302" t="s">
        <v>508</v>
      </c>
      <c r="CP185" s="302" t="s">
        <v>546</v>
      </c>
      <c r="CQ185" s="637">
        <v>0</v>
      </c>
    </row>
    <row r="186" spans="1:95" ht="15.75" customHeight="1" x14ac:dyDescent="0.2">
      <c r="A186" s="661" t="s">
        <v>258</v>
      </c>
      <c r="B186" s="440" t="s">
        <v>618</v>
      </c>
      <c r="C186" s="637">
        <v>0.4</v>
      </c>
      <c r="D186" s="440" t="s">
        <v>615</v>
      </c>
      <c r="E186" s="440" t="s">
        <v>616</v>
      </c>
      <c r="F186" s="637">
        <v>0.09</v>
      </c>
      <c r="G186" s="440" t="s">
        <v>612</v>
      </c>
      <c r="H186" s="440" t="s">
        <v>613</v>
      </c>
      <c r="I186" s="637">
        <v>0.01</v>
      </c>
      <c r="J186" s="662">
        <f t="shared" si="139"/>
        <v>0.5</v>
      </c>
      <c r="K186" s="637">
        <v>0.4</v>
      </c>
      <c r="L186" s="440" t="s">
        <v>615</v>
      </c>
      <c r="M186" s="440" t="s">
        <v>616</v>
      </c>
      <c r="N186" s="637">
        <v>0.09</v>
      </c>
      <c r="O186" s="440" t="s">
        <v>612</v>
      </c>
      <c r="P186" s="440" t="s">
        <v>613</v>
      </c>
      <c r="Q186" s="637">
        <v>0.01</v>
      </c>
      <c r="R186" s="662">
        <f t="shared" si="262"/>
        <v>0.5</v>
      </c>
      <c r="S186" s="637">
        <v>0.4</v>
      </c>
      <c r="T186" s="302" t="s">
        <v>615</v>
      </c>
      <c r="U186" s="302" t="s">
        <v>616</v>
      </c>
      <c r="V186" s="637">
        <v>0.09</v>
      </c>
      <c r="W186" s="302" t="s">
        <v>612</v>
      </c>
      <c r="X186" s="302" t="s">
        <v>613</v>
      </c>
      <c r="Y186" s="637">
        <v>0.01</v>
      </c>
      <c r="Z186" s="645">
        <f t="shared" si="263"/>
        <v>0.5</v>
      </c>
      <c r="AA186" s="637">
        <v>0.4</v>
      </c>
      <c r="AB186" s="302" t="s">
        <v>615</v>
      </c>
      <c r="AC186" s="302" t="s">
        <v>616</v>
      </c>
      <c r="AD186" s="637">
        <v>0.09</v>
      </c>
      <c r="AE186" s="302" t="s">
        <v>612</v>
      </c>
      <c r="AF186" s="302" t="s">
        <v>613</v>
      </c>
      <c r="AG186" s="637">
        <v>0.01</v>
      </c>
      <c r="AH186" s="645">
        <f t="shared" ref="AH186:AH192" si="281">+AA186+AD186+AG186</f>
        <v>0.5</v>
      </c>
      <c r="AI186" s="637">
        <v>0.4</v>
      </c>
      <c r="AJ186" s="302" t="s">
        <v>615</v>
      </c>
      <c r="AK186" s="302" t="s">
        <v>616</v>
      </c>
      <c r="AL186" s="637">
        <v>0.09</v>
      </c>
      <c r="AM186" s="302" t="s">
        <v>612</v>
      </c>
      <c r="AN186" s="302" t="s">
        <v>613</v>
      </c>
      <c r="AO186" s="637">
        <v>0.01</v>
      </c>
      <c r="AP186" s="645">
        <f t="shared" si="280"/>
        <v>0.5</v>
      </c>
      <c r="AQ186" s="637">
        <v>0.4</v>
      </c>
      <c r="AR186" s="302" t="s">
        <v>615</v>
      </c>
      <c r="AS186" s="302" t="s">
        <v>616</v>
      </c>
      <c r="AT186" s="637">
        <v>0.09</v>
      </c>
      <c r="AU186" s="302" t="s">
        <v>612</v>
      </c>
      <c r="AV186" s="302" t="s">
        <v>613</v>
      </c>
      <c r="AW186" s="637">
        <v>0.01</v>
      </c>
      <c r="AX186" s="645">
        <f t="shared" si="273"/>
        <v>0.5</v>
      </c>
      <c r="AY186" s="637">
        <v>0.375</v>
      </c>
      <c r="AZ186" s="302" t="s">
        <v>615</v>
      </c>
      <c r="BA186" s="302" t="s">
        <v>616</v>
      </c>
      <c r="BB186" s="637">
        <v>0.36499999999999999</v>
      </c>
      <c r="BC186" s="302" t="s">
        <v>612</v>
      </c>
      <c r="BD186" s="302" t="s">
        <v>613</v>
      </c>
      <c r="BE186" s="637">
        <v>0.01</v>
      </c>
      <c r="BF186" s="434">
        <f t="shared" si="274"/>
        <v>0.75</v>
      </c>
      <c r="BG186" s="587">
        <v>0.4</v>
      </c>
      <c r="BH186" s="302" t="s">
        <v>615</v>
      </c>
      <c r="BI186" s="302" t="s">
        <v>616</v>
      </c>
      <c r="BJ186" s="434">
        <v>0.09</v>
      </c>
      <c r="BK186" s="302" t="s">
        <v>612</v>
      </c>
      <c r="BL186" s="302" t="s">
        <v>613</v>
      </c>
      <c r="BM186" s="434">
        <v>0.01</v>
      </c>
      <c r="BN186" s="645">
        <f t="shared" si="275"/>
        <v>0.5</v>
      </c>
      <c r="BO186" s="434"/>
      <c r="BP186" s="434">
        <v>0.4</v>
      </c>
      <c r="BQ186" s="302" t="s">
        <v>615</v>
      </c>
      <c r="BR186" s="302" t="s">
        <v>616</v>
      </c>
      <c r="BS186" s="434">
        <v>0.09</v>
      </c>
      <c r="BT186" s="302" t="s">
        <v>612</v>
      </c>
      <c r="BU186" s="302" t="s">
        <v>613</v>
      </c>
      <c r="BV186" s="434">
        <v>0.01</v>
      </c>
      <c r="BW186" s="645">
        <f t="shared" si="276"/>
        <v>0.5</v>
      </c>
      <c r="BX186" s="434">
        <v>0.4</v>
      </c>
      <c r="BY186" s="302" t="s">
        <v>615</v>
      </c>
      <c r="BZ186" s="302" t="s">
        <v>616</v>
      </c>
      <c r="CA186" s="434">
        <v>0.09</v>
      </c>
      <c r="CB186" s="302" t="s">
        <v>612</v>
      </c>
      <c r="CC186" s="302" t="s">
        <v>613</v>
      </c>
      <c r="CD186" s="434">
        <v>0.01</v>
      </c>
      <c r="CE186" s="434">
        <f t="shared" si="277"/>
        <v>0.5</v>
      </c>
      <c r="CF186" s="1620" t="s">
        <v>1166</v>
      </c>
      <c r="CG186" s="1620" t="s">
        <v>1166</v>
      </c>
      <c r="CH186" s="1620" t="s">
        <v>1166</v>
      </c>
      <c r="CI186" s="406"/>
      <c r="CJ186" s="642">
        <v>0.71699999999999997</v>
      </c>
      <c r="CK186" s="591" t="s">
        <v>922</v>
      </c>
      <c r="CL186" s="302" t="s">
        <v>615</v>
      </c>
      <c r="CM186" s="302" t="s">
        <v>616</v>
      </c>
      <c r="CN186" s="637">
        <v>0.59</v>
      </c>
      <c r="CO186" s="302" t="s">
        <v>612</v>
      </c>
      <c r="CP186" s="302" t="s">
        <v>613</v>
      </c>
      <c r="CQ186" s="637">
        <v>0.01</v>
      </c>
    </row>
    <row r="187" spans="1:95" ht="15.75" customHeight="1" x14ac:dyDescent="0.2">
      <c r="A187" s="661" t="s">
        <v>260</v>
      </c>
      <c r="B187" s="440" t="s">
        <v>259</v>
      </c>
      <c r="C187" s="637">
        <v>0.99</v>
      </c>
      <c r="D187" s="440" t="s">
        <v>508</v>
      </c>
      <c r="E187" s="440" t="s">
        <v>660</v>
      </c>
      <c r="F187" s="637">
        <v>0</v>
      </c>
      <c r="G187" s="440" t="s">
        <v>1281</v>
      </c>
      <c r="H187" s="440" t="s">
        <v>1199</v>
      </c>
      <c r="I187" s="637">
        <v>0.01</v>
      </c>
      <c r="J187" s="662">
        <f t="shared" si="139"/>
        <v>1</v>
      </c>
      <c r="K187" s="637">
        <v>0.99</v>
      </c>
      <c r="L187" s="440" t="s">
        <v>508</v>
      </c>
      <c r="M187" s="440" t="s">
        <v>660</v>
      </c>
      <c r="N187" s="637">
        <v>0</v>
      </c>
      <c r="O187" s="440" t="s">
        <v>1281</v>
      </c>
      <c r="P187" s="440" t="s">
        <v>1199</v>
      </c>
      <c r="Q187" s="637">
        <v>0.01</v>
      </c>
      <c r="R187" s="662">
        <f t="shared" si="262"/>
        <v>1</v>
      </c>
      <c r="S187" s="637">
        <v>0.99</v>
      </c>
      <c r="T187" s="302" t="s">
        <v>508</v>
      </c>
      <c r="U187" s="302" t="s">
        <v>660</v>
      </c>
      <c r="V187" s="637">
        <v>0</v>
      </c>
      <c r="W187" s="302" t="s">
        <v>1281</v>
      </c>
      <c r="X187" s="302" t="s">
        <v>1199</v>
      </c>
      <c r="Y187" s="637">
        <v>0.01</v>
      </c>
      <c r="Z187" s="645">
        <f t="shared" si="263"/>
        <v>1</v>
      </c>
      <c r="AA187" s="637">
        <v>0.99</v>
      </c>
      <c r="AB187" s="302" t="s">
        <v>508</v>
      </c>
      <c r="AC187" s="302" t="s">
        <v>660</v>
      </c>
      <c r="AD187" s="637">
        <v>0</v>
      </c>
      <c r="AE187" s="302" t="s">
        <v>1281</v>
      </c>
      <c r="AF187" s="302" t="s">
        <v>1199</v>
      </c>
      <c r="AG187" s="637">
        <v>0.01</v>
      </c>
      <c r="AH187" s="645">
        <f t="shared" si="281"/>
        <v>1</v>
      </c>
      <c r="AI187" s="637">
        <v>0.99</v>
      </c>
      <c r="AJ187" s="302" t="s">
        <v>508</v>
      </c>
      <c r="AK187" s="302" t="s">
        <v>660</v>
      </c>
      <c r="AL187" s="637">
        <v>0</v>
      </c>
      <c r="AM187" s="302" t="s">
        <v>1281</v>
      </c>
      <c r="AN187" s="302" t="s">
        <v>1199</v>
      </c>
      <c r="AO187" s="637">
        <v>0.01</v>
      </c>
      <c r="AP187" s="645">
        <f t="shared" si="280"/>
        <v>1</v>
      </c>
      <c r="AQ187" s="637">
        <v>0.99</v>
      </c>
      <c r="AR187" s="302" t="s">
        <v>508</v>
      </c>
      <c r="AS187" s="302" t="s">
        <v>660</v>
      </c>
      <c r="AT187" s="637">
        <v>0</v>
      </c>
      <c r="AU187" s="302" t="s">
        <v>1281</v>
      </c>
      <c r="AV187" s="302" t="s">
        <v>1199</v>
      </c>
      <c r="AW187" s="637">
        <v>0.01</v>
      </c>
      <c r="AX187" s="645">
        <f t="shared" si="273"/>
        <v>1</v>
      </c>
      <c r="AY187" s="637">
        <v>0.99</v>
      </c>
      <c r="AZ187" s="302" t="s">
        <v>508</v>
      </c>
      <c r="BA187" s="302" t="s">
        <v>660</v>
      </c>
      <c r="BB187" s="637">
        <v>0</v>
      </c>
      <c r="BC187" s="302" t="s">
        <v>661</v>
      </c>
      <c r="BD187" s="302" t="s">
        <v>1199</v>
      </c>
      <c r="BE187" s="637">
        <v>0.01</v>
      </c>
      <c r="BF187" s="434">
        <f t="shared" si="274"/>
        <v>1</v>
      </c>
      <c r="BG187" s="587">
        <v>0.99</v>
      </c>
      <c r="BH187" s="302" t="s">
        <v>508</v>
      </c>
      <c r="BI187" s="302" t="s">
        <v>660</v>
      </c>
      <c r="BJ187" s="434">
        <v>0</v>
      </c>
      <c r="BK187" s="302" t="s">
        <v>661</v>
      </c>
      <c r="BL187" s="302" t="s">
        <v>662</v>
      </c>
      <c r="BM187" s="434">
        <v>0.01</v>
      </c>
      <c r="BN187" s="645">
        <f t="shared" si="275"/>
        <v>1</v>
      </c>
      <c r="BO187" s="434"/>
      <c r="BP187" s="434">
        <v>0.99</v>
      </c>
      <c r="BQ187" s="302" t="s">
        <v>508</v>
      </c>
      <c r="BR187" s="302" t="s">
        <v>660</v>
      </c>
      <c r="BS187" s="434">
        <v>0</v>
      </c>
      <c r="BT187" s="302" t="s">
        <v>661</v>
      </c>
      <c r="BU187" s="302" t="s">
        <v>662</v>
      </c>
      <c r="BV187" s="434">
        <v>0.01</v>
      </c>
      <c r="BW187" s="645">
        <f t="shared" si="276"/>
        <v>1</v>
      </c>
      <c r="BX187" s="434">
        <v>0.49</v>
      </c>
      <c r="BY187" s="302" t="s">
        <v>508</v>
      </c>
      <c r="BZ187" s="302" t="s">
        <v>660</v>
      </c>
      <c r="CA187" s="434">
        <v>0</v>
      </c>
      <c r="CB187" s="302" t="s">
        <v>661</v>
      </c>
      <c r="CC187" s="302" t="s">
        <v>662</v>
      </c>
      <c r="CD187" s="434">
        <v>0.01</v>
      </c>
      <c r="CE187" s="434">
        <f t="shared" si="277"/>
        <v>0.5</v>
      </c>
      <c r="CF187" s="1621" t="s">
        <v>1166</v>
      </c>
      <c r="CG187" s="1621" t="s">
        <v>1166</v>
      </c>
      <c r="CH187" s="1621" t="s">
        <v>1166</v>
      </c>
      <c r="CI187" s="408" t="s">
        <v>862</v>
      </c>
      <c r="CJ187" s="642">
        <v>0.66</v>
      </c>
      <c r="CK187" s="591" t="s">
        <v>922</v>
      </c>
      <c r="CL187" s="302" t="s">
        <v>508</v>
      </c>
      <c r="CM187" s="302" t="s">
        <v>660</v>
      </c>
      <c r="CN187" s="637">
        <v>0</v>
      </c>
      <c r="CO187" s="302" t="s">
        <v>661</v>
      </c>
      <c r="CP187" s="302" t="s">
        <v>662</v>
      </c>
      <c r="CQ187" s="637">
        <v>0.01</v>
      </c>
    </row>
    <row r="188" spans="1:95" ht="15.75" customHeight="1" x14ac:dyDescent="0.2">
      <c r="A188" s="661" t="s">
        <v>262</v>
      </c>
      <c r="B188" s="440" t="s">
        <v>261</v>
      </c>
      <c r="C188" s="637">
        <v>0.4</v>
      </c>
      <c r="D188" s="440" t="s">
        <v>636</v>
      </c>
      <c r="E188" s="440" t="s">
        <v>637</v>
      </c>
      <c r="F188" s="637">
        <v>0.1</v>
      </c>
      <c r="G188" s="440" t="s">
        <v>508</v>
      </c>
      <c r="H188" s="440" t="s">
        <v>546</v>
      </c>
      <c r="I188" s="637">
        <v>0</v>
      </c>
      <c r="J188" s="662">
        <f t="shared" si="139"/>
        <v>0.5</v>
      </c>
      <c r="K188" s="637">
        <v>0.4</v>
      </c>
      <c r="L188" s="440" t="s">
        <v>636</v>
      </c>
      <c r="M188" s="440" t="s">
        <v>637</v>
      </c>
      <c r="N188" s="637">
        <v>0.1</v>
      </c>
      <c r="O188" s="440" t="s">
        <v>508</v>
      </c>
      <c r="P188" s="440" t="s">
        <v>546</v>
      </c>
      <c r="Q188" s="637">
        <v>0</v>
      </c>
      <c r="R188" s="662">
        <f t="shared" si="262"/>
        <v>0.5</v>
      </c>
      <c r="S188" s="637">
        <v>0.4</v>
      </c>
      <c r="T188" s="302" t="s">
        <v>636</v>
      </c>
      <c r="U188" s="302" t="s">
        <v>637</v>
      </c>
      <c r="V188" s="637">
        <v>0.1</v>
      </c>
      <c r="W188" s="302" t="s">
        <v>508</v>
      </c>
      <c r="X188" s="302" t="s">
        <v>546</v>
      </c>
      <c r="Y188" s="637">
        <v>0</v>
      </c>
      <c r="Z188" s="645">
        <f t="shared" si="263"/>
        <v>0.5</v>
      </c>
      <c r="AA188" s="637">
        <v>0.4</v>
      </c>
      <c r="AB188" s="302" t="s">
        <v>636</v>
      </c>
      <c r="AC188" s="302" t="s">
        <v>637</v>
      </c>
      <c r="AD188" s="637">
        <v>0.1</v>
      </c>
      <c r="AE188" s="302" t="s">
        <v>508</v>
      </c>
      <c r="AF188" s="302" t="s">
        <v>546</v>
      </c>
      <c r="AG188" s="637">
        <v>0</v>
      </c>
      <c r="AH188" s="645">
        <f t="shared" si="281"/>
        <v>0.5</v>
      </c>
      <c r="AI188" s="637">
        <v>0.4</v>
      </c>
      <c r="AJ188" s="302" t="s">
        <v>636</v>
      </c>
      <c r="AK188" s="302" t="s">
        <v>637</v>
      </c>
      <c r="AL188" s="637">
        <v>0.1</v>
      </c>
      <c r="AM188" s="302" t="s">
        <v>508</v>
      </c>
      <c r="AN188" s="302" t="s">
        <v>546</v>
      </c>
      <c r="AO188" s="637">
        <v>0</v>
      </c>
      <c r="AP188" s="645">
        <f t="shared" si="280"/>
        <v>0.5</v>
      </c>
      <c r="AQ188" s="637">
        <v>0.4</v>
      </c>
      <c r="AR188" s="302" t="s">
        <v>636</v>
      </c>
      <c r="AS188" s="302" t="s">
        <v>637</v>
      </c>
      <c r="AT188" s="637">
        <v>0.1</v>
      </c>
      <c r="AU188" s="302" t="s">
        <v>508</v>
      </c>
      <c r="AV188" s="302" t="s">
        <v>546</v>
      </c>
      <c r="AW188" s="637">
        <v>0</v>
      </c>
      <c r="AX188" s="645">
        <f t="shared" si="273"/>
        <v>0.5</v>
      </c>
      <c r="AY188" s="637">
        <v>0.4</v>
      </c>
      <c r="AZ188" s="302" t="s">
        <v>636</v>
      </c>
      <c r="BA188" s="302" t="s">
        <v>637</v>
      </c>
      <c r="BB188" s="637">
        <v>0.1</v>
      </c>
      <c r="BC188" s="302" t="s">
        <v>508</v>
      </c>
      <c r="BD188" s="302" t="s">
        <v>546</v>
      </c>
      <c r="BE188" s="637">
        <v>0</v>
      </c>
      <c r="BF188" s="434">
        <f t="shared" si="274"/>
        <v>0.5</v>
      </c>
      <c r="BG188" s="587">
        <v>0.4</v>
      </c>
      <c r="BH188" s="302" t="s">
        <v>636</v>
      </c>
      <c r="BI188" s="302" t="s">
        <v>637</v>
      </c>
      <c r="BJ188" s="434">
        <v>0.1</v>
      </c>
      <c r="BK188" s="302" t="s">
        <v>508</v>
      </c>
      <c r="BL188" s="302" t="s">
        <v>546</v>
      </c>
      <c r="BM188" s="434">
        <v>0</v>
      </c>
      <c r="BN188" s="645">
        <f t="shared" si="275"/>
        <v>0.5</v>
      </c>
      <c r="BO188" s="434"/>
      <c r="BP188" s="434">
        <v>0.4</v>
      </c>
      <c r="BQ188" s="302" t="s">
        <v>636</v>
      </c>
      <c r="BR188" s="302" t="s">
        <v>637</v>
      </c>
      <c r="BS188" s="434">
        <v>0.1</v>
      </c>
      <c r="BT188" s="302" t="s">
        <v>508</v>
      </c>
      <c r="BU188" s="302" t="s">
        <v>546</v>
      </c>
      <c r="BV188" s="434">
        <v>0</v>
      </c>
      <c r="BW188" s="645">
        <f t="shared" si="276"/>
        <v>0.5</v>
      </c>
      <c r="BX188" s="434">
        <v>0.4</v>
      </c>
      <c r="BY188" s="302" t="s">
        <v>636</v>
      </c>
      <c r="BZ188" s="302" t="s">
        <v>637</v>
      </c>
      <c r="CA188" s="434">
        <v>0.1</v>
      </c>
      <c r="CB188" s="302" t="s">
        <v>508</v>
      </c>
      <c r="CC188" s="302" t="s">
        <v>546</v>
      </c>
      <c r="CD188" s="434">
        <v>0</v>
      </c>
      <c r="CE188" s="434">
        <f t="shared" si="277"/>
        <v>0.5</v>
      </c>
      <c r="CF188" s="1620" t="s">
        <v>1166</v>
      </c>
      <c r="CG188" s="1620" t="s">
        <v>1166</v>
      </c>
      <c r="CH188" s="1620" t="s">
        <v>1166</v>
      </c>
      <c r="CI188" s="406"/>
      <c r="CJ188" s="642">
        <v>0.72699999999999998</v>
      </c>
      <c r="CK188" s="591" t="s">
        <v>922</v>
      </c>
      <c r="CL188" s="302" t="s">
        <v>636</v>
      </c>
      <c r="CM188" s="302" t="s">
        <v>637</v>
      </c>
      <c r="CN188" s="637">
        <v>0.6</v>
      </c>
      <c r="CO188" s="302" t="s">
        <v>508</v>
      </c>
      <c r="CP188" s="302" t="s">
        <v>546</v>
      </c>
      <c r="CQ188" s="637">
        <v>0</v>
      </c>
    </row>
    <row r="189" spans="1:95" ht="15.75" customHeight="1" x14ac:dyDescent="0.2">
      <c r="A189" s="661" t="s">
        <v>264</v>
      </c>
      <c r="B189" s="440" t="s">
        <v>263</v>
      </c>
      <c r="C189" s="637">
        <v>0.4</v>
      </c>
      <c r="D189" s="440" t="s">
        <v>609</v>
      </c>
      <c r="E189" s="440" t="s">
        <v>610</v>
      </c>
      <c r="F189" s="637">
        <v>0.09</v>
      </c>
      <c r="G189" s="440" t="s">
        <v>606</v>
      </c>
      <c r="H189" s="440" t="s">
        <v>607</v>
      </c>
      <c r="I189" s="637">
        <v>0.01</v>
      </c>
      <c r="J189" s="662">
        <f t="shared" si="139"/>
        <v>0.5</v>
      </c>
      <c r="K189" s="637">
        <v>0.4</v>
      </c>
      <c r="L189" s="440" t="s">
        <v>609</v>
      </c>
      <c r="M189" s="440" t="s">
        <v>610</v>
      </c>
      <c r="N189" s="637">
        <v>0.09</v>
      </c>
      <c r="O189" s="440" t="s">
        <v>606</v>
      </c>
      <c r="P189" s="440" t="s">
        <v>607</v>
      </c>
      <c r="Q189" s="637">
        <v>0.01</v>
      </c>
      <c r="R189" s="662">
        <f t="shared" si="262"/>
        <v>0.5</v>
      </c>
      <c r="S189" s="637">
        <v>0.4</v>
      </c>
      <c r="T189" s="302" t="s">
        <v>609</v>
      </c>
      <c r="U189" s="302" t="s">
        <v>610</v>
      </c>
      <c r="V189" s="637">
        <v>0.09</v>
      </c>
      <c r="W189" s="302" t="s">
        <v>606</v>
      </c>
      <c r="X189" s="302" t="s">
        <v>607</v>
      </c>
      <c r="Y189" s="637">
        <v>0.01</v>
      </c>
      <c r="Z189" s="645">
        <f t="shared" si="263"/>
        <v>0.5</v>
      </c>
      <c r="AA189" s="637">
        <v>0.4</v>
      </c>
      <c r="AB189" s="302" t="s">
        <v>609</v>
      </c>
      <c r="AC189" s="302" t="s">
        <v>610</v>
      </c>
      <c r="AD189" s="637">
        <v>0.09</v>
      </c>
      <c r="AE189" s="302" t="s">
        <v>606</v>
      </c>
      <c r="AF189" s="302" t="s">
        <v>607</v>
      </c>
      <c r="AG189" s="637">
        <v>0.01</v>
      </c>
      <c r="AH189" s="645">
        <f t="shared" si="281"/>
        <v>0.5</v>
      </c>
      <c r="AI189" s="637">
        <v>0.4</v>
      </c>
      <c r="AJ189" s="302" t="s">
        <v>609</v>
      </c>
      <c r="AK189" s="302" t="s">
        <v>610</v>
      </c>
      <c r="AL189" s="637">
        <v>0.09</v>
      </c>
      <c r="AM189" s="302" t="s">
        <v>606</v>
      </c>
      <c r="AN189" s="302" t="s">
        <v>607</v>
      </c>
      <c r="AO189" s="637">
        <v>0.01</v>
      </c>
      <c r="AP189" s="645">
        <f t="shared" si="280"/>
        <v>0.5</v>
      </c>
      <c r="AQ189" s="637">
        <v>0.4</v>
      </c>
      <c r="AR189" s="302" t="s">
        <v>609</v>
      </c>
      <c r="AS189" s="302" t="s">
        <v>610</v>
      </c>
      <c r="AT189" s="637">
        <v>0.09</v>
      </c>
      <c r="AU189" s="302" t="s">
        <v>606</v>
      </c>
      <c r="AV189" s="302" t="s">
        <v>607</v>
      </c>
      <c r="AW189" s="637">
        <v>0.01</v>
      </c>
      <c r="AX189" s="645">
        <f t="shared" ref="AX189:AX198" si="282">+AQ189+AT189+AW189</f>
        <v>0.5</v>
      </c>
      <c r="AY189" s="637">
        <v>0.56000000000000005</v>
      </c>
      <c r="AZ189" s="302" t="s">
        <v>609</v>
      </c>
      <c r="BA189" s="302" t="s">
        <v>610</v>
      </c>
      <c r="BB189" s="637">
        <v>0.17499999999999999</v>
      </c>
      <c r="BC189" s="302" t="s">
        <v>606</v>
      </c>
      <c r="BD189" s="302" t="s">
        <v>607</v>
      </c>
      <c r="BE189" s="637">
        <v>1.4999999999999999E-2</v>
      </c>
      <c r="BF189" s="434">
        <f t="shared" ref="BF189:BF198" si="283">+AY189+BB189+BE189</f>
        <v>0.75000000000000011</v>
      </c>
      <c r="BG189" s="587">
        <v>0.4</v>
      </c>
      <c r="BH189" s="302" t="s">
        <v>609</v>
      </c>
      <c r="BI189" s="302" t="s">
        <v>610</v>
      </c>
      <c r="BJ189" s="434">
        <v>0.09</v>
      </c>
      <c r="BK189" s="302" t="s">
        <v>606</v>
      </c>
      <c r="BL189" s="302" t="s">
        <v>607</v>
      </c>
      <c r="BM189" s="434">
        <v>0.01</v>
      </c>
      <c r="BN189" s="645">
        <f t="shared" ref="BN189:BN198" si="284">+BG189+BJ189+BM189</f>
        <v>0.5</v>
      </c>
      <c r="BO189" s="434"/>
      <c r="BP189" s="434">
        <v>0.4</v>
      </c>
      <c r="BQ189" s="302" t="s">
        <v>609</v>
      </c>
      <c r="BR189" s="302" t="s">
        <v>610</v>
      </c>
      <c r="BS189" s="434">
        <v>0.09</v>
      </c>
      <c r="BT189" s="302" t="s">
        <v>606</v>
      </c>
      <c r="BU189" s="302" t="s">
        <v>607</v>
      </c>
      <c r="BV189" s="434">
        <v>0.01</v>
      </c>
      <c r="BW189" s="645">
        <f t="shared" ref="BW189:BW198" si="285">+BP189+BS189+BV189</f>
        <v>0.5</v>
      </c>
      <c r="BX189" s="434">
        <v>0.4</v>
      </c>
      <c r="BY189" s="302" t="s">
        <v>609</v>
      </c>
      <c r="BZ189" s="302" t="s">
        <v>610</v>
      </c>
      <c r="CA189" s="434">
        <v>0.09</v>
      </c>
      <c r="CB189" s="302" t="s">
        <v>606</v>
      </c>
      <c r="CC189" s="302" t="s">
        <v>607</v>
      </c>
      <c r="CD189" s="434">
        <v>0.01</v>
      </c>
      <c r="CE189" s="434">
        <f t="shared" ref="CE189:CE198" si="286">+BX189+CA189+CD189</f>
        <v>0.5</v>
      </c>
      <c r="CF189" s="1620" t="s">
        <v>1166</v>
      </c>
      <c r="CG189" s="1620" t="s">
        <v>1166</v>
      </c>
      <c r="CH189" s="1620" t="s">
        <v>1166</v>
      </c>
      <c r="CI189" s="406"/>
      <c r="CJ189" s="642">
        <v>0.61399999999999999</v>
      </c>
      <c r="CK189" s="591" t="s">
        <v>862</v>
      </c>
      <c r="CL189" s="302" t="s">
        <v>609</v>
      </c>
      <c r="CM189" s="302" t="s">
        <v>610</v>
      </c>
      <c r="CN189" s="637">
        <v>0.59</v>
      </c>
      <c r="CO189" s="302" t="s">
        <v>606</v>
      </c>
      <c r="CP189" s="302" t="s">
        <v>607</v>
      </c>
      <c r="CQ189" s="637">
        <v>0.01</v>
      </c>
    </row>
    <row r="190" spans="1:95" ht="15.75" customHeight="1" x14ac:dyDescent="0.2">
      <c r="A190" s="661" t="s">
        <v>266</v>
      </c>
      <c r="B190" s="440" t="s">
        <v>530</v>
      </c>
      <c r="C190" s="637">
        <v>0.49</v>
      </c>
      <c r="D190" s="440" t="s">
        <v>508</v>
      </c>
      <c r="E190" s="440" t="s">
        <v>509</v>
      </c>
      <c r="F190" s="637">
        <v>0</v>
      </c>
      <c r="G190" s="440" t="s">
        <v>531</v>
      </c>
      <c r="H190" s="440" t="s">
        <v>532</v>
      </c>
      <c r="I190" s="637">
        <v>0.01</v>
      </c>
      <c r="J190" s="662">
        <f t="shared" si="139"/>
        <v>0.5</v>
      </c>
      <c r="K190" s="637">
        <v>0.49</v>
      </c>
      <c r="L190" s="440" t="s">
        <v>508</v>
      </c>
      <c r="M190" s="440" t="s">
        <v>509</v>
      </c>
      <c r="N190" s="637">
        <v>0</v>
      </c>
      <c r="O190" s="440" t="s">
        <v>531</v>
      </c>
      <c r="P190" s="440" t="s">
        <v>532</v>
      </c>
      <c r="Q190" s="637">
        <v>0.01</v>
      </c>
      <c r="R190" s="662">
        <f t="shared" si="262"/>
        <v>0.5</v>
      </c>
      <c r="S190" s="637">
        <v>0.49</v>
      </c>
      <c r="T190" s="302" t="s">
        <v>508</v>
      </c>
      <c r="U190" s="302" t="s">
        <v>509</v>
      </c>
      <c r="V190" s="637">
        <v>0</v>
      </c>
      <c r="W190" s="302" t="s">
        <v>531</v>
      </c>
      <c r="X190" s="302" t="s">
        <v>532</v>
      </c>
      <c r="Y190" s="637">
        <v>0.01</v>
      </c>
      <c r="Z190" s="645">
        <f t="shared" si="263"/>
        <v>0.5</v>
      </c>
      <c r="AA190" s="637">
        <v>0.49</v>
      </c>
      <c r="AB190" s="302" t="s">
        <v>508</v>
      </c>
      <c r="AC190" s="302" t="s">
        <v>509</v>
      </c>
      <c r="AD190" s="637">
        <v>0</v>
      </c>
      <c r="AE190" s="302" t="s">
        <v>531</v>
      </c>
      <c r="AF190" s="302" t="s">
        <v>532</v>
      </c>
      <c r="AG190" s="637">
        <v>0.01</v>
      </c>
      <c r="AH190" s="645">
        <f t="shared" si="281"/>
        <v>0.5</v>
      </c>
      <c r="AI190" s="637">
        <v>0.49</v>
      </c>
      <c r="AJ190" s="302" t="s">
        <v>508</v>
      </c>
      <c r="AK190" s="302" t="s">
        <v>509</v>
      </c>
      <c r="AL190" s="637">
        <v>0</v>
      </c>
      <c r="AM190" s="302" t="s">
        <v>531</v>
      </c>
      <c r="AN190" s="302" t="s">
        <v>532</v>
      </c>
      <c r="AO190" s="637">
        <v>0.01</v>
      </c>
      <c r="AP190" s="645">
        <f t="shared" si="280"/>
        <v>0.5</v>
      </c>
      <c r="AQ190" s="637">
        <v>0.49</v>
      </c>
      <c r="AR190" s="302" t="s">
        <v>508</v>
      </c>
      <c r="AS190" s="302" t="s">
        <v>509</v>
      </c>
      <c r="AT190" s="637">
        <v>0</v>
      </c>
      <c r="AU190" s="302" t="s">
        <v>531</v>
      </c>
      <c r="AV190" s="302" t="s">
        <v>532</v>
      </c>
      <c r="AW190" s="637">
        <v>0.01</v>
      </c>
      <c r="AX190" s="645">
        <f t="shared" si="282"/>
        <v>0.5</v>
      </c>
      <c r="AY190" s="637">
        <v>0.49</v>
      </c>
      <c r="AZ190" s="302" t="s">
        <v>508</v>
      </c>
      <c r="BA190" s="302" t="s">
        <v>509</v>
      </c>
      <c r="BB190" s="637">
        <v>0</v>
      </c>
      <c r="BC190" s="302" t="s">
        <v>531</v>
      </c>
      <c r="BD190" s="302" t="s">
        <v>532</v>
      </c>
      <c r="BE190" s="637">
        <v>0.01</v>
      </c>
      <c r="BF190" s="434">
        <f t="shared" si="283"/>
        <v>0.5</v>
      </c>
      <c r="BG190" s="587">
        <v>0.49</v>
      </c>
      <c r="BH190" s="302" t="s">
        <v>508</v>
      </c>
      <c r="BI190" s="302" t="s">
        <v>509</v>
      </c>
      <c r="BJ190" s="434">
        <v>0</v>
      </c>
      <c r="BK190" s="302" t="s">
        <v>531</v>
      </c>
      <c r="BL190" s="302" t="s">
        <v>532</v>
      </c>
      <c r="BM190" s="434">
        <v>0.01</v>
      </c>
      <c r="BN190" s="645">
        <f t="shared" si="284"/>
        <v>0.5</v>
      </c>
      <c r="BO190" s="434"/>
      <c r="BP190" s="434">
        <v>0.49</v>
      </c>
      <c r="BQ190" s="302" t="s">
        <v>508</v>
      </c>
      <c r="BR190" s="302" t="s">
        <v>509</v>
      </c>
      <c r="BS190" s="434">
        <v>0</v>
      </c>
      <c r="BT190" s="302" t="s">
        <v>531</v>
      </c>
      <c r="BU190" s="302" t="s">
        <v>532</v>
      </c>
      <c r="BV190" s="434">
        <v>0.01</v>
      </c>
      <c r="BW190" s="645">
        <f t="shared" si="285"/>
        <v>0.5</v>
      </c>
      <c r="BX190" s="434">
        <v>0.49</v>
      </c>
      <c r="BY190" s="302" t="s">
        <v>508</v>
      </c>
      <c r="BZ190" s="302" t="s">
        <v>509</v>
      </c>
      <c r="CA190" s="434">
        <v>0</v>
      </c>
      <c r="CB190" s="302" t="s">
        <v>531</v>
      </c>
      <c r="CC190" s="302" t="s">
        <v>532</v>
      </c>
      <c r="CD190" s="434">
        <v>0.01</v>
      </c>
      <c r="CE190" s="434">
        <f t="shared" si="286"/>
        <v>0.5</v>
      </c>
      <c r="CF190" s="1620" t="s">
        <v>1166</v>
      </c>
      <c r="CG190" s="1620" t="s">
        <v>1166</v>
      </c>
      <c r="CH190" s="1620" t="s">
        <v>1166</v>
      </c>
      <c r="CI190" s="408" t="s">
        <v>862</v>
      </c>
      <c r="CJ190" s="642">
        <v>0.71099999999999997</v>
      </c>
      <c r="CK190" s="591" t="s">
        <v>922</v>
      </c>
      <c r="CL190" s="302" t="s">
        <v>508</v>
      </c>
      <c r="CM190" s="302" t="s">
        <v>509</v>
      </c>
      <c r="CN190" s="637">
        <v>0</v>
      </c>
      <c r="CO190" s="302" t="s">
        <v>531</v>
      </c>
      <c r="CP190" s="302" t="s">
        <v>532</v>
      </c>
      <c r="CQ190" s="637">
        <v>0.01</v>
      </c>
    </row>
    <row r="191" spans="1:95" ht="15.75" customHeight="1" x14ac:dyDescent="0.2">
      <c r="A191" s="661" t="s">
        <v>268</v>
      </c>
      <c r="B191" s="440" t="s">
        <v>553</v>
      </c>
      <c r="C191" s="637">
        <v>0.49</v>
      </c>
      <c r="D191" s="440" t="s">
        <v>508</v>
      </c>
      <c r="E191" s="440" t="s">
        <v>509</v>
      </c>
      <c r="F191" s="637">
        <v>0</v>
      </c>
      <c r="G191" s="440" t="s">
        <v>554</v>
      </c>
      <c r="H191" s="440" t="s">
        <v>555</v>
      </c>
      <c r="I191" s="637">
        <v>0.01</v>
      </c>
      <c r="J191" s="662">
        <f t="shared" si="139"/>
        <v>0.5</v>
      </c>
      <c r="K191" s="637">
        <v>0.49</v>
      </c>
      <c r="L191" s="440" t="s">
        <v>508</v>
      </c>
      <c r="M191" s="440" t="s">
        <v>509</v>
      </c>
      <c r="N191" s="637">
        <v>0</v>
      </c>
      <c r="O191" s="440" t="s">
        <v>554</v>
      </c>
      <c r="P191" s="440" t="s">
        <v>555</v>
      </c>
      <c r="Q191" s="637">
        <v>0.01</v>
      </c>
      <c r="R191" s="662">
        <f t="shared" si="262"/>
        <v>0.5</v>
      </c>
      <c r="S191" s="637">
        <v>0.49</v>
      </c>
      <c r="T191" s="302" t="s">
        <v>508</v>
      </c>
      <c r="U191" s="302" t="s">
        <v>509</v>
      </c>
      <c r="V191" s="637">
        <v>0</v>
      </c>
      <c r="W191" s="302" t="s">
        <v>554</v>
      </c>
      <c r="X191" s="302" t="s">
        <v>555</v>
      </c>
      <c r="Y191" s="637">
        <v>0.01</v>
      </c>
      <c r="Z191" s="645">
        <f t="shared" si="263"/>
        <v>0.5</v>
      </c>
      <c r="AA191" s="637">
        <v>0.49</v>
      </c>
      <c r="AB191" s="302" t="s">
        <v>508</v>
      </c>
      <c r="AC191" s="302" t="s">
        <v>509</v>
      </c>
      <c r="AD191" s="637">
        <v>0</v>
      </c>
      <c r="AE191" s="302" t="s">
        <v>554</v>
      </c>
      <c r="AF191" s="302" t="s">
        <v>555</v>
      </c>
      <c r="AG191" s="637">
        <v>0.01</v>
      </c>
      <c r="AH191" s="645">
        <f t="shared" si="281"/>
        <v>0.5</v>
      </c>
      <c r="AI191" s="637">
        <v>0.49</v>
      </c>
      <c r="AJ191" s="302" t="s">
        <v>508</v>
      </c>
      <c r="AK191" s="302" t="s">
        <v>509</v>
      </c>
      <c r="AL191" s="637">
        <v>0</v>
      </c>
      <c r="AM191" s="302" t="s">
        <v>554</v>
      </c>
      <c r="AN191" s="302" t="s">
        <v>555</v>
      </c>
      <c r="AO191" s="637">
        <v>0.01</v>
      </c>
      <c r="AP191" s="645">
        <f t="shared" si="280"/>
        <v>0.5</v>
      </c>
      <c r="AQ191" s="637">
        <v>0.49</v>
      </c>
      <c r="AR191" s="302" t="s">
        <v>508</v>
      </c>
      <c r="AS191" s="302" t="s">
        <v>509</v>
      </c>
      <c r="AT191" s="637">
        <v>0</v>
      </c>
      <c r="AU191" s="302" t="s">
        <v>554</v>
      </c>
      <c r="AV191" s="302" t="s">
        <v>555</v>
      </c>
      <c r="AW191" s="637">
        <v>0.01</v>
      </c>
      <c r="AX191" s="645">
        <f t="shared" si="282"/>
        <v>0.5</v>
      </c>
      <c r="AY191" s="637">
        <v>0.49</v>
      </c>
      <c r="AZ191" s="302" t="s">
        <v>508</v>
      </c>
      <c r="BA191" s="302" t="s">
        <v>509</v>
      </c>
      <c r="BB191" s="637">
        <v>0</v>
      </c>
      <c r="BC191" s="302" t="s">
        <v>554</v>
      </c>
      <c r="BD191" s="302" t="s">
        <v>555</v>
      </c>
      <c r="BE191" s="637">
        <v>0.01</v>
      </c>
      <c r="BF191" s="434">
        <f t="shared" si="283"/>
        <v>0.5</v>
      </c>
      <c r="BG191" s="587">
        <v>0.99</v>
      </c>
      <c r="BH191" s="302" t="s">
        <v>508</v>
      </c>
      <c r="BI191" s="302" t="s">
        <v>509</v>
      </c>
      <c r="BJ191" s="434">
        <v>0</v>
      </c>
      <c r="BK191" s="302" t="s">
        <v>554</v>
      </c>
      <c r="BL191" s="302" t="s">
        <v>555</v>
      </c>
      <c r="BM191" s="434">
        <v>0.01</v>
      </c>
      <c r="BN191" s="645">
        <f t="shared" si="284"/>
        <v>1</v>
      </c>
      <c r="BO191" s="434"/>
      <c r="BP191" s="434">
        <v>0.49</v>
      </c>
      <c r="BQ191" s="302" t="s">
        <v>508</v>
      </c>
      <c r="BR191" s="302" t="s">
        <v>509</v>
      </c>
      <c r="BS191" s="434">
        <v>0</v>
      </c>
      <c r="BT191" s="302" t="s">
        <v>554</v>
      </c>
      <c r="BU191" s="302" t="s">
        <v>555</v>
      </c>
      <c r="BV191" s="434">
        <v>0.01</v>
      </c>
      <c r="BW191" s="645">
        <f t="shared" si="285"/>
        <v>0.5</v>
      </c>
      <c r="BX191" s="434">
        <v>0.49</v>
      </c>
      <c r="BY191" s="302" t="s">
        <v>508</v>
      </c>
      <c r="BZ191" s="302" t="s">
        <v>509</v>
      </c>
      <c r="CA191" s="434">
        <v>0</v>
      </c>
      <c r="CB191" s="302" t="s">
        <v>554</v>
      </c>
      <c r="CC191" s="302" t="s">
        <v>555</v>
      </c>
      <c r="CD191" s="434">
        <v>0.01</v>
      </c>
      <c r="CE191" s="434">
        <f t="shared" si="286"/>
        <v>0.5</v>
      </c>
      <c r="CF191" s="1620" t="s">
        <v>862</v>
      </c>
      <c r="CG191" s="1620" t="s">
        <v>862</v>
      </c>
      <c r="CH191" s="1620" t="s">
        <v>1166</v>
      </c>
      <c r="CI191" s="408" t="s">
        <v>862</v>
      </c>
      <c r="CJ191" s="642">
        <v>0.69399999999999995</v>
      </c>
      <c r="CK191" s="591" t="s">
        <v>922</v>
      </c>
      <c r="CL191" s="302" t="s">
        <v>508</v>
      </c>
      <c r="CM191" s="302" t="s">
        <v>509</v>
      </c>
      <c r="CN191" s="637">
        <v>0</v>
      </c>
      <c r="CO191" s="302" t="s">
        <v>554</v>
      </c>
      <c r="CP191" s="302" t="s">
        <v>555</v>
      </c>
      <c r="CQ191" s="637">
        <v>0.01</v>
      </c>
    </row>
    <row r="192" spans="1:95" ht="15.75" customHeight="1" x14ac:dyDescent="0.2">
      <c r="A192" s="661" t="s">
        <v>270</v>
      </c>
      <c r="B192" s="440" t="s">
        <v>579</v>
      </c>
      <c r="C192" s="637">
        <v>0.49</v>
      </c>
      <c r="D192" s="440" t="s">
        <v>508</v>
      </c>
      <c r="E192" s="440" t="s">
        <v>509</v>
      </c>
      <c r="F192" s="637">
        <v>0</v>
      </c>
      <c r="G192" s="440" t="s">
        <v>2218</v>
      </c>
      <c r="H192" s="440" t="s">
        <v>2219</v>
      </c>
      <c r="I192" s="637">
        <v>0.01</v>
      </c>
      <c r="J192" s="662">
        <f t="shared" si="139"/>
        <v>0.5</v>
      </c>
      <c r="K192" s="637">
        <v>0.49</v>
      </c>
      <c r="L192" s="440" t="s">
        <v>508</v>
      </c>
      <c r="M192" s="440" t="s">
        <v>509</v>
      </c>
      <c r="N192" s="637">
        <v>0</v>
      </c>
      <c r="O192" s="440" t="s">
        <v>2218</v>
      </c>
      <c r="P192" s="440" t="s">
        <v>2219</v>
      </c>
      <c r="Q192" s="637">
        <v>0.01</v>
      </c>
      <c r="R192" s="662">
        <f t="shared" si="262"/>
        <v>0.5</v>
      </c>
      <c r="S192" s="637">
        <v>0.49</v>
      </c>
      <c r="T192" s="302" t="s">
        <v>508</v>
      </c>
      <c r="U192" s="302" t="s">
        <v>509</v>
      </c>
      <c r="V192" s="637">
        <v>0</v>
      </c>
      <c r="W192" s="302" t="s">
        <v>2218</v>
      </c>
      <c r="X192" s="302" t="s">
        <v>2219</v>
      </c>
      <c r="Y192" s="637">
        <v>0.01</v>
      </c>
      <c r="Z192" s="645">
        <f t="shared" si="263"/>
        <v>0.5</v>
      </c>
      <c r="AA192" s="637">
        <v>0.49</v>
      </c>
      <c r="AB192" s="302" t="s">
        <v>508</v>
      </c>
      <c r="AC192" s="302" t="s">
        <v>509</v>
      </c>
      <c r="AD192" s="637">
        <v>0</v>
      </c>
      <c r="AE192" s="302" t="s">
        <v>2218</v>
      </c>
      <c r="AF192" s="302" t="s">
        <v>2219</v>
      </c>
      <c r="AG192" s="637">
        <v>0.01</v>
      </c>
      <c r="AH192" s="645">
        <f t="shared" si="281"/>
        <v>0.5</v>
      </c>
      <c r="AI192" s="637">
        <v>0.49</v>
      </c>
      <c r="AJ192" s="302" t="s">
        <v>508</v>
      </c>
      <c r="AK192" s="302" t="s">
        <v>509</v>
      </c>
      <c r="AL192" s="637">
        <v>0</v>
      </c>
      <c r="AM192" s="302" t="s">
        <v>2218</v>
      </c>
      <c r="AN192" s="302" t="s">
        <v>2219</v>
      </c>
      <c r="AO192" s="637">
        <v>0.01</v>
      </c>
      <c r="AP192" s="645">
        <f t="shared" si="280"/>
        <v>0.5</v>
      </c>
      <c r="AQ192" s="637">
        <v>0.49</v>
      </c>
      <c r="AR192" s="302" t="s">
        <v>508</v>
      </c>
      <c r="AS192" s="302" t="s">
        <v>509</v>
      </c>
      <c r="AT192" s="637">
        <v>0</v>
      </c>
      <c r="AU192" s="302" t="s">
        <v>580</v>
      </c>
      <c r="AV192" s="302" t="s">
        <v>1293</v>
      </c>
      <c r="AW192" s="637">
        <v>0.01</v>
      </c>
      <c r="AX192" s="645">
        <f t="shared" si="282"/>
        <v>0.5</v>
      </c>
      <c r="AY192" s="637">
        <v>0.74</v>
      </c>
      <c r="AZ192" s="302" t="s">
        <v>508</v>
      </c>
      <c r="BA192" s="302" t="s">
        <v>509</v>
      </c>
      <c r="BB192" s="637">
        <v>0</v>
      </c>
      <c r="BC192" s="302" t="s">
        <v>580</v>
      </c>
      <c r="BD192" s="302" t="s">
        <v>581</v>
      </c>
      <c r="BE192" s="637">
        <v>0.01</v>
      </c>
      <c r="BF192" s="434">
        <f t="shared" si="283"/>
        <v>0.75</v>
      </c>
      <c r="BG192" s="587">
        <v>0.99</v>
      </c>
      <c r="BH192" s="302" t="s">
        <v>508</v>
      </c>
      <c r="BI192" s="302" t="s">
        <v>509</v>
      </c>
      <c r="BJ192" s="434">
        <v>0</v>
      </c>
      <c r="BK192" s="302" t="s">
        <v>580</v>
      </c>
      <c r="BL192" s="302" t="s">
        <v>581</v>
      </c>
      <c r="BM192" s="434">
        <v>0.01</v>
      </c>
      <c r="BN192" s="645">
        <f t="shared" si="284"/>
        <v>1</v>
      </c>
      <c r="BO192" s="434"/>
      <c r="BP192" s="434">
        <v>0.49</v>
      </c>
      <c r="BQ192" s="302" t="s">
        <v>508</v>
      </c>
      <c r="BR192" s="302" t="s">
        <v>509</v>
      </c>
      <c r="BS192" s="434">
        <v>0</v>
      </c>
      <c r="BT192" s="302" t="s">
        <v>580</v>
      </c>
      <c r="BU192" s="302" t="s">
        <v>581</v>
      </c>
      <c r="BV192" s="434">
        <v>0.01</v>
      </c>
      <c r="BW192" s="645">
        <f t="shared" si="285"/>
        <v>0.5</v>
      </c>
      <c r="BX192" s="434">
        <v>0.49</v>
      </c>
      <c r="BY192" s="302" t="s">
        <v>508</v>
      </c>
      <c r="BZ192" s="302" t="s">
        <v>509</v>
      </c>
      <c r="CA192" s="434">
        <v>0</v>
      </c>
      <c r="CB192" s="302" t="s">
        <v>580</v>
      </c>
      <c r="CC192" s="302" t="s">
        <v>581</v>
      </c>
      <c r="CD192" s="434">
        <v>0.01</v>
      </c>
      <c r="CE192" s="434">
        <f t="shared" si="286"/>
        <v>0.5</v>
      </c>
      <c r="CF192" s="1620" t="s">
        <v>1166</v>
      </c>
      <c r="CG192" s="1620" t="s">
        <v>1166</v>
      </c>
      <c r="CH192" s="1620" t="s">
        <v>1166</v>
      </c>
      <c r="CI192" s="408" t="s">
        <v>862</v>
      </c>
      <c r="CJ192" s="642">
        <v>0.70199999999999996</v>
      </c>
      <c r="CK192" s="591" t="s">
        <v>922</v>
      </c>
      <c r="CL192" s="302" t="s">
        <v>508</v>
      </c>
      <c r="CM192" s="302" t="s">
        <v>509</v>
      </c>
      <c r="CN192" s="637">
        <v>0</v>
      </c>
      <c r="CO192" s="302" t="s">
        <v>580</v>
      </c>
      <c r="CP192" s="302" t="s">
        <v>581</v>
      </c>
      <c r="CQ192" s="637">
        <v>0.01</v>
      </c>
    </row>
    <row r="193" spans="1:98" ht="15.75" customHeight="1" x14ac:dyDescent="0.2">
      <c r="A193" s="661" t="s">
        <v>272</v>
      </c>
      <c r="B193" s="440" t="s">
        <v>271</v>
      </c>
      <c r="C193" s="637">
        <v>0.4</v>
      </c>
      <c r="D193" s="440" t="s">
        <v>609</v>
      </c>
      <c r="E193" s="440" t="s">
        <v>610</v>
      </c>
      <c r="F193" s="637">
        <v>0.09</v>
      </c>
      <c r="G193" s="440" t="s">
        <v>606</v>
      </c>
      <c r="H193" s="440" t="s">
        <v>607</v>
      </c>
      <c r="I193" s="637">
        <v>0.01</v>
      </c>
      <c r="J193" s="662">
        <f t="shared" si="139"/>
        <v>0.5</v>
      </c>
      <c r="K193" s="637">
        <v>0.4</v>
      </c>
      <c r="L193" s="440" t="s">
        <v>609</v>
      </c>
      <c r="M193" s="440" t="s">
        <v>610</v>
      </c>
      <c r="N193" s="637">
        <v>0.09</v>
      </c>
      <c r="O193" s="440" t="s">
        <v>606</v>
      </c>
      <c r="P193" s="440" t="s">
        <v>607</v>
      </c>
      <c r="Q193" s="637">
        <v>0.01</v>
      </c>
      <c r="R193" s="662">
        <f t="shared" si="262"/>
        <v>0.5</v>
      </c>
      <c r="S193" s="637">
        <v>0.4</v>
      </c>
      <c r="T193" s="302" t="s">
        <v>609</v>
      </c>
      <c r="U193" s="302" t="s">
        <v>610</v>
      </c>
      <c r="V193" s="637">
        <v>0.09</v>
      </c>
      <c r="W193" s="302" t="s">
        <v>606</v>
      </c>
      <c r="X193" s="302" t="s">
        <v>607</v>
      </c>
      <c r="Y193" s="637">
        <v>0.01</v>
      </c>
      <c r="Z193" s="645">
        <f t="shared" si="263"/>
        <v>0.5</v>
      </c>
      <c r="AA193" s="637">
        <v>0.4</v>
      </c>
      <c r="AB193" s="302" t="s">
        <v>609</v>
      </c>
      <c r="AC193" s="302" t="s">
        <v>610</v>
      </c>
      <c r="AD193" s="637">
        <v>0.09</v>
      </c>
      <c r="AE193" s="302" t="s">
        <v>606</v>
      </c>
      <c r="AF193" s="302" t="s">
        <v>607</v>
      </c>
      <c r="AG193" s="637">
        <v>0.01</v>
      </c>
      <c r="AH193" s="645">
        <f t="shared" ref="AH193:AH199" si="287">+AA193+AD193+AG193</f>
        <v>0.5</v>
      </c>
      <c r="AI193" s="637">
        <v>0.4</v>
      </c>
      <c r="AJ193" s="302" t="s">
        <v>609</v>
      </c>
      <c r="AK193" s="302" t="s">
        <v>610</v>
      </c>
      <c r="AL193" s="637">
        <v>0.09</v>
      </c>
      <c r="AM193" s="302" t="s">
        <v>606</v>
      </c>
      <c r="AN193" s="302" t="s">
        <v>607</v>
      </c>
      <c r="AO193" s="637">
        <v>0.01</v>
      </c>
      <c r="AP193" s="645">
        <f t="shared" ref="AP193:AP201" si="288">+AI193+AL193+AO193</f>
        <v>0.5</v>
      </c>
      <c r="AQ193" s="637">
        <v>0.4</v>
      </c>
      <c r="AR193" s="302" t="s">
        <v>609</v>
      </c>
      <c r="AS193" s="302" t="s">
        <v>610</v>
      </c>
      <c r="AT193" s="637">
        <v>0.09</v>
      </c>
      <c r="AU193" s="302" t="s">
        <v>606</v>
      </c>
      <c r="AV193" s="302" t="s">
        <v>607</v>
      </c>
      <c r="AW193" s="637">
        <v>0.01</v>
      </c>
      <c r="AX193" s="645">
        <f t="shared" si="282"/>
        <v>0.5</v>
      </c>
      <c r="AY193" s="637">
        <v>0.56000000000000005</v>
      </c>
      <c r="AZ193" s="302" t="s">
        <v>609</v>
      </c>
      <c r="BA193" s="302" t="s">
        <v>610</v>
      </c>
      <c r="BB193" s="637">
        <v>0.17499999999999999</v>
      </c>
      <c r="BC193" s="302" t="s">
        <v>606</v>
      </c>
      <c r="BD193" s="302" t="s">
        <v>607</v>
      </c>
      <c r="BE193" s="637">
        <v>1.4999999999999999E-2</v>
      </c>
      <c r="BF193" s="434">
        <f t="shared" si="283"/>
        <v>0.75000000000000011</v>
      </c>
      <c r="BG193" s="587">
        <v>0.4</v>
      </c>
      <c r="BH193" s="302" t="s">
        <v>609</v>
      </c>
      <c r="BI193" s="302" t="s">
        <v>610</v>
      </c>
      <c r="BJ193" s="434">
        <v>0.09</v>
      </c>
      <c r="BK193" s="302" t="s">
        <v>606</v>
      </c>
      <c r="BL193" s="302" t="s">
        <v>607</v>
      </c>
      <c r="BM193" s="434">
        <v>0.01</v>
      </c>
      <c r="BN193" s="645">
        <f t="shared" si="284"/>
        <v>0.5</v>
      </c>
      <c r="BO193" s="434"/>
      <c r="BP193" s="434">
        <v>0.4</v>
      </c>
      <c r="BQ193" s="302" t="s">
        <v>609</v>
      </c>
      <c r="BR193" s="302" t="s">
        <v>610</v>
      </c>
      <c r="BS193" s="434">
        <v>0.09</v>
      </c>
      <c r="BT193" s="302" t="s">
        <v>606</v>
      </c>
      <c r="BU193" s="302" t="s">
        <v>607</v>
      </c>
      <c r="BV193" s="434">
        <v>0.01</v>
      </c>
      <c r="BW193" s="645">
        <f t="shared" si="285"/>
        <v>0.5</v>
      </c>
      <c r="BX193" s="434">
        <v>0.4</v>
      </c>
      <c r="BY193" s="302" t="s">
        <v>609</v>
      </c>
      <c r="BZ193" s="302" t="s">
        <v>610</v>
      </c>
      <c r="CA193" s="434">
        <v>0.09</v>
      </c>
      <c r="CB193" s="302" t="s">
        <v>606</v>
      </c>
      <c r="CC193" s="302" t="s">
        <v>607</v>
      </c>
      <c r="CD193" s="434">
        <v>0.01</v>
      </c>
      <c r="CE193" s="434">
        <f t="shared" si="286"/>
        <v>0.5</v>
      </c>
      <c r="CF193" s="1620" t="s">
        <v>1166</v>
      </c>
      <c r="CG193" s="1620" t="s">
        <v>1166</v>
      </c>
      <c r="CH193" s="1620" t="s">
        <v>1166</v>
      </c>
      <c r="CI193" s="406"/>
      <c r="CJ193" s="642">
        <v>0.67</v>
      </c>
      <c r="CK193" s="591" t="s">
        <v>862</v>
      </c>
      <c r="CL193" s="302" t="s">
        <v>609</v>
      </c>
      <c r="CM193" s="302" t="s">
        <v>610</v>
      </c>
      <c r="CN193" s="637">
        <v>0.59</v>
      </c>
      <c r="CO193" s="302" t="s">
        <v>606</v>
      </c>
      <c r="CP193" s="302" t="s">
        <v>607</v>
      </c>
      <c r="CQ193" s="637">
        <v>0.01</v>
      </c>
    </row>
    <row r="194" spans="1:98" ht="15.75" customHeight="1" x14ac:dyDescent="0.2">
      <c r="A194" s="661" t="s">
        <v>274</v>
      </c>
      <c r="B194" s="440" t="s">
        <v>522</v>
      </c>
      <c r="C194" s="637">
        <v>0.49</v>
      </c>
      <c r="D194" s="440" t="s">
        <v>508</v>
      </c>
      <c r="E194" s="440" t="s">
        <v>509</v>
      </c>
      <c r="F194" s="637">
        <v>0</v>
      </c>
      <c r="G194" s="440" t="s">
        <v>519</v>
      </c>
      <c r="H194" s="440" t="s">
        <v>520</v>
      </c>
      <c r="I194" s="637">
        <v>0.01</v>
      </c>
      <c r="J194" s="662">
        <f t="shared" si="139"/>
        <v>0.5</v>
      </c>
      <c r="K194" s="637">
        <v>0.49</v>
      </c>
      <c r="L194" s="440" t="s">
        <v>508</v>
      </c>
      <c r="M194" s="440" t="s">
        <v>509</v>
      </c>
      <c r="N194" s="637">
        <v>0</v>
      </c>
      <c r="O194" s="440" t="s">
        <v>519</v>
      </c>
      <c r="P194" s="440" t="s">
        <v>520</v>
      </c>
      <c r="Q194" s="637">
        <v>0.01</v>
      </c>
      <c r="R194" s="662">
        <f t="shared" si="262"/>
        <v>0.5</v>
      </c>
      <c r="S194" s="637">
        <v>0.49</v>
      </c>
      <c r="T194" s="302" t="s">
        <v>508</v>
      </c>
      <c r="U194" s="302" t="s">
        <v>509</v>
      </c>
      <c r="V194" s="637">
        <v>0</v>
      </c>
      <c r="W194" s="302" t="s">
        <v>519</v>
      </c>
      <c r="X194" s="302" t="s">
        <v>520</v>
      </c>
      <c r="Y194" s="637">
        <v>0.01</v>
      </c>
      <c r="Z194" s="645">
        <f t="shared" si="263"/>
        <v>0.5</v>
      </c>
      <c r="AA194" s="637">
        <v>0.49</v>
      </c>
      <c r="AB194" s="302" t="s">
        <v>508</v>
      </c>
      <c r="AC194" s="302" t="s">
        <v>509</v>
      </c>
      <c r="AD194" s="637">
        <v>0</v>
      </c>
      <c r="AE194" s="302" t="s">
        <v>519</v>
      </c>
      <c r="AF194" s="302" t="s">
        <v>520</v>
      </c>
      <c r="AG194" s="637">
        <v>0.01</v>
      </c>
      <c r="AH194" s="645">
        <f t="shared" si="287"/>
        <v>0.5</v>
      </c>
      <c r="AI194" s="637">
        <v>0.49</v>
      </c>
      <c r="AJ194" s="302" t="s">
        <v>508</v>
      </c>
      <c r="AK194" s="302" t="s">
        <v>509</v>
      </c>
      <c r="AL194" s="637">
        <v>0</v>
      </c>
      <c r="AM194" s="302" t="s">
        <v>519</v>
      </c>
      <c r="AN194" s="302" t="s">
        <v>520</v>
      </c>
      <c r="AO194" s="637">
        <v>0.01</v>
      </c>
      <c r="AP194" s="645">
        <f t="shared" si="288"/>
        <v>0.5</v>
      </c>
      <c r="AQ194" s="637">
        <v>0.49</v>
      </c>
      <c r="AR194" s="302" t="s">
        <v>508</v>
      </c>
      <c r="AS194" s="302" t="s">
        <v>509</v>
      </c>
      <c r="AT194" s="637">
        <v>0</v>
      </c>
      <c r="AU194" s="302" t="s">
        <v>519</v>
      </c>
      <c r="AV194" s="302" t="s">
        <v>520</v>
      </c>
      <c r="AW194" s="637">
        <v>0.01</v>
      </c>
      <c r="AX194" s="645">
        <f t="shared" si="282"/>
        <v>0.5</v>
      </c>
      <c r="AY194" s="637">
        <v>0.74</v>
      </c>
      <c r="AZ194" s="302" t="s">
        <v>508</v>
      </c>
      <c r="BA194" s="302" t="s">
        <v>509</v>
      </c>
      <c r="BB194" s="637">
        <v>0</v>
      </c>
      <c r="BC194" s="302" t="s">
        <v>519</v>
      </c>
      <c r="BD194" s="302" t="s">
        <v>520</v>
      </c>
      <c r="BE194" s="637">
        <v>0.01</v>
      </c>
      <c r="BF194" s="434">
        <f t="shared" si="283"/>
        <v>0.75</v>
      </c>
      <c r="BG194" s="587">
        <v>0.99</v>
      </c>
      <c r="BH194" s="302" t="s">
        <v>508</v>
      </c>
      <c r="BI194" s="302" t="s">
        <v>509</v>
      </c>
      <c r="BJ194" s="434">
        <v>0</v>
      </c>
      <c r="BK194" s="302" t="s">
        <v>519</v>
      </c>
      <c r="BL194" s="302" t="s">
        <v>520</v>
      </c>
      <c r="BM194" s="434">
        <v>0.01</v>
      </c>
      <c r="BN194" s="645">
        <f t="shared" si="284"/>
        <v>1</v>
      </c>
      <c r="BO194" s="434"/>
      <c r="BP194" s="434">
        <v>0.49</v>
      </c>
      <c r="BQ194" s="302" t="s">
        <v>508</v>
      </c>
      <c r="BR194" s="302" t="s">
        <v>509</v>
      </c>
      <c r="BS194" s="434">
        <v>0</v>
      </c>
      <c r="BT194" s="302" t="s">
        <v>519</v>
      </c>
      <c r="BU194" s="302" t="s">
        <v>520</v>
      </c>
      <c r="BV194" s="434">
        <v>0.01</v>
      </c>
      <c r="BW194" s="645">
        <f t="shared" si="285"/>
        <v>0.5</v>
      </c>
      <c r="BX194" s="434">
        <v>0.49</v>
      </c>
      <c r="BY194" s="302" t="s">
        <v>508</v>
      </c>
      <c r="BZ194" s="302" t="s">
        <v>509</v>
      </c>
      <c r="CA194" s="434">
        <v>0</v>
      </c>
      <c r="CB194" s="302" t="s">
        <v>519</v>
      </c>
      <c r="CC194" s="302" t="s">
        <v>520</v>
      </c>
      <c r="CD194" s="434">
        <v>0.01</v>
      </c>
      <c r="CE194" s="434">
        <f t="shared" si="286"/>
        <v>0.5</v>
      </c>
      <c r="CF194" s="1620" t="s">
        <v>1166</v>
      </c>
      <c r="CG194" s="1620" t="s">
        <v>1166</v>
      </c>
      <c r="CH194" s="1620" t="s">
        <v>1166</v>
      </c>
      <c r="CI194" s="408" t="s">
        <v>862</v>
      </c>
      <c r="CJ194" s="642">
        <v>0.72</v>
      </c>
      <c r="CK194" s="591" t="s">
        <v>922</v>
      </c>
      <c r="CL194" s="302" t="s">
        <v>508</v>
      </c>
      <c r="CM194" s="302" t="s">
        <v>509</v>
      </c>
      <c r="CN194" s="637">
        <v>0</v>
      </c>
      <c r="CO194" s="302" t="s">
        <v>519</v>
      </c>
      <c r="CP194" s="302" t="s">
        <v>520</v>
      </c>
      <c r="CQ194" s="637">
        <v>0.01</v>
      </c>
    </row>
    <row r="195" spans="1:98" ht="15" x14ac:dyDescent="0.2">
      <c r="A195" s="661" t="s">
        <v>276</v>
      </c>
      <c r="B195" s="440" t="s">
        <v>275</v>
      </c>
      <c r="C195" s="637">
        <v>0.3</v>
      </c>
      <c r="D195" s="440" t="s">
        <v>674</v>
      </c>
      <c r="E195" s="440" t="s">
        <v>675</v>
      </c>
      <c r="F195" s="637">
        <v>0.37</v>
      </c>
      <c r="G195" s="440" t="s">
        <v>508</v>
      </c>
      <c r="H195" s="440" t="s">
        <v>508</v>
      </c>
      <c r="I195" s="637">
        <v>0</v>
      </c>
      <c r="J195" s="662">
        <f t="shared" si="139"/>
        <v>0.66999999999999993</v>
      </c>
      <c r="K195" s="637">
        <v>0.3</v>
      </c>
      <c r="L195" s="440" t="s">
        <v>674</v>
      </c>
      <c r="M195" s="440" t="s">
        <v>675</v>
      </c>
      <c r="N195" s="637">
        <v>0.37</v>
      </c>
      <c r="O195" s="440" t="s">
        <v>508</v>
      </c>
      <c r="P195" s="440" t="s">
        <v>508</v>
      </c>
      <c r="Q195" s="637">
        <v>0</v>
      </c>
      <c r="R195" s="662">
        <f t="shared" si="262"/>
        <v>0.66999999999999993</v>
      </c>
      <c r="S195" s="637">
        <v>0.3</v>
      </c>
      <c r="T195" s="302" t="s">
        <v>674</v>
      </c>
      <c r="U195" s="302" t="s">
        <v>675</v>
      </c>
      <c r="V195" s="637">
        <v>0.37</v>
      </c>
      <c r="W195" s="302" t="s">
        <v>508</v>
      </c>
      <c r="X195" s="302" t="s">
        <v>508</v>
      </c>
      <c r="Y195" s="637">
        <v>0</v>
      </c>
      <c r="Z195" s="645">
        <f t="shared" si="263"/>
        <v>0.66999999999999993</v>
      </c>
      <c r="AA195" s="637">
        <v>0.3</v>
      </c>
      <c r="AB195" s="302" t="s">
        <v>674</v>
      </c>
      <c r="AC195" s="302" t="s">
        <v>675</v>
      </c>
      <c r="AD195" s="637">
        <v>0.37</v>
      </c>
      <c r="AE195" s="302" t="s">
        <v>508</v>
      </c>
      <c r="AF195" s="302" t="s">
        <v>508</v>
      </c>
      <c r="AG195" s="637">
        <v>0</v>
      </c>
      <c r="AH195" s="645">
        <f t="shared" si="287"/>
        <v>0.66999999999999993</v>
      </c>
      <c r="AI195" s="637">
        <v>0.3</v>
      </c>
      <c r="AJ195" s="302" t="s">
        <v>674</v>
      </c>
      <c r="AK195" s="302" t="s">
        <v>675</v>
      </c>
      <c r="AL195" s="637">
        <v>0.37</v>
      </c>
      <c r="AM195" s="302" t="s">
        <v>508</v>
      </c>
      <c r="AN195" s="302" t="s">
        <v>508</v>
      </c>
      <c r="AO195" s="637">
        <v>0</v>
      </c>
      <c r="AP195" s="645">
        <f t="shared" si="288"/>
        <v>0.66999999999999993</v>
      </c>
      <c r="AQ195" s="637">
        <v>0.3</v>
      </c>
      <c r="AR195" s="302" t="s">
        <v>674</v>
      </c>
      <c r="AS195" s="302" t="s">
        <v>675</v>
      </c>
      <c r="AT195" s="637">
        <v>0.37</v>
      </c>
      <c r="AU195" s="302" t="s">
        <v>508</v>
      </c>
      <c r="AV195" s="302" t="s">
        <v>508</v>
      </c>
      <c r="AW195" s="637">
        <v>0</v>
      </c>
      <c r="AX195" s="645">
        <f t="shared" si="282"/>
        <v>0.66999999999999993</v>
      </c>
      <c r="AY195" s="637">
        <v>0.48</v>
      </c>
      <c r="AZ195" s="302" t="s">
        <v>674</v>
      </c>
      <c r="BA195" s="302" t="s">
        <v>675</v>
      </c>
      <c r="BB195" s="637">
        <v>0.27</v>
      </c>
      <c r="BC195" s="302" t="s">
        <v>508</v>
      </c>
      <c r="BD195" s="302" t="s">
        <v>508</v>
      </c>
      <c r="BE195" s="637">
        <v>0</v>
      </c>
      <c r="BF195" s="434">
        <f t="shared" si="283"/>
        <v>0.75</v>
      </c>
      <c r="BG195" s="587">
        <v>0.64</v>
      </c>
      <c r="BH195" s="302" t="s">
        <v>674</v>
      </c>
      <c r="BI195" s="302" t="s">
        <v>675</v>
      </c>
      <c r="BJ195" s="434">
        <v>0.36</v>
      </c>
      <c r="BK195" s="302" t="s">
        <v>508</v>
      </c>
      <c r="BL195" s="302" t="s">
        <v>508</v>
      </c>
      <c r="BM195" s="434">
        <v>0</v>
      </c>
      <c r="BN195" s="645">
        <f t="shared" si="284"/>
        <v>1</v>
      </c>
      <c r="BO195" s="434"/>
      <c r="BP195" s="434">
        <v>0.3</v>
      </c>
      <c r="BQ195" s="302" t="s">
        <v>674</v>
      </c>
      <c r="BR195" s="302" t="s">
        <v>675</v>
      </c>
      <c r="BS195" s="434">
        <v>0.37</v>
      </c>
      <c r="BT195" s="302" t="s">
        <v>508</v>
      </c>
      <c r="BU195" s="302" t="s">
        <v>508</v>
      </c>
      <c r="BV195" s="434">
        <v>0</v>
      </c>
      <c r="BW195" s="645">
        <f t="shared" si="285"/>
        <v>0.66999999999999993</v>
      </c>
      <c r="BX195" s="434">
        <v>0.3</v>
      </c>
      <c r="BY195" s="302" t="s">
        <v>674</v>
      </c>
      <c r="BZ195" s="302" t="s">
        <v>675</v>
      </c>
      <c r="CA195" s="434">
        <v>0.2</v>
      </c>
      <c r="CB195" s="302" t="s">
        <v>508</v>
      </c>
      <c r="CC195" s="302" t="s">
        <v>508</v>
      </c>
      <c r="CD195" s="434">
        <v>0</v>
      </c>
      <c r="CE195" s="434">
        <f t="shared" si="286"/>
        <v>0.5</v>
      </c>
      <c r="CF195" s="1620" t="s">
        <v>1166</v>
      </c>
      <c r="CG195" s="1620" t="s">
        <v>1166</v>
      </c>
      <c r="CH195" s="1620" t="s">
        <v>1166</v>
      </c>
      <c r="CI195" s="408" t="s">
        <v>862</v>
      </c>
      <c r="CJ195" s="642">
        <v>0.76100000000000001</v>
      </c>
      <c r="CK195" s="591" t="s">
        <v>922</v>
      </c>
      <c r="CL195" s="302" t="s">
        <v>674</v>
      </c>
      <c r="CM195" s="302" t="s">
        <v>675</v>
      </c>
      <c r="CN195" s="637">
        <v>0.2</v>
      </c>
      <c r="CO195" s="302" t="s">
        <v>508</v>
      </c>
      <c r="CP195" s="302" t="s">
        <v>508</v>
      </c>
      <c r="CQ195" s="637">
        <v>0</v>
      </c>
    </row>
    <row r="196" spans="1:98" ht="15.75" customHeight="1" x14ac:dyDescent="0.2">
      <c r="A196" s="661" t="s">
        <v>278</v>
      </c>
      <c r="B196" s="440" t="s">
        <v>544</v>
      </c>
      <c r="C196" s="637">
        <v>0.49</v>
      </c>
      <c r="D196" s="440" t="s">
        <v>508</v>
      </c>
      <c r="E196" s="440" t="s">
        <v>509</v>
      </c>
      <c r="F196" s="637">
        <v>0</v>
      </c>
      <c r="G196" s="440" t="s">
        <v>541</v>
      </c>
      <c r="H196" s="440" t="s">
        <v>542</v>
      </c>
      <c r="I196" s="637">
        <v>0.01</v>
      </c>
      <c r="J196" s="662">
        <f t="shared" si="139"/>
        <v>0.5</v>
      </c>
      <c r="K196" s="637">
        <v>0.49</v>
      </c>
      <c r="L196" s="440" t="s">
        <v>508</v>
      </c>
      <c r="M196" s="440" t="s">
        <v>509</v>
      </c>
      <c r="N196" s="637">
        <v>0</v>
      </c>
      <c r="O196" s="440" t="s">
        <v>541</v>
      </c>
      <c r="P196" s="440" t="s">
        <v>542</v>
      </c>
      <c r="Q196" s="637">
        <v>0.01</v>
      </c>
      <c r="R196" s="662">
        <f t="shared" si="262"/>
        <v>0.5</v>
      </c>
      <c r="S196" s="637">
        <v>0.49</v>
      </c>
      <c r="T196" s="302" t="s">
        <v>508</v>
      </c>
      <c r="U196" s="302" t="s">
        <v>509</v>
      </c>
      <c r="V196" s="637">
        <v>0</v>
      </c>
      <c r="W196" s="302" t="s">
        <v>541</v>
      </c>
      <c r="X196" s="302" t="s">
        <v>542</v>
      </c>
      <c r="Y196" s="637">
        <v>0.01</v>
      </c>
      <c r="Z196" s="645">
        <f t="shared" si="263"/>
        <v>0.5</v>
      </c>
      <c r="AA196" s="637">
        <v>0.49</v>
      </c>
      <c r="AB196" s="302" t="s">
        <v>508</v>
      </c>
      <c r="AC196" s="302" t="s">
        <v>509</v>
      </c>
      <c r="AD196" s="637">
        <v>0</v>
      </c>
      <c r="AE196" s="302" t="s">
        <v>541</v>
      </c>
      <c r="AF196" s="302" t="s">
        <v>542</v>
      </c>
      <c r="AG196" s="637">
        <v>0.01</v>
      </c>
      <c r="AH196" s="645">
        <f t="shared" si="287"/>
        <v>0.5</v>
      </c>
      <c r="AI196" s="637">
        <v>0.49</v>
      </c>
      <c r="AJ196" s="302" t="s">
        <v>508</v>
      </c>
      <c r="AK196" s="302" t="s">
        <v>509</v>
      </c>
      <c r="AL196" s="637">
        <v>0</v>
      </c>
      <c r="AM196" s="302" t="s">
        <v>541</v>
      </c>
      <c r="AN196" s="302" t="s">
        <v>542</v>
      </c>
      <c r="AO196" s="637">
        <v>0.01</v>
      </c>
      <c r="AP196" s="645">
        <f t="shared" si="288"/>
        <v>0.5</v>
      </c>
      <c r="AQ196" s="637">
        <v>0.49</v>
      </c>
      <c r="AR196" s="302" t="s">
        <v>508</v>
      </c>
      <c r="AS196" s="302" t="s">
        <v>509</v>
      </c>
      <c r="AT196" s="637">
        <v>0</v>
      </c>
      <c r="AU196" s="302" t="s">
        <v>541</v>
      </c>
      <c r="AV196" s="302" t="s">
        <v>542</v>
      </c>
      <c r="AW196" s="637">
        <v>0.01</v>
      </c>
      <c r="AX196" s="645">
        <f t="shared" si="282"/>
        <v>0.5</v>
      </c>
      <c r="AY196" s="637">
        <v>0.49</v>
      </c>
      <c r="AZ196" s="302" t="s">
        <v>508</v>
      </c>
      <c r="BA196" s="302" t="s">
        <v>509</v>
      </c>
      <c r="BB196" s="637">
        <v>0</v>
      </c>
      <c r="BC196" s="302" t="s">
        <v>541</v>
      </c>
      <c r="BD196" s="302" t="s">
        <v>542</v>
      </c>
      <c r="BE196" s="637">
        <v>0.01</v>
      </c>
      <c r="BF196" s="434">
        <f t="shared" si="283"/>
        <v>0.5</v>
      </c>
      <c r="BG196" s="587">
        <v>0.49</v>
      </c>
      <c r="BH196" s="302" t="s">
        <v>508</v>
      </c>
      <c r="BI196" s="302" t="s">
        <v>509</v>
      </c>
      <c r="BJ196" s="434">
        <v>0</v>
      </c>
      <c r="BK196" s="302" t="s">
        <v>541</v>
      </c>
      <c r="BL196" s="302" t="s">
        <v>542</v>
      </c>
      <c r="BM196" s="434">
        <v>0.01</v>
      </c>
      <c r="BN196" s="645">
        <f t="shared" si="284"/>
        <v>0.5</v>
      </c>
      <c r="BO196" s="434"/>
      <c r="BP196" s="434">
        <v>0.49</v>
      </c>
      <c r="BQ196" s="302" t="s">
        <v>508</v>
      </c>
      <c r="BR196" s="302" t="s">
        <v>509</v>
      </c>
      <c r="BS196" s="434">
        <v>0</v>
      </c>
      <c r="BT196" s="302" t="s">
        <v>541</v>
      </c>
      <c r="BU196" s="302" t="s">
        <v>542</v>
      </c>
      <c r="BV196" s="434">
        <v>0.01</v>
      </c>
      <c r="BW196" s="645">
        <f t="shared" si="285"/>
        <v>0.5</v>
      </c>
      <c r="BX196" s="434">
        <v>0.49</v>
      </c>
      <c r="BY196" s="302" t="s">
        <v>508</v>
      </c>
      <c r="BZ196" s="302" t="s">
        <v>509</v>
      </c>
      <c r="CA196" s="434">
        <v>0</v>
      </c>
      <c r="CB196" s="302" t="s">
        <v>541</v>
      </c>
      <c r="CC196" s="302" t="s">
        <v>542</v>
      </c>
      <c r="CD196" s="434">
        <v>0.01</v>
      </c>
      <c r="CE196" s="434">
        <f t="shared" si="286"/>
        <v>0.5</v>
      </c>
      <c r="CF196" s="1620" t="s">
        <v>862</v>
      </c>
      <c r="CG196" s="1620" t="s">
        <v>862</v>
      </c>
      <c r="CH196" s="1620" t="s">
        <v>1166</v>
      </c>
      <c r="CI196" s="408" t="s">
        <v>862</v>
      </c>
      <c r="CJ196" s="642">
        <v>0.63900000000000001</v>
      </c>
      <c r="CK196" s="591" t="s">
        <v>922</v>
      </c>
      <c r="CL196" s="302" t="s">
        <v>508</v>
      </c>
      <c r="CM196" s="302" t="s">
        <v>509</v>
      </c>
      <c r="CN196" s="637">
        <v>0</v>
      </c>
      <c r="CO196" s="302" t="s">
        <v>541</v>
      </c>
      <c r="CP196" s="302" t="s">
        <v>542</v>
      </c>
      <c r="CQ196" s="637">
        <v>0.01</v>
      </c>
    </row>
    <row r="197" spans="1:98" ht="15.75" customHeight="1" x14ac:dyDescent="0.2">
      <c r="A197" s="661" t="s">
        <v>280</v>
      </c>
      <c r="B197" s="440" t="s">
        <v>279</v>
      </c>
      <c r="C197" s="637">
        <v>0.4</v>
      </c>
      <c r="D197" s="440" t="s">
        <v>588</v>
      </c>
      <c r="E197" s="440" t="s">
        <v>589</v>
      </c>
      <c r="F197" s="637">
        <v>0.09</v>
      </c>
      <c r="G197" s="440" t="s">
        <v>586</v>
      </c>
      <c r="H197" s="440" t="s">
        <v>587</v>
      </c>
      <c r="I197" s="637">
        <v>0.01</v>
      </c>
      <c r="J197" s="662">
        <f t="shared" si="139"/>
        <v>0.5</v>
      </c>
      <c r="K197" s="637">
        <v>0.4</v>
      </c>
      <c r="L197" s="440" t="s">
        <v>588</v>
      </c>
      <c r="M197" s="440" t="s">
        <v>589</v>
      </c>
      <c r="N197" s="637">
        <v>0.09</v>
      </c>
      <c r="O197" s="440" t="s">
        <v>586</v>
      </c>
      <c r="P197" s="440" t="s">
        <v>587</v>
      </c>
      <c r="Q197" s="637">
        <v>0.01</v>
      </c>
      <c r="R197" s="662">
        <f t="shared" si="262"/>
        <v>0.5</v>
      </c>
      <c r="S197" s="637">
        <v>0.4</v>
      </c>
      <c r="T197" s="302" t="s">
        <v>588</v>
      </c>
      <c r="U197" s="302" t="s">
        <v>589</v>
      </c>
      <c r="V197" s="637">
        <v>0.09</v>
      </c>
      <c r="W197" s="302" t="s">
        <v>586</v>
      </c>
      <c r="X197" s="302" t="s">
        <v>587</v>
      </c>
      <c r="Y197" s="637">
        <v>0.01</v>
      </c>
      <c r="Z197" s="645">
        <f t="shared" si="263"/>
        <v>0.5</v>
      </c>
      <c r="AA197" s="637">
        <v>0.4</v>
      </c>
      <c r="AB197" s="302" t="s">
        <v>588</v>
      </c>
      <c r="AC197" s="302" t="s">
        <v>589</v>
      </c>
      <c r="AD197" s="637">
        <v>0.09</v>
      </c>
      <c r="AE197" s="302" t="s">
        <v>586</v>
      </c>
      <c r="AF197" s="302" t="s">
        <v>587</v>
      </c>
      <c r="AG197" s="637">
        <v>0.01</v>
      </c>
      <c r="AH197" s="645">
        <f t="shared" si="287"/>
        <v>0.5</v>
      </c>
      <c r="AI197" s="637">
        <v>0.4</v>
      </c>
      <c r="AJ197" s="302" t="s">
        <v>588</v>
      </c>
      <c r="AK197" s="302" t="s">
        <v>589</v>
      </c>
      <c r="AL197" s="637">
        <v>0.09</v>
      </c>
      <c r="AM197" s="302" t="s">
        <v>586</v>
      </c>
      <c r="AN197" s="302" t="s">
        <v>587</v>
      </c>
      <c r="AO197" s="637">
        <v>0.01</v>
      </c>
      <c r="AP197" s="645">
        <f t="shared" si="288"/>
        <v>0.5</v>
      </c>
      <c r="AQ197" s="637">
        <v>0.4</v>
      </c>
      <c r="AR197" s="302" t="s">
        <v>588</v>
      </c>
      <c r="AS197" s="302" t="s">
        <v>589</v>
      </c>
      <c r="AT197" s="637">
        <v>0.09</v>
      </c>
      <c r="AU197" s="302" t="s">
        <v>586</v>
      </c>
      <c r="AV197" s="302" t="s">
        <v>587</v>
      </c>
      <c r="AW197" s="637">
        <v>0.01</v>
      </c>
      <c r="AX197" s="645">
        <f t="shared" si="282"/>
        <v>0.5</v>
      </c>
      <c r="AY197" s="637">
        <v>0</v>
      </c>
      <c r="AZ197" s="302" t="s">
        <v>588</v>
      </c>
      <c r="BA197" s="302" t="s">
        <v>589</v>
      </c>
      <c r="BB197" s="637">
        <v>0.74</v>
      </c>
      <c r="BC197" s="302" t="s">
        <v>586</v>
      </c>
      <c r="BD197" s="302" t="s">
        <v>587</v>
      </c>
      <c r="BE197" s="637">
        <v>0.01</v>
      </c>
      <c r="BF197" s="434">
        <f t="shared" si="283"/>
        <v>0.75</v>
      </c>
      <c r="BG197" s="587">
        <v>0.4</v>
      </c>
      <c r="BH197" s="302" t="s">
        <v>588</v>
      </c>
      <c r="BI197" s="302" t="s">
        <v>589</v>
      </c>
      <c r="BJ197" s="434">
        <v>0.09</v>
      </c>
      <c r="BK197" s="302" t="s">
        <v>586</v>
      </c>
      <c r="BL197" s="302" t="s">
        <v>587</v>
      </c>
      <c r="BM197" s="434">
        <v>0.01</v>
      </c>
      <c r="BN197" s="645">
        <f t="shared" si="284"/>
        <v>0.5</v>
      </c>
      <c r="BO197" s="434"/>
      <c r="BP197" s="434">
        <v>0.4</v>
      </c>
      <c r="BQ197" s="302" t="s">
        <v>588</v>
      </c>
      <c r="BR197" s="302" t="s">
        <v>589</v>
      </c>
      <c r="BS197" s="434">
        <v>0.09</v>
      </c>
      <c r="BT197" s="302" t="s">
        <v>586</v>
      </c>
      <c r="BU197" s="302" t="s">
        <v>587</v>
      </c>
      <c r="BV197" s="434">
        <v>0.01</v>
      </c>
      <c r="BW197" s="645">
        <f t="shared" si="285"/>
        <v>0.5</v>
      </c>
      <c r="BX197" s="434">
        <v>0.4</v>
      </c>
      <c r="BY197" s="302" t="s">
        <v>588</v>
      </c>
      <c r="BZ197" s="302" t="s">
        <v>589</v>
      </c>
      <c r="CA197" s="434">
        <v>0.09</v>
      </c>
      <c r="CB197" s="302" t="s">
        <v>586</v>
      </c>
      <c r="CC197" s="302" t="s">
        <v>587</v>
      </c>
      <c r="CD197" s="434">
        <v>0.01</v>
      </c>
      <c r="CE197" s="434">
        <f t="shared" si="286"/>
        <v>0.5</v>
      </c>
      <c r="CF197" s="1620" t="s">
        <v>1166</v>
      </c>
      <c r="CG197" s="1620" t="s">
        <v>1166</v>
      </c>
      <c r="CH197" s="1620" t="s">
        <v>1166</v>
      </c>
      <c r="CI197" s="406"/>
      <c r="CJ197" s="642">
        <v>0.68899999999999995</v>
      </c>
      <c r="CK197" s="591" t="s">
        <v>922</v>
      </c>
      <c r="CL197" s="302" t="s">
        <v>588</v>
      </c>
      <c r="CM197" s="302" t="s">
        <v>589</v>
      </c>
      <c r="CN197" s="637">
        <v>0.59</v>
      </c>
      <c r="CO197" s="302" t="s">
        <v>586</v>
      </c>
      <c r="CP197" s="302" t="s">
        <v>587</v>
      </c>
      <c r="CQ197" s="637">
        <v>0.01</v>
      </c>
    </row>
    <row r="198" spans="1:98" ht="15" x14ac:dyDescent="0.2">
      <c r="A198" s="661" t="s">
        <v>282</v>
      </c>
      <c r="B198" s="440" t="s">
        <v>651</v>
      </c>
      <c r="C198" s="637">
        <v>0.4</v>
      </c>
      <c r="D198" s="440" t="s">
        <v>649</v>
      </c>
      <c r="E198" s="440" t="s">
        <v>650</v>
      </c>
      <c r="F198" s="637">
        <v>0.1</v>
      </c>
      <c r="G198" s="440" t="s">
        <v>508</v>
      </c>
      <c r="H198" s="440" t="s">
        <v>546</v>
      </c>
      <c r="I198" s="637">
        <v>0</v>
      </c>
      <c r="J198" s="662">
        <f t="shared" si="139"/>
        <v>0.5</v>
      </c>
      <c r="K198" s="637">
        <v>0.4</v>
      </c>
      <c r="L198" s="440" t="s">
        <v>649</v>
      </c>
      <c r="M198" s="440" t="s">
        <v>650</v>
      </c>
      <c r="N198" s="637">
        <v>0.1</v>
      </c>
      <c r="O198" s="440" t="s">
        <v>508</v>
      </c>
      <c r="P198" s="440" t="s">
        <v>546</v>
      </c>
      <c r="Q198" s="637">
        <v>0</v>
      </c>
      <c r="R198" s="662">
        <f t="shared" si="262"/>
        <v>0.5</v>
      </c>
      <c r="S198" s="637">
        <v>0.4</v>
      </c>
      <c r="T198" s="302" t="s">
        <v>649</v>
      </c>
      <c r="U198" s="302" t="s">
        <v>650</v>
      </c>
      <c r="V198" s="637">
        <v>0.1</v>
      </c>
      <c r="W198" s="302" t="s">
        <v>508</v>
      </c>
      <c r="X198" s="302" t="s">
        <v>546</v>
      </c>
      <c r="Y198" s="637">
        <v>0</v>
      </c>
      <c r="Z198" s="645">
        <f t="shared" si="263"/>
        <v>0.5</v>
      </c>
      <c r="AA198" s="637">
        <v>0.4</v>
      </c>
      <c r="AB198" s="302" t="s">
        <v>649</v>
      </c>
      <c r="AC198" s="302" t="s">
        <v>650</v>
      </c>
      <c r="AD198" s="637">
        <v>0.1</v>
      </c>
      <c r="AE198" s="302" t="s">
        <v>508</v>
      </c>
      <c r="AF198" s="302" t="s">
        <v>546</v>
      </c>
      <c r="AG198" s="637">
        <v>0</v>
      </c>
      <c r="AH198" s="645">
        <f t="shared" si="287"/>
        <v>0.5</v>
      </c>
      <c r="AI198" s="637">
        <v>0.4</v>
      </c>
      <c r="AJ198" s="302" t="s">
        <v>649</v>
      </c>
      <c r="AK198" s="302" t="s">
        <v>650</v>
      </c>
      <c r="AL198" s="637">
        <v>0.1</v>
      </c>
      <c r="AM198" s="302" t="s">
        <v>508</v>
      </c>
      <c r="AN198" s="302" t="s">
        <v>546</v>
      </c>
      <c r="AO198" s="637">
        <v>0</v>
      </c>
      <c r="AP198" s="645">
        <f t="shared" si="288"/>
        <v>0.5</v>
      </c>
      <c r="AQ198" s="637">
        <v>0.4</v>
      </c>
      <c r="AR198" s="302" t="s">
        <v>649</v>
      </c>
      <c r="AS198" s="302" t="s">
        <v>650</v>
      </c>
      <c r="AT198" s="637">
        <v>0.1</v>
      </c>
      <c r="AU198" s="302" t="s">
        <v>508</v>
      </c>
      <c r="AV198" s="302" t="s">
        <v>546</v>
      </c>
      <c r="AW198" s="637">
        <v>0</v>
      </c>
      <c r="AX198" s="645">
        <f t="shared" si="282"/>
        <v>0.5</v>
      </c>
      <c r="AY198" s="637">
        <v>0.4</v>
      </c>
      <c r="AZ198" s="302" t="s">
        <v>649</v>
      </c>
      <c r="BA198" s="302" t="s">
        <v>650</v>
      </c>
      <c r="BB198" s="637">
        <v>0.1</v>
      </c>
      <c r="BC198" s="302" t="s">
        <v>508</v>
      </c>
      <c r="BD198" s="302" t="s">
        <v>546</v>
      </c>
      <c r="BE198" s="637">
        <v>0</v>
      </c>
      <c r="BF198" s="434">
        <f t="shared" si="283"/>
        <v>0.5</v>
      </c>
      <c r="BG198" s="587">
        <v>0.3</v>
      </c>
      <c r="BH198" s="302" t="s">
        <v>649</v>
      </c>
      <c r="BI198" s="302" t="s">
        <v>650</v>
      </c>
      <c r="BJ198" s="434">
        <v>0.7</v>
      </c>
      <c r="BK198" s="302" t="s">
        <v>508</v>
      </c>
      <c r="BL198" s="302" t="s">
        <v>546</v>
      </c>
      <c r="BM198" s="434">
        <v>0</v>
      </c>
      <c r="BN198" s="645">
        <f t="shared" si="284"/>
        <v>1</v>
      </c>
      <c r="BO198" s="434"/>
      <c r="BP198" s="434">
        <v>0.4</v>
      </c>
      <c r="BQ198" s="302" t="s">
        <v>649</v>
      </c>
      <c r="BR198" s="302" t="s">
        <v>650</v>
      </c>
      <c r="BS198" s="434">
        <v>0.1</v>
      </c>
      <c r="BT198" s="302" t="s">
        <v>508</v>
      </c>
      <c r="BU198" s="302" t="s">
        <v>546</v>
      </c>
      <c r="BV198" s="434">
        <v>0</v>
      </c>
      <c r="BW198" s="645">
        <f t="shared" si="285"/>
        <v>0.5</v>
      </c>
      <c r="BX198" s="434">
        <v>0.4</v>
      </c>
      <c r="BY198" s="302" t="s">
        <v>649</v>
      </c>
      <c r="BZ198" s="302" t="s">
        <v>650</v>
      </c>
      <c r="CA198" s="434">
        <v>0.1</v>
      </c>
      <c r="CB198" s="302" t="s">
        <v>508</v>
      </c>
      <c r="CC198" s="302" t="s">
        <v>546</v>
      </c>
      <c r="CD198" s="434">
        <v>0</v>
      </c>
      <c r="CE198" s="434">
        <f t="shared" si="286"/>
        <v>0.5</v>
      </c>
      <c r="CF198" s="1620" t="s">
        <v>1166</v>
      </c>
      <c r="CG198" s="1620" t="s">
        <v>1166</v>
      </c>
      <c r="CH198" s="1620" t="s">
        <v>1166</v>
      </c>
      <c r="CI198" s="406"/>
      <c r="CJ198" s="642">
        <v>0.70699999999999996</v>
      </c>
      <c r="CK198" s="591" t="s">
        <v>922</v>
      </c>
      <c r="CL198" s="302" t="s">
        <v>649</v>
      </c>
      <c r="CM198" s="302" t="s">
        <v>650</v>
      </c>
      <c r="CN198" s="637">
        <v>0.6</v>
      </c>
      <c r="CO198" s="302" t="s">
        <v>508</v>
      </c>
      <c r="CP198" s="302" t="s">
        <v>546</v>
      </c>
      <c r="CQ198" s="637">
        <v>0</v>
      </c>
    </row>
    <row r="199" spans="1:98" ht="15.75" customHeight="1" x14ac:dyDescent="0.2">
      <c r="A199" s="661" t="s">
        <v>284</v>
      </c>
      <c r="B199" s="440" t="s">
        <v>283</v>
      </c>
      <c r="C199" s="637">
        <v>0.4</v>
      </c>
      <c r="D199" s="440" t="s">
        <v>609</v>
      </c>
      <c r="E199" s="440" t="s">
        <v>610</v>
      </c>
      <c r="F199" s="637">
        <v>0.09</v>
      </c>
      <c r="G199" s="440" t="s">
        <v>606</v>
      </c>
      <c r="H199" s="440" t="s">
        <v>607</v>
      </c>
      <c r="I199" s="637">
        <v>0.01</v>
      </c>
      <c r="J199" s="662">
        <f t="shared" ref="J199:J262" si="289">C199+F199+I199</f>
        <v>0.5</v>
      </c>
      <c r="K199" s="637">
        <v>0.4</v>
      </c>
      <c r="L199" s="440" t="s">
        <v>609</v>
      </c>
      <c r="M199" s="440" t="s">
        <v>610</v>
      </c>
      <c r="N199" s="637">
        <v>0.09</v>
      </c>
      <c r="O199" s="440" t="s">
        <v>606</v>
      </c>
      <c r="P199" s="440" t="s">
        <v>607</v>
      </c>
      <c r="Q199" s="637">
        <v>0.01</v>
      </c>
      <c r="R199" s="662">
        <f t="shared" si="262"/>
        <v>0.5</v>
      </c>
      <c r="S199" s="637">
        <v>0.4</v>
      </c>
      <c r="T199" s="302" t="s">
        <v>609</v>
      </c>
      <c r="U199" s="302" t="s">
        <v>610</v>
      </c>
      <c r="V199" s="637">
        <v>0.09</v>
      </c>
      <c r="W199" s="302" t="s">
        <v>606</v>
      </c>
      <c r="X199" s="302" t="s">
        <v>607</v>
      </c>
      <c r="Y199" s="637">
        <v>0.01</v>
      </c>
      <c r="Z199" s="645">
        <f t="shared" si="263"/>
        <v>0.5</v>
      </c>
      <c r="AA199" s="637">
        <v>0.4</v>
      </c>
      <c r="AB199" s="302" t="s">
        <v>609</v>
      </c>
      <c r="AC199" s="302" t="s">
        <v>610</v>
      </c>
      <c r="AD199" s="637">
        <v>0.09</v>
      </c>
      <c r="AE199" s="302" t="s">
        <v>606</v>
      </c>
      <c r="AF199" s="302" t="s">
        <v>607</v>
      </c>
      <c r="AG199" s="637">
        <v>0.01</v>
      </c>
      <c r="AH199" s="645">
        <f t="shared" si="287"/>
        <v>0.5</v>
      </c>
      <c r="AI199" s="637">
        <v>0.4</v>
      </c>
      <c r="AJ199" s="302" t="s">
        <v>609</v>
      </c>
      <c r="AK199" s="302" t="s">
        <v>610</v>
      </c>
      <c r="AL199" s="637">
        <v>0.09</v>
      </c>
      <c r="AM199" s="302" t="s">
        <v>606</v>
      </c>
      <c r="AN199" s="302" t="s">
        <v>607</v>
      </c>
      <c r="AO199" s="637">
        <v>0.01</v>
      </c>
      <c r="AP199" s="645">
        <f t="shared" si="288"/>
        <v>0.5</v>
      </c>
      <c r="AQ199" s="637">
        <v>0.4</v>
      </c>
      <c r="AR199" s="302" t="s">
        <v>609</v>
      </c>
      <c r="AS199" s="302" t="s">
        <v>610</v>
      </c>
      <c r="AT199" s="637">
        <v>0.09</v>
      </c>
      <c r="AU199" s="302" t="s">
        <v>606</v>
      </c>
      <c r="AV199" s="302" t="s">
        <v>607</v>
      </c>
      <c r="AW199" s="637">
        <v>0.01</v>
      </c>
      <c r="AX199" s="645">
        <f t="shared" ref="AX199:AX208" si="290">+AQ199+AT199+AW199</f>
        <v>0.5</v>
      </c>
      <c r="AY199" s="637">
        <v>0.56000000000000005</v>
      </c>
      <c r="AZ199" s="302" t="s">
        <v>609</v>
      </c>
      <c r="BA199" s="302" t="s">
        <v>610</v>
      </c>
      <c r="BB199" s="637">
        <v>0.17499999999999999</v>
      </c>
      <c r="BC199" s="302" t="s">
        <v>606</v>
      </c>
      <c r="BD199" s="302" t="s">
        <v>607</v>
      </c>
      <c r="BE199" s="637">
        <v>1.4999999999999999E-2</v>
      </c>
      <c r="BF199" s="434">
        <f t="shared" ref="BF199:BF208" si="291">+AY199+BB199+BE199</f>
        <v>0.75000000000000011</v>
      </c>
      <c r="BG199" s="587">
        <v>0.4</v>
      </c>
      <c r="BH199" s="302" t="s">
        <v>609</v>
      </c>
      <c r="BI199" s="302" t="s">
        <v>610</v>
      </c>
      <c r="BJ199" s="434">
        <v>0.09</v>
      </c>
      <c r="BK199" s="302" t="s">
        <v>606</v>
      </c>
      <c r="BL199" s="302" t="s">
        <v>607</v>
      </c>
      <c r="BM199" s="434">
        <v>0.01</v>
      </c>
      <c r="BN199" s="645">
        <f t="shared" ref="BN199:BN208" si="292">+BG199+BJ199+BM199</f>
        <v>0.5</v>
      </c>
      <c r="BO199" s="434"/>
      <c r="BP199" s="434">
        <v>0.4</v>
      </c>
      <c r="BQ199" s="302" t="s">
        <v>609</v>
      </c>
      <c r="BR199" s="302" t="s">
        <v>610</v>
      </c>
      <c r="BS199" s="434">
        <v>0.09</v>
      </c>
      <c r="BT199" s="302" t="s">
        <v>606</v>
      </c>
      <c r="BU199" s="302" t="s">
        <v>607</v>
      </c>
      <c r="BV199" s="434">
        <v>0.01</v>
      </c>
      <c r="BW199" s="645">
        <f t="shared" ref="BW199:BW208" si="293">+BP199+BS199+BV199</f>
        <v>0.5</v>
      </c>
      <c r="BX199" s="434">
        <v>0.4</v>
      </c>
      <c r="BY199" s="302" t="s">
        <v>609</v>
      </c>
      <c r="BZ199" s="302" t="s">
        <v>610</v>
      </c>
      <c r="CA199" s="434">
        <v>0.09</v>
      </c>
      <c r="CB199" s="302" t="s">
        <v>606</v>
      </c>
      <c r="CC199" s="302" t="s">
        <v>607</v>
      </c>
      <c r="CD199" s="434">
        <v>0.01</v>
      </c>
      <c r="CE199" s="434">
        <f t="shared" ref="CE199:CE208" si="294">+BX199+CA199+CD199</f>
        <v>0.5</v>
      </c>
      <c r="CF199" s="1620" t="s">
        <v>862</v>
      </c>
      <c r="CG199" s="1620" t="s">
        <v>1166</v>
      </c>
      <c r="CH199" s="1620" t="s">
        <v>1166</v>
      </c>
      <c r="CI199" s="406"/>
      <c r="CJ199" s="642">
        <v>0.66400000000000003</v>
      </c>
      <c r="CK199" s="591" t="s">
        <v>862</v>
      </c>
      <c r="CL199" s="302" t="s">
        <v>609</v>
      </c>
      <c r="CM199" s="302" t="s">
        <v>610</v>
      </c>
      <c r="CN199" s="637">
        <v>0.59</v>
      </c>
      <c r="CO199" s="302" t="s">
        <v>606</v>
      </c>
      <c r="CP199" s="302" t="s">
        <v>607</v>
      </c>
      <c r="CQ199" s="637">
        <v>0.01</v>
      </c>
    </row>
    <row r="200" spans="1:98" ht="15.75" customHeight="1" x14ac:dyDescent="0.2">
      <c r="A200" s="661" t="s">
        <v>286</v>
      </c>
      <c r="B200" s="776" t="s">
        <v>680</v>
      </c>
      <c r="C200" s="637">
        <v>0.3</v>
      </c>
      <c r="D200" s="440" t="s">
        <v>674</v>
      </c>
      <c r="E200" s="440" t="s">
        <v>675</v>
      </c>
      <c r="F200" s="637">
        <v>0.37</v>
      </c>
      <c r="G200" s="440" t="s">
        <v>508</v>
      </c>
      <c r="H200" s="440" t="s">
        <v>508</v>
      </c>
      <c r="I200" s="637">
        <v>0</v>
      </c>
      <c r="J200" s="662">
        <f t="shared" si="289"/>
        <v>0.66999999999999993</v>
      </c>
      <c r="K200" s="637">
        <v>0.3</v>
      </c>
      <c r="L200" s="440" t="s">
        <v>674</v>
      </c>
      <c r="M200" s="440" t="s">
        <v>675</v>
      </c>
      <c r="N200" s="637">
        <v>0.37</v>
      </c>
      <c r="O200" s="440" t="s">
        <v>508</v>
      </c>
      <c r="P200" s="440" t="s">
        <v>508</v>
      </c>
      <c r="Q200" s="637">
        <v>0</v>
      </c>
      <c r="R200" s="662">
        <f t="shared" si="262"/>
        <v>0.66999999999999993</v>
      </c>
      <c r="S200" s="637">
        <v>0.3</v>
      </c>
      <c r="T200" s="302" t="s">
        <v>674</v>
      </c>
      <c r="U200" s="302" t="s">
        <v>675</v>
      </c>
      <c r="V200" s="637">
        <v>0.37</v>
      </c>
      <c r="W200" s="302" t="s">
        <v>508</v>
      </c>
      <c r="X200" s="302" t="s">
        <v>508</v>
      </c>
      <c r="Y200" s="637">
        <v>0</v>
      </c>
      <c r="Z200" s="645">
        <f t="shared" si="263"/>
        <v>0.66999999999999993</v>
      </c>
      <c r="AA200" s="637">
        <v>0.3</v>
      </c>
      <c r="AB200" s="302" t="s">
        <v>674</v>
      </c>
      <c r="AC200" s="302" t="s">
        <v>675</v>
      </c>
      <c r="AD200" s="637">
        <v>0.37</v>
      </c>
      <c r="AE200" s="302" t="s">
        <v>508</v>
      </c>
      <c r="AF200" s="302" t="s">
        <v>508</v>
      </c>
      <c r="AG200" s="637">
        <v>0</v>
      </c>
      <c r="AH200" s="645">
        <f t="shared" ref="AH200:AH206" si="295">+AA200+AD200+AG200</f>
        <v>0.66999999999999993</v>
      </c>
      <c r="AI200" s="637">
        <v>0.3</v>
      </c>
      <c r="AJ200" s="302" t="s">
        <v>674</v>
      </c>
      <c r="AK200" s="302" t="s">
        <v>675</v>
      </c>
      <c r="AL200" s="637">
        <v>0.37</v>
      </c>
      <c r="AM200" s="302" t="s">
        <v>508</v>
      </c>
      <c r="AN200" s="302" t="s">
        <v>508</v>
      </c>
      <c r="AO200" s="637">
        <v>0</v>
      </c>
      <c r="AP200" s="645">
        <f t="shared" si="288"/>
        <v>0.66999999999999993</v>
      </c>
      <c r="AQ200" s="637">
        <v>0.3</v>
      </c>
      <c r="AR200" s="302" t="s">
        <v>674</v>
      </c>
      <c r="AS200" s="302" t="s">
        <v>675</v>
      </c>
      <c r="AT200" s="637">
        <v>0.37</v>
      </c>
      <c r="AU200" s="302" t="s">
        <v>508</v>
      </c>
      <c r="AV200" s="302" t="s">
        <v>508</v>
      </c>
      <c r="AW200" s="637">
        <v>0</v>
      </c>
      <c r="AX200" s="645">
        <f t="shared" si="290"/>
        <v>0.66999999999999993</v>
      </c>
      <c r="AY200" s="637">
        <v>0.48</v>
      </c>
      <c r="AZ200" s="302" t="s">
        <v>674</v>
      </c>
      <c r="BA200" s="302" t="s">
        <v>675</v>
      </c>
      <c r="BB200" s="637">
        <v>0.27</v>
      </c>
      <c r="BC200" s="302" t="s">
        <v>508</v>
      </c>
      <c r="BD200" s="302" t="s">
        <v>508</v>
      </c>
      <c r="BE200" s="637">
        <v>0</v>
      </c>
      <c r="BF200" s="434">
        <f t="shared" si="291"/>
        <v>0.75</v>
      </c>
      <c r="BG200" s="587">
        <v>0.64</v>
      </c>
      <c r="BH200" s="302" t="s">
        <v>674</v>
      </c>
      <c r="BI200" s="302" t="s">
        <v>675</v>
      </c>
      <c r="BJ200" s="434">
        <v>0.36</v>
      </c>
      <c r="BK200" s="302" t="s">
        <v>508</v>
      </c>
      <c r="BL200" s="302" t="s">
        <v>508</v>
      </c>
      <c r="BM200" s="434">
        <v>0</v>
      </c>
      <c r="BN200" s="645">
        <f t="shared" si="292"/>
        <v>1</v>
      </c>
      <c r="BO200" s="434"/>
      <c r="BP200" s="434">
        <v>0.3</v>
      </c>
      <c r="BQ200" s="302" t="s">
        <v>674</v>
      </c>
      <c r="BR200" s="302" t="s">
        <v>675</v>
      </c>
      <c r="BS200" s="434">
        <v>0.37</v>
      </c>
      <c r="BT200" s="302" t="s">
        <v>508</v>
      </c>
      <c r="BU200" s="302" t="s">
        <v>508</v>
      </c>
      <c r="BV200" s="434">
        <v>0</v>
      </c>
      <c r="BW200" s="645">
        <f t="shared" si="293"/>
        <v>0.66999999999999993</v>
      </c>
      <c r="BX200" s="434">
        <v>0.3</v>
      </c>
      <c r="BY200" s="302" t="s">
        <v>674</v>
      </c>
      <c r="BZ200" s="302" t="s">
        <v>675</v>
      </c>
      <c r="CA200" s="434">
        <v>0.2</v>
      </c>
      <c r="CB200" s="302" t="s">
        <v>508</v>
      </c>
      <c r="CC200" s="302" t="s">
        <v>508</v>
      </c>
      <c r="CD200" s="434">
        <v>0</v>
      </c>
      <c r="CE200" s="434">
        <f t="shared" si="294"/>
        <v>0.5</v>
      </c>
      <c r="CF200" s="1620" t="s">
        <v>1166</v>
      </c>
      <c r="CG200" s="1620" t="s">
        <v>1166</v>
      </c>
      <c r="CH200" s="1620" t="s">
        <v>1166</v>
      </c>
      <c r="CI200" s="408" t="s">
        <v>862</v>
      </c>
      <c r="CJ200" s="642">
        <v>0.76900000000000002</v>
      </c>
      <c r="CK200" s="591" t="s">
        <v>922</v>
      </c>
      <c r="CL200" s="302" t="s">
        <v>674</v>
      </c>
      <c r="CM200" s="302" t="s">
        <v>675</v>
      </c>
      <c r="CN200" s="637">
        <v>0.2</v>
      </c>
      <c r="CO200" s="302" t="s">
        <v>508</v>
      </c>
      <c r="CP200" s="302" t="s">
        <v>508</v>
      </c>
      <c r="CQ200" s="637">
        <v>0</v>
      </c>
    </row>
    <row r="201" spans="1:98" ht="15.75" customHeight="1" x14ac:dyDescent="0.2">
      <c r="A201" s="661" t="s">
        <v>288</v>
      </c>
      <c r="B201" s="440" t="s">
        <v>287</v>
      </c>
      <c r="C201" s="637">
        <v>0.99</v>
      </c>
      <c r="D201" s="440" t="s">
        <v>508</v>
      </c>
      <c r="E201" s="440" t="s">
        <v>660</v>
      </c>
      <c r="F201" s="637">
        <v>0</v>
      </c>
      <c r="G201" s="440" t="s">
        <v>1281</v>
      </c>
      <c r="H201" s="440" t="s">
        <v>1199</v>
      </c>
      <c r="I201" s="637">
        <v>0.01</v>
      </c>
      <c r="J201" s="662">
        <f t="shared" si="289"/>
        <v>1</v>
      </c>
      <c r="K201" s="637">
        <v>0.99</v>
      </c>
      <c r="L201" s="440" t="s">
        <v>508</v>
      </c>
      <c r="M201" s="440" t="s">
        <v>660</v>
      </c>
      <c r="N201" s="637">
        <v>0</v>
      </c>
      <c r="O201" s="440" t="s">
        <v>1281</v>
      </c>
      <c r="P201" s="440" t="s">
        <v>1199</v>
      </c>
      <c r="Q201" s="637">
        <v>0.01</v>
      </c>
      <c r="R201" s="662">
        <f t="shared" si="262"/>
        <v>1</v>
      </c>
      <c r="S201" s="637">
        <v>0.99</v>
      </c>
      <c r="T201" s="302" t="s">
        <v>508</v>
      </c>
      <c r="U201" s="302" t="s">
        <v>660</v>
      </c>
      <c r="V201" s="637">
        <v>0</v>
      </c>
      <c r="W201" s="302" t="s">
        <v>1281</v>
      </c>
      <c r="X201" s="302" t="s">
        <v>1199</v>
      </c>
      <c r="Y201" s="637">
        <v>0.01</v>
      </c>
      <c r="Z201" s="645">
        <f t="shared" si="263"/>
        <v>1</v>
      </c>
      <c r="AA201" s="637">
        <v>0.99</v>
      </c>
      <c r="AB201" s="302" t="s">
        <v>508</v>
      </c>
      <c r="AC201" s="302" t="s">
        <v>660</v>
      </c>
      <c r="AD201" s="637">
        <v>0</v>
      </c>
      <c r="AE201" s="302" t="s">
        <v>1281</v>
      </c>
      <c r="AF201" s="302" t="s">
        <v>1199</v>
      </c>
      <c r="AG201" s="637">
        <v>0.01</v>
      </c>
      <c r="AH201" s="645">
        <f t="shared" si="295"/>
        <v>1</v>
      </c>
      <c r="AI201" s="637">
        <v>0.99</v>
      </c>
      <c r="AJ201" s="302" t="s">
        <v>508</v>
      </c>
      <c r="AK201" s="302" t="s">
        <v>660</v>
      </c>
      <c r="AL201" s="637">
        <v>0</v>
      </c>
      <c r="AM201" s="302" t="s">
        <v>1281</v>
      </c>
      <c r="AN201" s="302" t="s">
        <v>1199</v>
      </c>
      <c r="AO201" s="637">
        <v>0.01</v>
      </c>
      <c r="AP201" s="645">
        <f t="shared" si="288"/>
        <v>1</v>
      </c>
      <c r="AQ201" s="637">
        <v>0.99</v>
      </c>
      <c r="AR201" s="302" t="s">
        <v>508</v>
      </c>
      <c r="AS201" s="302" t="s">
        <v>660</v>
      </c>
      <c r="AT201" s="637">
        <v>0</v>
      </c>
      <c r="AU201" s="302" t="s">
        <v>1281</v>
      </c>
      <c r="AV201" s="302" t="s">
        <v>1199</v>
      </c>
      <c r="AW201" s="637">
        <v>0.01</v>
      </c>
      <c r="AX201" s="645">
        <f t="shared" si="290"/>
        <v>1</v>
      </c>
      <c r="AY201" s="637">
        <v>0.99</v>
      </c>
      <c r="AZ201" s="302" t="s">
        <v>508</v>
      </c>
      <c r="BA201" s="302" t="s">
        <v>660</v>
      </c>
      <c r="BB201" s="637">
        <v>0</v>
      </c>
      <c r="BC201" s="302" t="s">
        <v>661</v>
      </c>
      <c r="BD201" s="302" t="s">
        <v>1199</v>
      </c>
      <c r="BE201" s="637">
        <v>0.01</v>
      </c>
      <c r="BF201" s="434">
        <f t="shared" si="291"/>
        <v>1</v>
      </c>
      <c r="BG201" s="587">
        <v>0.99</v>
      </c>
      <c r="BH201" s="302" t="s">
        <v>508</v>
      </c>
      <c r="BI201" s="302" t="s">
        <v>660</v>
      </c>
      <c r="BJ201" s="434">
        <v>0</v>
      </c>
      <c r="BK201" s="302" t="s">
        <v>661</v>
      </c>
      <c r="BL201" s="302" t="s">
        <v>662</v>
      </c>
      <c r="BM201" s="434">
        <v>0.01</v>
      </c>
      <c r="BN201" s="645">
        <f t="shared" si="292"/>
        <v>1</v>
      </c>
      <c r="BO201" s="434"/>
      <c r="BP201" s="434">
        <v>0.99</v>
      </c>
      <c r="BQ201" s="302" t="s">
        <v>508</v>
      </c>
      <c r="BR201" s="302" t="s">
        <v>660</v>
      </c>
      <c r="BS201" s="434">
        <v>0</v>
      </c>
      <c r="BT201" s="302" t="s">
        <v>661</v>
      </c>
      <c r="BU201" s="302" t="s">
        <v>662</v>
      </c>
      <c r="BV201" s="434">
        <v>0.01</v>
      </c>
      <c r="BW201" s="645">
        <f t="shared" si="293"/>
        <v>1</v>
      </c>
      <c r="BX201" s="434">
        <v>0.49</v>
      </c>
      <c r="BY201" s="302" t="s">
        <v>508</v>
      </c>
      <c r="BZ201" s="302" t="s">
        <v>660</v>
      </c>
      <c r="CA201" s="434">
        <v>0</v>
      </c>
      <c r="CB201" s="302" t="s">
        <v>661</v>
      </c>
      <c r="CC201" s="302" t="s">
        <v>662</v>
      </c>
      <c r="CD201" s="434">
        <v>0.01</v>
      </c>
      <c r="CE201" s="434">
        <f t="shared" si="294"/>
        <v>0.5</v>
      </c>
      <c r="CF201" s="1620" t="s">
        <v>862</v>
      </c>
      <c r="CG201" s="1620" t="s">
        <v>1166</v>
      </c>
      <c r="CH201" s="1620" t="s">
        <v>862</v>
      </c>
      <c r="CI201" s="408" t="s">
        <v>862</v>
      </c>
      <c r="CJ201" s="642">
        <v>0.65300000000000002</v>
      </c>
      <c r="CK201" s="591" t="s">
        <v>922</v>
      </c>
      <c r="CL201" s="302" t="s">
        <v>508</v>
      </c>
      <c r="CM201" s="302" t="s">
        <v>660</v>
      </c>
      <c r="CN201" s="637">
        <v>0</v>
      </c>
      <c r="CO201" s="302" t="s">
        <v>661</v>
      </c>
      <c r="CP201" s="302" t="s">
        <v>662</v>
      </c>
      <c r="CQ201" s="637">
        <v>0.01</v>
      </c>
    </row>
    <row r="202" spans="1:98" s="421" customFormat="1" ht="15.75" customHeight="1" x14ac:dyDescent="0.25">
      <c r="A202" s="661" t="s">
        <v>290</v>
      </c>
      <c r="B202" s="440" t="s">
        <v>289</v>
      </c>
      <c r="C202" s="637">
        <v>0.4</v>
      </c>
      <c r="D202" s="440" t="s">
        <v>575</v>
      </c>
      <c r="E202" s="440" t="s">
        <v>576</v>
      </c>
      <c r="F202" s="637">
        <v>0.09</v>
      </c>
      <c r="G202" s="440" t="s">
        <v>572</v>
      </c>
      <c r="H202" s="440" t="s">
        <v>1200</v>
      </c>
      <c r="I202" s="637">
        <v>0.01</v>
      </c>
      <c r="J202" s="662">
        <f t="shared" si="289"/>
        <v>0.5</v>
      </c>
      <c r="K202" s="637">
        <v>0.4</v>
      </c>
      <c r="L202" s="440" t="s">
        <v>575</v>
      </c>
      <c r="M202" s="440" t="s">
        <v>576</v>
      </c>
      <c r="N202" s="637">
        <v>0.09</v>
      </c>
      <c r="O202" s="440" t="s">
        <v>572</v>
      </c>
      <c r="P202" s="440" t="s">
        <v>1200</v>
      </c>
      <c r="Q202" s="637">
        <v>0.01</v>
      </c>
      <c r="R202" s="662">
        <f t="shared" si="262"/>
        <v>0.5</v>
      </c>
      <c r="S202" s="637">
        <v>0.4</v>
      </c>
      <c r="T202" s="302" t="s">
        <v>575</v>
      </c>
      <c r="U202" s="302" t="s">
        <v>576</v>
      </c>
      <c r="V202" s="637">
        <v>0.09</v>
      </c>
      <c r="W202" s="302" t="s">
        <v>572</v>
      </c>
      <c r="X202" s="302" t="s">
        <v>1200</v>
      </c>
      <c r="Y202" s="637">
        <v>0.01</v>
      </c>
      <c r="Z202" s="645">
        <f t="shared" si="263"/>
        <v>0.5</v>
      </c>
      <c r="AA202" s="637">
        <v>0.4</v>
      </c>
      <c r="AB202" s="302" t="s">
        <v>575</v>
      </c>
      <c r="AC202" s="302" t="s">
        <v>576</v>
      </c>
      <c r="AD202" s="637">
        <v>0.09</v>
      </c>
      <c r="AE202" s="302" t="s">
        <v>572</v>
      </c>
      <c r="AF202" s="302" t="s">
        <v>1200</v>
      </c>
      <c r="AG202" s="637">
        <v>0.01</v>
      </c>
      <c r="AH202" s="645">
        <f t="shared" si="295"/>
        <v>0.5</v>
      </c>
      <c r="AI202" s="637">
        <v>0.4</v>
      </c>
      <c r="AJ202" s="302" t="s">
        <v>575</v>
      </c>
      <c r="AK202" s="302" t="s">
        <v>576</v>
      </c>
      <c r="AL202" s="637">
        <v>0.09</v>
      </c>
      <c r="AM202" s="302" t="s">
        <v>572</v>
      </c>
      <c r="AN202" s="302" t="s">
        <v>1200</v>
      </c>
      <c r="AO202" s="637">
        <v>0.01</v>
      </c>
      <c r="AP202" s="645">
        <f t="shared" ref="AP202:AP210" si="296">+AI202+AL202+AO202</f>
        <v>0.5</v>
      </c>
      <c r="AQ202" s="637">
        <v>0.4</v>
      </c>
      <c r="AR202" s="302" t="s">
        <v>575</v>
      </c>
      <c r="AS202" s="302" t="s">
        <v>576</v>
      </c>
      <c r="AT202" s="637">
        <v>0.09</v>
      </c>
      <c r="AU202" s="302" t="s">
        <v>572</v>
      </c>
      <c r="AV202" s="302" t="s">
        <v>1200</v>
      </c>
      <c r="AW202" s="637">
        <v>0.01</v>
      </c>
      <c r="AX202" s="645">
        <f t="shared" si="290"/>
        <v>0.5</v>
      </c>
      <c r="AY202" s="637">
        <v>0.4</v>
      </c>
      <c r="AZ202" s="302" t="s">
        <v>575</v>
      </c>
      <c r="BA202" s="302" t="s">
        <v>576</v>
      </c>
      <c r="BB202" s="637">
        <v>0.09</v>
      </c>
      <c r="BC202" s="302" t="s">
        <v>572</v>
      </c>
      <c r="BD202" s="302" t="s">
        <v>1200</v>
      </c>
      <c r="BE202" s="637">
        <v>0.01</v>
      </c>
      <c r="BF202" s="434">
        <f t="shared" si="291"/>
        <v>0.5</v>
      </c>
      <c r="BG202" s="587">
        <v>0.4</v>
      </c>
      <c r="BH202" s="302" t="s">
        <v>575</v>
      </c>
      <c r="BI202" s="302" t="s">
        <v>576</v>
      </c>
      <c r="BJ202" s="434">
        <v>0.09</v>
      </c>
      <c r="BK202" s="302" t="s">
        <v>572</v>
      </c>
      <c r="BL202" s="302" t="s">
        <v>573</v>
      </c>
      <c r="BM202" s="434">
        <v>0.01</v>
      </c>
      <c r="BN202" s="645">
        <f t="shared" si="292"/>
        <v>0.5</v>
      </c>
      <c r="BO202" s="434"/>
      <c r="BP202" s="434">
        <v>0.4</v>
      </c>
      <c r="BQ202" s="302" t="s">
        <v>575</v>
      </c>
      <c r="BR202" s="302" t="s">
        <v>576</v>
      </c>
      <c r="BS202" s="434">
        <v>0.09</v>
      </c>
      <c r="BT202" s="302" t="s">
        <v>572</v>
      </c>
      <c r="BU202" s="302" t="s">
        <v>573</v>
      </c>
      <c r="BV202" s="434">
        <v>0.01</v>
      </c>
      <c r="BW202" s="645">
        <f t="shared" si="293"/>
        <v>0.5</v>
      </c>
      <c r="BX202" s="434">
        <v>0.4</v>
      </c>
      <c r="BY202" s="302" t="s">
        <v>575</v>
      </c>
      <c r="BZ202" s="302" t="s">
        <v>576</v>
      </c>
      <c r="CA202" s="434">
        <v>0.09</v>
      </c>
      <c r="CB202" s="302" t="s">
        <v>572</v>
      </c>
      <c r="CC202" s="302" t="s">
        <v>573</v>
      </c>
      <c r="CD202" s="434">
        <v>0.01</v>
      </c>
      <c r="CE202" s="434">
        <f t="shared" si="294"/>
        <v>0.5</v>
      </c>
      <c r="CF202" s="1620" t="s">
        <v>1166</v>
      </c>
      <c r="CG202" s="1620" t="s">
        <v>1166</v>
      </c>
      <c r="CH202" s="1620" t="s">
        <v>1166</v>
      </c>
      <c r="CI202" s="406"/>
      <c r="CJ202" s="642">
        <v>0.70599999999999996</v>
      </c>
      <c r="CK202" s="591" t="s">
        <v>922</v>
      </c>
      <c r="CL202" s="302" t="s">
        <v>575</v>
      </c>
      <c r="CM202" s="302" t="s">
        <v>576</v>
      </c>
      <c r="CN202" s="637">
        <v>0.59</v>
      </c>
      <c r="CO202" s="302" t="s">
        <v>572</v>
      </c>
      <c r="CP202" s="302" t="s">
        <v>573</v>
      </c>
      <c r="CQ202" s="637">
        <v>0.01</v>
      </c>
      <c r="CS202" s="428"/>
      <c r="CT202" s="428"/>
    </row>
    <row r="203" spans="1:98" ht="15.75" customHeight="1" x14ac:dyDescent="0.2">
      <c r="A203" s="661" t="s">
        <v>292</v>
      </c>
      <c r="B203" s="440" t="s">
        <v>291</v>
      </c>
      <c r="C203" s="637">
        <v>0.4</v>
      </c>
      <c r="D203" s="440" t="s">
        <v>609</v>
      </c>
      <c r="E203" s="440" t="s">
        <v>610</v>
      </c>
      <c r="F203" s="637">
        <v>0.09</v>
      </c>
      <c r="G203" s="440" t="s">
        <v>606</v>
      </c>
      <c r="H203" s="440" t="s">
        <v>607</v>
      </c>
      <c r="I203" s="637">
        <v>0.01</v>
      </c>
      <c r="J203" s="662">
        <f t="shared" si="289"/>
        <v>0.5</v>
      </c>
      <c r="K203" s="637">
        <v>0.4</v>
      </c>
      <c r="L203" s="440" t="s">
        <v>609</v>
      </c>
      <c r="M203" s="440" t="s">
        <v>610</v>
      </c>
      <c r="N203" s="637">
        <v>0.09</v>
      </c>
      <c r="O203" s="440" t="s">
        <v>606</v>
      </c>
      <c r="P203" s="440" t="s">
        <v>607</v>
      </c>
      <c r="Q203" s="637">
        <v>0.01</v>
      </c>
      <c r="R203" s="662">
        <f t="shared" si="262"/>
        <v>0.5</v>
      </c>
      <c r="S203" s="637">
        <v>0.4</v>
      </c>
      <c r="T203" s="302" t="s">
        <v>609</v>
      </c>
      <c r="U203" s="302" t="s">
        <v>610</v>
      </c>
      <c r="V203" s="637">
        <v>0.09</v>
      </c>
      <c r="W203" s="302" t="s">
        <v>606</v>
      </c>
      <c r="X203" s="302" t="s">
        <v>607</v>
      </c>
      <c r="Y203" s="637">
        <v>0.01</v>
      </c>
      <c r="Z203" s="645">
        <f t="shared" si="263"/>
        <v>0.5</v>
      </c>
      <c r="AA203" s="637">
        <v>0.4</v>
      </c>
      <c r="AB203" s="302" t="s">
        <v>609</v>
      </c>
      <c r="AC203" s="302" t="s">
        <v>610</v>
      </c>
      <c r="AD203" s="637">
        <v>0.09</v>
      </c>
      <c r="AE203" s="302" t="s">
        <v>606</v>
      </c>
      <c r="AF203" s="302" t="s">
        <v>607</v>
      </c>
      <c r="AG203" s="637">
        <v>0.01</v>
      </c>
      <c r="AH203" s="645">
        <f t="shared" si="295"/>
        <v>0.5</v>
      </c>
      <c r="AI203" s="637">
        <v>0.4</v>
      </c>
      <c r="AJ203" s="302" t="s">
        <v>609</v>
      </c>
      <c r="AK203" s="302" t="s">
        <v>610</v>
      </c>
      <c r="AL203" s="637">
        <v>0.09</v>
      </c>
      <c r="AM203" s="302" t="s">
        <v>606</v>
      </c>
      <c r="AN203" s="302" t="s">
        <v>607</v>
      </c>
      <c r="AO203" s="637">
        <v>0.01</v>
      </c>
      <c r="AP203" s="645">
        <f t="shared" si="296"/>
        <v>0.5</v>
      </c>
      <c r="AQ203" s="637">
        <v>0.4</v>
      </c>
      <c r="AR203" s="302" t="s">
        <v>609</v>
      </c>
      <c r="AS203" s="302" t="s">
        <v>610</v>
      </c>
      <c r="AT203" s="637">
        <v>0.09</v>
      </c>
      <c r="AU203" s="302" t="s">
        <v>606</v>
      </c>
      <c r="AV203" s="302" t="s">
        <v>607</v>
      </c>
      <c r="AW203" s="637">
        <v>0.01</v>
      </c>
      <c r="AX203" s="645">
        <f t="shared" si="290"/>
        <v>0.5</v>
      </c>
      <c r="AY203" s="637">
        <v>0.56000000000000005</v>
      </c>
      <c r="AZ203" s="302" t="s">
        <v>609</v>
      </c>
      <c r="BA203" s="302" t="s">
        <v>610</v>
      </c>
      <c r="BB203" s="637">
        <v>0.17499999999999999</v>
      </c>
      <c r="BC203" s="302" t="s">
        <v>606</v>
      </c>
      <c r="BD203" s="302" t="s">
        <v>607</v>
      </c>
      <c r="BE203" s="637">
        <v>1.4999999999999999E-2</v>
      </c>
      <c r="BF203" s="434">
        <f t="shared" si="291"/>
        <v>0.75000000000000011</v>
      </c>
      <c r="BG203" s="587">
        <v>0.4</v>
      </c>
      <c r="BH203" s="302" t="s">
        <v>609</v>
      </c>
      <c r="BI203" s="302" t="s">
        <v>610</v>
      </c>
      <c r="BJ203" s="434">
        <v>0.09</v>
      </c>
      <c r="BK203" s="302" t="s">
        <v>606</v>
      </c>
      <c r="BL203" s="302" t="s">
        <v>607</v>
      </c>
      <c r="BM203" s="434">
        <v>0.01</v>
      </c>
      <c r="BN203" s="645">
        <f t="shared" si="292"/>
        <v>0.5</v>
      </c>
      <c r="BO203" s="434"/>
      <c r="BP203" s="434">
        <v>0.4</v>
      </c>
      <c r="BQ203" s="302" t="s">
        <v>609</v>
      </c>
      <c r="BR203" s="302" t="s">
        <v>610</v>
      </c>
      <c r="BS203" s="434">
        <v>0.09</v>
      </c>
      <c r="BT203" s="302" t="s">
        <v>606</v>
      </c>
      <c r="BU203" s="302" t="s">
        <v>607</v>
      </c>
      <c r="BV203" s="434">
        <v>0.01</v>
      </c>
      <c r="BW203" s="645">
        <f t="shared" si="293"/>
        <v>0.5</v>
      </c>
      <c r="BX203" s="434">
        <v>0.4</v>
      </c>
      <c r="BY203" s="302" t="s">
        <v>609</v>
      </c>
      <c r="BZ203" s="302" t="s">
        <v>610</v>
      </c>
      <c r="CA203" s="434">
        <v>0.09</v>
      </c>
      <c r="CB203" s="302" t="s">
        <v>606</v>
      </c>
      <c r="CC203" s="302" t="s">
        <v>607</v>
      </c>
      <c r="CD203" s="434">
        <v>0.01</v>
      </c>
      <c r="CE203" s="434">
        <f t="shared" si="294"/>
        <v>0.5</v>
      </c>
      <c r="CF203" s="1620" t="s">
        <v>1166</v>
      </c>
      <c r="CG203" s="1620" t="s">
        <v>1166</v>
      </c>
      <c r="CH203" s="1620" t="s">
        <v>1166</v>
      </c>
      <c r="CI203" s="406"/>
      <c r="CJ203" s="642">
        <v>0.63300000000000001</v>
      </c>
      <c r="CK203" s="591" t="s">
        <v>862</v>
      </c>
      <c r="CL203" s="302" t="s">
        <v>609</v>
      </c>
      <c r="CM203" s="302" t="s">
        <v>610</v>
      </c>
      <c r="CN203" s="637">
        <v>0.59</v>
      </c>
      <c r="CO203" s="302" t="s">
        <v>606</v>
      </c>
      <c r="CP203" s="302" t="s">
        <v>607</v>
      </c>
      <c r="CQ203" s="637">
        <v>0.01</v>
      </c>
    </row>
    <row r="204" spans="1:98" ht="15" x14ac:dyDescent="0.2">
      <c r="A204" s="661" t="s">
        <v>294</v>
      </c>
      <c r="B204" s="440" t="s">
        <v>293</v>
      </c>
      <c r="C204" s="637">
        <v>0.4</v>
      </c>
      <c r="D204" s="440" t="s">
        <v>569</v>
      </c>
      <c r="E204" s="440" t="s">
        <v>570</v>
      </c>
      <c r="F204" s="637">
        <v>0.09</v>
      </c>
      <c r="G204" s="440" t="s">
        <v>567</v>
      </c>
      <c r="H204" s="440" t="s">
        <v>568</v>
      </c>
      <c r="I204" s="637">
        <v>0.01</v>
      </c>
      <c r="J204" s="662">
        <f t="shared" si="289"/>
        <v>0.5</v>
      </c>
      <c r="K204" s="637">
        <v>0.4</v>
      </c>
      <c r="L204" s="440" t="s">
        <v>569</v>
      </c>
      <c r="M204" s="440" t="s">
        <v>570</v>
      </c>
      <c r="N204" s="637">
        <v>0.09</v>
      </c>
      <c r="O204" s="440" t="s">
        <v>567</v>
      </c>
      <c r="P204" s="440" t="s">
        <v>568</v>
      </c>
      <c r="Q204" s="637">
        <v>0.01</v>
      </c>
      <c r="R204" s="662">
        <f t="shared" si="262"/>
        <v>0.5</v>
      </c>
      <c r="S204" s="637">
        <v>0.4</v>
      </c>
      <c r="T204" s="302" t="s">
        <v>569</v>
      </c>
      <c r="U204" s="302" t="s">
        <v>570</v>
      </c>
      <c r="V204" s="637">
        <v>0.09</v>
      </c>
      <c r="W204" s="302" t="s">
        <v>567</v>
      </c>
      <c r="X204" s="302" t="s">
        <v>568</v>
      </c>
      <c r="Y204" s="637">
        <v>0.01</v>
      </c>
      <c r="Z204" s="645">
        <f t="shared" si="263"/>
        <v>0.5</v>
      </c>
      <c r="AA204" s="637">
        <v>0.4</v>
      </c>
      <c r="AB204" s="302" t="s">
        <v>569</v>
      </c>
      <c r="AC204" s="302" t="s">
        <v>570</v>
      </c>
      <c r="AD204" s="637">
        <v>0.09</v>
      </c>
      <c r="AE204" s="302" t="s">
        <v>567</v>
      </c>
      <c r="AF204" s="302" t="s">
        <v>568</v>
      </c>
      <c r="AG204" s="637">
        <v>0.01</v>
      </c>
      <c r="AH204" s="645">
        <f t="shared" si="295"/>
        <v>0.5</v>
      </c>
      <c r="AI204" s="637">
        <v>0.4</v>
      </c>
      <c r="AJ204" s="302" t="s">
        <v>569</v>
      </c>
      <c r="AK204" s="302" t="s">
        <v>570</v>
      </c>
      <c r="AL204" s="637">
        <v>0.09</v>
      </c>
      <c r="AM204" s="302" t="s">
        <v>567</v>
      </c>
      <c r="AN204" s="302" t="s">
        <v>568</v>
      </c>
      <c r="AO204" s="637">
        <v>0.01</v>
      </c>
      <c r="AP204" s="645">
        <f t="shared" si="296"/>
        <v>0.5</v>
      </c>
      <c r="AQ204" s="637">
        <v>0.4</v>
      </c>
      <c r="AR204" s="302" t="s">
        <v>569</v>
      </c>
      <c r="AS204" s="302" t="s">
        <v>570</v>
      </c>
      <c r="AT204" s="637">
        <v>0.09</v>
      </c>
      <c r="AU204" s="302" t="s">
        <v>567</v>
      </c>
      <c r="AV204" s="302" t="s">
        <v>568</v>
      </c>
      <c r="AW204" s="637">
        <v>0.01</v>
      </c>
      <c r="AX204" s="645">
        <f t="shared" si="290"/>
        <v>0.5</v>
      </c>
      <c r="AY204" s="637">
        <v>0.44</v>
      </c>
      <c r="AZ204" s="302" t="s">
        <v>569</v>
      </c>
      <c r="BA204" s="302" t="s">
        <v>570</v>
      </c>
      <c r="BB204" s="637">
        <v>0.26</v>
      </c>
      <c r="BC204" s="302" t="s">
        <v>567</v>
      </c>
      <c r="BD204" s="302" t="s">
        <v>568</v>
      </c>
      <c r="BE204" s="637">
        <v>0.05</v>
      </c>
      <c r="BF204" s="434">
        <f t="shared" si="291"/>
        <v>0.75</v>
      </c>
      <c r="BG204" s="587">
        <v>0.4</v>
      </c>
      <c r="BH204" s="302" t="s">
        <v>569</v>
      </c>
      <c r="BI204" s="302" t="s">
        <v>570</v>
      </c>
      <c r="BJ204" s="434">
        <v>0.09</v>
      </c>
      <c r="BK204" s="302" t="s">
        <v>567</v>
      </c>
      <c r="BL204" s="302" t="s">
        <v>568</v>
      </c>
      <c r="BM204" s="434">
        <v>0.01</v>
      </c>
      <c r="BN204" s="645">
        <f t="shared" si="292"/>
        <v>0.5</v>
      </c>
      <c r="BO204" s="434"/>
      <c r="BP204" s="434">
        <v>0.4</v>
      </c>
      <c r="BQ204" s="302" t="s">
        <v>569</v>
      </c>
      <c r="BR204" s="302" t="s">
        <v>570</v>
      </c>
      <c r="BS204" s="434">
        <v>0.09</v>
      </c>
      <c r="BT204" s="302" t="s">
        <v>567</v>
      </c>
      <c r="BU204" s="302" t="s">
        <v>568</v>
      </c>
      <c r="BV204" s="434">
        <v>0.01</v>
      </c>
      <c r="BW204" s="645">
        <f t="shared" si="293"/>
        <v>0.5</v>
      </c>
      <c r="BX204" s="434">
        <v>0.4</v>
      </c>
      <c r="BY204" s="302" t="s">
        <v>569</v>
      </c>
      <c r="BZ204" s="302" t="s">
        <v>570</v>
      </c>
      <c r="CA204" s="434">
        <v>0.09</v>
      </c>
      <c r="CB204" s="302" t="s">
        <v>567</v>
      </c>
      <c r="CC204" s="302" t="s">
        <v>568</v>
      </c>
      <c r="CD204" s="434">
        <v>0.01</v>
      </c>
      <c r="CE204" s="434">
        <f t="shared" si="294"/>
        <v>0.5</v>
      </c>
      <c r="CF204" s="1620" t="s">
        <v>1166</v>
      </c>
      <c r="CG204" s="1620" t="s">
        <v>1166</v>
      </c>
      <c r="CH204" s="1620" t="s">
        <v>1166</v>
      </c>
      <c r="CI204" s="406"/>
      <c r="CJ204" s="642">
        <v>0.66200000000000003</v>
      </c>
      <c r="CK204" s="591" t="s">
        <v>922</v>
      </c>
      <c r="CL204" s="302" t="s">
        <v>569</v>
      </c>
      <c r="CM204" s="302" t="s">
        <v>570</v>
      </c>
      <c r="CN204" s="637">
        <v>0.59</v>
      </c>
      <c r="CO204" s="302" t="s">
        <v>567</v>
      </c>
      <c r="CP204" s="302" t="s">
        <v>568</v>
      </c>
      <c r="CQ204" s="637">
        <v>0.01</v>
      </c>
    </row>
    <row r="205" spans="1:98" ht="15.75" customHeight="1" x14ac:dyDescent="0.2">
      <c r="A205" s="661" t="s">
        <v>296</v>
      </c>
      <c r="B205" s="440" t="s">
        <v>295</v>
      </c>
      <c r="C205" s="637">
        <v>0.49</v>
      </c>
      <c r="D205" s="440" t="s">
        <v>508</v>
      </c>
      <c r="E205" s="440" t="s">
        <v>660</v>
      </c>
      <c r="F205" s="637">
        <v>0</v>
      </c>
      <c r="G205" s="440" t="s">
        <v>665</v>
      </c>
      <c r="H205" s="440" t="s">
        <v>666</v>
      </c>
      <c r="I205" s="637">
        <v>0.01</v>
      </c>
      <c r="J205" s="662">
        <f t="shared" si="289"/>
        <v>0.5</v>
      </c>
      <c r="K205" s="637">
        <v>0.49</v>
      </c>
      <c r="L205" s="440" t="s">
        <v>508</v>
      </c>
      <c r="M205" s="440" t="s">
        <v>660</v>
      </c>
      <c r="N205" s="637">
        <v>0</v>
      </c>
      <c r="O205" s="440" t="s">
        <v>665</v>
      </c>
      <c r="P205" s="440" t="s">
        <v>666</v>
      </c>
      <c r="Q205" s="637">
        <v>0.01</v>
      </c>
      <c r="R205" s="662">
        <f t="shared" si="262"/>
        <v>0.5</v>
      </c>
      <c r="S205" s="637">
        <v>0.49</v>
      </c>
      <c r="T205" s="302" t="s">
        <v>508</v>
      </c>
      <c r="U205" s="302" t="s">
        <v>660</v>
      </c>
      <c r="V205" s="637">
        <v>0</v>
      </c>
      <c r="W205" s="302" t="s">
        <v>665</v>
      </c>
      <c r="X205" s="302" t="s">
        <v>666</v>
      </c>
      <c r="Y205" s="637">
        <v>0.01</v>
      </c>
      <c r="Z205" s="645">
        <f t="shared" si="263"/>
        <v>0.5</v>
      </c>
      <c r="AA205" s="637">
        <v>0.49</v>
      </c>
      <c r="AB205" s="302" t="s">
        <v>508</v>
      </c>
      <c r="AC205" s="302" t="s">
        <v>660</v>
      </c>
      <c r="AD205" s="637">
        <v>0</v>
      </c>
      <c r="AE205" s="302" t="s">
        <v>665</v>
      </c>
      <c r="AF205" s="302" t="s">
        <v>666</v>
      </c>
      <c r="AG205" s="637">
        <v>0.01</v>
      </c>
      <c r="AH205" s="645">
        <f t="shared" si="295"/>
        <v>0.5</v>
      </c>
      <c r="AI205" s="637">
        <v>0.49</v>
      </c>
      <c r="AJ205" s="302" t="s">
        <v>508</v>
      </c>
      <c r="AK205" s="302" t="s">
        <v>660</v>
      </c>
      <c r="AL205" s="637">
        <v>0</v>
      </c>
      <c r="AM205" s="302" t="s">
        <v>665</v>
      </c>
      <c r="AN205" s="302" t="s">
        <v>666</v>
      </c>
      <c r="AO205" s="637">
        <v>0.01</v>
      </c>
      <c r="AP205" s="645">
        <f t="shared" si="296"/>
        <v>0.5</v>
      </c>
      <c r="AQ205" s="637">
        <v>0.49</v>
      </c>
      <c r="AR205" s="302" t="s">
        <v>508</v>
      </c>
      <c r="AS205" s="302" t="s">
        <v>660</v>
      </c>
      <c r="AT205" s="637">
        <v>0</v>
      </c>
      <c r="AU205" s="302" t="s">
        <v>665</v>
      </c>
      <c r="AV205" s="302" t="s">
        <v>666</v>
      </c>
      <c r="AW205" s="637">
        <v>0.01</v>
      </c>
      <c r="AX205" s="645">
        <f t="shared" si="290"/>
        <v>0.5</v>
      </c>
      <c r="AY205" s="637">
        <v>0.49</v>
      </c>
      <c r="AZ205" s="302" t="s">
        <v>508</v>
      </c>
      <c r="BA205" s="302" t="s">
        <v>660</v>
      </c>
      <c r="BB205" s="637">
        <v>0</v>
      </c>
      <c r="BC205" s="302" t="s">
        <v>665</v>
      </c>
      <c r="BD205" s="302" t="s">
        <v>666</v>
      </c>
      <c r="BE205" s="637">
        <v>0.01</v>
      </c>
      <c r="BF205" s="434">
        <f t="shared" si="291"/>
        <v>0.5</v>
      </c>
      <c r="BG205" s="587">
        <v>0.49</v>
      </c>
      <c r="BH205" s="302" t="s">
        <v>508</v>
      </c>
      <c r="BI205" s="302" t="s">
        <v>660</v>
      </c>
      <c r="BJ205" s="434">
        <v>0</v>
      </c>
      <c r="BK205" s="302" t="s">
        <v>665</v>
      </c>
      <c r="BL205" s="302" t="s">
        <v>666</v>
      </c>
      <c r="BM205" s="434">
        <v>0.01</v>
      </c>
      <c r="BN205" s="645">
        <f t="shared" si="292"/>
        <v>0.5</v>
      </c>
      <c r="BO205" s="434"/>
      <c r="BP205" s="434">
        <v>0.49</v>
      </c>
      <c r="BQ205" s="302" t="s">
        <v>508</v>
      </c>
      <c r="BR205" s="302" t="s">
        <v>660</v>
      </c>
      <c r="BS205" s="434">
        <v>0</v>
      </c>
      <c r="BT205" s="302" t="s">
        <v>665</v>
      </c>
      <c r="BU205" s="302" t="s">
        <v>666</v>
      </c>
      <c r="BV205" s="434">
        <v>0.01</v>
      </c>
      <c r="BW205" s="645">
        <f t="shared" si="293"/>
        <v>0.5</v>
      </c>
      <c r="BX205" s="434">
        <v>0.49</v>
      </c>
      <c r="BY205" s="302" t="s">
        <v>508</v>
      </c>
      <c r="BZ205" s="302" t="s">
        <v>660</v>
      </c>
      <c r="CA205" s="434">
        <v>0</v>
      </c>
      <c r="CB205" s="302" t="s">
        <v>665</v>
      </c>
      <c r="CC205" s="302" t="s">
        <v>666</v>
      </c>
      <c r="CD205" s="434">
        <v>0.01</v>
      </c>
      <c r="CE205" s="434">
        <f t="shared" si="294"/>
        <v>0.5</v>
      </c>
      <c r="CF205" s="1620" t="s">
        <v>862</v>
      </c>
      <c r="CG205" s="1620" t="s">
        <v>1166</v>
      </c>
      <c r="CH205" s="1620" t="s">
        <v>1166</v>
      </c>
      <c r="CI205" s="408" t="s">
        <v>862</v>
      </c>
      <c r="CJ205" s="642">
        <v>0.66</v>
      </c>
      <c r="CK205" s="591" t="s">
        <v>922</v>
      </c>
      <c r="CL205" s="302" t="s">
        <v>508</v>
      </c>
      <c r="CM205" s="302" t="s">
        <v>660</v>
      </c>
      <c r="CN205" s="637">
        <v>0</v>
      </c>
      <c r="CO205" s="302" t="s">
        <v>665</v>
      </c>
      <c r="CP205" s="302" t="s">
        <v>666</v>
      </c>
      <c r="CQ205" s="637">
        <v>0.01</v>
      </c>
    </row>
    <row r="206" spans="1:98" ht="15.75" customHeight="1" x14ac:dyDescent="0.2">
      <c r="A206" s="661" t="s">
        <v>298</v>
      </c>
      <c r="B206" s="440" t="s">
        <v>297</v>
      </c>
      <c r="C206" s="637">
        <v>0.4</v>
      </c>
      <c r="D206" s="440" t="s">
        <v>652</v>
      </c>
      <c r="E206" s="440" t="s">
        <v>653</v>
      </c>
      <c r="F206" s="637">
        <v>0.1</v>
      </c>
      <c r="G206" s="440" t="s">
        <v>508</v>
      </c>
      <c r="H206" s="440" t="s">
        <v>546</v>
      </c>
      <c r="I206" s="637">
        <v>0</v>
      </c>
      <c r="J206" s="662">
        <f t="shared" si="289"/>
        <v>0.5</v>
      </c>
      <c r="K206" s="637">
        <v>0.4</v>
      </c>
      <c r="L206" s="440" t="s">
        <v>652</v>
      </c>
      <c r="M206" s="440" t="s">
        <v>653</v>
      </c>
      <c r="N206" s="637">
        <v>0.1</v>
      </c>
      <c r="O206" s="440" t="s">
        <v>508</v>
      </c>
      <c r="P206" s="440" t="s">
        <v>546</v>
      </c>
      <c r="Q206" s="637">
        <v>0</v>
      </c>
      <c r="R206" s="662">
        <f t="shared" si="262"/>
        <v>0.5</v>
      </c>
      <c r="S206" s="637">
        <v>0.4</v>
      </c>
      <c r="T206" s="302" t="s">
        <v>652</v>
      </c>
      <c r="U206" s="302" t="s">
        <v>653</v>
      </c>
      <c r="V206" s="637">
        <v>0.1</v>
      </c>
      <c r="W206" s="302" t="s">
        <v>508</v>
      </c>
      <c r="X206" s="302" t="s">
        <v>546</v>
      </c>
      <c r="Y206" s="637">
        <v>0</v>
      </c>
      <c r="Z206" s="645">
        <f t="shared" si="263"/>
        <v>0.5</v>
      </c>
      <c r="AA206" s="637">
        <v>0.4</v>
      </c>
      <c r="AB206" s="302" t="s">
        <v>652</v>
      </c>
      <c r="AC206" s="302" t="s">
        <v>653</v>
      </c>
      <c r="AD206" s="637">
        <v>0.1</v>
      </c>
      <c r="AE206" s="302" t="s">
        <v>508</v>
      </c>
      <c r="AF206" s="302" t="s">
        <v>546</v>
      </c>
      <c r="AG206" s="637">
        <v>0</v>
      </c>
      <c r="AH206" s="645">
        <f t="shared" si="295"/>
        <v>0.5</v>
      </c>
      <c r="AI206" s="637">
        <v>0.4</v>
      </c>
      <c r="AJ206" s="302" t="s">
        <v>652</v>
      </c>
      <c r="AK206" s="302" t="s">
        <v>653</v>
      </c>
      <c r="AL206" s="637">
        <v>0.1</v>
      </c>
      <c r="AM206" s="302" t="s">
        <v>508</v>
      </c>
      <c r="AN206" s="302" t="s">
        <v>546</v>
      </c>
      <c r="AO206" s="637">
        <v>0</v>
      </c>
      <c r="AP206" s="645">
        <f t="shared" si="296"/>
        <v>0.5</v>
      </c>
      <c r="AQ206" s="637">
        <v>0.4</v>
      </c>
      <c r="AR206" s="302" t="s">
        <v>652</v>
      </c>
      <c r="AS206" s="302" t="s">
        <v>653</v>
      </c>
      <c r="AT206" s="637">
        <v>0.1</v>
      </c>
      <c r="AU206" s="302" t="s">
        <v>508</v>
      </c>
      <c r="AV206" s="302" t="s">
        <v>546</v>
      </c>
      <c r="AW206" s="637">
        <v>0</v>
      </c>
      <c r="AX206" s="645">
        <f t="shared" si="290"/>
        <v>0.5</v>
      </c>
      <c r="AY206" s="637">
        <v>0.4</v>
      </c>
      <c r="AZ206" s="302" t="s">
        <v>652</v>
      </c>
      <c r="BA206" s="302" t="s">
        <v>653</v>
      </c>
      <c r="BB206" s="637">
        <v>0.1</v>
      </c>
      <c r="BC206" s="302" t="s">
        <v>508</v>
      </c>
      <c r="BD206" s="302" t="s">
        <v>546</v>
      </c>
      <c r="BE206" s="637">
        <v>0</v>
      </c>
      <c r="BF206" s="434">
        <f t="shared" si="291"/>
        <v>0.5</v>
      </c>
      <c r="BG206" s="587">
        <v>0.4</v>
      </c>
      <c r="BH206" s="302" t="s">
        <v>652</v>
      </c>
      <c r="BI206" s="302" t="s">
        <v>653</v>
      </c>
      <c r="BJ206" s="434">
        <v>0.1</v>
      </c>
      <c r="BK206" s="302" t="s">
        <v>508</v>
      </c>
      <c r="BL206" s="302" t="s">
        <v>546</v>
      </c>
      <c r="BM206" s="434">
        <v>0</v>
      </c>
      <c r="BN206" s="645">
        <f t="shared" si="292"/>
        <v>0.5</v>
      </c>
      <c r="BO206" s="434"/>
      <c r="BP206" s="434">
        <v>0.4</v>
      </c>
      <c r="BQ206" s="302" t="s">
        <v>652</v>
      </c>
      <c r="BR206" s="302" t="s">
        <v>653</v>
      </c>
      <c r="BS206" s="434">
        <v>0.1</v>
      </c>
      <c r="BT206" s="302" t="s">
        <v>508</v>
      </c>
      <c r="BU206" s="302" t="s">
        <v>546</v>
      </c>
      <c r="BV206" s="434">
        <v>0</v>
      </c>
      <c r="BW206" s="645">
        <f t="shared" si="293"/>
        <v>0.5</v>
      </c>
      <c r="BX206" s="434">
        <v>0.4</v>
      </c>
      <c r="BY206" s="302" t="s">
        <v>652</v>
      </c>
      <c r="BZ206" s="302" t="s">
        <v>653</v>
      </c>
      <c r="CA206" s="434">
        <v>0.1</v>
      </c>
      <c r="CB206" s="302" t="s">
        <v>508</v>
      </c>
      <c r="CC206" s="302" t="s">
        <v>546</v>
      </c>
      <c r="CD206" s="434">
        <v>0</v>
      </c>
      <c r="CE206" s="434">
        <f t="shared" si="294"/>
        <v>0.5</v>
      </c>
      <c r="CF206" s="1620" t="s">
        <v>1166</v>
      </c>
      <c r="CG206" s="1620" t="s">
        <v>1166</v>
      </c>
      <c r="CH206" s="1620" t="s">
        <v>1166</v>
      </c>
      <c r="CI206" s="406"/>
      <c r="CJ206" s="642">
        <v>0.7</v>
      </c>
      <c r="CK206" s="591" t="s">
        <v>922</v>
      </c>
      <c r="CL206" s="302" t="s">
        <v>652</v>
      </c>
      <c r="CM206" s="302" t="s">
        <v>653</v>
      </c>
      <c r="CN206" s="637">
        <v>0.6</v>
      </c>
      <c r="CO206" s="302" t="s">
        <v>508</v>
      </c>
      <c r="CP206" s="302" t="s">
        <v>546</v>
      </c>
      <c r="CQ206" s="637">
        <v>0</v>
      </c>
    </row>
    <row r="207" spans="1:98" ht="15.75" customHeight="1" x14ac:dyDescent="0.2">
      <c r="A207" s="661" t="s">
        <v>300</v>
      </c>
      <c r="B207" s="440" t="s">
        <v>299</v>
      </c>
      <c r="C207" s="637">
        <v>0.4</v>
      </c>
      <c r="D207" s="440" t="s">
        <v>649</v>
      </c>
      <c r="E207" s="440" t="s">
        <v>650</v>
      </c>
      <c r="F207" s="637">
        <v>0.1</v>
      </c>
      <c r="G207" s="440" t="s">
        <v>508</v>
      </c>
      <c r="H207" s="440" t="s">
        <v>546</v>
      </c>
      <c r="I207" s="637">
        <v>0</v>
      </c>
      <c r="J207" s="662">
        <f t="shared" si="289"/>
        <v>0.5</v>
      </c>
      <c r="K207" s="637">
        <v>0.4</v>
      </c>
      <c r="L207" s="440" t="s">
        <v>649</v>
      </c>
      <c r="M207" s="440" t="s">
        <v>650</v>
      </c>
      <c r="N207" s="637">
        <v>0.1</v>
      </c>
      <c r="O207" s="440" t="s">
        <v>508</v>
      </c>
      <c r="P207" s="440" t="s">
        <v>546</v>
      </c>
      <c r="Q207" s="637">
        <v>0</v>
      </c>
      <c r="R207" s="662">
        <f t="shared" si="262"/>
        <v>0.5</v>
      </c>
      <c r="S207" s="637">
        <v>0.4</v>
      </c>
      <c r="T207" s="302" t="s">
        <v>649</v>
      </c>
      <c r="U207" s="302" t="s">
        <v>650</v>
      </c>
      <c r="V207" s="637">
        <v>0.1</v>
      </c>
      <c r="W207" s="302" t="s">
        <v>508</v>
      </c>
      <c r="X207" s="302" t="s">
        <v>546</v>
      </c>
      <c r="Y207" s="637">
        <v>0</v>
      </c>
      <c r="Z207" s="645">
        <f t="shared" si="263"/>
        <v>0.5</v>
      </c>
      <c r="AA207" s="637">
        <v>0.4</v>
      </c>
      <c r="AB207" s="302" t="s">
        <v>649</v>
      </c>
      <c r="AC207" s="302" t="s">
        <v>650</v>
      </c>
      <c r="AD207" s="637">
        <v>0.1</v>
      </c>
      <c r="AE207" s="302" t="s">
        <v>508</v>
      </c>
      <c r="AF207" s="302" t="s">
        <v>546</v>
      </c>
      <c r="AG207" s="637">
        <v>0</v>
      </c>
      <c r="AH207" s="645">
        <f t="shared" ref="AH207:AH213" si="297">+AA207+AD207+AG207</f>
        <v>0.5</v>
      </c>
      <c r="AI207" s="637">
        <v>0.4</v>
      </c>
      <c r="AJ207" s="302" t="s">
        <v>649</v>
      </c>
      <c r="AK207" s="302" t="s">
        <v>650</v>
      </c>
      <c r="AL207" s="637">
        <v>0.1</v>
      </c>
      <c r="AM207" s="302" t="s">
        <v>508</v>
      </c>
      <c r="AN207" s="302" t="s">
        <v>546</v>
      </c>
      <c r="AO207" s="637">
        <v>0</v>
      </c>
      <c r="AP207" s="645">
        <f t="shared" si="296"/>
        <v>0.5</v>
      </c>
      <c r="AQ207" s="637">
        <v>0.4</v>
      </c>
      <c r="AR207" s="302" t="s">
        <v>649</v>
      </c>
      <c r="AS207" s="302" t="s">
        <v>650</v>
      </c>
      <c r="AT207" s="637">
        <v>0.1</v>
      </c>
      <c r="AU207" s="302" t="s">
        <v>508</v>
      </c>
      <c r="AV207" s="302" t="s">
        <v>546</v>
      </c>
      <c r="AW207" s="637">
        <v>0</v>
      </c>
      <c r="AX207" s="645">
        <f t="shared" si="290"/>
        <v>0.5</v>
      </c>
      <c r="AY207" s="637">
        <v>0.4</v>
      </c>
      <c r="AZ207" s="302" t="s">
        <v>649</v>
      </c>
      <c r="BA207" s="302" t="s">
        <v>650</v>
      </c>
      <c r="BB207" s="637">
        <v>0.1</v>
      </c>
      <c r="BC207" s="302" t="s">
        <v>508</v>
      </c>
      <c r="BD207" s="302" t="s">
        <v>546</v>
      </c>
      <c r="BE207" s="637">
        <v>0</v>
      </c>
      <c r="BF207" s="434">
        <f t="shared" si="291"/>
        <v>0.5</v>
      </c>
      <c r="BG207" s="587">
        <v>0.3</v>
      </c>
      <c r="BH207" s="302" t="s">
        <v>649</v>
      </c>
      <c r="BI207" s="302" t="s">
        <v>650</v>
      </c>
      <c r="BJ207" s="434">
        <v>0.7</v>
      </c>
      <c r="BK207" s="302" t="s">
        <v>508</v>
      </c>
      <c r="BL207" s="302" t="s">
        <v>546</v>
      </c>
      <c r="BM207" s="434">
        <v>0</v>
      </c>
      <c r="BN207" s="645">
        <f t="shared" si="292"/>
        <v>1</v>
      </c>
      <c r="BO207" s="434"/>
      <c r="BP207" s="434">
        <v>0.4</v>
      </c>
      <c r="BQ207" s="302" t="s">
        <v>649</v>
      </c>
      <c r="BR207" s="302" t="s">
        <v>650</v>
      </c>
      <c r="BS207" s="434">
        <v>0.1</v>
      </c>
      <c r="BT207" s="302" t="s">
        <v>508</v>
      </c>
      <c r="BU207" s="302" t="s">
        <v>546</v>
      </c>
      <c r="BV207" s="434">
        <v>0</v>
      </c>
      <c r="BW207" s="645">
        <f t="shared" si="293"/>
        <v>0.5</v>
      </c>
      <c r="BX207" s="434">
        <v>0.4</v>
      </c>
      <c r="BY207" s="302" t="s">
        <v>649</v>
      </c>
      <c r="BZ207" s="302" t="s">
        <v>650</v>
      </c>
      <c r="CA207" s="434">
        <v>0.1</v>
      </c>
      <c r="CB207" s="302" t="s">
        <v>508</v>
      </c>
      <c r="CC207" s="302" t="s">
        <v>546</v>
      </c>
      <c r="CD207" s="434">
        <v>0</v>
      </c>
      <c r="CE207" s="434">
        <f t="shared" si="294"/>
        <v>0.5</v>
      </c>
      <c r="CF207" s="1620" t="s">
        <v>862</v>
      </c>
      <c r="CG207" s="1620" t="s">
        <v>1166</v>
      </c>
      <c r="CH207" s="1620" t="s">
        <v>1166</v>
      </c>
      <c r="CI207" s="406"/>
      <c r="CJ207" s="642">
        <v>0.73099999999999998</v>
      </c>
      <c r="CK207" s="591" t="s">
        <v>922</v>
      </c>
      <c r="CL207" s="302" t="s">
        <v>649</v>
      </c>
      <c r="CM207" s="302" t="s">
        <v>650</v>
      </c>
      <c r="CN207" s="637">
        <v>0.6</v>
      </c>
      <c r="CO207" s="302" t="s">
        <v>508</v>
      </c>
      <c r="CP207" s="302" t="s">
        <v>546</v>
      </c>
      <c r="CQ207" s="637">
        <v>0</v>
      </c>
    </row>
    <row r="208" spans="1:98" ht="15.75" customHeight="1" x14ac:dyDescent="0.2">
      <c r="A208" s="661" t="s">
        <v>302</v>
      </c>
      <c r="B208" s="440" t="s">
        <v>301</v>
      </c>
      <c r="C208" s="637">
        <v>0.4</v>
      </c>
      <c r="D208" s="440" t="s">
        <v>633</v>
      </c>
      <c r="E208" s="440" t="s">
        <v>634</v>
      </c>
      <c r="F208" s="637">
        <v>0.09</v>
      </c>
      <c r="G208" s="440" t="s">
        <v>631</v>
      </c>
      <c r="H208" s="440" t="s">
        <v>632</v>
      </c>
      <c r="I208" s="637">
        <v>0.01</v>
      </c>
      <c r="J208" s="662">
        <f t="shared" si="289"/>
        <v>0.5</v>
      </c>
      <c r="K208" s="637">
        <v>0.4</v>
      </c>
      <c r="L208" s="440" t="s">
        <v>633</v>
      </c>
      <c r="M208" s="440" t="s">
        <v>634</v>
      </c>
      <c r="N208" s="637">
        <v>0.09</v>
      </c>
      <c r="O208" s="440" t="s">
        <v>631</v>
      </c>
      <c r="P208" s="440" t="s">
        <v>632</v>
      </c>
      <c r="Q208" s="637">
        <v>0.01</v>
      </c>
      <c r="R208" s="662">
        <f t="shared" si="262"/>
        <v>0.5</v>
      </c>
      <c r="S208" s="637">
        <v>0.4</v>
      </c>
      <c r="T208" s="302" t="s">
        <v>633</v>
      </c>
      <c r="U208" s="302" t="s">
        <v>634</v>
      </c>
      <c r="V208" s="637">
        <v>0.09</v>
      </c>
      <c r="W208" s="302" t="s">
        <v>631</v>
      </c>
      <c r="X208" s="302" t="s">
        <v>632</v>
      </c>
      <c r="Y208" s="637">
        <v>0.01</v>
      </c>
      <c r="Z208" s="645">
        <f t="shared" si="263"/>
        <v>0.5</v>
      </c>
      <c r="AA208" s="637">
        <v>0.4</v>
      </c>
      <c r="AB208" s="302" t="s">
        <v>633</v>
      </c>
      <c r="AC208" s="302" t="s">
        <v>634</v>
      </c>
      <c r="AD208" s="637">
        <v>0.09</v>
      </c>
      <c r="AE208" s="302" t="s">
        <v>631</v>
      </c>
      <c r="AF208" s="302" t="s">
        <v>632</v>
      </c>
      <c r="AG208" s="637">
        <v>0.01</v>
      </c>
      <c r="AH208" s="645">
        <f t="shared" si="297"/>
        <v>0.5</v>
      </c>
      <c r="AI208" s="637">
        <v>0.4</v>
      </c>
      <c r="AJ208" s="302" t="s">
        <v>633</v>
      </c>
      <c r="AK208" s="302" t="s">
        <v>634</v>
      </c>
      <c r="AL208" s="637">
        <v>0.09</v>
      </c>
      <c r="AM208" s="302" t="s">
        <v>631</v>
      </c>
      <c r="AN208" s="302" t="s">
        <v>632</v>
      </c>
      <c r="AO208" s="637">
        <v>0.01</v>
      </c>
      <c r="AP208" s="645">
        <f t="shared" si="296"/>
        <v>0.5</v>
      </c>
      <c r="AQ208" s="637">
        <v>0.4</v>
      </c>
      <c r="AR208" s="302" t="s">
        <v>633</v>
      </c>
      <c r="AS208" s="302" t="s">
        <v>634</v>
      </c>
      <c r="AT208" s="637">
        <v>0.09</v>
      </c>
      <c r="AU208" s="302" t="s">
        <v>631</v>
      </c>
      <c r="AV208" s="302" t="s">
        <v>632</v>
      </c>
      <c r="AW208" s="637">
        <v>0.01</v>
      </c>
      <c r="AX208" s="645">
        <f t="shared" si="290"/>
        <v>0.5</v>
      </c>
      <c r="AY208" s="637">
        <v>0.4</v>
      </c>
      <c r="AZ208" s="302" t="s">
        <v>633</v>
      </c>
      <c r="BA208" s="302" t="s">
        <v>634</v>
      </c>
      <c r="BB208" s="637">
        <v>0.09</v>
      </c>
      <c r="BC208" s="302" t="s">
        <v>631</v>
      </c>
      <c r="BD208" s="302" t="s">
        <v>632</v>
      </c>
      <c r="BE208" s="637">
        <v>0.01</v>
      </c>
      <c r="BF208" s="434">
        <f t="shared" si="291"/>
        <v>0.5</v>
      </c>
      <c r="BG208" s="587">
        <v>0.4</v>
      </c>
      <c r="BH208" s="302" t="s">
        <v>633</v>
      </c>
      <c r="BI208" s="302" t="s">
        <v>634</v>
      </c>
      <c r="BJ208" s="434">
        <v>0.09</v>
      </c>
      <c r="BK208" s="302" t="s">
        <v>631</v>
      </c>
      <c r="BL208" s="302" t="s">
        <v>632</v>
      </c>
      <c r="BM208" s="434">
        <v>0.01</v>
      </c>
      <c r="BN208" s="645">
        <f t="shared" si="292"/>
        <v>0.5</v>
      </c>
      <c r="BO208" s="434"/>
      <c r="BP208" s="434">
        <v>0.4</v>
      </c>
      <c r="BQ208" s="302" t="s">
        <v>633</v>
      </c>
      <c r="BR208" s="302" t="s">
        <v>634</v>
      </c>
      <c r="BS208" s="434">
        <v>0.09</v>
      </c>
      <c r="BT208" s="302" t="s">
        <v>631</v>
      </c>
      <c r="BU208" s="302" t="s">
        <v>632</v>
      </c>
      <c r="BV208" s="434">
        <v>0.01</v>
      </c>
      <c r="BW208" s="645">
        <f t="shared" si="293"/>
        <v>0.5</v>
      </c>
      <c r="BX208" s="434">
        <v>0.4</v>
      </c>
      <c r="BY208" s="302" t="s">
        <v>633</v>
      </c>
      <c r="BZ208" s="302" t="s">
        <v>634</v>
      </c>
      <c r="CA208" s="434">
        <v>0.09</v>
      </c>
      <c r="CB208" s="302" t="s">
        <v>631</v>
      </c>
      <c r="CC208" s="302" t="s">
        <v>632</v>
      </c>
      <c r="CD208" s="434">
        <v>0.01</v>
      </c>
      <c r="CE208" s="434">
        <f t="shared" si="294"/>
        <v>0.5</v>
      </c>
      <c r="CF208" s="1620" t="s">
        <v>862</v>
      </c>
      <c r="CG208" s="1620" t="s">
        <v>862</v>
      </c>
      <c r="CH208" s="1620" t="s">
        <v>1166</v>
      </c>
      <c r="CI208" s="406"/>
      <c r="CJ208" s="642">
        <v>0.68100000000000005</v>
      </c>
      <c r="CK208" s="591" t="s">
        <v>922</v>
      </c>
      <c r="CL208" s="302" t="s">
        <v>633</v>
      </c>
      <c r="CM208" s="302" t="s">
        <v>634</v>
      </c>
      <c r="CN208" s="637">
        <v>0.59</v>
      </c>
      <c r="CO208" s="302" t="s">
        <v>631</v>
      </c>
      <c r="CP208" s="302" t="s">
        <v>632</v>
      </c>
      <c r="CQ208" s="637">
        <v>0.01</v>
      </c>
    </row>
    <row r="209" spans="1:95" ht="15.75" customHeight="1" x14ac:dyDescent="0.2">
      <c r="A209" s="661" t="s">
        <v>304</v>
      </c>
      <c r="B209" s="440" t="s">
        <v>303</v>
      </c>
      <c r="C209" s="637">
        <v>0.4</v>
      </c>
      <c r="D209" s="440" t="s">
        <v>583</v>
      </c>
      <c r="E209" s="440" t="s">
        <v>584</v>
      </c>
      <c r="F209" s="637">
        <v>0.09</v>
      </c>
      <c r="G209" s="440" t="s">
        <v>2218</v>
      </c>
      <c r="H209" s="440" t="s">
        <v>2219</v>
      </c>
      <c r="I209" s="637">
        <v>0.01</v>
      </c>
      <c r="J209" s="662">
        <f t="shared" si="289"/>
        <v>0.5</v>
      </c>
      <c r="K209" s="637">
        <v>0.4</v>
      </c>
      <c r="L209" s="440" t="s">
        <v>583</v>
      </c>
      <c r="M209" s="440" t="s">
        <v>584</v>
      </c>
      <c r="N209" s="637">
        <v>0.09</v>
      </c>
      <c r="O209" s="440" t="s">
        <v>2218</v>
      </c>
      <c r="P209" s="440" t="s">
        <v>2219</v>
      </c>
      <c r="Q209" s="637">
        <v>0.01</v>
      </c>
      <c r="R209" s="662">
        <f t="shared" si="262"/>
        <v>0.5</v>
      </c>
      <c r="S209" s="637">
        <v>0.4</v>
      </c>
      <c r="T209" s="302" t="s">
        <v>583</v>
      </c>
      <c r="U209" s="302" t="s">
        <v>584</v>
      </c>
      <c r="V209" s="637">
        <v>0.09</v>
      </c>
      <c r="W209" s="302" t="s">
        <v>2218</v>
      </c>
      <c r="X209" s="302" t="s">
        <v>2219</v>
      </c>
      <c r="Y209" s="637">
        <v>0.01</v>
      </c>
      <c r="Z209" s="645">
        <f t="shared" si="263"/>
        <v>0.5</v>
      </c>
      <c r="AA209" s="637">
        <v>0.4</v>
      </c>
      <c r="AB209" s="302" t="s">
        <v>583</v>
      </c>
      <c r="AC209" s="302" t="s">
        <v>584</v>
      </c>
      <c r="AD209" s="637">
        <v>0.09</v>
      </c>
      <c r="AE209" s="302" t="s">
        <v>2218</v>
      </c>
      <c r="AF209" s="302" t="s">
        <v>2219</v>
      </c>
      <c r="AG209" s="637">
        <v>0.01</v>
      </c>
      <c r="AH209" s="645">
        <f t="shared" si="297"/>
        <v>0.5</v>
      </c>
      <c r="AI209" s="637">
        <v>0.4</v>
      </c>
      <c r="AJ209" s="302" t="s">
        <v>583</v>
      </c>
      <c r="AK209" s="302" t="s">
        <v>584</v>
      </c>
      <c r="AL209" s="637">
        <v>0.09</v>
      </c>
      <c r="AM209" s="302" t="s">
        <v>2218</v>
      </c>
      <c r="AN209" s="302" t="s">
        <v>2219</v>
      </c>
      <c r="AO209" s="637">
        <v>0.01</v>
      </c>
      <c r="AP209" s="645">
        <f t="shared" si="296"/>
        <v>0.5</v>
      </c>
      <c r="AQ209" s="637">
        <v>0.4</v>
      </c>
      <c r="AR209" s="302" t="s">
        <v>583</v>
      </c>
      <c r="AS209" s="302" t="s">
        <v>584</v>
      </c>
      <c r="AT209" s="637">
        <v>0.09</v>
      </c>
      <c r="AU209" s="302" t="s">
        <v>580</v>
      </c>
      <c r="AV209" s="302" t="s">
        <v>1293</v>
      </c>
      <c r="AW209" s="637">
        <v>0.01</v>
      </c>
      <c r="AX209" s="645">
        <f t="shared" ref="AX209:AX218" si="298">+AQ209+AT209+AW209</f>
        <v>0.5</v>
      </c>
      <c r="AY209" s="637">
        <v>0.4</v>
      </c>
      <c r="AZ209" s="302" t="s">
        <v>583</v>
      </c>
      <c r="BA209" s="302" t="s">
        <v>584</v>
      </c>
      <c r="BB209" s="637">
        <v>0.09</v>
      </c>
      <c r="BC209" s="302" t="s">
        <v>580</v>
      </c>
      <c r="BD209" s="302" t="s">
        <v>581</v>
      </c>
      <c r="BE209" s="637">
        <v>0.01</v>
      </c>
      <c r="BF209" s="434">
        <f t="shared" ref="BF209:BF218" si="299">+AY209+BB209+BE209</f>
        <v>0.5</v>
      </c>
      <c r="BG209" s="587">
        <v>0.4</v>
      </c>
      <c r="BH209" s="302" t="s">
        <v>583</v>
      </c>
      <c r="BI209" s="302" t="s">
        <v>584</v>
      </c>
      <c r="BJ209" s="434">
        <v>0.09</v>
      </c>
      <c r="BK209" s="302" t="s">
        <v>580</v>
      </c>
      <c r="BL209" s="302" t="s">
        <v>581</v>
      </c>
      <c r="BM209" s="434">
        <v>0.01</v>
      </c>
      <c r="BN209" s="645">
        <f t="shared" ref="BN209:BN218" si="300">+BG209+BJ209+BM209</f>
        <v>0.5</v>
      </c>
      <c r="BO209" s="434"/>
      <c r="BP209" s="434">
        <v>0.4</v>
      </c>
      <c r="BQ209" s="302" t="s">
        <v>583</v>
      </c>
      <c r="BR209" s="302" t="s">
        <v>584</v>
      </c>
      <c r="BS209" s="434">
        <v>0.09</v>
      </c>
      <c r="BT209" s="302" t="s">
        <v>580</v>
      </c>
      <c r="BU209" s="302" t="s">
        <v>581</v>
      </c>
      <c r="BV209" s="434">
        <v>0.01</v>
      </c>
      <c r="BW209" s="645">
        <f t="shared" ref="BW209:BW218" si="301">+BP209+BS209+BV209</f>
        <v>0.5</v>
      </c>
      <c r="BX209" s="434">
        <v>0.4</v>
      </c>
      <c r="BY209" s="302" t="s">
        <v>583</v>
      </c>
      <c r="BZ209" s="302" t="s">
        <v>584</v>
      </c>
      <c r="CA209" s="434">
        <v>0.09</v>
      </c>
      <c r="CB209" s="302" t="s">
        <v>580</v>
      </c>
      <c r="CC209" s="302" t="s">
        <v>581</v>
      </c>
      <c r="CD209" s="434">
        <v>0.01</v>
      </c>
      <c r="CE209" s="434">
        <f t="shared" ref="CE209:CE218" si="302">+BX209+CA209+CD209</f>
        <v>0.5</v>
      </c>
      <c r="CF209" s="1620" t="s">
        <v>1166</v>
      </c>
      <c r="CG209" s="1620" t="s">
        <v>1166</v>
      </c>
      <c r="CH209" s="1620" t="s">
        <v>1166</v>
      </c>
      <c r="CI209" s="406"/>
      <c r="CJ209" s="642">
        <v>0.73099999999999998</v>
      </c>
      <c r="CK209" s="591" t="s">
        <v>922</v>
      </c>
      <c r="CL209" s="302" t="s">
        <v>583</v>
      </c>
      <c r="CM209" s="302" t="s">
        <v>584</v>
      </c>
      <c r="CN209" s="637">
        <v>0.59</v>
      </c>
      <c r="CO209" s="302" t="s">
        <v>580</v>
      </c>
      <c r="CP209" s="302" t="s">
        <v>581</v>
      </c>
      <c r="CQ209" s="637">
        <v>0.01</v>
      </c>
    </row>
    <row r="210" spans="1:95" ht="15.75" customHeight="1" x14ac:dyDescent="0.2">
      <c r="A210" s="661" t="s">
        <v>306</v>
      </c>
      <c r="B210" s="440" t="s">
        <v>614</v>
      </c>
      <c r="C210" s="637">
        <v>0.49</v>
      </c>
      <c r="D210" s="440" t="s">
        <v>508</v>
      </c>
      <c r="E210" s="440" t="s">
        <v>509</v>
      </c>
      <c r="F210" s="637">
        <v>0</v>
      </c>
      <c r="G210" s="440" t="s">
        <v>612</v>
      </c>
      <c r="H210" s="440" t="s">
        <v>613</v>
      </c>
      <c r="I210" s="637">
        <v>0.01</v>
      </c>
      <c r="J210" s="662">
        <f t="shared" si="289"/>
        <v>0.5</v>
      </c>
      <c r="K210" s="637">
        <v>0.49</v>
      </c>
      <c r="L210" s="440" t="s">
        <v>508</v>
      </c>
      <c r="M210" s="440" t="s">
        <v>509</v>
      </c>
      <c r="N210" s="637">
        <v>0</v>
      </c>
      <c r="O210" s="440" t="s">
        <v>612</v>
      </c>
      <c r="P210" s="440" t="s">
        <v>613</v>
      </c>
      <c r="Q210" s="637">
        <v>0.01</v>
      </c>
      <c r="R210" s="662">
        <f t="shared" si="262"/>
        <v>0.5</v>
      </c>
      <c r="S210" s="637">
        <v>0.49</v>
      </c>
      <c r="T210" s="302" t="s">
        <v>508</v>
      </c>
      <c r="U210" s="302" t="s">
        <v>509</v>
      </c>
      <c r="V210" s="637">
        <v>0</v>
      </c>
      <c r="W210" s="302" t="s">
        <v>612</v>
      </c>
      <c r="X210" s="302" t="s">
        <v>613</v>
      </c>
      <c r="Y210" s="637">
        <v>0.01</v>
      </c>
      <c r="Z210" s="645">
        <f t="shared" si="263"/>
        <v>0.5</v>
      </c>
      <c r="AA210" s="637">
        <v>0.49</v>
      </c>
      <c r="AB210" s="302" t="s">
        <v>508</v>
      </c>
      <c r="AC210" s="302" t="s">
        <v>509</v>
      </c>
      <c r="AD210" s="637">
        <v>0</v>
      </c>
      <c r="AE210" s="302" t="s">
        <v>612</v>
      </c>
      <c r="AF210" s="302" t="s">
        <v>613</v>
      </c>
      <c r="AG210" s="637">
        <v>0.01</v>
      </c>
      <c r="AH210" s="645">
        <f t="shared" si="297"/>
        <v>0.5</v>
      </c>
      <c r="AI210" s="637">
        <v>0.49</v>
      </c>
      <c r="AJ210" s="302" t="s">
        <v>508</v>
      </c>
      <c r="AK210" s="302" t="s">
        <v>509</v>
      </c>
      <c r="AL210" s="637">
        <v>0</v>
      </c>
      <c r="AM210" s="302" t="s">
        <v>612</v>
      </c>
      <c r="AN210" s="302" t="s">
        <v>613</v>
      </c>
      <c r="AO210" s="637">
        <v>0.01</v>
      </c>
      <c r="AP210" s="645">
        <f t="shared" si="296"/>
        <v>0.5</v>
      </c>
      <c r="AQ210" s="637">
        <v>0.49</v>
      </c>
      <c r="AR210" s="302" t="s">
        <v>508</v>
      </c>
      <c r="AS210" s="302" t="s">
        <v>509</v>
      </c>
      <c r="AT210" s="637">
        <v>0</v>
      </c>
      <c r="AU210" s="302" t="s">
        <v>612</v>
      </c>
      <c r="AV210" s="302" t="s">
        <v>613</v>
      </c>
      <c r="AW210" s="637">
        <v>0.01</v>
      </c>
      <c r="AX210" s="645">
        <f t="shared" si="298"/>
        <v>0.5</v>
      </c>
      <c r="AY210" s="637">
        <v>0.49</v>
      </c>
      <c r="AZ210" s="302" t="s">
        <v>508</v>
      </c>
      <c r="BA210" s="302" t="s">
        <v>509</v>
      </c>
      <c r="BB210" s="637">
        <v>0</v>
      </c>
      <c r="BC210" s="302" t="s">
        <v>612</v>
      </c>
      <c r="BD210" s="302" t="s">
        <v>613</v>
      </c>
      <c r="BE210" s="637">
        <v>0.01</v>
      </c>
      <c r="BF210" s="434">
        <f t="shared" si="299"/>
        <v>0.5</v>
      </c>
      <c r="BG210" s="587">
        <v>0.49</v>
      </c>
      <c r="BH210" s="302" t="s">
        <v>508</v>
      </c>
      <c r="BI210" s="302" t="s">
        <v>509</v>
      </c>
      <c r="BJ210" s="434">
        <v>0</v>
      </c>
      <c r="BK210" s="302" t="s">
        <v>612</v>
      </c>
      <c r="BL210" s="302" t="s">
        <v>613</v>
      </c>
      <c r="BM210" s="434">
        <v>0.01</v>
      </c>
      <c r="BN210" s="645">
        <f t="shared" si="300"/>
        <v>0.5</v>
      </c>
      <c r="BO210" s="434"/>
      <c r="BP210" s="434">
        <v>0.49</v>
      </c>
      <c r="BQ210" s="302" t="s">
        <v>508</v>
      </c>
      <c r="BR210" s="302" t="s">
        <v>509</v>
      </c>
      <c r="BS210" s="434">
        <v>0</v>
      </c>
      <c r="BT210" s="302" t="s">
        <v>612</v>
      </c>
      <c r="BU210" s="302" t="s">
        <v>613</v>
      </c>
      <c r="BV210" s="434">
        <v>0.01</v>
      </c>
      <c r="BW210" s="645">
        <f t="shared" si="301"/>
        <v>0.5</v>
      </c>
      <c r="BX210" s="434">
        <v>0.49</v>
      </c>
      <c r="BY210" s="302" t="s">
        <v>508</v>
      </c>
      <c r="BZ210" s="302" t="s">
        <v>509</v>
      </c>
      <c r="CA210" s="434">
        <v>0</v>
      </c>
      <c r="CB210" s="302" t="s">
        <v>612</v>
      </c>
      <c r="CC210" s="302" t="s">
        <v>613</v>
      </c>
      <c r="CD210" s="434">
        <v>0.01</v>
      </c>
      <c r="CE210" s="434">
        <f t="shared" si="302"/>
        <v>0.5</v>
      </c>
      <c r="CF210" s="1620" t="s">
        <v>1166</v>
      </c>
      <c r="CG210" s="1620" t="s">
        <v>1166</v>
      </c>
      <c r="CH210" s="1620" t="s">
        <v>1166</v>
      </c>
      <c r="CI210" s="408" t="s">
        <v>862</v>
      </c>
      <c r="CJ210" s="642">
        <v>0.67200000000000004</v>
      </c>
      <c r="CK210" s="591" t="s">
        <v>922</v>
      </c>
      <c r="CL210" s="302" t="s">
        <v>508</v>
      </c>
      <c r="CM210" s="302" t="s">
        <v>509</v>
      </c>
      <c r="CN210" s="637">
        <v>0</v>
      </c>
      <c r="CO210" s="302" t="s">
        <v>612</v>
      </c>
      <c r="CP210" s="302" t="s">
        <v>613</v>
      </c>
      <c r="CQ210" s="637">
        <v>0.01</v>
      </c>
    </row>
    <row r="211" spans="1:95" ht="15.75" customHeight="1" x14ac:dyDescent="0.2">
      <c r="A211" s="661" t="s">
        <v>308</v>
      </c>
      <c r="B211" s="440" t="s">
        <v>307</v>
      </c>
      <c r="C211" s="637">
        <v>0.99</v>
      </c>
      <c r="D211" s="440" t="s">
        <v>508</v>
      </c>
      <c r="E211" s="440" t="s">
        <v>660</v>
      </c>
      <c r="F211" s="637">
        <v>0</v>
      </c>
      <c r="G211" s="440" t="s">
        <v>1281</v>
      </c>
      <c r="H211" s="440" t="s">
        <v>1199</v>
      </c>
      <c r="I211" s="637">
        <v>0.01</v>
      </c>
      <c r="J211" s="662">
        <f t="shared" si="289"/>
        <v>1</v>
      </c>
      <c r="K211" s="637">
        <v>0.99</v>
      </c>
      <c r="L211" s="440" t="s">
        <v>508</v>
      </c>
      <c r="M211" s="440" t="s">
        <v>660</v>
      </c>
      <c r="N211" s="637">
        <v>0</v>
      </c>
      <c r="O211" s="440" t="s">
        <v>1281</v>
      </c>
      <c r="P211" s="440" t="s">
        <v>1199</v>
      </c>
      <c r="Q211" s="637">
        <v>0.01</v>
      </c>
      <c r="R211" s="662">
        <f t="shared" si="262"/>
        <v>1</v>
      </c>
      <c r="S211" s="637">
        <v>0.99</v>
      </c>
      <c r="T211" s="302" t="s">
        <v>508</v>
      </c>
      <c r="U211" s="302" t="s">
        <v>660</v>
      </c>
      <c r="V211" s="637">
        <v>0</v>
      </c>
      <c r="W211" s="302" t="s">
        <v>1281</v>
      </c>
      <c r="X211" s="302" t="s">
        <v>1199</v>
      </c>
      <c r="Y211" s="637">
        <v>0.01</v>
      </c>
      <c r="Z211" s="645">
        <f t="shared" si="263"/>
        <v>1</v>
      </c>
      <c r="AA211" s="637">
        <v>0.99</v>
      </c>
      <c r="AB211" s="302" t="s">
        <v>508</v>
      </c>
      <c r="AC211" s="302" t="s">
        <v>660</v>
      </c>
      <c r="AD211" s="637">
        <v>0</v>
      </c>
      <c r="AE211" s="302" t="s">
        <v>1281</v>
      </c>
      <c r="AF211" s="302" t="s">
        <v>1199</v>
      </c>
      <c r="AG211" s="637">
        <v>0.01</v>
      </c>
      <c r="AH211" s="645">
        <f t="shared" si="297"/>
        <v>1</v>
      </c>
      <c r="AI211" s="637">
        <v>0.99</v>
      </c>
      <c r="AJ211" s="302" t="s">
        <v>508</v>
      </c>
      <c r="AK211" s="302" t="s">
        <v>660</v>
      </c>
      <c r="AL211" s="637">
        <v>0</v>
      </c>
      <c r="AM211" s="302" t="s">
        <v>1281</v>
      </c>
      <c r="AN211" s="302" t="s">
        <v>1199</v>
      </c>
      <c r="AO211" s="637">
        <v>0.01</v>
      </c>
      <c r="AP211" s="645">
        <f t="shared" ref="AP211:AP219" si="303">+AI211+AL211+AO211</f>
        <v>1</v>
      </c>
      <c r="AQ211" s="637">
        <v>0.99</v>
      </c>
      <c r="AR211" s="302" t="s">
        <v>508</v>
      </c>
      <c r="AS211" s="302" t="s">
        <v>660</v>
      </c>
      <c r="AT211" s="637">
        <v>0</v>
      </c>
      <c r="AU211" s="302" t="s">
        <v>1281</v>
      </c>
      <c r="AV211" s="302" t="s">
        <v>1199</v>
      </c>
      <c r="AW211" s="637">
        <v>0.01</v>
      </c>
      <c r="AX211" s="645">
        <f t="shared" si="298"/>
        <v>1</v>
      </c>
      <c r="AY211" s="637">
        <v>0.99</v>
      </c>
      <c r="AZ211" s="302" t="s">
        <v>508</v>
      </c>
      <c r="BA211" s="302" t="s">
        <v>660</v>
      </c>
      <c r="BB211" s="637">
        <v>0</v>
      </c>
      <c r="BC211" s="302" t="s">
        <v>661</v>
      </c>
      <c r="BD211" s="302" t="s">
        <v>1199</v>
      </c>
      <c r="BE211" s="637">
        <v>0.01</v>
      </c>
      <c r="BF211" s="434">
        <f t="shared" si="299"/>
        <v>1</v>
      </c>
      <c r="BG211" s="587">
        <v>0.99</v>
      </c>
      <c r="BH211" s="302" t="s">
        <v>508</v>
      </c>
      <c r="BI211" s="302" t="s">
        <v>660</v>
      </c>
      <c r="BJ211" s="434">
        <v>0</v>
      </c>
      <c r="BK211" s="302" t="s">
        <v>661</v>
      </c>
      <c r="BL211" s="302" t="s">
        <v>662</v>
      </c>
      <c r="BM211" s="434">
        <v>0.01</v>
      </c>
      <c r="BN211" s="645">
        <f t="shared" si="300"/>
        <v>1</v>
      </c>
      <c r="BO211" s="434"/>
      <c r="BP211" s="434">
        <v>0.99</v>
      </c>
      <c r="BQ211" s="302" t="s">
        <v>508</v>
      </c>
      <c r="BR211" s="302" t="s">
        <v>660</v>
      </c>
      <c r="BS211" s="434">
        <v>0</v>
      </c>
      <c r="BT211" s="302" t="s">
        <v>661</v>
      </c>
      <c r="BU211" s="302" t="s">
        <v>662</v>
      </c>
      <c r="BV211" s="434">
        <v>0.01</v>
      </c>
      <c r="BW211" s="645">
        <f t="shared" si="301"/>
        <v>1</v>
      </c>
      <c r="BX211" s="434">
        <v>0.49</v>
      </c>
      <c r="BY211" s="302" t="s">
        <v>508</v>
      </c>
      <c r="BZ211" s="302" t="s">
        <v>660</v>
      </c>
      <c r="CA211" s="434">
        <v>0</v>
      </c>
      <c r="CB211" s="302" t="s">
        <v>661</v>
      </c>
      <c r="CC211" s="302" t="s">
        <v>662</v>
      </c>
      <c r="CD211" s="434">
        <v>0.01</v>
      </c>
      <c r="CE211" s="434">
        <f t="shared" si="302"/>
        <v>0.5</v>
      </c>
      <c r="CF211" s="1620" t="s">
        <v>862</v>
      </c>
      <c r="CG211" s="1620" t="s">
        <v>1166</v>
      </c>
      <c r="CH211" s="1620" t="s">
        <v>862</v>
      </c>
      <c r="CI211" s="408" t="s">
        <v>862</v>
      </c>
      <c r="CJ211" s="642">
        <v>0.66800000000000004</v>
      </c>
      <c r="CK211" s="591" t="s">
        <v>922</v>
      </c>
      <c r="CL211" s="302" t="s">
        <v>508</v>
      </c>
      <c r="CM211" s="302" t="s">
        <v>660</v>
      </c>
      <c r="CN211" s="637">
        <v>0</v>
      </c>
      <c r="CO211" s="302" t="s">
        <v>661</v>
      </c>
      <c r="CP211" s="302" t="s">
        <v>662</v>
      </c>
      <c r="CQ211" s="637">
        <v>0.01</v>
      </c>
    </row>
    <row r="212" spans="1:95" ht="15.75" customHeight="1" x14ac:dyDescent="0.2">
      <c r="A212" s="661" t="s">
        <v>310</v>
      </c>
      <c r="B212" s="440" t="s">
        <v>309</v>
      </c>
      <c r="C212" s="637">
        <v>0.99</v>
      </c>
      <c r="D212" s="440" t="s">
        <v>508</v>
      </c>
      <c r="E212" s="440" t="s">
        <v>660</v>
      </c>
      <c r="F212" s="637">
        <v>0</v>
      </c>
      <c r="G212" s="440" t="s">
        <v>669</v>
      </c>
      <c r="H212" s="440" t="s">
        <v>670</v>
      </c>
      <c r="I212" s="637">
        <v>0.01</v>
      </c>
      <c r="J212" s="662">
        <f t="shared" si="289"/>
        <v>1</v>
      </c>
      <c r="K212" s="637">
        <v>0.99</v>
      </c>
      <c r="L212" s="440" t="s">
        <v>508</v>
      </c>
      <c r="M212" s="440" t="s">
        <v>660</v>
      </c>
      <c r="N212" s="637">
        <v>0</v>
      </c>
      <c r="O212" s="440" t="s">
        <v>669</v>
      </c>
      <c r="P212" s="440" t="s">
        <v>670</v>
      </c>
      <c r="Q212" s="637">
        <v>0.01</v>
      </c>
      <c r="R212" s="662">
        <f t="shared" si="262"/>
        <v>1</v>
      </c>
      <c r="S212" s="637">
        <v>0.99</v>
      </c>
      <c r="T212" s="302" t="s">
        <v>508</v>
      </c>
      <c r="U212" s="302" t="s">
        <v>660</v>
      </c>
      <c r="V212" s="637">
        <v>0</v>
      </c>
      <c r="W212" s="302" t="s">
        <v>669</v>
      </c>
      <c r="X212" s="302" t="s">
        <v>670</v>
      </c>
      <c r="Y212" s="637">
        <v>0.01</v>
      </c>
      <c r="Z212" s="645">
        <f t="shared" si="263"/>
        <v>1</v>
      </c>
      <c r="AA212" s="637">
        <v>0.99</v>
      </c>
      <c r="AB212" s="302" t="s">
        <v>508</v>
      </c>
      <c r="AC212" s="302" t="s">
        <v>660</v>
      </c>
      <c r="AD212" s="637">
        <v>0</v>
      </c>
      <c r="AE212" s="302" t="s">
        <v>669</v>
      </c>
      <c r="AF212" s="302" t="s">
        <v>670</v>
      </c>
      <c r="AG212" s="637">
        <v>0.01</v>
      </c>
      <c r="AH212" s="645">
        <f t="shared" si="297"/>
        <v>1</v>
      </c>
      <c r="AI212" s="637">
        <v>0.99</v>
      </c>
      <c r="AJ212" s="302" t="s">
        <v>508</v>
      </c>
      <c r="AK212" s="302" t="s">
        <v>660</v>
      </c>
      <c r="AL212" s="637">
        <v>0</v>
      </c>
      <c r="AM212" s="302" t="s">
        <v>669</v>
      </c>
      <c r="AN212" s="302" t="s">
        <v>670</v>
      </c>
      <c r="AO212" s="637">
        <v>0.01</v>
      </c>
      <c r="AP212" s="645">
        <f t="shared" si="303"/>
        <v>1</v>
      </c>
      <c r="AQ212" s="637">
        <v>0.99</v>
      </c>
      <c r="AR212" s="302" t="s">
        <v>508</v>
      </c>
      <c r="AS212" s="302" t="s">
        <v>660</v>
      </c>
      <c r="AT212" s="637">
        <v>0</v>
      </c>
      <c r="AU212" s="302" t="s">
        <v>669</v>
      </c>
      <c r="AV212" s="302" t="s">
        <v>670</v>
      </c>
      <c r="AW212" s="637">
        <v>0.01</v>
      </c>
      <c r="AX212" s="645">
        <f t="shared" si="298"/>
        <v>1</v>
      </c>
      <c r="AY212" s="637">
        <v>0.99</v>
      </c>
      <c r="AZ212" s="302" t="s">
        <v>508</v>
      </c>
      <c r="BA212" s="302" t="s">
        <v>660</v>
      </c>
      <c r="BB212" s="637">
        <v>0</v>
      </c>
      <c r="BC212" s="302" t="s">
        <v>669</v>
      </c>
      <c r="BD212" s="302" t="s">
        <v>670</v>
      </c>
      <c r="BE212" s="637">
        <v>0.01</v>
      </c>
      <c r="BF212" s="434">
        <f t="shared" si="299"/>
        <v>1</v>
      </c>
      <c r="BG212" s="587">
        <v>0.99</v>
      </c>
      <c r="BH212" s="302" t="s">
        <v>508</v>
      </c>
      <c r="BI212" s="302" t="s">
        <v>660</v>
      </c>
      <c r="BJ212" s="434">
        <v>0</v>
      </c>
      <c r="BK212" s="302" t="s">
        <v>669</v>
      </c>
      <c r="BL212" s="302" t="s">
        <v>670</v>
      </c>
      <c r="BM212" s="434">
        <v>0.01</v>
      </c>
      <c r="BN212" s="645">
        <f t="shared" si="300"/>
        <v>1</v>
      </c>
      <c r="BO212" s="434"/>
      <c r="BP212" s="434">
        <v>0.99</v>
      </c>
      <c r="BQ212" s="302" t="s">
        <v>508</v>
      </c>
      <c r="BR212" s="302" t="s">
        <v>660</v>
      </c>
      <c r="BS212" s="434">
        <v>0</v>
      </c>
      <c r="BT212" s="302" t="s">
        <v>669</v>
      </c>
      <c r="BU212" s="302" t="s">
        <v>670</v>
      </c>
      <c r="BV212" s="434">
        <v>0.01</v>
      </c>
      <c r="BW212" s="645">
        <f t="shared" si="301"/>
        <v>1</v>
      </c>
      <c r="BX212" s="434">
        <v>0.49</v>
      </c>
      <c r="BY212" s="302" t="s">
        <v>508</v>
      </c>
      <c r="BZ212" s="302" t="s">
        <v>660</v>
      </c>
      <c r="CA212" s="434">
        <v>0</v>
      </c>
      <c r="CB212" s="302" t="s">
        <v>669</v>
      </c>
      <c r="CC212" s="302" t="s">
        <v>670</v>
      </c>
      <c r="CD212" s="434">
        <v>0.01</v>
      </c>
      <c r="CE212" s="434">
        <f t="shared" si="302"/>
        <v>0.5</v>
      </c>
      <c r="CF212" s="1620" t="s">
        <v>862</v>
      </c>
      <c r="CG212" s="1620" t="s">
        <v>1166</v>
      </c>
      <c r="CH212" s="1620" t="s">
        <v>1166</v>
      </c>
      <c r="CI212" s="408" t="s">
        <v>862</v>
      </c>
      <c r="CJ212" s="642">
        <v>0.67300000000000004</v>
      </c>
      <c r="CK212" s="591" t="s">
        <v>922</v>
      </c>
      <c r="CL212" s="302" t="s">
        <v>508</v>
      </c>
      <c r="CM212" s="302" t="s">
        <v>660</v>
      </c>
      <c r="CN212" s="637">
        <v>0</v>
      </c>
      <c r="CO212" s="302" t="s">
        <v>669</v>
      </c>
      <c r="CP212" s="302" t="s">
        <v>670</v>
      </c>
      <c r="CQ212" s="637">
        <v>0.01</v>
      </c>
    </row>
    <row r="213" spans="1:95" ht="15.75" customHeight="1" x14ac:dyDescent="0.2">
      <c r="A213" s="661" t="s">
        <v>312</v>
      </c>
      <c r="B213" s="440" t="s">
        <v>311</v>
      </c>
      <c r="C213" s="637">
        <v>0.99</v>
      </c>
      <c r="D213" s="440" t="s">
        <v>508</v>
      </c>
      <c r="E213" s="440" t="s">
        <v>660</v>
      </c>
      <c r="F213" s="637">
        <v>0</v>
      </c>
      <c r="G213" s="440" t="s">
        <v>663</v>
      </c>
      <c r="H213" s="440" t="s">
        <v>664</v>
      </c>
      <c r="I213" s="637">
        <v>0.01</v>
      </c>
      <c r="J213" s="662">
        <f t="shared" si="289"/>
        <v>1</v>
      </c>
      <c r="K213" s="637">
        <v>0.99</v>
      </c>
      <c r="L213" s="440" t="s">
        <v>508</v>
      </c>
      <c r="M213" s="440" t="s">
        <v>660</v>
      </c>
      <c r="N213" s="637">
        <v>0</v>
      </c>
      <c r="O213" s="440" t="s">
        <v>663</v>
      </c>
      <c r="P213" s="440" t="s">
        <v>664</v>
      </c>
      <c r="Q213" s="637">
        <v>0.01</v>
      </c>
      <c r="R213" s="662">
        <f t="shared" si="262"/>
        <v>1</v>
      </c>
      <c r="S213" s="637">
        <v>0.99</v>
      </c>
      <c r="T213" s="302" t="s">
        <v>508</v>
      </c>
      <c r="U213" s="302" t="s">
        <v>660</v>
      </c>
      <c r="V213" s="637">
        <v>0</v>
      </c>
      <c r="W213" s="302" t="s">
        <v>663</v>
      </c>
      <c r="X213" s="302" t="s">
        <v>664</v>
      </c>
      <c r="Y213" s="637">
        <v>0.01</v>
      </c>
      <c r="Z213" s="645">
        <f t="shared" si="263"/>
        <v>1</v>
      </c>
      <c r="AA213" s="637">
        <v>0.99</v>
      </c>
      <c r="AB213" s="302" t="s">
        <v>508</v>
      </c>
      <c r="AC213" s="302" t="s">
        <v>660</v>
      </c>
      <c r="AD213" s="637">
        <v>0</v>
      </c>
      <c r="AE213" s="302" t="s">
        <v>663</v>
      </c>
      <c r="AF213" s="302" t="s">
        <v>664</v>
      </c>
      <c r="AG213" s="637">
        <v>0.01</v>
      </c>
      <c r="AH213" s="645">
        <f t="shared" si="297"/>
        <v>1</v>
      </c>
      <c r="AI213" s="637">
        <v>0.99</v>
      </c>
      <c r="AJ213" s="302" t="s">
        <v>508</v>
      </c>
      <c r="AK213" s="302" t="s">
        <v>660</v>
      </c>
      <c r="AL213" s="637">
        <v>0</v>
      </c>
      <c r="AM213" s="302" t="s">
        <v>663</v>
      </c>
      <c r="AN213" s="302" t="s">
        <v>664</v>
      </c>
      <c r="AO213" s="637">
        <v>0.01</v>
      </c>
      <c r="AP213" s="645">
        <f t="shared" si="303"/>
        <v>1</v>
      </c>
      <c r="AQ213" s="637">
        <v>0.99</v>
      </c>
      <c r="AR213" s="302" t="s">
        <v>508</v>
      </c>
      <c r="AS213" s="302" t="s">
        <v>660</v>
      </c>
      <c r="AT213" s="637">
        <v>0</v>
      </c>
      <c r="AU213" s="302" t="s">
        <v>663</v>
      </c>
      <c r="AV213" s="302" t="s">
        <v>664</v>
      </c>
      <c r="AW213" s="637">
        <v>0.01</v>
      </c>
      <c r="AX213" s="645">
        <f t="shared" si="298"/>
        <v>1</v>
      </c>
      <c r="AY213" s="637">
        <v>0.99</v>
      </c>
      <c r="AZ213" s="302" t="s">
        <v>508</v>
      </c>
      <c r="BA213" s="302" t="s">
        <v>660</v>
      </c>
      <c r="BB213" s="637">
        <v>0</v>
      </c>
      <c r="BC213" s="302" t="s">
        <v>663</v>
      </c>
      <c r="BD213" s="302" t="s">
        <v>664</v>
      </c>
      <c r="BE213" s="637">
        <v>0.01</v>
      </c>
      <c r="BF213" s="434">
        <f t="shared" si="299"/>
        <v>1</v>
      </c>
      <c r="BG213" s="587">
        <v>0.99</v>
      </c>
      <c r="BH213" s="302" t="s">
        <v>508</v>
      </c>
      <c r="BI213" s="302" t="s">
        <v>660</v>
      </c>
      <c r="BJ213" s="434">
        <v>0</v>
      </c>
      <c r="BK213" s="302" t="s">
        <v>663</v>
      </c>
      <c r="BL213" s="302" t="s">
        <v>664</v>
      </c>
      <c r="BM213" s="434">
        <v>0.01</v>
      </c>
      <c r="BN213" s="645">
        <f t="shared" si="300"/>
        <v>1</v>
      </c>
      <c r="BO213" s="434"/>
      <c r="BP213" s="434">
        <v>0.99</v>
      </c>
      <c r="BQ213" s="302" t="s">
        <v>508</v>
      </c>
      <c r="BR213" s="302" t="s">
        <v>660</v>
      </c>
      <c r="BS213" s="434">
        <v>0</v>
      </c>
      <c r="BT213" s="302" t="s">
        <v>663</v>
      </c>
      <c r="BU213" s="302" t="s">
        <v>664</v>
      </c>
      <c r="BV213" s="434">
        <v>0.01</v>
      </c>
      <c r="BW213" s="645">
        <f t="shared" si="301"/>
        <v>1</v>
      </c>
      <c r="BX213" s="434">
        <v>0.49</v>
      </c>
      <c r="BY213" s="302" t="s">
        <v>508</v>
      </c>
      <c r="BZ213" s="302" t="s">
        <v>660</v>
      </c>
      <c r="CA213" s="434">
        <v>0</v>
      </c>
      <c r="CB213" s="302" t="s">
        <v>663</v>
      </c>
      <c r="CC213" s="302" t="s">
        <v>664</v>
      </c>
      <c r="CD213" s="434">
        <v>0.01</v>
      </c>
      <c r="CE213" s="434">
        <f t="shared" si="302"/>
        <v>0.5</v>
      </c>
      <c r="CF213" s="1620" t="s">
        <v>1166</v>
      </c>
      <c r="CG213" s="1620" t="s">
        <v>1166</v>
      </c>
      <c r="CH213" s="1620" t="s">
        <v>1166</v>
      </c>
      <c r="CI213" s="408" t="s">
        <v>862</v>
      </c>
      <c r="CJ213" s="642">
        <v>0.67300000000000004</v>
      </c>
      <c r="CK213" s="591" t="s">
        <v>922</v>
      </c>
      <c r="CL213" s="302" t="s">
        <v>508</v>
      </c>
      <c r="CM213" s="302" t="s">
        <v>660</v>
      </c>
      <c r="CN213" s="637">
        <v>0</v>
      </c>
      <c r="CO213" s="302" t="s">
        <v>663</v>
      </c>
      <c r="CP213" s="302" t="s">
        <v>664</v>
      </c>
      <c r="CQ213" s="637">
        <v>0.01</v>
      </c>
    </row>
    <row r="214" spans="1:95" ht="15" x14ac:dyDescent="0.2">
      <c r="A214" s="661" t="s">
        <v>314</v>
      </c>
      <c r="B214" s="440" t="s">
        <v>313</v>
      </c>
      <c r="C214" s="637">
        <v>0.4</v>
      </c>
      <c r="D214" s="440" t="s">
        <v>602</v>
      </c>
      <c r="E214" s="440" t="s">
        <v>603</v>
      </c>
      <c r="F214" s="637">
        <v>0.09</v>
      </c>
      <c r="G214" s="440" t="s">
        <v>600</v>
      </c>
      <c r="H214" s="440" t="s">
        <v>601</v>
      </c>
      <c r="I214" s="637">
        <v>0.01</v>
      </c>
      <c r="J214" s="662">
        <f t="shared" si="289"/>
        <v>0.5</v>
      </c>
      <c r="K214" s="637">
        <v>0.4</v>
      </c>
      <c r="L214" s="440" t="s">
        <v>602</v>
      </c>
      <c r="M214" s="440" t="s">
        <v>603</v>
      </c>
      <c r="N214" s="637">
        <v>0.09</v>
      </c>
      <c r="O214" s="440" t="s">
        <v>600</v>
      </c>
      <c r="P214" s="440" t="s">
        <v>601</v>
      </c>
      <c r="Q214" s="637">
        <v>0.01</v>
      </c>
      <c r="R214" s="662">
        <f t="shared" si="262"/>
        <v>0.5</v>
      </c>
      <c r="S214" s="637">
        <v>0.4</v>
      </c>
      <c r="T214" s="302" t="s">
        <v>602</v>
      </c>
      <c r="U214" s="302" t="s">
        <v>603</v>
      </c>
      <c r="V214" s="637">
        <v>0.09</v>
      </c>
      <c r="W214" s="302" t="s">
        <v>600</v>
      </c>
      <c r="X214" s="302" t="s">
        <v>601</v>
      </c>
      <c r="Y214" s="637">
        <v>0.01</v>
      </c>
      <c r="Z214" s="645">
        <f t="shared" si="263"/>
        <v>0.5</v>
      </c>
      <c r="AA214" s="637">
        <v>0.4</v>
      </c>
      <c r="AB214" s="302" t="s">
        <v>602</v>
      </c>
      <c r="AC214" s="302" t="s">
        <v>603</v>
      </c>
      <c r="AD214" s="637">
        <v>0.09</v>
      </c>
      <c r="AE214" s="302" t="s">
        <v>600</v>
      </c>
      <c r="AF214" s="302" t="s">
        <v>601</v>
      </c>
      <c r="AG214" s="637">
        <v>0.01</v>
      </c>
      <c r="AH214" s="645">
        <f t="shared" ref="AH214:AH220" si="304">+AA214+AD214+AG214</f>
        <v>0.5</v>
      </c>
      <c r="AI214" s="637">
        <v>0.4</v>
      </c>
      <c r="AJ214" s="302" t="s">
        <v>602</v>
      </c>
      <c r="AK214" s="302" t="s">
        <v>603</v>
      </c>
      <c r="AL214" s="637">
        <v>0.09</v>
      </c>
      <c r="AM214" s="302" t="s">
        <v>600</v>
      </c>
      <c r="AN214" s="302" t="s">
        <v>601</v>
      </c>
      <c r="AO214" s="637">
        <v>0.01</v>
      </c>
      <c r="AP214" s="645">
        <f t="shared" si="303"/>
        <v>0.5</v>
      </c>
      <c r="AQ214" s="637">
        <v>0.4</v>
      </c>
      <c r="AR214" s="302" t="s">
        <v>602</v>
      </c>
      <c r="AS214" s="302" t="s">
        <v>603</v>
      </c>
      <c r="AT214" s="637">
        <v>0.09</v>
      </c>
      <c r="AU214" s="302" t="s">
        <v>600</v>
      </c>
      <c r="AV214" s="302" t="s">
        <v>601</v>
      </c>
      <c r="AW214" s="637">
        <v>0.01</v>
      </c>
      <c r="AX214" s="645">
        <f t="shared" si="298"/>
        <v>0.5</v>
      </c>
      <c r="AY214" s="637">
        <v>0.4</v>
      </c>
      <c r="AZ214" s="302" t="s">
        <v>602</v>
      </c>
      <c r="BA214" s="302" t="s">
        <v>603</v>
      </c>
      <c r="BB214" s="637">
        <v>0.09</v>
      </c>
      <c r="BC214" s="302" t="s">
        <v>600</v>
      </c>
      <c r="BD214" s="302" t="s">
        <v>601</v>
      </c>
      <c r="BE214" s="637">
        <v>0.01</v>
      </c>
      <c r="BF214" s="434">
        <f t="shared" si="299"/>
        <v>0.5</v>
      </c>
      <c r="BG214" s="587">
        <v>0.4</v>
      </c>
      <c r="BH214" s="302" t="s">
        <v>602</v>
      </c>
      <c r="BI214" s="302" t="s">
        <v>603</v>
      </c>
      <c r="BJ214" s="434">
        <v>0.59</v>
      </c>
      <c r="BK214" s="302" t="s">
        <v>600</v>
      </c>
      <c r="BL214" s="302" t="s">
        <v>601</v>
      </c>
      <c r="BM214" s="434">
        <v>0.01</v>
      </c>
      <c r="BN214" s="645">
        <f t="shared" si="300"/>
        <v>1</v>
      </c>
      <c r="BO214" s="434"/>
      <c r="BP214" s="434">
        <v>0.4</v>
      </c>
      <c r="BQ214" s="302" t="s">
        <v>602</v>
      </c>
      <c r="BR214" s="302" t="s">
        <v>603</v>
      </c>
      <c r="BS214" s="434">
        <v>0.09</v>
      </c>
      <c r="BT214" s="302" t="s">
        <v>600</v>
      </c>
      <c r="BU214" s="302" t="s">
        <v>601</v>
      </c>
      <c r="BV214" s="434">
        <v>0.01</v>
      </c>
      <c r="BW214" s="645">
        <f t="shared" si="301"/>
        <v>0.5</v>
      </c>
      <c r="BX214" s="434">
        <v>0.4</v>
      </c>
      <c r="BY214" s="302" t="s">
        <v>602</v>
      </c>
      <c r="BZ214" s="302" t="s">
        <v>603</v>
      </c>
      <c r="CA214" s="434">
        <v>0.09</v>
      </c>
      <c r="CB214" s="302" t="s">
        <v>600</v>
      </c>
      <c r="CC214" s="302" t="s">
        <v>601</v>
      </c>
      <c r="CD214" s="434">
        <v>0.01</v>
      </c>
      <c r="CE214" s="434">
        <f t="shared" si="302"/>
        <v>0.5</v>
      </c>
      <c r="CF214" s="1620" t="s">
        <v>1166</v>
      </c>
      <c r="CG214" s="1620" t="s">
        <v>1166</v>
      </c>
      <c r="CH214" s="1620" t="s">
        <v>1166</v>
      </c>
      <c r="CI214" s="406"/>
      <c r="CJ214" s="642">
        <v>0.70299999999999996</v>
      </c>
      <c r="CK214" s="591" t="s">
        <v>922</v>
      </c>
      <c r="CL214" s="302" t="s">
        <v>602</v>
      </c>
      <c r="CM214" s="302" t="s">
        <v>603</v>
      </c>
      <c r="CN214" s="637">
        <v>0.59</v>
      </c>
      <c r="CO214" s="302" t="s">
        <v>600</v>
      </c>
      <c r="CP214" s="302" t="s">
        <v>601</v>
      </c>
      <c r="CQ214" s="637">
        <v>0.01</v>
      </c>
    </row>
    <row r="215" spans="1:95" ht="15.75" customHeight="1" x14ac:dyDescent="0.2">
      <c r="A215" s="661" t="s">
        <v>316</v>
      </c>
      <c r="B215" s="440" t="s">
        <v>315</v>
      </c>
      <c r="C215" s="637">
        <v>0.49</v>
      </c>
      <c r="D215" s="440" t="s">
        <v>508</v>
      </c>
      <c r="E215" s="440" t="s">
        <v>660</v>
      </c>
      <c r="F215" s="637">
        <v>0</v>
      </c>
      <c r="G215" s="440" t="s">
        <v>665</v>
      </c>
      <c r="H215" s="440" t="s">
        <v>666</v>
      </c>
      <c r="I215" s="637">
        <v>0.01</v>
      </c>
      <c r="J215" s="662">
        <f t="shared" si="289"/>
        <v>0.5</v>
      </c>
      <c r="K215" s="637">
        <v>0.49</v>
      </c>
      <c r="L215" s="440" t="s">
        <v>508</v>
      </c>
      <c r="M215" s="440" t="s">
        <v>660</v>
      </c>
      <c r="N215" s="637">
        <v>0</v>
      </c>
      <c r="O215" s="440" t="s">
        <v>665</v>
      </c>
      <c r="P215" s="440" t="s">
        <v>666</v>
      </c>
      <c r="Q215" s="637">
        <v>0.01</v>
      </c>
      <c r="R215" s="662">
        <f t="shared" si="262"/>
        <v>0.5</v>
      </c>
      <c r="S215" s="637">
        <v>0.49</v>
      </c>
      <c r="T215" s="302" t="s">
        <v>508</v>
      </c>
      <c r="U215" s="302" t="s">
        <v>660</v>
      </c>
      <c r="V215" s="637">
        <v>0</v>
      </c>
      <c r="W215" s="302" t="s">
        <v>665</v>
      </c>
      <c r="X215" s="302" t="s">
        <v>666</v>
      </c>
      <c r="Y215" s="637">
        <v>0.01</v>
      </c>
      <c r="Z215" s="645">
        <f t="shared" si="263"/>
        <v>0.5</v>
      </c>
      <c r="AA215" s="637">
        <v>0.49</v>
      </c>
      <c r="AB215" s="302" t="s">
        <v>508</v>
      </c>
      <c r="AC215" s="302" t="s">
        <v>660</v>
      </c>
      <c r="AD215" s="637">
        <v>0</v>
      </c>
      <c r="AE215" s="302" t="s">
        <v>665</v>
      </c>
      <c r="AF215" s="302" t="s">
        <v>666</v>
      </c>
      <c r="AG215" s="637">
        <v>0.01</v>
      </c>
      <c r="AH215" s="645">
        <f t="shared" si="304"/>
        <v>0.5</v>
      </c>
      <c r="AI215" s="637">
        <v>0.49</v>
      </c>
      <c r="AJ215" s="302" t="s">
        <v>508</v>
      </c>
      <c r="AK215" s="302" t="s">
        <v>660</v>
      </c>
      <c r="AL215" s="637">
        <v>0</v>
      </c>
      <c r="AM215" s="302" t="s">
        <v>665</v>
      </c>
      <c r="AN215" s="302" t="s">
        <v>666</v>
      </c>
      <c r="AO215" s="637">
        <v>0.01</v>
      </c>
      <c r="AP215" s="645">
        <f t="shared" si="303"/>
        <v>0.5</v>
      </c>
      <c r="AQ215" s="637">
        <v>0.49</v>
      </c>
      <c r="AR215" s="302" t="s">
        <v>508</v>
      </c>
      <c r="AS215" s="302" t="s">
        <v>660</v>
      </c>
      <c r="AT215" s="637">
        <v>0</v>
      </c>
      <c r="AU215" s="302" t="s">
        <v>665</v>
      </c>
      <c r="AV215" s="302" t="s">
        <v>666</v>
      </c>
      <c r="AW215" s="637">
        <v>0.01</v>
      </c>
      <c r="AX215" s="645">
        <f t="shared" si="298"/>
        <v>0.5</v>
      </c>
      <c r="AY215" s="637">
        <v>0.49</v>
      </c>
      <c r="AZ215" s="302" t="s">
        <v>508</v>
      </c>
      <c r="BA215" s="302" t="s">
        <v>660</v>
      </c>
      <c r="BB215" s="637">
        <v>0</v>
      </c>
      <c r="BC215" s="302" t="s">
        <v>665</v>
      </c>
      <c r="BD215" s="302" t="s">
        <v>666</v>
      </c>
      <c r="BE215" s="637">
        <v>0.01</v>
      </c>
      <c r="BF215" s="434">
        <f t="shared" si="299"/>
        <v>0.5</v>
      </c>
      <c r="BG215" s="587">
        <v>0.49</v>
      </c>
      <c r="BH215" s="302" t="s">
        <v>508</v>
      </c>
      <c r="BI215" s="302" t="s">
        <v>660</v>
      </c>
      <c r="BJ215" s="434">
        <v>0</v>
      </c>
      <c r="BK215" s="302" t="s">
        <v>665</v>
      </c>
      <c r="BL215" s="302" t="s">
        <v>666</v>
      </c>
      <c r="BM215" s="434">
        <v>0.01</v>
      </c>
      <c r="BN215" s="645">
        <f t="shared" si="300"/>
        <v>0.5</v>
      </c>
      <c r="BO215" s="434"/>
      <c r="BP215" s="434">
        <v>0.49</v>
      </c>
      <c r="BQ215" s="302" t="s">
        <v>508</v>
      </c>
      <c r="BR215" s="302" t="s">
        <v>660</v>
      </c>
      <c r="BS215" s="434">
        <v>0</v>
      </c>
      <c r="BT215" s="302" t="s">
        <v>665</v>
      </c>
      <c r="BU215" s="302" t="s">
        <v>666</v>
      </c>
      <c r="BV215" s="434">
        <v>0.01</v>
      </c>
      <c r="BW215" s="645">
        <f t="shared" si="301"/>
        <v>0.5</v>
      </c>
      <c r="BX215" s="434">
        <v>0.49</v>
      </c>
      <c r="BY215" s="302" t="s">
        <v>508</v>
      </c>
      <c r="BZ215" s="302" t="s">
        <v>660</v>
      </c>
      <c r="CA215" s="434">
        <v>0</v>
      </c>
      <c r="CB215" s="302" t="s">
        <v>665</v>
      </c>
      <c r="CC215" s="302" t="s">
        <v>666</v>
      </c>
      <c r="CD215" s="434">
        <v>0.01</v>
      </c>
      <c r="CE215" s="434">
        <f t="shared" si="302"/>
        <v>0.5</v>
      </c>
      <c r="CF215" s="1620" t="s">
        <v>862</v>
      </c>
      <c r="CG215" s="1620" t="s">
        <v>1166</v>
      </c>
      <c r="CH215" s="1620" t="s">
        <v>862</v>
      </c>
      <c r="CI215" s="408" t="s">
        <v>862</v>
      </c>
      <c r="CJ215" s="642">
        <v>0.67600000000000005</v>
      </c>
      <c r="CK215" s="591" t="s">
        <v>922</v>
      </c>
      <c r="CL215" s="302" t="s">
        <v>508</v>
      </c>
      <c r="CM215" s="302" t="s">
        <v>660</v>
      </c>
      <c r="CN215" s="637">
        <v>0</v>
      </c>
      <c r="CO215" s="302" t="s">
        <v>665</v>
      </c>
      <c r="CP215" s="302" t="s">
        <v>666</v>
      </c>
      <c r="CQ215" s="637">
        <v>0.01</v>
      </c>
    </row>
    <row r="216" spans="1:95" ht="15.75" customHeight="1" x14ac:dyDescent="0.2">
      <c r="A216" s="661" t="s">
        <v>320</v>
      </c>
      <c r="B216" s="440" t="s">
        <v>319</v>
      </c>
      <c r="C216" s="637">
        <v>0.49</v>
      </c>
      <c r="D216" s="440" t="s">
        <v>508</v>
      </c>
      <c r="E216" s="440" t="s">
        <v>509</v>
      </c>
      <c r="F216" s="637">
        <v>0</v>
      </c>
      <c r="G216" s="440" t="s">
        <v>639</v>
      </c>
      <c r="H216" s="440" t="s">
        <v>640</v>
      </c>
      <c r="I216" s="637">
        <v>0.01</v>
      </c>
      <c r="J216" s="662">
        <f t="shared" si="289"/>
        <v>0.5</v>
      </c>
      <c r="K216" s="637">
        <v>0.49</v>
      </c>
      <c r="L216" s="440" t="s">
        <v>508</v>
      </c>
      <c r="M216" s="440" t="s">
        <v>509</v>
      </c>
      <c r="N216" s="637">
        <v>0</v>
      </c>
      <c r="O216" s="440" t="s">
        <v>639</v>
      </c>
      <c r="P216" s="440" t="s">
        <v>640</v>
      </c>
      <c r="Q216" s="637">
        <v>0.01</v>
      </c>
      <c r="R216" s="662">
        <f t="shared" si="262"/>
        <v>0.5</v>
      </c>
      <c r="S216" s="637">
        <v>0.49</v>
      </c>
      <c r="T216" s="302" t="s">
        <v>508</v>
      </c>
      <c r="U216" s="302" t="s">
        <v>509</v>
      </c>
      <c r="V216" s="637">
        <v>0</v>
      </c>
      <c r="W216" s="302" t="s">
        <v>639</v>
      </c>
      <c r="X216" s="302" t="s">
        <v>640</v>
      </c>
      <c r="Y216" s="637">
        <v>0.01</v>
      </c>
      <c r="Z216" s="645">
        <f t="shared" si="263"/>
        <v>0.5</v>
      </c>
      <c r="AA216" s="637">
        <v>0.49</v>
      </c>
      <c r="AB216" s="302" t="s">
        <v>508</v>
      </c>
      <c r="AC216" s="302" t="s">
        <v>509</v>
      </c>
      <c r="AD216" s="637">
        <v>0</v>
      </c>
      <c r="AE216" s="302" t="s">
        <v>639</v>
      </c>
      <c r="AF216" s="302" t="s">
        <v>640</v>
      </c>
      <c r="AG216" s="637">
        <v>0.01</v>
      </c>
      <c r="AH216" s="645">
        <f t="shared" si="304"/>
        <v>0.5</v>
      </c>
      <c r="AI216" s="637">
        <v>0.49</v>
      </c>
      <c r="AJ216" s="302" t="s">
        <v>508</v>
      </c>
      <c r="AK216" s="302" t="s">
        <v>509</v>
      </c>
      <c r="AL216" s="637">
        <v>0</v>
      </c>
      <c r="AM216" s="302" t="s">
        <v>639</v>
      </c>
      <c r="AN216" s="302" t="s">
        <v>640</v>
      </c>
      <c r="AO216" s="637">
        <v>0.01</v>
      </c>
      <c r="AP216" s="645">
        <f t="shared" si="303"/>
        <v>0.5</v>
      </c>
      <c r="AQ216" s="637">
        <v>0.49</v>
      </c>
      <c r="AR216" s="302" t="s">
        <v>508</v>
      </c>
      <c r="AS216" s="302" t="s">
        <v>509</v>
      </c>
      <c r="AT216" s="637">
        <v>0</v>
      </c>
      <c r="AU216" s="302" t="s">
        <v>639</v>
      </c>
      <c r="AV216" s="302" t="s">
        <v>640</v>
      </c>
      <c r="AW216" s="637">
        <v>0.01</v>
      </c>
      <c r="AX216" s="645">
        <f t="shared" si="298"/>
        <v>0.5</v>
      </c>
      <c r="AY216" s="637">
        <v>0.49</v>
      </c>
      <c r="AZ216" s="302" t="s">
        <v>508</v>
      </c>
      <c r="BA216" s="302" t="s">
        <v>509</v>
      </c>
      <c r="BB216" s="637">
        <v>0</v>
      </c>
      <c r="BC216" s="302" t="s">
        <v>639</v>
      </c>
      <c r="BD216" s="302" t="s">
        <v>640</v>
      </c>
      <c r="BE216" s="637">
        <v>0.01</v>
      </c>
      <c r="BF216" s="434">
        <f t="shared" si="299"/>
        <v>0.5</v>
      </c>
      <c r="BG216" s="587">
        <v>0.49</v>
      </c>
      <c r="BH216" s="302" t="s">
        <v>508</v>
      </c>
      <c r="BI216" s="302" t="s">
        <v>509</v>
      </c>
      <c r="BJ216" s="434">
        <v>0</v>
      </c>
      <c r="BK216" s="302" t="s">
        <v>639</v>
      </c>
      <c r="BL216" s="302" t="s">
        <v>640</v>
      </c>
      <c r="BM216" s="434">
        <v>0.01</v>
      </c>
      <c r="BN216" s="645">
        <f t="shared" si="300"/>
        <v>0.5</v>
      </c>
      <c r="BO216" s="434"/>
      <c r="BP216" s="434">
        <v>0.49</v>
      </c>
      <c r="BQ216" s="302" t="s">
        <v>508</v>
      </c>
      <c r="BR216" s="302" t="s">
        <v>509</v>
      </c>
      <c r="BS216" s="434">
        <v>0</v>
      </c>
      <c r="BT216" s="302" t="s">
        <v>639</v>
      </c>
      <c r="BU216" s="302" t="s">
        <v>640</v>
      </c>
      <c r="BV216" s="434">
        <v>0.01</v>
      </c>
      <c r="BW216" s="645">
        <f t="shared" si="301"/>
        <v>0.5</v>
      </c>
      <c r="BX216" s="434">
        <v>0.49</v>
      </c>
      <c r="BY216" s="302" t="s">
        <v>508</v>
      </c>
      <c r="BZ216" s="302" t="s">
        <v>509</v>
      </c>
      <c r="CA216" s="434">
        <v>0</v>
      </c>
      <c r="CB216" s="302" t="s">
        <v>639</v>
      </c>
      <c r="CC216" s="302" t="s">
        <v>640</v>
      </c>
      <c r="CD216" s="434">
        <v>0.01</v>
      </c>
      <c r="CE216" s="434">
        <f t="shared" si="302"/>
        <v>0.5</v>
      </c>
      <c r="CF216" s="1620" t="s">
        <v>1166</v>
      </c>
      <c r="CG216" s="1620" t="s">
        <v>1166</v>
      </c>
      <c r="CH216" s="1620" t="s">
        <v>1166</v>
      </c>
      <c r="CI216" s="408" t="s">
        <v>862</v>
      </c>
      <c r="CJ216" s="642">
        <v>0.67600000000000005</v>
      </c>
      <c r="CK216" s="591" t="s">
        <v>922</v>
      </c>
      <c r="CL216" s="302" t="s">
        <v>508</v>
      </c>
      <c r="CM216" s="302" t="s">
        <v>509</v>
      </c>
      <c r="CN216" s="637">
        <v>0</v>
      </c>
      <c r="CO216" s="302" t="s">
        <v>639</v>
      </c>
      <c r="CP216" s="302" t="s">
        <v>640</v>
      </c>
      <c r="CQ216" s="637">
        <v>0.01</v>
      </c>
    </row>
    <row r="217" spans="1:95" ht="15.75" customHeight="1" x14ac:dyDescent="0.2">
      <c r="A217" s="661" t="s">
        <v>322</v>
      </c>
      <c r="B217" s="440" t="s">
        <v>523</v>
      </c>
      <c r="C217" s="637">
        <v>0.49</v>
      </c>
      <c r="D217" s="440" t="s">
        <v>508</v>
      </c>
      <c r="E217" s="440" t="s">
        <v>509</v>
      </c>
      <c r="F217" s="637">
        <v>0</v>
      </c>
      <c r="G217" s="440" t="s">
        <v>519</v>
      </c>
      <c r="H217" s="440" t="s">
        <v>520</v>
      </c>
      <c r="I217" s="637">
        <v>0.01</v>
      </c>
      <c r="J217" s="662">
        <f t="shared" si="289"/>
        <v>0.5</v>
      </c>
      <c r="K217" s="637">
        <v>0.49</v>
      </c>
      <c r="L217" s="440" t="s">
        <v>508</v>
      </c>
      <c r="M217" s="440" t="s">
        <v>509</v>
      </c>
      <c r="N217" s="637">
        <v>0</v>
      </c>
      <c r="O217" s="440" t="s">
        <v>519</v>
      </c>
      <c r="P217" s="440" t="s">
        <v>520</v>
      </c>
      <c r="Q217" s="637">
        <v>0.01</v>
      </c>
      <c r="R217" s="662">
        <f t="shared" si="262"/>
        <v>0.5</v>
      </c>
      <c r="S217" s="637">
        <v>0.49</v>
      </c>
      <c r="T217" s="302" t="s">
        <v>508</v>
      </c>
      <c r="U217" s="302" t="s">
        <v>509</v>
      </c>
      <c r="V217" s="637">
        <v>0</v>
      </c>
      <c r="W217" s="302" t="s">
        <v>519</v>
      </c>
      <c r="X217" s="302" t="s">
        <v>520</v>
      </c>
      <c r="Y217" s="637">
        <v>0.01</v>
      </c>
      <c r="Z217" s="645">
        <f t="shared" si="263"/>
        <v>0.5</v>
      </c>
      <c r="AA217" s="637">
        <v>0.49</v>
      </c>
      <c r="AB217" s="302" t="s">
        <v>508</v>
      </c>
      <c r="AC217" s="302" t="s">
        <v>509</v>
      </c>
      <c r="AD217" s="637">
        <v>0</v>
      </c>
      <c r="AE217" s="302" t="s">
        <v>519</v>
      </c>
      <c r="AF217" s="302" t="s">
        <v>520</v>
      </c>
      <c r="AG217" s="637">
        <v>0.01</v>
      </c>
      <c r="AH217" s="645">
        <f t="shared" si="304"/>
        <v>0.5</v>
      </c>
      <c r="AI217" s="637">
        <v>0.49</v>
      </c>
      <c r="AJ217" s="302" t="s">
        <v>508</v>
      </c>
      <c r="AK217" s="302" t="s">
        <v>509</v>
      </c>
      <c r="AL217" s="637">
        <v>0</v>
      </c>
      <c r="AM217" s="302" t="s">
        <v>519</v>
      </c>
      <c r="AN217" s="302" t="s">
        <v>520</v>
      </c>
      <c r="AO217" s="637">
        <v>0.01</v>
      </c>
      <c r="AP217" s="645">
        <f t="shared" si="303"/>
        <v>0.5</v>
      </c>
      <c r="AQ217" s="637">
        <v>0.49</v>
      </c>
      <c r="AR217" s="302" t="s">
        <v>508</v>
      </c>
      <c r="AS217" s="302" t="s">
        <v>509</v>
      </c>
      <c r="AT217" s="637">
        <v>0</v>
      </c>
      <c r="AU217" s="302" t="s">
        <v>519</v>
      </c>
      <c r="AV217" s="302" t="s">
        <v>520</v>
      </c>
      <c r="AW217" s="637">
        <v>0.01</v>
      </c>
      <c r="AX217" s="645">
        <f t="shared" si="298"/>
        <v>0.5</v>
      </c>
      <c r="AY217" s="637">
        <v>0.74</v>
      </c>
      <c r="AZ217" s="302" t="s">
        <v>508</v>
      </c>
      <c r="BA217" s="302" t="s">
        <v>509</v>
      </c>
      <c r="BB217" s="637">
        <v>0</v>
      </c>
      <c r="BC217" s="302" t="s">
        <v>519</v>
      </c>
      <c r="BD217" s="302" t="s">
        <v>520</v>
      </c>
      <c r="BE217" s="637">
        <v>0.01</v>
      </c>
      <c r="BF217" s="434">
        <f t="shared" si="299"/>
        <v>0.75</v>
      </c>
      <c r="BG217" s="587">
        <v>0.99</v>
      </c>
      <c r="BH217" s="302" t="s">
        <v>508</v>
      </c>
      <c r="BI217" s="302" t="s">
        <v>509</v>
      </c>
      <c r="BJ217" s="434">
        <v>0</v>
      </c>
      <c r="BK217" s="302" t="s">
        <v>519</v>
      </c>
      <c r="BL217" s="302" t="s">
        <v>520</v>
      </c>
      <c r="BM217" s="434">
        <v>0.01</v>
      </c>
      <c r="BN217" s="645">
        <f t="shared" si="300"/>
        <v>1</v>
      </c>
      <c r="BO217" s="434"/>
      <c r="BP217" s="434">
        <v>0.49</v>
      </c>
      <c r="BQ217" s="302" t="s">
        <v>508</v>
      </c>
      <c r="BR217" s="302" t="s">
        <v>509</v>
      </c>
      <c r="BS217" s="434">
        <v>0</v>
      </c>
      <c r="BT217" s="302" t="s">
        <v>519</v>
      </c>
      <c r="BU217" s="302" t="s">
        <v>520</v>
      </c>
      <c r="BV217" s="434">
        <v>0.01</v>
      </c>
      <c r="BW217" s="645">
        <f t="shared" si="301"/>
        <v>0.5</v>
      </c>
      <c r="BX217" s="434">
        <v>0.49</v>
      </c>
      <c r="BY217" s="302" t="s">
        <v>508</v>
      </c>
      <c r="BZ217" s="302" t="s">
        <v>509</v>
      </c>
      <c r="CA217" s="434">
        <v>0</v>
      </c>
      <c r="CB217" s="302" t="s">
        <v>519</v>
      </c>
      <c r="CC217" s="302" t="s">
        <v>520</v>
      </c>
      <c r="CD217" s="434">
        <v>0.01</v>
      </c>
      <c r="CE217" s="434">
        <f t="shared" si="302"/>
        <v>0.5</v>
      </c>
      <c r="CF217" s="1620" t="s">
        <v>1166</v>
      </c>
      <c r="CG217" s="1620" t="s">
        <v>1166</v>
      </c>
      <c r="CH217" s="1620" t="s">
        <v>1166</v>
      </c>
      <c r="CI217" s="408" t="s">
        <v>862</v>
      </c>
      <c r="CJ217" s="642">
        <v>0.76300000000000001</v>
      </c>
      <c r="CK217" s="591" t="s">
        <v>922</v>
      </c>
      <c r="CL217" s="302" t="s">
        <v>508</v>
      </c>
      <c r="CM217" s="302" t="s">
        <v>509</v>
      </c>
      <c r="CN217" s="637">
        <v>0</v>
      </c>
      <c r="CO217" s="302" t="s">
        <v>519</v>
      </c>
      <c r="CP217" s="302" t="s">
        <v>520</v>
      </c>
      <c r="CQ217" s="637">
        <v>0.01</v>
      </c>
    </row>
    <row r="218" spans="1:95" ht="15.75" customHeight="1" x14ac:dyDescent="0.2">
      <c r="A218" s="661" t="s">
        <v>324</v>
      </c>
      <c r="B218" s="440" t="s">
        <v>323</v>
      </c>
      <c r="C218" s="637">
        <v>0.99</v>
      </c>
      <c r="D218" s="440" t="s">
        <v>508</v>
      </c>
      <c r="E218" s="440" t="s">
        <v>660</v>
      </c>
      <c r="F218" s="637">
        <v>0</v>
      </c>
      <c r="G218" s="440" t="s">
        <v>669</v>
      </c>
      <c r="H218" s="440" t="s">
        <v>670</v>
      </c>
      <c r="I218" s="637">
        <v>0.01</v>
      </c>
      <c r="J218" s="662">
        <f t="shared" si="289"/>
        <v>1</v>
      </c>
      <c r="K218" s="637">
        <v>0.99</v>
      </c>
      <c r="L218" s="440" t="s">
        <v>508</v>
      </c>
      <c r="M218" s="440" t="s">
        <v>660</v>
      </c>
      <c r="N218" s="637">
        <v>0</v>
      </c>
      <c r="O218" s="440" t="s">
        <v>669</v>
      </c>
      <c r="P218" s="440" t="s">
        <v>670</v>
      </c>
      <c r="Q218" s="637">
        <v>0.01</v>
      </c>
      <c r="R218" s="662">
        <f t="shared" si="262"/>
        <v>1</v>
      </c>
      <c r="S218" s="637">
        <v>0.99</v>
      </c>
      <c r="T218" s="302" t="s">
        <v>508</v>
      </c>
      <c r="U218" s="302" t="s">
        <v>660</v>
      </c>
      <c r="V218" s="637">
        <v>0</v>
      </c>
      <c r="W218" s="302" t="s">
        <v>669</v>
      </c>
      <c r="X218" s="302" t="s">
        <v>670</v>
      </c>
      <c r="Y218" s="637">
        <v>0.01</v>
      </c>
      <c r="Z218" s="645">
        <f t="shared" si="263"/>
        <v>1</v>
      </c>
      <c r="AA218" s="637">
        <v>0.99</v>
      </c>
      <c r="AB218" s="302" t="s">
        <v>508</v>
      </c>
      <c r="AC218" s="302" t="s">
        <v>660</v>
      </c>
      <c r="AD218" s="637">
        <v>0</v>
      </c>
      <c r="AE218" s="302" t="s">
        <v>669</v>
      </c>
      <c r="AF218" s="302" t="s">
        <v>670</v>
      </c>
      <c r="AG218" s="637">
        <v>0.01</v>
      </c>
      <c r="AH218" s="645">
        <f t="shared" si="304"/>
        <v>1</v>
      </c>
      <c r="AI218" s="637">
        <v>0.99</v>
      </c>
      <c r="AJ218" s="302" t="s">
        <v>508</v>
      </c>
      <c r="AK218" s="302" t="s">
        <v>660</v>
      </c>
      <c r="AL218" s="637">
        <v>0</v>
      </c>
      <c r="AM218" s="302" t="s">
        <v>669</v>
      </c>
      <c r="AN218" s="302" t="s">
        <v>670</v>
      </c>
      <c r="AO218" s="637">
        <v>0.01</v>
      </c>
      <c r="AP218" s="645">
        <f t="shared" si="303"/>
        <v>1</v>
      </c>
      <c r="AQ218" s="637">
        <v>0.99</v>
      </c>
      <c r="AR218" s="302" t="s">
        <v>508</v>
      </c>
      <c r="AS218" s="302" t="s">
        <v>660</v>
      </c>
      <c r="AT218" s="637">
        <v>0</v>
      </c>
      <c r="AU218" s="302" t="s">
        <v>669</v>
      </c>
      <c r="AV218" s="302" t="s">
        <v>670</v>
      </c>
      <c r="AW218" s="637">
        <v>0.01</v>
      </c>
      <c r="AX218" s="645">
        <f t="shared" si="298"/>
        <v>1</v>
      </c>
      <c r="AY218" s="637">
        <v>0.99</v>
      </c>
      <c r="AZ218" s="302" t="s">
        <v>508</v>
      </c>
      <c r="BA218" s="302" t="s">
        <v>660</v>
      </c>
      <c r="BB218" s="637">
        <v>0</v>
      </c>
      <c r="BC218" s="302" t="s">
        <v>669</v>
      </c>
      <c r="BD218" s="302" t="s">
        <v>670</v>
      </c>
      <c r="BE218" s="637">
        <v>0.01</v>
      </c>
      <c r="BF218" s="434">
        <f t="shared" si="299"/>
        <v>1</v>
      </c>
      <c r="BG218" s="587">
        <v>0.99</v>
      </c>
      <c r="BH218" s="302" t="s">
        <v>508</v>
      </c>
      <c r="BI218" s="302" t="s">
        <v>660</v>
      </c>
      <c r="BJ218" s="434">
        <v>0</v>
      </c>
      <c r="BK218" s="302" t="s">
        <v>669</v>
      </c>
      <c r="BL218" s="302" t="s">
        <v>670</v>
      </c>
      <c r="BM218" s="434">
        <v>0.01</v>
      </c>
      <c r="BN218" s="645">
        <f t="shared" si="300"/>
        <v>1</v>
      </c>
      <c r="BO218" s="434"/>
      <c r="BP218" s="434">
        <v>0.99</v>
      </c>
      <c r="BQ218" s="302" t="s">
        <v>508</v>
      </c>
      <c r="BR218" s="302" t="s">
        <v>660</v>
      </c>
      <c r="BS218" s="434">
        <v>0</v>
      </c>
      <c r="BT218" s="302" t="s">
        <v>669</v>
      </c>
      <c r="BU218" s="302" t="s">
        <v>670</v>
      </c>
      <c r="BV218" s="434">
        <v>0.01</v>
      </c>
      <c r="BW218" s="645">
        <f t="shared" si="301"/>
        <v>1</v>
      </c>
      <c r="BX218" s="434">
        <v>0.49</v>
      </c>
      <c r="BY218" s="302" t="s">
        <v>508</v>
      </c>
      <c r="BZ218" s="302" t="s">
        <v>660</v>
      </c>
      <c r="CA218" s="434">
        <v>0</v>
      </c>
      <c r="CB218" s="302" t="s">
        <v>669</v>
      </c>
      <c r="CC218" s="302" t="s">
        <v>670</v>
      </c>
      <c r="CD218" s="434">
        <v>0.01</v>
      </c>
      <c r="CE218" s="434">
        <f t="shared" si="302"/>
        <v>0.5</v>
      </c>
      <c r="CF218" s="1620" t="s">
        <v>862</v>
      </c>
      <c r="CG218" s="1620" t="s">
        <v>1166</v>
      </c>
      <c r="CH218" s="1620" t="s">
        <v>1166</v>
      </c>
      <c r="CI218" s="408" t="s">
        <v>862</v>
      </c>
      <c r="CJ218" s="642">
        <v>0.71199999999999997</v>
      </c>
      <c r="CK218" s="591" t="s">
        <v>922</v>
      </c>
      <c r="CL218" s="302" t="s">
        <v>508</v>
      </c>
      <c r="CM218" s="302" t="s">
        <v>660</v>
      </c>
      <c r="CN218" s="637">
        <v>0</v>
      </c>
      <c r="CO218" s="302" t="s">
        <v>669</v>
      </c>
      <c r="CP218" s="302" t="s">
        <v>670</v>
      </c>
      <c r="CQ218" s="637">
        <v>0.01</v>
      </c>
    </row>
    <row r="219" spans="1:95" ht="15.75" customHeight="1" x14ac:dyDescent="0.2">
      <c r="A219" s="661" t="s">
        <v>2335</v>
      </c>
      <c r="B219" s="440" t="s">
        <v>641</v>
      </c>
      <c r="C219" s="637">
        <v>0.49</v>
      </c>
      <c r="D219" s="440" t="s">
        <v>508</v>
      </c>
      <c r="E219" s="440" t="s">
        <v>509</v>
      </c>
      <c r="F219" s="637">
        <v>0</v>
      </c>
      <c r="G219" s="440" t="s">
        <v>554</v>
      </c>
      <c r="H219" s="440" t="s">
        <v>555</v>
      </c>
      <c r="I219" s="637">
        <v>0.01</v>
      </c>
      <c r="J219" s="662">
        <f t="shared" si="289"/>
        <v>0.5</v>
      </c>
      <c r="K219" s="637">
        <v>0.49</v>
      </c>
      <c r="L219" s="440" t="s">
        <v>508</v>
      </c>
      <c r="M219" s="440" t="s">
        <v>509</v>
      </c>
      <c r="N219" s="637">
        <v>0</v>
      </c>
      <c r="O219" s="440" t="s">
        <v>554</v>
      </c>
      <c r="P219" s="440" t="s">
        <v>555</v>
      </c>
      <c r="Q219" s="637">
        <v>0.01</v>
      </c>
      <c r="R219" s="662">
        <f t="shared" ref="R219" si="305">+K219+N219+Q219</f>
        <v>0.5</v>
      </c>
      <c r="S219" s="711">
        <v>0.49</v>
      </c>
      <c r="T219" s="712" t="s">
        <v>508</v>
      </c>
      <c r="U219" s="712" t="s">
        <v>509</v>
      </c>
      <c r="V219" s="711">
        <v>0</v>
      </c>
      <c r="W219" s="712" t="s">
        <v>554</v>
      </c>
      <c r="X219" s="712" t="s">
        <v>555</v>
      </c>
      <c r="Y219" s="711">
        <v>0.01</v>
      </c>
      <c r="Z219" s="713">
        <f t="shared" si="263"/>
        <v>0.5</v>
      </c>
      <c r="AA219" s="711">
        <v>0.49</v>
      </c>
      <c r="AB219" s="712" t="s">
        <v>508</v>
      </c>
      <c r="AC219" s="712" t="s">
        <v>509</v>
      </c>
      <c r="AD219" s="711">
        <v>0</v>
      </c>
      <c r="AE219" s="712" t="s">
        <v>554</v>
      </c>
      <c r="AF219" s="712" t="s">
        <v>555</v>
      </c>
      <c r="AG219" s="711">
        <v>0.01</v>
      </c>
      <c r="AH219" s="713">
        <f t="shared" si="304"/>
        <v>0.5</v>
      </c>
      <c r="AI219" s="711">
        <v>0.49</v>
      </c>
      <c r="AJ219" s="712" t="s">
        <v>508</v>
      </c>
      <c r="AK219" s="712" t="s">
        <v>509</v>
      </c>
      <c r="AL219" s="711">
        <v>0</v>
      </c>
      <c r="AM219" s="712" t="s">
        <v>554</v>
      </c>
      <c r="AN219" s="712" t="s">
        <v>555</v>
      </c>
      <c r="AO219" s="711">
        <v>0.01</v>
      </c>
      <c r="AP219" s="713">
        <f t="shared" si="303"/>
        <v>0.5</v>
      </c>
      <c r="AQ219" s="711">
        <v>0.49</v>
      </c>
      <c r="AR219" s="712" t="s">
        <v>508</v>
      </c>
      <c r="AS219" s="712" t="s">
        <v>509</v>
      </c>
      <c r="AT219" s="711">
        <v>0</v>
      </c>
      <c r="AU219" s="712" t="s">
        <v>554</v>
      </c>
      <c r="AV219" s="712" t="s">
        <v>555</v>
      </c>
      <c r="AW219" s="711">
        <v>0.01</v>
      </c>
      <c r="AX219" s="713">
        <f t="shared" ref="AX219:AX228" si="306">+AQ219+AT219+AW219</f>
        <v>0.5</v>
      </c>
      <c r="AY219" s="711">
        <v>0.74</v>
      </c>
      <c r="AZ219" s="712" t="s">
        <v>508</v>
      </c>
      <c r="BA219" s="712" t="s">
        <v>509</v>
      </c>
      <c r="BB219" s="711">
        <v>0</v>
      </c>
      <c r="BC219" s="712" t="s">
        <v>554</v>
      </c>
      <c r="BD219" s="712" t="s">
        <v>555</v>
      </c>
      <c r="BE219" s="711">
        <v>0.01</v>
      </c>
      <c r="BF219" s="713">
        <f t="shared" ref="BF219:BF228" si="307">+AY219+BB219+BE219</f>
        <v>0.75</v>
      </c>
      <c r="BG219" s="711">
        <v>0.49</v>
      </c>
      <c r="BH219" s="712" t="s">
        <v>508</v>
      </c>
      <c r="BI219" s="712" t="s">
        <v>509</v>
      </c>
      <c r="BJ219" s="711">
        <v>0</v>
      </c>
      <c r="BK219" s="712" t="s">
        <v>554</v>
      </c>
      <c r="BL219" s="712" t="s">
        <v>555</v>
      </c>
      <c r="BM219" s="711">
        <v>0.01</v>
      </c>
      <c r="BN219" s="713">
        <f t="shared" ref="BN219:BN228" si="308">+BG219+BJ219+BM219</f>
        <v>0.5</v>
      </c>
      <c r="BO219" s="711"/>
      <c r="BP219" s="711">
        <v>0.49</v>
      </c>
      <c r="BQ219" s="712" t="s">
        <v>508</v>
      </c>
      <c r="BR219" s="712" t="s">
        <v>509</v>
      </c>
      <c r="BS219" s="711">
        <v>0</v>
      </c>
      <c r="BT219" s="712" t="s">
        <v>554</v>
      </c>
      <c r="BU219" s="712" t="s">
        <v>555</v>
      </c>
      <c r="BV219" s="711">
        <v>0.01</v>
      </c>
      <c r="BW219" s="713">
        <f t="shared" ref="BW219:BW228" si="309">+BP219+BS219+BV219</f>
        <v>0.5</v>
      </c>
      <c r="BX219" s="711">
        <v>0.49</v>
      </c>
      <c r="BY219" s="712" t="s">
        <v>508</v>
      </c>
      <c r="BZ219" s="712" t="s">
        <v>509</v>
      </c>
      <c r="CA219" s="711">
        <v>0</v>
      </c>
      <c r="CB219" s="712" t="s">
        <v>554</v>
      </c>
      <c r="CC219" s="712" t="s">
        <v>555</v>
      </c>
      <c r="CD219" s="711">
        <v>0.01</v>
      </c>
      <c r="CE219" s="713">
        <f t="shared" ref="CE219:CE228" si="310">+BX219+CA219+CD219</f>
        <v>0.5</v>
      </c>
      <c r="CF219" s="1620" t="s">
        <v>862</v>
      </c>
      <c r="CG219" s="1620" t="s">
        <v>1166</v>
      </c>
      <c r="CH219" s="1620" t="s">
        <v>1166</v>
      </c>
      <c r="CI219" s="774" t="s">
        <v>862</v>
      </c>
      <c r="CJ219" s="642">
        <v>0.67</v>
      </c>
      <c r="CK219" s="775" t="s">
        <v>922</v>
      </c>
      <c r="CL219" s="712" t="s">
        <v>508</v>
      </c>
      <c r="CM219" s="712" t="s">
        <v>509</v>
      </c>
      <c r="CN219" s="711">
        <v>0</v>
      </c>
      <c r="CO219" s="712" t="s">
        <v>554</v>
      </c>
      <c r="CP219" s="712" t="s">
        <v>555</v>
      </c>
      <c r="CQ219" s="711">
        <v>0.01</v>
      </c>
    </row>
    <row r="220" spans="1:95" ht="15" x14ac:dyDescent="0.2">
      <c r="A220" s="661" t="s">
        <v>326</v>
      </c>
      <c r="B220" s="440" t="s">
        <v>325</v>
      </c>
      <c r="C220" s="637">
        <v>0.4</v>
      </c>
      <c r="D220" s="440" t="s">
        <v>533</v>
      </c>
      <c r="E220" s="440" t="s">
        <v>534</v>
      </c>
      <c r="F220" s="637">
        <v>0.09</v>
      </c>
      <c r="G220" s="440" t="s">
        <v>531</v>
      </c>
      <c r="H220" s="440" t="s">
        <v>532</v>
      </c>
      <c r="I220" s="637">
        <v>0.01</v>
      </c>
      <c r="J220" s="662">
        <f t="shared" si="289"/>
        <v>0.5</v>
      </c>
      <c r="K220" s="637">
        <v>0.4</v>
      </c>
      <c r="L220" s="440" t="s">
        <v>533</v>
      </c>
      <c r="M220" s="440" t="s">
        <v>534</v>
      </c>
      <c r="N220" s="637">
        <v>0.09</v>
      </c>
      <c r="O220" s="440" t="s">
        <v>531</v>
      </c>
      <c r="P220" s="440" t="s">
        <v>532</v>
      </c>
      <c r="Q220" s="637">
        <v>0.01</v>
      </c>
      <c r="R220" s="662">
        <f t="shared" si="262"/>
        <v>0.5</v>
      </c>
      <c r="S220" s="637">
        <v>0.4</v>
      </c>
      <c r="T220" s="302" t="s">
        <v>533</v>
      </c>
      <c r="U220" s="302" t="s">
        <v>534</v>
      </c>
      <c r="V220" s="637">
        <v>0.09</v>
      </c>
      <c r="W220" s="302" t="s">
        <v>531</v>
      </c>
      <c r="X220" s="302" t="s">
        <v>532</v>
      </c>
      <c r="Y220" s="637">
        <v>0.01</v>
      </c>
      <c r="Z220" s="645">
        <f t="shared" si="263"/>
        <v>0.5</v>
      </c>
      <c r="AA220" s="637">
        <v>0.4</v>
      </c>
      <c r="AB220" s="302" t="s">
        <v>533</v>
      </c>
      <c r="AC220" s="302" t="s">
        <v>534</v>
      </c>
      <c r="AD220" s="637">
        <v>0.09</v>
      </c>
      <c r="AE220" s="302" t="s">
        <v>531</v>
      </c>
      <c r="AF220" s="302" t="s">
        <v>532</v>
      </c>
      <c r="AG220" s="637">
        <v>0.01</v>
      </c>
      <c r="AH220" s="645">
        <f t="shared" si="304"/>
        <v>0.5</v>
      </c>
      <c r="AI220" s="637">
        <v>0.4</v>
      </c>
      <c r="AJ220" s="302" t="s">
        <v>533</v>
      </c>
      <c r="AK220" s="302" t="s">
        <v>534</v>
      </c>
      <c r="AL220" s="637">
        <v>0.09</v>
      </c>
      <c r="AM220" s="302" t="s">
        <v>531</v>
      </c>
      <c r="AN220" s="302" t="s">
        <v>532</v>
      </c>
      <c r="AO220" s="637">
        <v>0.01</v>
      </c>
      <c r="AP220" s="645">
        <f t="shared" ref="AP220:AP283" si="311">+AI220+AL220+AO220</f>
        <v>0.5</v>
      </c>
      <c r="AQ220" s="637">
        <v>0.4</v>
      </c>
      <c r="AR220" s="302" t="s">
        <v>533</v>
      </c>
      <c r="AS220" s="302" t="s">
        <v>534</v>
      </c>
      <c r="AT220" s="637">
        <v>0.09</v>
      </c>
      <c r="AU220" s="302" t="s">
        <v>531</v>
      </c>
      <c r="AV220" s="302" t="s">
        <v>532</v>
      </c>
      <c r="AW220" s="637">
        <v>0.01</v>
      </c>
      <c r="AX220" s="645">
        <f t="shared" si="306"/>
        <v>0.5</v>
      </c>
      <c r="AY220" s="637">
        <v>0.4</v>
      </c>
      <c r="AZ220" s="302" t="s">
        <v>533</v>
      </c>
      <c r="BA220" s="302" t="s">
        <v>534</v>
      </c>
      <c r="BB220" s="637">
        <v>0.09</v>
      </c>
      <c r="BC220" s="302" t="s">
        <v>531</v>
      </c>
      <c r="BD220" s="302" t="s">
        <v>532</v>
      </c>
      <c r="BE220" s="637">
        <v>0.01</v>
      </c>
      <c r="BF220" s="434">
        <f t="shared" si="307"/>
        <v>0.5</v>
      </c>
      <c r="BG220" s="587">
        <v>0.4</v>
      </c>
      <c r="BH220" s="302" t="s">
        <v>533</v>
      </c>
      <c r="BI220" s="302" t="s">
        <v>534</v>
      </c>
      <c r="BJ220" s="434">
        <v>0.09</v>
      </c>
      <c r="BK220" s="302" t="s">
        <v>531</v>
      </c>
      <c r="BL220" s="302" t="s">
        <v>532</v>
      </c>
      <c r="BM220" s="434">
        <v>0.01</v>
      </c>
      <c r="BN220" s="645">
        <f t="shared" si="308"/>
        <v>0.5</v>
      </c>
      <c r="BO220" s="434"/>
      <c r="BP220" s="434">
        <v>0.4</v>
      </c>
      <c r="BQ220" s="302" t="s">
        <v>533</v>
      </c>
      <c r="BR220" s="302" t="s">
        <v>534</v>
      </c>
      <c r="BS220" s="434">
        <v>0.09</v>
      </c>
      <c r="BT220" s="302" t="s">
        <v>531</v>
      </c>
      <c r="BU220" s="302" t="s">
        <v>532</v>
      </c>
      <c r="BV220" s="434">
        <v>0.01</v>
      </c>
      <c r="BW220" s="645">
        <f t="shared" si="309"/>
        <v>0.5</v>
      </c>
      <c r="BX220" s="434">
        <v>0.4</v>
      </c>
      <c r="BY220" s="302" t="s">
        <v>533</v>
      </c>
      <c r="BZ220" s="302" t="s">
        <v>534</v>
      </c>
      <c r="CA220" s="434">
        <v>0.09</v>
      </c>
      <c r="CB220" s="302" t="s">
        <v>531</v>
      </c>
      <c r="CC220" s="302" t="s">
        <v>532</v>
      </c>
      <c r="CD220" s="434">
        <v>0.01</v>
      </c>
      <c r="CE220" s="434">
        <f t="shared" si="310"/>
        <v>0.5</v>
      </c>
      <c r="CF220" s="1620" t="s">
        <v>862</v>
      </c>
      <c r="CG220" s="1620" t="s">
        <v>1166</v>
      </c>
      <c r="CH220" s="1620" t="s">
        <v>1166</v>
      </c>
      <c r="CI220" s="406"/>
      <c r="CJ220" s="642">
        <v>0.69199999999999995</v>
      </c>
      <c r="CK220" s="591" t="s">
        <v>922</v>
      </c>
      <c r="CL220" s="302" t="s">
        <v>533</v>
      </c>
      <c r="CM220" s="302" t="s">
        <v>534</v>
      </c>
      <c r="CN220" s="637">
        <v>0.59</v>
      </c>
      <c r="CO220" s="302" t="s">
        <v>531</v>
      </c>
      <c r="CP220" s="302" t="s">
        <v>532</v>
      </c>
      <c r="CQ220" s="637">
        <v>0.01</v>
      </c>
    </row>
    <row r="221" spans="1:95" ht="15.75" customHeight="1" x14ac:dyDescent="0.2">
      <c r="A221" s="661" t="s">
        <v>328</v>
      </c>
      <c r="B221" s="440" t="s">
        <v>327</v>
      </c>
      <c r="C221" s="637">
        <v>0.4</v>
      </c>
      <c r="D221" s="440" t="s">
        <v>550</v>
      </c>
      <c r="E221" s="440" t="s">
        <v>551</v>
      </c>
      <c r="F221" s="637">
        <v>0.09</v>
      </c>
      <c r="G221" s="440" t="s">
        <v>548</v>
      </c>
      <c r="H221" s="440" t="s">
        <v>549</v>
      </c>
      <c r="I221" s="637">
        <v>0.01</v>
      </c>
      <c r="J221" s="662">
        <f t="shared" si="289"/>
        <v>0.5</v>
      </c>
      <c r="K221" s="637">
        <v>0.4</v>
      </c>
      <c r="L221" s="440" t="s">
        <v>550</v>
      </c>
      <c r="M221" s="440" t="s">
        <v>551</v>
      </c>
      <c r="N221" s="637">
        <v>0.09</v>
      </c>
      <c r="O221" s="440" t="s">
        <v>548</v>
      </c>
      <c r="P221" s="440" t="s">
        <v>549</v>
      </c>
      <c r="Q221" s="637">
        <v>0.01</v>
      </c>
      <c r="R221" s="662">
        <f t="shared" si="262"/>
        <v>0.5</v>
      </c>
      <c r="S221" s="637">
        <v>0.4</v>
      </c>
      <c r="T221" s="302" t="s">
        <v>550</v>
      </c>
      <c r="U221" s="302" t="s">
        <v>551</v>
      </c>
      <c r="V221" s="637">
        <v>0.09</v>
      </c>
      <c r="W221" s="302" t="s">
        <v>548</v>
      </c>
      <c r="X221" s="302" t="s">
        <v>549</v>
      </c>
      <c r="Y221" s="637">
        <v>0.01</v>
      </c>
      <c r="Z221" s="645">
        <f t="shared" si="263"/>
        <v>0.5</v>
      </c>
      <c r="AA221" s="637">
        <v>0.4</v>
      </c>
      <c r="AB221" s="302" t="s">
        <v>550</v>
      </c>
      <c r="AC221" s="302" t="s">
        <v>551</v>
      </c>
      <c r="AD221" s="637">
        <v>0.09</v>
      </c>
      <c r="AE221" s="302" t="s">
        <v>548</v>
      </c>
      <c r="AF221" s="302" t="s">
        <v>549</v>
      </c>
      <c r="AG221" s="637">
        <v>0.01</v>
      </c>
      <c r="AH221" s="645">
        <f t="shared" ref="AH221:AH227" si="312">+AA221+AD221+AG221</f>
        <v>0.5</v>
      </c>
      <c r="AI221" s="637">
        <v>0.4</v>
      </c>
      <c r="AJ221" s="302" t="s">
        <v>550</v>
      </c>
      <c r="AK221" s="302" t="s">
        <v>551</v>
      </c>
      <c r="AL221" s="637">
        <v>0.09</v>
      </c>
      <c r="AM221" s="302" t="s">
        <v>548</v>
      </c>
      <c r="AN221" s="302" t="s">
        <v>549</v>
      </c>
      <c r="AO221" s="637">
        <v>0.01</v>
      </c>
      <c r="AP221" s="645">
        <f t="shared" si="311"/>
        <v>0.5</v>
      </c>
      <c r="AQ221" s="637">
        <v>0.4</v>
      </c>
      <c r="AR221" s="302" t="s">
        <v>550</v>
      </c>
      <c r="AS221" s="302" t="s">
        <v>551</v>
      </c>
      <c r="AT221" s="637">
        <v>0.09</v>
      </c>
      <c r="AU221" s="302" t="s">
        <v>548</v>
      </c>
      <c r="AV221" s="302" t="s">
        <v>549</v>
      </c>
      <c r="AW221" s="637">
        <v>0.01</v>
      </c>
      <c r="AX221" s="645">
        <f t="shared" si="306"/>
        <v>0.5</v>
      </c>
      <c r="AY221" s="637">
        <v>0.4</v>
      </c>
      <c r="AZ221" s="302" t="s">
        <v>550</v>
      </c>
      <c r="BA221" s="302" t="s">
        <v>551</v>
      </c>
      <c r="BB221" s="637">
        <v>0.09</v>
      </c>
      <c r="BC221" s="302" t="s">
        <v>548</v>
      </c>
      <c r="BD221" s="302" t="s">
        <v>549</v>
      </c>
      <c r="BE221" s="637">
        <v>0.01</v>
      </c>
      <c r="BF221" s="434">
        <f t="shared" si="307"/>
        <v>0.5</v>
      </c>
      <c r="BG221" s="587">
        <v>0.5</v>
      </c>
      <c r="BH221" s="302" t="s">
        <v>550</v>
      </c>
      <c r="BI221" s="302" t="s">
        <v>551</v>
      </c>
      <c r="BJ221" s="434">
        <v>0.49</v>
      </c>
      <c r="BK221" s="302" t="s">
        <v>548</v>
      </c>
      <c r="BL221" s="302" t="s">
        <v>549</v>
      </c>
      <c r="BM221" s="434">
        <v>0.01</v>
      </c>
      <c r="BN221" s="645">
        <f t="shared" si="308"/>
        <v>1</v>
      </c>
      <c r="BO221" s="434"/>
      <c r="BP221" s="434">
        <v>0.4</v>
      </c>
      <c r="BQ221" s="302" t="s">
        <v>550</v>
      </c>
      <c r="BR221" s="302" t="s">
        <v>551</v>
      </c>
      <c r="BS221" s="434">
        <v>0.09</v>
      </c>
      <c r="BT221" s="302" t="s">
        <v>548</v>
      </c>
      <c r="BU221" s="302" t="s">
        <v>549</v>
      </c>
      <c r="BV221" s="434">
        <v>0.01</v>
      </c>
      <c r="BW221" s="645">
        <f t="shared" si="309"/>
        <v>0.5</v>
      </c>
      <c r="BX221" s="434">
        <v>0.4</v>
      </c>
      <c r="BY221" s="302" t="s">
        <v>550</v>
      </c>
      <c r="BZ221" s="302" t="s">
        <v>551</v>
      </c>
      <c r="CA221" s="434">
        <v>0.09</v>
      </c>
      <c r="CB221" s="302" t="s">
        <v>548</v>
      </c>
      <c r="CC221" s="302" t="s">
        <v>549</v>
      </c>
      <c r="CD221" s="434">
        <v>0.01</v>
      </c>
      <c r="CE221" s="434">
        <f t="shared" si="310"/>
        <v>0.5</v>
      </c>
      <c r="CF221" s="1620" t="s">
        <v>862</v>
      </c>
      <c r="CG221" s="1620" t="s">
        <v>862</v>
      </c>
      <c r="CH221" s="1620" t="s">
        <v>862</v>
      </c>
      <c r="CI221" s="406"/>
      <c r="CJ221" s="642">
        <v>0.69399999999999995</v>
      </c>
      <c r="CK221" s="591" t="s">
        <v>922</v>
      </c>
      <c r="CL221" s="302" t="s">
        <v>550</v>
      </c>
      <c r="CM221" s="302" t="s">
        <v>551</v>
      </c>
      <c r="CN221" s="637">
        <v>0.59</v>
      </c>
      <c r="CO221" s="302" t="s">
        <v>548</v>
      </c>
      <c r="CP221" s="302" t="s">
        <v>549</v>
      </c>
      <c r="CQ221" s="637">
        <v>0.01</v>
      </c>
    </row>
    <row r="222" spans="1:95" ht="15" x14ac:dyDescent="0.2">
      <c r="A222" s="661" t="s">
        <v>330</v>
      </c>
      <c r="B222" s="440" t="s">
        <v>513</v>
      </c>
      <c r="C222" s="637">
        <v>0.94</v>
      </c>
      <c r="D222" s="440" t="s">
        <v>1146</v>
      </c>
      <c r="E222" s="440" t="s">
        <v>1147</v>
      </c>
      <c r="F222" s="637">
        <v>0.05</v>
      </c>
      <c r="G222" s="440" t="s">
        <v>510</v>
      </c>
      <c r="H222" s="440" t="s">
        <v>511</v>
      </c>
      <c r="I222" s="637">
        <v>0.01</v>
      </c>
      <c r="J222" s="662">
        <f t="shared" si="289"/>
        <v>1</v>
      </c>
      <c r="K222" s="637">
        <v>0.94</v>
      </c>
      <c r="L222" s="440" t="s">
        <v>1146</v>
      </c>
      <c r="M222" s="440" t="s">
        <v>1147</v>
      </c>
      <c r="N222" s="637">
        <v>0.05</v>
      </c>
      <c r="O222" s="440" t="s">
        <v>510</v>
      </c>
      <c r="P222" s="440" t="s">
        <v>511</v>
      </c>
      <c r="Q222" s="637">
        <v>0.01</v>
      </c>
      <c r="R222" s="662">
        <f t="shared" si="262"/>
        <v>1</v>
      </c>
      <c r="S222" s="637">
        <v>0.94</v>
      </c>
      <c r="T222" s="302" t="s">
        <v>1146</v>
      </c>
      <c r="U222" s="302" t="s">
        <v>1147</v>
      </c>
      <c r="V222" s="637">
        <v>0.05</v>
      </c>
      <c r="W222" s="302" t="s">
        <v>510</v>
      </c>
      <c r="X222" s="302" t="s">
        <v>511</v>
      </c>
      <c r="Y222" s="637">
        <v>0.01</v>
      </c>
      <c r="Z222" s="645">
        <f t="shared" si="263"/>
        <v>1</v>
      </c>
      <c r="AA222" s="637">
        <v>0.94</v>
      </c>
      <c r="AB222" s="302" t="s">
        <v>1146</v>
      </c>
      <c r="AC222" s="302" t="s">
        <v>1147</v>
      </c>
      <c r="AD222" s="637">
        <v>0.05</v>
      </c>
      <c r="AE222" s="302" t="s">
        <v>510</v>
      </c>
      <c r="AF222" s="302" t="s">
        <v>511</v>
      </c>
      <c r="AG222" s="637">
        <v>0.01</v>
      </c>
      <c r="AH222" s="645">
        <f t="shared" si="312"/>
        <v>1</v>
      </c>
      <c r="AI222" s="637">
        <v>0.94</v>
      </c>
      <c r="AJ222" s="302" t="s">
        <v>1146</v>
      </c>
      <c r="AK222" s="302" t="s">
        <v>1147</v>
      </c>
      <c r="AL222" s="637">
        <v>0.05</v>
      </c>
      <c r="AM222" s="302" t="s">
        <v>510</v>
      </c>
      <c r="AN222" s="302" t="s">
        <v>511</v>
      </c>
      <c r="AO222" s="637">
        <v>0.01</v>
      </c>
      <c r="AP222" s="645">
        <f t="shared" si="311"/>
        <v>1</v>
      </c>
      <c r="AQ222" s="637">
        <v>0.94</v>
      </c>
      <c r="AR222" s="302" t="s">
        <v>1146</v>
      </c>
      <c r="AS222" s="302" t="s">
        <v>1147</v>
      </c>
      <c r="AT222" s="637">
        <v>0.05</v>
      </c>
      <c r="AU222" s="302" t="s">
        <v>510</v>
      </c>
      <c r="AV222" s="302" t="s">
        <v>511</v>
      </c>
      <c r="AW222" s="637">
        <v>0.01</v>
      </c>
      <c r="AX222" s="645">
        <f t="shared" si="306"/>
        <v>1</v>
      </c>
      <c r="AY222" s="637">
        <v>0.94</v>
      </c>
      <c r="AZ222" s="302" t="s">
        <v>1146</v>
      </c>
      <c r="BA222" s="302" t="s">
        <v>1147</v>
      </c>
      <c r="BB222" s="637">
        <v>0.05</v>
      </c>
      <c r="BC222" s="302" t="s">
        <v>510</v>
      </c>
      <c r="BD222" s="302" t="s">
        <v>511</v>
      </c>
      <c r="BE222" s="637">
        <v>0.01</v>
      </c>
      <c r="BF222" s="434">
        <f t="shared" si="307"/>
        <v>1</v>
      </c>
      <c r="BG222" s="587">
        <v>0.94</v>
      </c>
      <c r="BH222" s="302" t="s">
        <v>1146</v>
      </c>
      <c r="BI222" s="302" t="s">
        <v>1147</v>
      </c>
      <c r="BJ222" s="434">
        <v>0.05</v>
      </c>
      <c r="BK222" s="302" t="s">
        <v>510</v>
      </c>
      <c r="BL222" s="302" t="s">
        <v>511</v>
      </c>
      <c r="BM222" s="434">
        <v>0.01</v>
      </c>
      <c r="BN222" s="645">
        <f t="shared" si="308"/>
        <v>1</v>
      </c>
      <c r="BO222" s="434"/>
      <c r="BP222" s="434">
        <v>0.94</v>
      </c>
      <c r="BQ222" s="302" t="s">
        <v>1146</v>
      </c>
      <c r="BR222" s="302" t="s">
        <v>1147</v>
      </c>
      <c r="BS222" s="434">
        <v>0.05</v>
      </c>
      <c r="BT222" s="302" t="s">
        <v>510</v>
      </c>
      <c r="BU222" s="302" t="s">
        <v>511</v>
      </c>
      <c r="BV222" s="434">
        <v>0.01</v>
      </c>
      <c r="BW222" s="645">
        <f t="shared" si="309"/>
        <v>1</v>
      </c>
      <c r="BX222" s="434">
        <v>0.49</v>
      </c>
      <c r="BY222" s="302" t="s">
        <v>508</v>
      </c>
      <c r="BZ222" s="302" t="s">
        <v>509</v>
      </c>
      <c r="CA222" s="434">
        <v>0</v>
      </c>
      <c r="CB222" s="302" t="s">
        <v>510</v>
      </c>
      <c r="CC222" s="302" t="s">
        <v>511</v>
      </c>
      <c r="CD222" s="434">
        <v>0.01</v>
      </c>
      <c r="CE222" s="434">
        <f t="shared" si="310"/>
        <v>0.5</v>
      </c>
      <c r="CF222" s="1620" t="s">
        <v>862</v>
      </c>
      <c r="CG222" s="1620" t="s">
        <v>1166</v>
      </c>
      <c r="CH222" s="1620" t="s">
        <v>1166</v>
      </c>
      <c r="CI222" s="408" t="s">
        <v>862</v>
      </c>
      <c r="CJ222" s="642">
        <v>0.68500000000000005</v>
      </c>
      <c r="CK222" s="591" t="s">
        <v>922</v>
      </c>
      <c r="CL222" s="302" t="s">
        <v>1146</v>
      </c>
      <c r="CM222" s="302" t="s">
        <v>1147</v>
      </c>
      <c r="CN222" s="637">
        <v>0.59</v>
      </c>
      <c r="CO222" s="302" t="s">
        <v>510</v>
      </c>
      <c r="CP222" s="302" t="s">
        <v>511</v>
      </c>
      <c r="CQ222" s="637">
        <v>0.01</v>
      </c>
    </row>
    <row r="223" spans="1:95" ht="15.75" customHeight="1" x14ac:dyDescent="0.2">
      <c r="A223" s="661" t="s">
        <v>332</v>
      </c>
      <c r="B223" s="440" t="s">
        <v>331</v>
      </c>
      <c r="C223" s="637">
        <v>0.4</v>
      </c>
      <c r="D223" s="440" t="s">
        <v>557</v>
      </c>
      <c r="E223" s="440" t="s">
        <v>558</v>
      </c>
      <c r="F223" s="637">
        <v>0.09</v>
      </c>
      <c r="G223" s="440" t="s">
        <v>554</v>
      </c>
      <c r="H223" s="440" t="s">
        <v>555</v>
      </c>
      <c r="I223" s="637">
        <v>0.01</v>
      </c>
      <c r="J223" s="662">
        <f t="shared" si="289"/>
        <v>0.5</v>
      </c>
      <c r="K223" s="637">
        <v>0.4</v>
      </c>
      <c r="L223" s="440" t="s">
        <v>557</v>
      </c>
      <c r="M223" s="440" t="s">
        <v>558</v>
      </c>
      <c r="N223" s="637">
        <v>0.09</v>
      </c>
      <c r="O223" s="440" t="s">
        <v>554</v>
      </c>
      <c r="P223" s="440" t="s">
        <v>555</v>
      </c>
      <c r="Q223" s="637">
        <v>0.01</v>
      </c>
      <c r="R223" s="662">
        <f t="shared" si="262"/>
        <v>0.5</v>
      </c>
      <c r="S223" s="637">
        <v>0.4</v>
      </c>
      <c r="T223" s="302" t="s">
        <v>557</v>
      </c>
      <c r="U223" s="302" t="s">
        <v>558</v>
      </c>
      <c r="V223" s="637">
        <v>0.09</v>
      </c>
      <c r="W223" s="302" t="s">
        <v>554</v>
      </c>
      <c r="X223" s="302" t="s">
        <v>555</v>
      </c>
      <c r="Y223" s="637">
        <v>0.01</v>
      </c>
      <c r="Z223" s="645">
        <f t="shared" si="263"/>
        <v>0.5</v>
      </c>
      <c r="AA223" s="637">
        <v>0.4</v>
      </c>
      <c r="AB223" s="302" t="s">
        <v>557</v>
      </c>
      <c r="AC223" s="302" t="s">
        <v>558</v>
      </c>
      <c r="AD223" s="637">
        <v>0.09</v>
      </c>
      <c r="AE223" s="302" t="s">
        <v>554</v>
      </c>
      <c r="AF223" s="302" t="s">
        <v>555</v>
      </c>
      <c r="AG223" s="637">
        <v>0.01</v>
      </c>
      <c r="AH223" s="645">
        <f t="shared" si="312"/>
        <v>0.5</v>
      </c>
      <c r="AI223" s="637">
        <v>0.4</v>
      </c>
      <c r="AJ223" s="302" t="s">
        <v>557</v>
      </c>
      <c r="AK223" s="302" t="s">
        <v>558</v>
      </c>
      <c r="AL223" s="637">
        <v>0.09</v>
      </c>
      <c r="AM223" s="302" t="s">
        <v>554</v>
      </c>
      <c r="AN223" s="302" t="s">
        <v>555</v>
      </c>
      <c r="AO223" s="637">
        <v>0.01</v>
      </c>
      <c r="AP223" s="645">
        <f t="shared" si="311"/>
        <v>0.5</v>
      </c>
      <c r="AQ223" s="637">
        <v>0.4</v>
      </c>
      <c r="AR223" s="302" t="s">
        <v>557</v>
      </c>
      <c r="AS223" s="302" t="s">
        <v>558</v>
      </c>
      <c r="AT223" s="637">
        <v>0.09</v>
      </c>
      <c r="AU223" s="302" t="s">
        <v>554</v>
      </c>
      <c r="AV223" s="302" t="s">
        <v>555</v>
      </c>
      <c r="AW223" s="637">
        <v>0.01</v>
      </c>
      <c r="AX223" s="645">
        <f t="shared" si="306"/>
        <v>0.5</v>
      </c>
      <c r="AY223" s="637">
        <v>0.4</v>
      </c>
      <c r="AZ223" s="302" t="s">
        <v>557</v>
      </c>
      <c r="BA223" s="302" t="s">
        <v>558</v>
      </c>
      <c r="BB223" s="637">
        <v>0.09</v>
      </c>
      <c r="BC223" s="302" t="s">
        <v>554</v>
      </c>
      <c r="BD223" s="302" t="s">
        <v>555</v>
      </c>
      <c r="BE223" s="637">
        <v>0.01</v>
      </c>
      <c r="BF223" s="434">
        <f t="shared" si="307"/>
        <v>0.5</v>
      </c>
      <c r="BG223" s="587">
        <v>0.4</v>
      </c>
      <c r="BH223" s="302" t="s">
        <v>557</v>
      </c>
      <c r="BI223" s="302" t="s">
        <v>558</v>
      </c>
      <c r="BJ223" s="434">
        <v>0.59</v>
      </c>
      <c r="BK223" s="302" t="s">
        <v>554</v>
      </c>
      <c r="BL223" s="302" t="s">
        <v>555</v>
      </c>
      <c r="BM223" s="434">
        <v>0.01</v>
      </c>
      <c r="BN223" s="645">
        <f t="shared" si="308"/>
        <v>1</v>
      </c>
      <c r="BO223" s="434"/>
      <c r="BP223" s="434">
        <v>0.4</v>
      </c>
      <c r="BQ223" s="302" t="s">
        <v>557</v>
      </c>
      <c r="BR223" s="302" t="s">
        <v>558</v>
      </c>
      <c r="BS223" s="434">
        <v>0.09</v>
      </c>
      <c r="BT223" s="302" t="s">
        <v>554</v>
      </c>
      <c r="BU223" s="302" t="s">
        <v>555</v>
      </c>
      <c r="BV223" s="434">
        <v>0.01</v>
      </c>
      <c r="BW223" s="645">
        <f t="shared" si="309"/>
        <v>0.5</v>
      </c>
      <c r="BX223" s="434">
        <v>0.4</v>
      </c>
      <c r="BY223" s="302" t="s">
        <v>557</v>
      </c>
      <c r="BZ223" s="302" t="s">
        <v>558</v>
      </c>
      <c r="CA223" s="434">
        <v>0.09</v>
      </c>
      <c r="CB223" s="302" t="s">
        <v>554</v>
      </c>
      <c r="CC223" s="302" t="s">
        <v>555</v>
      </c>
      <c r="CD223" s="434">
        <v>0.01</v>
      </c>
      <c r="CE223" s="434">
        <f t="shared" si="310"/>
        <v>0.5</v>
      </c>
      <c r="CF223" s="1620" t="s">
        <v>862</v>
      </c>
      <c r="CG223" s="1620" t="s">
        <v>862</v>
      </c>
      <c r="CH223" s="1620" t="s">
        <v>1166</v>
      </c>
      <c r="CI223" s="406"/>
      <c r="CJ223" s="642">
        <v>0.64500000000000002</v>
      </c>
      <c r="CK223" s="591" t="s">
        <v>922</v>
      </c>
      <c r="CL223" s="302" t="s">
        <v>557</v>
      </c>
      <c r="CM223" s="302" t="s">
        <v>558</v>
      </c>
      <c r="CN223" s="637">
        <v>0.59</v>
      </c>
      <c r="CO223" s="302" t="s">
        <v>554</v>
      </c>
      <c r="CP223" s="302" t="s">
        <v>555</v>
      </c>
      <c r="CQ223" s="637">
        <v>0.01</v>
      </c>
    </row>
    <row r="224" spans="1:95" ht="15.75" customHeight="1" x14ac:dyDescent="0.2">
      <c r="A224" s="661" t="s">
        <v>334</v>
      </c>
      <c r="B224" s="440" t="s">
        <v>333</v>
      </c>
      <c r="C224" s="637">
        <v>0.4</v>
      </c>
      <c r="D224" s="440" t="s">
        <v>619</v>
      </c>
      <c r="E224" s="440" t="s">
        <v>620</v>
      </c>
      <c r="F224" s="637">
        <v>0.1</v>
      </c>
      <c r="G224" s="440" t="s">
        <v>508</v>
      </c>
      <c r="H224" s="440" t="s">
        <v>546</v>
      </c>
      <c r="I224" s="637">
        <v>0</v>
      </c>
      <c r="J224" s="662">
        <f t="shared" si="289"/>
        <v>0.5</v>
      </c>
      <c r="K224" s="637">
        <v>0.4</v>
      </c>
      <c r="L224" s="440" t="s">
        <v>619</v>
      </c>
      <c r="M224" s="440" t="s">
        <v>620</v>
      </c>
      <c r="N224" s="637">
        <v>0.1</v>
      </c>
      <c r="O224" s="440" t="s">
        <v>508</v>
      </c>
      <c r="P224" s="440" t="s">
        <v>546</v>
      </c>
      <c r="Q224" s="637">
        <v>0</v>
      </c>
      <c r="R224" s="662">
        <f t="shared" si="262"/>
        <v>0.5</v>
      </c>
      <c r="S224" s="637">
        <v>0.4</v>
      </c>
      <c r="T224" s="302" t="s">
        <v>619</v>
      </c>
      <c r="U224" s="302" t="s">
        <v>620</v>
      </c>
      <c r="V224" s="637">
        <v>0.1</v>
      </c>
      <c r="W224" s="302" t="s">
        <v>508</v>
      </c>
      <c r="X224" s="302" t="s">
        <v>546</v>
      </c>
      <c r="Y224" s="637">
        <v>0</v>
      </c>
      <c r="Z224" s="645">
        <f t="shared" si="263"/>
        <v>0.5</v>
      </c>
      <c r="AA224" s="637">
        <v>0.4</v>
      </c>
      <c r="AB224" s="302" t="s">
        <v>619</v>
      </c>
      <c r="AC224" s="302" t="s">
        <v>620</v>
      </c>
      <c r="AD224" s="637">
        <v>0.1</v>
      </c>
      <c r="AE224" s="302" t="s">
        <v>508</v>
      </c>
      <c r="AF224" s="302" t="s">
        <v>546</v>
      </c>
      <c r="AG224" s="637">
        <v>0</v>
      </c>
      <c r="AH224" s="645">
        <f t="shared" si="312"/>
        <v>0.5</v>
      </c>
      <c r="AI224" s="637">
        <v>0.4</v>
      </c>
      <c r="AJ224" s="302" t="s">
        <v>619</v>
      </c>
      <c r="AK224" s="302" t="s">
        <v>620</v>
      </c>
      <c r="AL224" s="637">
        <v>0.1</v>
      </c>
      <c r="AM224" s="302" t="s">
        <v>508</v>
      </c>
      <c r="AN224" s="302" t="s">
        <v>546</v>
      </c>
      <c r="AO224" s="637">
        <v>0</v>
      </c>
      <c r="AP224" s="645">
        <f t="shared" si="311"/>
        <v>0.5</v>
      </c>
      <c r="AQ224" s="637">
        <v>0.4</v>
      </c>
      <c r="AR224" s="302" t="s">
        <v>619</v>
      </c>
      <c r="AS224" s="302" t="s">
        <v>620</v>
      </c>
      <c r="AT224" s="637">
        <v>0.1</v>
      </c>
      <c r="AU224" s="302" t="s">
        <v>508</v>
      </c>
      <c r="AV224" s="302" t="s">
        <v>546</v>
      </c>
      <c r="AW224" s="637">
        <v>0</v>
      </c>
      <c r="AX224" s="645">
        <f t="shared" si="306"/>
        <v>0.5</v>
      </c>
      <c r="AY224" s="637">
        <v>0.4</v>
      </c>
      <c r="AZ224" s="302" t="s">
        <v>619</v>
      </c>
      <c r="BA224" s="302" t="s">
        <v>620</v>
      </c>
      <c r="BB224" s="637">
        <v>0.1</v>
      </c>
      <c r="BC224" s="302" t="s">
        <v>508</v>
      </c>
      <c r="BD224" s="302" t="s">
        <v>546</v>
      </c>
      <c r="BE224" s="637">
        <v>0</v>
      </c>
      <c r="BF224" s="434">
        <f t="shared" si="307"/>
        <v>0.5</v>
      </c>
      <c r="BG224" s="587">
        <v>0.6</v>
      </c>
      <c r="BH224" s="302" t="s">
        <v>619</v>
      </c>
      <c r="BI224" s="302" t="s">
        <v>620</v>
      </c>
      <c r="BJ224" s="434">
        <v>0.4</v>
      </c>
      <c r="BK224" s="302" t="s">
        <v>508</v>
      </c>
      <c r="BL224" s="302" t="s">
        <v>546</v>
      </c>
      <c r="BM224" s="434">
        <v>0</v>
      </c>
      <c r="BN224" s="645">
        <f t="shared" si="308"/>
        <v>1</v>
      </c>
      <c r="BO224" s="434"/>
      <c r="BP224" s="434">
        <v>0.4</v>
      </c>
      <c r="BQ224" s="302" t="s">
        <v>619</v>
      </c>
      <c r="BR224" s="302" t="s">
        <v>620</v>
      </c>
      <c r="BS224" s="434">
        <v>0.1</v>
      </c>
      <c r="BT224" s="302" t="s">
        <v>508</v>
      </c>
      <c r="BU224" s="302" t="s">
        <v>546</v>
      </c>
      <c r="BV224" s="434">
        <v>0</v>
      </c>
      <c r="BW224" s="645">
        <f t="shared" si="309"/>
        <v>0.5</v>
      </c>
      <c r="BX224" s="434">
        <v>0.4</v>
      </c>
      <c r="BY224" s="302" t="s">
        <v>619</v>
      </c>
      <c r="BZ224" s="302" t="s">
        <v>620</v>
      </c>
      <c r="CA224" s="434">
        <v>0.1</v>
      </c>
      <c r="CB224" s="302" t="s">
        <v>508</v>
      </c>
      <c r="CC224" s="302" t="s">
        <v>546</v>
      </c>
      <c r="CD224" s="434">
        <v>0</v>
      </c>
      <c r="CE224" s="434">
        <f t="shared" si="310"/>
        <v>0.5</v>
      </c>
      <c r="CF224" s="1620" t="s">
        <v>1166</v>
      </c>
      <c r="CG224" s="1620" t="s">
        <v>1166</v>
      </c>
      <c r="CH224" s="1620" t="s">
        <v>1166</v>
      </c>
      <c r="CI224" s="406"/>
      <c r="CJ224" s="642">
        <v>0.65800000000000003</v>
      </c>
      <c r="CK224" s="591" t="s">
        <v>922</v>
      </c>
      <c r="CL224" s="302" t="s">
        <v>619</v>
      </c>
      <c r="CM224" s="302" t="s">
        <v>620</v>
      </c>
      <c r="CN224" s="637">
        <v>0.6</v>
      </c>
      <c r="CO224" s="302" t="s">
        <v>508</v>
      </c>
      <c r="CP224" s="302" t="s">
        <v>546</v>
      </c>
      <c r="CQ224" s="637">
        <v>0</v>
      </c>
    </row>
    <row r="225" spans="1:95" ht="15.75" customHeight="1" x14ac:dyDescent="0.2">
      <c r="A225" s="661" t="s">
        <v>336</v>
      </c>
      <c r="B225" s="440" t="s">
        <v>335</v>
      </c>
      <c r="C225" s="637">
        <v>0.4</v>
      </c>
      <c r="D225" s="440" t="s">
        <v>619</v>
      </c>
      <c r="E225" s="440" t="s">
        <v>620</v>
      </c>
      <c r="F225" s="637">
        <v>0.1</v>
      </c>
      <c r="G225" s="440" t="s">
        <v>508</v>
      </c>
      <c r="H225" s="440" t="s">
        <v>546</v>
      </c>
      <c r="I225" s="637">
        <v>0</v>
      </c>
      <c r="J225" s="662">
        <f t="shared" si="289"/>
        <v>0.5</v>
      </c>
      <c r="K225" s="637">
        <v>0.4</v>
      </c>
      <c r="L225" s="440" t="s">
        <v>619</v>
      </c>
      <c r="M225" s="440" t="s">
        <v>620</v>
      </c>
      <c r="N225" s="637">
        <v>0.1</v>
      </c>
      <c r="O225" s="440" t="s">
        <v>508</v>
      </c>
      <c r="P225" s="440" t="s">
        <v>546</v>
      </c>
      <c r="Q225" s="637">
        <v>0</v>
      </c>
      <c r="R225" s="662">
        <f t="shared" si="262"/>
        <v>0.5</v>
      </c>
      <c r="S225" s="637">
        <v>0.4</v>
      </c>
      <c r="T225" s="302" t="s">
        <v>619</v>
      </c>
      <c r="U225" s="302" t="s">
        <v>620</v>
      </c>
      <c r="V225" s="637">
        <v>0.1</v>
      </c>
      <c r="W225" s="302" t="s">
        <v>508</v>
      </c>
      <c r="X225" s="302" t="s">
        <v>546</v>
      </c>
      <c r="Y225" s="637">
        <v>0</v>
      </c>
      <c r="Z225" s="645">
        <f t="shared" si="263"/>
        <v>0.5</v>
      </c>
      <c r="AA225" s="637">
        <v>0.4</v>
      </c>
      <c r="AB225" s="302" t="s">
        <v>619</v>
      </c>
      <c r="AC225" s="302" t="s">
        <v>620</v>
      </c>
      <c r="AD225" s="637">
        <v>0.1</v>
      </c>
      <c r="AE225" s="302" t="s">
        <v>508</v>
      </c>
      <c r="AF225" s="302" t="s">
        <v>546</v>
      </c>
      <c r="AG225" s="637">
        <v>0</v>
      </c>
      <c r="AH225" s="645">
        <f t="shared" si="312"/>
        <v>0.5</v>
      </c>
      <c r="AI225" s="637">
        <v>0.4</v>
      </c>
      <c r="AJ225" s="302" t="s">
        <v>619</v>
      </c>
      <c r="AK225" s="302" t="s">
        <v>620</v>
      </c>
      <c r="AL225" s="637">
        <v>0.1</v>
      </c>
      <c r="AM225" s="302" t="s">
        <v>508</v>
      </c>
      <c r="AN225" s="302" t="s">
        <v>546</v>
      </c>
      <c r="AO225" s="637">
        <v>0</v>
      </c>
      <c r="AP225" s="645">
        <f t="shared" si="311"/>
        <v>0.5</v>
      </c>
      <c r="AQ225" s="637">
        <v>0.4</v>
      </c>
      <c r="AR225" s="302" t="s">
        <v>619</v>
      </c>
      <c r="AS225" s="302" t="s">
        <v>620</v>
      </c>
      <c r="AT225" s="637">
        <v>0.1</v>
      </c>
      <c r="AU225" s="302" t="s">
        <v>508</v>
      </c>
      <c r="AV225" s="302" t="s">
        <v>546</v>
      </c>
      <c r="AW225" s="637">
        <v>0</v>
      </c>
      <c r="AX225" s="645">
        <f t="shared" si="306"/>
        <v>0.5</v>
      </c>
      <c r="AY225" s="637">
        <v>0.4</v>
      </c>
      <c r="AZ225" s="302" t="s">
        <v>619</v>
      </c>
      <c r="BA225" s="302" t="s">
        <v>620</v>
      </c>
      <c r="BB225" s="637">
        <v>0.1</v>
      </c>
      <c r="BC225" s="302" t="s">
        <v>508</v>
      </c>
      <c r="BD225" s="302" t="s">
        <v>546</v>
      </c>
      <c r="BE225" s="637">
        <v>0</v>
      </c>
      <c r="BF225" s="434">
        <f t="shared" si="307"/>
        <v>0.5</v>
      </c>
      <c r="BG225" s="587">
        <v>0.6</v>
      </c>
      <c r="BH225" s="302" t="s">
        <v>619</v>
      </c>
      <c r="BI225" s="302" t="s">
        <v>620</v>
      </c>
      <c r="BJ225" s="434">
        <v>0.4</v>
      </c>
      <c r="BK225" s="302" t="s">
        <v>508</v>
      </c>
      <c r="BL225" s="302" t="s">
        <v>546</v>
      </c>
      <c r="BM225" s="434">
        <v>0</v>
      </c>
      <c r="BN225" s="645">
        <f t="shared" si="308"/>
        <v>1</v>
      </c>
      <c r="BO225" s="434"/>
      <c r="BP225" s="434">
        <v>0.4</v>
      </c>
      <c r="BQ225" s="302" t="s">
        <v>619</v>
      </c>
      <c r="BR225" s="302" t="s">
        <v>620</v>
      </c>
      <c r="BS225" s="434">
        <v>0.1</v>
      </c>
      <c r="BT225" s="302" t="s">
        <v>508</v>
      </c>
      <c r="BU225" s="302" t="s">
        <v>546</v>
      </c>
      <c r="BV225" s="434">
        <v>0</v>
      </c>
      <c r="BW225" s="645">
        <f t="shared" si="309"/>
        <v>0.5</v>
      </c>
      <c r="BX225" s="434">
        <v>0.4</v>
      </c>
      <c r="BY225" s="302" t="s">
        <v>619</v>
      </c>
      <c r="BZ225" s="302" t="s">
        <v>620</v>
      </c>
      <c r="CA225" s="434">
        <v>0.1</v>
      </c>
      <c r="CB225" s="302" t="s">
        <v>508</v>
      </c>
      <c r="CC225" s="302" t="s">
        <v>546</v>
      </c>
      <c r="CD225" s="434">
        <v>0</v>
      </c>
      <c r="CE225" s="434">
        <f t="shared" si="310"/>
        <v>0.5</v>
      </c>
      <c r="CF225" s="1620" t="s">
        <v>1166</v>
      </c>
      <c r="CG225" s="1620" t="s">
        <v>1166</v>
      </c>
      <c r="CH225" s="1620" t="s">
        <v>1166</v>
      </c>
      <c r="CI225" s="406"/>
      <c r="CJ225" s="642">
        <v>0.70099999999999996</v>
      </c>
      <c r="CK225" s="591" t="s">
        <v>922</v>
      </c>
      <c r="CL225" s="302" t="s">
        <v>619</v>
      </c>
      <c r="CM225" s="302" t="s">
        <v>620</v>
      </c>
      <c r="CN225" s="637">
        <v>0.6</v>
      </c>
      <c r="CO225" s="302" t="s">
        <v>508</v>
      </c>
      <c r="CP225" s="302" t="s">
        <v>546</v>
      </c>
      <c r="CQ225" s="637">
        <v>0</v>
      </c>
    </row>
    <row r="226" spans="1:95" ht="15" x14ac:dyDescent="0.2">
      <c r="A226" s="661" t="s">
        <v>338</v>
      </c>
      <c r="B226" s="440" t="s">
        <v>337</v>
      </c>
      <c r="C226" s="637">
        <v>0.4</v>
      </c>
      <c r="D226" s="440" t="s">
        <v>621</v>
      </c>
      <c r="E226" s="440" t="s">
        <v>622</v>
      </c>
      <c r="F226" s="637">
        <v>0.1</v>
      </c>
      <c r="G226" s="440" t="s">
        <v>508</v>
      </c>
      <c r="H226" s="440" t="s">
        <v>546</v>
      </c>
      <c r="I226" s="637">
        <v>0</v>
      </c>
      <c r="J226" s="662">
        <f t="shared" si="289"/>
        <v>0.5</v>
      </c>
      <c r="K226" s="637">
        <v>0.4</v>
      </c>
      <c r="L226" s="440" t="s">
        <v>621</v>
      </c>
      <c r="M226" s="440" t="s">
        <v>622</v>
      </c>
      <c r="N226" s="637">
        <v>0.1</v>
      </c>
      <c r="O226" s="440" t="s">
        <v>508</v>
      </c>
      <c r="P226" s="440" t="s">
        <v>546</v>
      </c>
      <c r="Q226" s="637">
        <v>0</v>
      </c>
      <c r="R226" s="662">
        <f t="shared" si="262"/>
        <v>0.5</v>
      </c>
      <c r="S226" s="637">
        <v>0.4</v>
      </c>
      <c r="T226" s="302" t="s">
        <v>621</v>
      </c>
      <c r="U226" s="302" t="s">
        <v>622</v>
      </c>
      <c r="V226" s="637">
        <v>0.1</v>
      </c>
      <c r="W226" s="302" t="s">
        <v>508</v>
      </c>
      <c r="X226" s="302" t="s">
        <v>546</v>
      </c>
      <c r="Y226" s="637">
        <v>0</v>
      </c>
      <c r="Z226" s="645">
        <f t="shared" si="263"/>
        <v>0.5</v>
      </c>
      <c r="AA226" s="637">
        <v>0.4</v>
      </c>
      <c r="AB226" s="302" t="s">
        <v>621</v>
      </c>
      <c r="AC226" s="302" t="s">
        <v>622</v>
      </c>
      <c r="AD226" s="637">
        <v>0.1</v>
      </c>
      <c r="AE226" s="302" t="s">
        <v>508</v>
      </c>
      <c r="AF226" s="302" t="s">
        <v>546</v>
      </c>
      <c r="AG226" s="637">
        <v>0</v>
      </c>
      <c r="AH226" s="645">
        <f t="shared" si="312"/>
        <v>0.5</v>
      </c>
      <c r="AI226" s="637">
        <v>0.4</v>
      </c>
      <c r="AJ226" s="302" t="s">
        <v>621</v>
      </c>
      <c r="AK226" s="302" t="s">
        <v>622</v>
      </c>
      <c r="AL226" s="637">
        <v>0.1</v>
      </c>
      <c r="AM226" s="302" t="s">
        <v>508</v>
      </c>
      <c r="AN226" s="302" t="s">
        <v>546</v>
      </c>
      <c r="AO226" s="637">
        <v>0</v>
      </c>
      <c r="AP226" s="645">
        <f t="shared" si="311"/>
        <v>0.5</v>
      </c>
      <c r="AQ226" s="637">
        <v>0.4</v>
      </c>
      <c r="AR226" s="302" t="s">
        <v>621</v>
      </c>
      <c r="AS226" s="302" t="s">
        <v>622</v>
      </c>
      <c r="AT226" s="637">
        <v>0.1</v>
      </c>
      <c r="AU226" s="302" t="s">
        <v>508</v>
      </c>
      <c r="AV226" s="302" t="s">
        <v>546</v>
      </c>
      <c r="AW226" s="637">
        <v>0</v>
      </c>
      <c r="AX226" s="645">
        <f t="shared" si="306"/>
        <v>0.5</v>
      </c>
      <c r="AY226" s="637">
        <v>0.42499999999999999</v>
      </c>
      <c r="AZ226" s="302" t="s">
        <v>621</v>
      </c>
      <c r="BA226" s="302" t="s">
        <v>622</v>
      </c>
      <c r="BB226" s="637">
        <v>0.32500000000000001</v>
      </c>
      <c r="BC226" s="302" t="s">
        <v>508</v>
      </c>
      <c r="BD226" s="302" t="s">
        <v>546</v>
      </c>
      <c r="BE226" s="637">
        <v>0</v>
      </c>
      <c r="BF226" s="434">
        <f t="shared" si="307"/>
        <v>0.75</v>
      </c>
      <c r="BG226" s="587">
        <v>0.4</v>
      </c>
      <c r="BH226" s="302" t="s">
        <v>621</v>
      </c>
      <c r="BI226" s="302" t="s">
        <v>622</v>
      </c>
      <c r="BJ226" s="434">
        <v>0.1</v>
      </c>
      <c r="BK226" s="302" t="s">
        <v>508</v>
      </c>
      <c r="BL226" s="302" t="s">
        <v>546</v>
      </c>
      <c r="BM226" s="434">
        <v>0</v>
      </c>
      <c r="BN226" s="645">
        <f t="shared" si="308"/>
        <v>0.5</v>
      </c>
      <c r="BO226" s="434"/>
      <c r="BP226" s="434">
        <v>0.4</v>
      </c>
      <c r="BQ226" s="302" t="s">
        <v>621</v>
      </c>
      <c r="BR226" s="302" t="s">
        <v>622</v>
      </c>
      <c r="BS226" s="434">
        <v>0.1</v>
      </c>
      <c r="BT226" s="302" t="s">
        <v>508</v>
      </c>
      <c r="BU226" s="302" t="s">
        <v>546</v>
      </c>
      <c r="BV226" s="434">
        <v>0</v>
      </c>
      <c r="BW226" s="645">
        <f t="shared" si="309"/>
        <v>0.5</v>
      </c>
      <c r="BX226" s="434">
        <v>0.4</v>
      </c>
      <c r="BY226" s="302" t="s">
        <v>621</v>
      </c>
      <c r="BZ226" s="302" t="s">
        <v>622</v>
      </c>
      <c r="CA226" s="434">
        <v>0.1</v>
      </c>
      <c r="CB226" s="302" t="s">
        <v>508</v>
      </c>
      <c r="CC226" s="302" t="s">
        <v>546</v>
      </c>
      <c r="CD226" s="434">
        <v>0</v>
      </c>
      <c r="CE226" s="434">
        <f t="shared" si="310"/>
        <v>0.5</v>
      </c>
      <c r="CF226" s="1620" t="s">
        <v>862</v>
      </c>
      <c r="CG226" s="1620" t="s">
        <v>1166</v>
      </c>
      <c r="CH226" s="1620" t="s">
        <v>1166</v>
      </c>
      <c r="CI226" s="406"/>
      <c r="CJ226" s="642">
        <v>0.67200000000000004</v>
      </c>
      <c r="CK226" s="591" t="s">
        <v>922</v>
      </c>
      <c r="CL226" s="302" t="s">
        <v>621</v>
      </c>
      <c r="CM226" s="302" t="s">
        <v>622</v>
      </c>
      <c r="CN226" s="637">
        <v>0.6</v>
      </c>
      <c r="CO226" s="302" t="s">
        <v>508</v>
      </c>
      <c r="CP226" s="302" t="s">
        <v>546</v>
      </c>
      <c r="CQ226" s="637">
        <v>0</v>
      </c>
    </row>
    <row r="227" spans="1:95" ht="15" x14ac:dyDescent="0.2">
      <c r="A227" s="661" t="s">
        <v>340</v>
      </c>
      <c r="B227" s="440" t="s">
        <v>339</v>
      </c>
      <c r="C227" s="637">
        <v>0.4</v>
      </c>
      <c r="D227" s="440" t="s">
        <v>636</v>
      </c>
      <c r="E227" s="440" t="s">
        <v>637</v>
      </c>
      <c r="F227" s="637">
        <v>0.1</v>
      </c>
      <c r="G227" s="440" t="s">
        <v>508</v>
      </c>
      <c r="H227" s="440" t="s">
        <v>546</v>
      </c>
      <c r="I227" s="637">
        <v>0</v>
      </c>
      <c r="J227" s="662">
        <f t="shared" si="289"/>
        <v>0.5</v>
      </c>
      <c r="K227" s="637">
        <v>0.4</v>
      </c>
      <c r="L227" s="440" t="s">
        <v>636</v>
      </c>
      <c r="M227" s="440" t="s">
        <v>637</v>
      </c>
      <c r="N227" s="637">
        <v>0.1</v>
      </c>
      <c r="O227" s="440" t="s">
        <v>508</v>
      </c>
      <c r="P227" s="440" t="s">
        <v>546</v>
      </c>
      <c r="Q227" s="637">
        <v>0</v>
      </c>
      <c r="R227" s="662">
        <f t="shared" si="262"/>
        <v>0.5</v>
      </c>
      <c r="S227" s="637">
        <v>0.4</v>
      </c>
      <c r="T227" s="302" t="s">
        <v>636</v>
      </c>
      <c r="U227" s="302" t="s">
        <v>637</v>
      </c>
      <c r="V227" s="637">
        <v>0.1</v>
      </c>
      <c r="W227" s="302" t="s">
        <v>508</v>
      </c>
      <c r="X227" s="302" t="s">
        <v>546</v>
      </c>
      <c r="Y227" s="637">
        <v>0</v>
      </c>
      <c r="Z227" s="645">
        <f t="shared" si="263"/>
        <v>0.5</v>
      </c>
      <c r="AA227" s="637">
        <v>0.4</v>
      </c>
      <c r="AB227" s="302" t="s">
        <v>636</v>
      </c>
      <c r="AC227" s="302" t="s">
        <v>637</v>
      </c>
      <c r="AD227" s="637">
        <v>0.1</v>
      </c>
      <c r="AE227" s="302" t="s">
        <v>508</v>
      </c>
      <c r="AF227" s="302" t="s">
        <v>546</v>
      </c>
      <c r="AG227" s="637">
        <v>0</v>
      </c>
      <c r="AH227" s="645">
        <f t="shared" si="312"/>
        <v>0.5</v>
      </c>
      <c r="AI227" s="637">
        <v>0.4</v>
      </c>
      <c r="AJ227" s="302" t="s">
        <v>636</v>
      </c>
      <c r="AK227" s="302" t="s">
        <v>637</v>
      </c>
      <c r="AL227" s="637">
        <v>0.1</v>
      </c>
      <c r="AM227" s="302" t="s">
        <v>508</v>
      </c>
      <c r="AN227" s="302" t="s">
        <v>546</v>
      </c>
      <c r="AO227" s="637">
        <v>0</v>
      </c>
      <c r="AP227" s="645">
        <f t="shared" si="311"/>
        <v>0.5</v>
      </c>
      <c r="AQ227" s="637">
        <v>0.4</v>
      </c>
      <c r="AR227" s="302" t="s">
        <v>636</v>
      </c>
      <c r="AS227" s="302" t="s">
        <v>637</v>
      </c>
      <c r="AT227" s="637">
        <v>0.1</v>
      </c>
      <c r="AU227" s="302" t="s">
        <v>508</v>
      </c>
      <c r="AV227" s="302" t="s">
        <v>546</v>
      </c>
      <c r="AW227" s="637">
        <v>0</v>
      </c>
      <c r="AX227" s="645">
        <f t="shared" si="306"/>
        <v>0.5</v>
      </c>
      <c r="AY227" s="637">
        <v>0.4</v>
      </c>
      <c r="AZ227" s="302" t="s">
        <v>636</v>
      </c>
      <c r="BA227" s="302" t="s">
        <v>637</v>
      </c>
      <c r="BB227" s="637">
        <v>0.1</v>
      </c>
      <c r="BC227" s="302" t="s">
        <v>508</v>
      </c>
      <c r="BD227" s="302" t="s">
        <v>546</v>
      </c>
      <c r="BE227" s="637">
        <v>0</v>
      </c>
      <c r="BF227" s="434">
        <f t="shared" si="307"/>
        <v>0.5</v>
      </c>
      <c r="BG227" s="587">
        <v>0.4</v>
      </c>
      <c r="BH227" s="302" t="s">
        <v>636</v>
      </c>
      <c r="BI227" s="302" t="s">
        <v>637</v>
      </c>
      <c r="BJ227" s="434">
        <v>0.1</v>
      </c>
      <c r="BK227" s="302" t="s">
        <v>508</v>
      </c>
      <c r="BL227" s="302" t="s">
        <v>546</v>
      </c>
      <c r="BM227" s="434">
        <v>0</v>
      </c>
      <c r="BN227" s="645">
        <f t="shared" si="308"/>
        <v>0.5</v>
      </c>
      <c r="BO227" s="434"/>
      <c r="BP227" s="434">
        <v>0.4</v>
      </c>
      <c r="BQ227" s="302" t="s">
        <v>636</v>
      </c>
      <c r="BR227" s="302" t="s">
        <v>637</v>
      </c>
      <c r="BS227" s="434">
        <v>0.1</v>
      </c>
      <c r="BT227" s="302" t="s">
        <v>508</v>
      </c>
      <c r="BU227" s="302" t="s">
        <v>546</v>
      </c>
      <c r="BV227" s="434">
        <v>0</v>
      </c>
      <c r="BW227" s="645">
        <f t="shared" si="309"/>
        <v>0.5</v>
      </c>
      <c r="BX227" s="434">
        <v>0.4</v>
      </c>
      <c r="BY227" s="302" t="s">
        <v>636</v>
      </c>
      <c r="BZ227" s="302" t="s">
        <v>637</v>
      </c>
      <c r="CA227" s="434">
        <v>0.1</v>
      </c>
      <c r="CB227" s="302" t="s">
        <v>508</v>
      </c>
      <c r="CC227" s="302" t="s">
        <v>546</v>
      </c>
      <c r="CD227" s="434">
        <v>0</v>
      </c>
      <c r="CE227" s="434">
        <f t="shared" si="310"/>
        <v>0.5</v>
      </c>
      <c r="CF227" s="1620" t="s">
        <v>862</v>
      </c>
      <c r="CG227" s="1620" t="s">
        <v>1166</v>
      </c>
      <c r="CH227" s="1620" t="s">
        <v>1166</v>
      </c>
      <c r="CI227" s="406"/>
      <c r="CJ227" s="642">
        <v>0.70599999999999996</v>
      </c>
      <c r="CK227" s="591" t="s">
        <v>922</v>
      </c>
      <c r="CL227" s="302" t="s">
        <v>636</v>
      </c>
      <c r="CM227" s="302" t="s">
        <v>637</v>
      </c>
      <c r="CN227" s="637">
        <v>0.6</v>
      </c>
      <c r="CO227" s="302" t="s">
        <v>508</v>
      </c>
      <c r="CP227" s="302" t="s">
        <v>546</v>
      </c>
      <c r="CQ227" s="637">
        <v>0</v>
      </c>
    </row>
    <row r="228" spans="1:95" ht="15.75" customHeight="1" x14ac:dyDescent="0.2">
      <c r="A228" s="661" t="s">
        <v>342</v>
      </c>
      <c r="B228" s="440" t="s">
        <v>341</v>
      </c>
      <c r="C228" s="637">
        <v>0.4</v>
      </c>
      <c r="D228" s="440" t="s">
        <v>609</v>
      </c>
      <c r="E228" s="440" t="s">
        <v>610</v>
      </c>
      <c r="F228" s="637">
        <v>0.09</v>
      </c>
      <c r="G228" s="440" t="s">
        <v>606</v>
      </c>
      <c r="H228" s="440" t="s">
        <v>607</v>
      </c>
      <c r="I228" s="637">
        <v>0.01</v>
      </c>
      <c r="J228" s="662">
        <f t="shared" si="289"/>
        <v>0.5</v>
      </c>
      <c r="K228" s="637">
        <v>0.4</v>
      </c>
      <c r="L228" s="440" t="s">
        <v>609</v>
      </c>
      <c r="M228" s="440" t="s">
        <v>610</v>
      </c>
      <c r="N228" s="637">
        <v>0.09</v>
      </c>
      <c r="O228" s="440" t="s">
        <v>606</v>
      </c>
      <c r="P228" s="440" t="s">
        <v>607</v>
      </c>
      <c r="Q228" s="637">
        <v>0.01</v>
      </c>
      <c r="R228" s="662">
        <f t="shared" si="262"/>
        <v>0.5</v>
      </c>
      <c r="S228" s="637">
        <v>0.4</v>
      </c>
      <c r="T228" s="302" t="s">
        <v>609</v>
      </c>
      <c r="U228" s="302" t="s">
        <v>610</v>
      </c>
      <c r="V228" s="637">
        <v>0.09</v>
      </c>
      <c r="W228" s="302" t="s">
        <v>606</v>
      </c>
      <c r="X228" s="302" t="s">
        <v>607</v>
      </c>
      <c r="Y228" s="637">
        <v>0.01</v>
      </c>
      <c r="Z228" s="645">
        <f t="shared" si="263"/>
        <v>0.5</v>
      </c>
      <c r="AA228" s="637">
        <v>0.4</v>
      </c>
      <c r="AB228" s="302" t="s">
        <v>609</v>
      </c>
      <c r="AC228" s="302" t="s">
        <v>610</v>
      </c>
      <c r="AD228" s="637">
        <v>0.09</v>
      </c>
      <c r="AE228" s="302" t="s">
        <v>606</v>
      </c>
      <c r="AF228" s="302" t="s">
        <v>607</v>
      </c>
      <c r="AG228" s="637">
        <v>0.01</v>
      </c>
      <c r="AH228" s="645">
        <f t="shared" ref="AH228:AH234" si="313">+AA228+AD228+AG228</f>
        <v>0.5</v>
      </c>
      <c r="AI228" s="637">
        <v>0.4</v>
      </c>
      <c r="AJ228" s="302" t="s">
        <v>609</v>
      </c>
      <c r="AK228" s="302" t="s">
        <v>610</v>
      </c>
      <c r="AL228" s="637">
        <v>0.09</v>
      </c>
      <c r="AM228" s="302" t="s">
        <v>606</v>
      </c>
      <c r="AN228" s="302" t="s">
        <v>607</v>
      </c>
      <c r="AO228" s="637">
        <v>0.01</v>
      </c>
      <c r="AP228" s="645">
        <f t="shared" si="311"/>
        <v>0.5</v>
      </c>
      <c r="AQ228" s="637">
        <v>0.4</v>
      </c>
      <c r="AR228" s="302" t="s">
        <v>609</v>
      </c>
      <c r="AS228" s="302" t="s">
        <v>610</v>
      </c>
      <c r="AT228" s="637">
        <v>0.09</v>
      </c>
      <c r="AU228" s="302" t="s">
        <v>606</v>
      </c>
      <c r="AV228" s="302" t="s">
        <v>607</v>
      </c>
      <c r="AW228" s="637">
        <v>0.01</v>
      </c>
      <c r="AX228" s="645">
        <f t="shared" si="306"/>
        <v>0.5</v>
      </c>
      <c r="AY228" s="637">
        <v>0.56000000000000005</v>
      </c>
      <c r="AZ228" s="302" t="s">
        <v>609</v>
      </c>
      <c r="BA228" s="302" t="s">
        <v>610</v>
      </c>
      <c r="BB228" s="637">
        <v>0.17499999999999999</v>
      </c>
      <c r="BC228" s="302" t="s">
        <v>606</v>
      </c>
      <c r="BD228" s="302" t="s">
        <v>607</v>
      </c>
      <c r="BE228" s="637">
        <v>1.4999999999999999E-2</v>
      </c>
      <c r="BF228" s="434">
        <f t="shared" si="307"/>
        <v>0.75000000000000011</v>
      </c>
      <c r="BG228" s="587">
        <v>0.4</v>
      </c>
      <c r="BH228" s="302" t="s">
        <v>609</v>
      </c>
      <c r="BI228" s="302" t="s">
        <v>610</v>
      </c>
      <c r="BJ228" s="434">
        <v>0.09</v>
      </c>
      <c r="BK228" s="302" t="s">
        <v>606</v>
      </c>
      <c r="BL228" s="302" t="s">
        <v>607</v>
      </c>
      <c r="BM228" s="434">
        <v>0.01</v>
      </c>
      <c r="BN228" s="645">
        <f t="shared" si="308"/>
        <v>0.5</v>
      </c>
      <c r="BO228" s="434"/>
      <c r="BP228" s="434">
        <v>0.4</v>
      </c>
      <c r="BQ228" s="302" t="s">
        <v>609</v>
      </c>
      <c r="BR228" s="302" t="s">
        <v>610</v>
      </c>
      <c r="BS228" s="434">
        <v>0.09</v>
      </c>
      <c r="BT228" s="302" t="s">
        <v>606</v>
      </c>
      <c r="BU228" s="302" t="s">
        <v>607</v>
      </c>
      <c r="BV228" s="434">
        <v>0.01</v>
      </c>
      <c r="BW228" s="645">
        <f t="shared" si="309"/>
        <v>0.5</v>
      </c>
      <c r="BX228" s="434">
        <v>0.4</v>
      </c>
      <c r="BY228" s="302" t="s">
        <v>609</v>
      </c>
      <c r="BZ228" s="302" t="s">
        <v>610</v>
      </c>
      <c r="CA228" s="434">
        <v>0.09</v>
      </c>
      <c r="CB228" s="302" t="s">
        <v>606</v>
      </c>
      <c r="CC228" s="302" t="s">
        <v>607</v>
      </c>
      <c r="CD228" s="434">
        <v>0.01</v>
      </c>
      <c r="CE228" s="434">
        <f t="shared" si="310"/>
        <v>0.5</v>
      </c>
      <c r="CF228" s="1620" t="s">
        <v>862</v>
      </c>
      <c r="CG228" s="1620" t="s">
        <v>1166</v>
      </c>
      <c r="CH228" s="1620" t="s">
        <v>1166</v>
      </c>
      <c r="CI228" s="406"/>
      <c r="CJ228" s="642">
        <v>0.67200000000000004</v>
      </c>
      <c r="CK228" s="591" t="s">
        <v>862</v>
      </c>
      <c r="CL228" s="302" t="s">
        <v>609</v>
      </c>
      <c r="CM228" s="302" t="s">
        <v>610</v>
      </c>
      <c r="CN228" s="637">
        <v>0.59</v>
      </c>
      <c r="CO228" s="302" t="s">
        <v>606</v>
      </c>
      <c r="CP228" s="302" t="s">
        <v>607</v>
      </c>
      <c r="CQ228" s="637">
        <v>0.01</v>
      </c>
    </row>
    <row r="229" spans="1:95" ht="15" x14ac:dyDescent="0.2">
      <c r="A229" s="661" t="s">
        <v>344</v>
      </c>
      <c r="B229" s="440" t="s">
        <v>343</v>
      </c>
      <c r="C229" s="637">
        <v>0.4</v>
      </c>
      <c r="D229" s="440" t="s">
        <v>645</v>
      </c>
      <c r="E229" s="440" t="s">
        <v>646</v>
      </c>
      <c r="F229" s="637">
        <v>0.09</v>
      </c>
      <c r="G229" s="440" t="s">
        <v>643</v>
      </c>
      <c r="H229" s="440" t="s">
        <v>1201</v>
      </c>
      <c r="I229" s="637">
        <v>0.01</v>
      </c>
      <c r="J229" s="662">
        <f t="shared" si="289"/>
        <v>0.5</v>
      </c>
      <c r="K229" s="637">
        <v>0.4</v>
      </c>
      <c r="L229" s="440" t="s">
        <v>645</v>
      </c>
      <c r="M229" s="440" t="s">
        <v>646</v>
      </c>
      <c r="N229" s="637">
        <v>0.09</v>
      </c>
      <c r="O229" s="440" t="s">
        <v>643</v>
      </c>
      <c r="P229" s="440" t="s">
        <v>1201</v>
      </c>
      <c r="Q229" s="637">
        <v>0.01</v>
      </c>
      <c r="R229" s="662">
        <f t="shared" si="262"/>
        <v>0.5</v>
      </c>
      <c r="S229" s="637">
        <v>0.4</v>
      </c>
      <c r="T229" s="302" t="s">
        <v>645</v>
      </c>
      <c r="U229" s="302" t="s">
        <v>646</v>
      </c>
      <c r="V229" s="637">
        <v>0.09</v>
      </c>
      <c r="W229" s="302" t="s">
        <v>643</v>
      </c>
      <c r="X229" s="302" t="s">
        <v>1201</v>
      </c>
      <c r="Y229" s="637">
        <v>0.01</v>
      </c>
      <c r="Z229" s="645">
        <f t="shared" si="263"/>
        <v>0.5</v>
      </c>
      <c r="AA229" s="637">
        <v>0.4</v>
      </c>
      <c r="AB229" s="302" t="s">
        <v>645</v>
      </c>
      <c r="AC229" s="302" t="s">
        <v>646</v>
      </c>
      <c r="AD229" s="637">
        <v>0.09</v>
      </c>
      <c r="AE229" s="302" t="s">
        <v>643</v>
      </c>
      <c r="AF229" s="302" t="s">
        <v>1201</v>
      </c>
      <c r="AG229" s="637">
        <v>0.01</v>
      </c>
      <c r="AH229" s="645">
        <f t="shared" si="313"/>
        <v>0.5</v>
      </c>
      <c r="AI229" s="637">
        <v>0.4</v>
      </c>
      <c r="AJ229" s="302" t="s">
        <v>645</v>
      </c>
      <c r="AK229" s="302" t="s">
        <v>646</v>
      </c>
      <c r="AL229" s="637">
        <v>0.09</v>
      </c>
      <c r="AM229" s="302" t="s">
        <v>643</v>
      </c>
      <c r="AN229" s="302" t="s">
        <v>1201</v>
      </c>
      <c r="AO229" s="637">
        <v>0.01</v>
      </c>
      <c r="AP229" s="645">
        <f t="shared" si="311"/>
        <v>0.5</v>
      </c>
      <c r="AQ229" s="637">
        <v>0.4</v>
      </c>
      <c r="AR229" s="302" t="s">
        <v>645</v>
      </c>
      <c r="AS229" s="302" t="s">
        <v>646</v>
      </c>
      <c r="AT229" s="637">
        <v>0.09</v>
      </c>
      <c r="AU229" s="302" t="s">
        <v>643</v>
      </c>
      <c r="AV229" s="302" t="s">
        <v>1201</v>
      </c>
      <c r="AW229" s="637">
        <v>0.01</v>
      </c>
      <c r="AX229" s="645">
        <f t="shared" ref="AX229:AX238" si="314">+AQ229+AT229+AW229</f>
        <v>0.5</v>
      </c>
      <c r="AY229" s="637">
        <v>0.4</v>
      </c>
      <c r="AZ229" s="302" t="s">
        <v>645</v>
      </c>
      <c r="BA229" s="302" t="s">
        <v>646</v>
      </c>
      <c r="BB229" s="637">
        <v>0.33999999999999997</v>
      </c>
      <c r="BC229" s="302" t="s">
        <v>643</v>
      </c>
      <c r="BD229" s="302" t="s">
        <v>1201</v>
      </c>
      <c r="BE229" s="637">
        <v>0.01</v>
      </c>
      <c r="BF229" s="434">
        <f t="shared" ref="BF229:BF238" si="315">+AY229+BB229+BE229</f>
        <v>0.75</v>
      </c>
      <c r="BG229" s="587">
        <v>0.4</v>
      </c>
      <c r="BH229" s="302" t="s">
        <v>645</v>
      </c>
      <c r="BI229" s="302" t="s">
        <v>646</v>
      </c>
      <c r="BJ229" s="434">
        <v>0.09</v>
      </c>
      <c r="BK229" s="302" t="s">
        <v>643</v>
      </c>
      <c r="BL229" s="302" t="s">
        <v>644</v>
      </c>
      <c r="BM229" s="434">
        <v>0.01</v>
      </c>
      <c r="BN229" s="645">
        <f t="shared" ref="BN229:BN238" si="316">+BG229+BJ229+BM229</f>
        <v>0.5</v>
      </c>
      <c r="BO229" s="434"/>
      <c r="BP229" s="434">
        <v>0.4</v>
      </c>
      <c r="BQ229" s="302" t="s">
        <v>645</v>
      </c>
      <c r="BR229" s="302" t="s">
        <v>646</v>
      </c>
      <c r="BS229" s="434">
        <v>0.09</v>
      </c>
      <c r="BT229" s="302" t="s">
        <v>643</v>
      </c>
      <c r="BU229" s="302" t="s">
        <v>644</v>
      </c>
      <c r="BV229" s="434">
        <v>0.01</v>
      </c>
      <c r="BW229" s="645">
        <f t="shared" ref="BW229:BW238" si="317">+BP229+BS229+BV229</f>
        <v>0.5</v>
      </c>
      <c r="BX229" s="434">
        <v>0.4</v>
      </c>
      <c r="BY229" s="302" t="s">
        <v>645</v>
      </c>
      <c r="BZ229" s="302" t="s">
        <v>646</v>
      </c>
      <c r="CA229" s="434">
        <v>0.09</v>
      </c>
      <c r="CB229" s="302" t="s">
        <v>643</v>
      </c>
      <c r="CC229" s="302" t="s">
        <v>644</v>
      </c>
      <c r="CD229" s="434">
        <v>0.01</v>
      </c>
      <c r="CE229" s="434">
        <f t="shared" ref="CE229:CE238" si="318">+BX229+CA229+CD229</f>
        <v>0.5</v>
      </c>
      <c r="CF229" s="1620" t="s">
        <v>862</v>
      </c>
      <c r="CG229" s="1620" t="s">
        <v>1166</v>
      </c>
      <c r="CH229" s="1620" t="s">
        <v>1166</v>
      </c>
      <c r="CI229" s="406"/>
      <c r="CJ229" s="642">
        <v>0.67200000000000004</v>
      </c>
      <c r="CK229" s="591" t="s">
        <v>922</v>
      </c>
      <c r="CL229" s="302" t="s">
        <v>645</v>
      </c>
      <c r="CM229" s="302" t="s">
        <v>646</v>
      </c>
      <c r="CN229" s="637">
        <v>0.59</v>
      </c>
      <c r="CO229" s="302" t="s">
        <v>643</v>
      </c>
      <c r="CP229" s="302" t="s">
        <v>644</v>
      </c>
      <c r="CQ229" s="637">
        <v>0.01</v>
      </c>
    </row>
    <row r="230" spans="1:95" ht="15.75" customHeight="1" x14ac:dyDescent="0.2">
      <c r="A230" s="661" t="s">
        <v>346</v>
      </c>
      <c r="B230" s="440" t="s">
        <v>345</v>
      </c>
      <c r="C230" s="637">
        <v>0.49</v>
      </c>
      <c r="D230" s="440" t="s">
        <v>508</v>
      </c>
      <c r="E230" s="440" t="s">
        <v>660</v>
      </c>
      <c r="F230" s="637">
        <v>0</v>
      </c>
      <c r="G230" s="440" t="s">
        <v>667</v>
      </c>
      <c r="H230" s="440" t="s">
        <v>668</v>
      </c>
      <c r="I230" s="637">
        <v>0.01</v>
      </c>
      <c r="J230" s="662">
        <f t="shared" si="289"/>
        <v>0.5</v>
      </c>
      <c r="K230" s="637">
        <v>0.49</v>
      </c>
      <c r="L230" s="440" t="s">
        <v>508</v>
      </c>
      <c r="M230" s="440" t="s">
        <v>660</v>
      </c>
      <c r="N230" s="637">
        <v>0</v>
      </c>
      <c r="O230" s="440" t="s">
        <v>667</v>
      </c>
      <c r="P230" s="440" t="s">
        <v>668</v>
      </c>
      <c r="Q230" s="637">
        <v>0.01</v>
      </c>
      <c r="R230" s="662">
        <f t="shared" si="262"/>
        <v>0.5</v>
      </c>
      <c r="S230" s="637">
        <v>0.49</v>
      </c>
      <c r="T230" s="302" t="s">
        <v>508</v>
      </c>
      <c r="U230" s="302" t="s">
        <v>660</v>
      </c>
      <c r="V230" s="637">
        <v>0</v>
      </c>
      <c r="W230" s="302" t="s">
        <v>667</v>
      </c>
      <c r="X230" s="302" t="s">
        <v>668</v>
      </c>
      <c r="Y230" s="637">
        <v>0.01</v>
      </c>
      <c r="Z230" s="645">
        <f t="shared" si="263"/>
        <v>0.5</v>
      </c>
      <c r="AA230" s="637">
        <v>0.49</v>
      </c>
      <c r="AB230" s="302" t="s">
        <v>508</v>
      </c>
      <c r="AC230" s="302" t="s">
        <v>660</v>
      </c>
      <c r="AD230" s="637">
        <v>0</v>
      </c>
      <c r="AE230" s="302" t="s">
        <v>667</v>
      </c>
      <c r="AF230" s="302" t="s">
        <v>668</v>
      </c>
      <c r="AG230" s="637">
        <v>0.01</v>
      </c>
      <c r="AH230" s="645">
        <f t="shared" si="313"/>
        <v>0.5</v>
      </c>
      <c r="AI230" s="637">
        <v>0.49</v>
      </c>
      <c r="AJ230" s="302" t="s">
        <v>508</v>
      </c>
      <c r="AK230" s="302" t="s">
        <v>660</v>
      </c>
      <c r="AL230" s="637">
        <v>0</v>
      </c>
      <c r="AM230" s="302" t="s">
        <v>667</v>
      </c>
      <c r="AN230" s="302" t="s">
        <v>668</v>
      </c>
      <c r="AO230" s="637">
        <v>0.01</v>
      </c>
      <c r="AP230" s="645">
        <f t="shared" si="311"/>
        <v>0.5</v>
      </c>
      <c r="AQ230" s="637">
        <v>0.49</v>
      </c>
      <c r="AR230" s="302" t="s">
        <v>508</v>
      </c>
      <c r="AS230" s="302" t="s">
        <v>660</v>
      </c>
      <c r="AT230" s="637">
        <v>0</v>
      </c>
      <c r="AU230" s="302" t="s">
        <v>667</v>
      </c>
      <c r="AV230" s="302" t="s">
        <v>668</v>
      </c>
      <c r="AW230" s="637">
        <v>0.01</v>
      </c>
      <c r="AX230" s="645">
        <f t="shared" si="314"/>
        <v>0.5</v>
      </c>
      <c r="AY230" s="637">
        <v>0.49</v>
      </c>
      <c r="AZ230" s="302" t="s">
        <v>508</v>
      </c>
      <c r="BA230" s="302" t="s">
        <v>660</v>
      </c>
      <c r="BB230" s="637">
        <v>0</v>
      </c>
      <c r="BC230" s="302" t="s">
        <v>667</v>
      </c>
      <c r="BD230" s="302" t="s">
        <v>668</v>
      </c>
      <c r="BE230" s="637">
        <v>0.01</v>
      </c>
      <c r="BF230" s="434">
        <f t="shared" si="315"/>
        <v>0.5</v>
      </c>
      <c r="BG230" s="587">
        <v>0.49</v>
      </c>
      <c r="BH230" s="302" t="s">
        <v>508</v>
      </c>
      <c r="BI230" s="302" t="s">
        <v>660</v>
      </c>
      <c r="BJ230" s="434">
        <v>0</v>
      </c>
      <c r="BK230" s="302" t="s">
        <v>667</v>
      </c>
      <c r="BL230" s="302" t="s">
        <v>668</v>
      </c>
      <c r="BM230" s="434">
        <v>0.01</v>
      </c>
      <c r="BN230" s="645">
        <f t="shared" si="316"/>
        <v>0.5</v>
      </c>
      <c r="BO230" s="434"/>
      <c r="BP230" s="434">
        <v>0.49</v>
      </c>
      <c r="BQ230" s="302" t="s">
        <v>508</v>
      </c>
      <c r="BR230" s="302" t="s">
        <v>660</v>
      </c>
      <c r="BS230" s="434">
        <v>0</v>
      </c>
      <c r="BT230" s="302" t="s">
        <v>667</v>
      </c>
      <c r="BU230" s="302" t="s">
        <v>668</v>
      </c>
      <c r="BV230" s="434">
        <v>0.01</v>
      </c>
      <c r="BW230" s="645">
        <f t="shared" si="317"/>
        <v>0.5</v>
      </c>
      <c r="BX230" s="434">
        <v>0.49</v>
      </c>
      <c r="BY230" s="302" t="s">
        <v>508</v>
      </c>
      <c r="BZ230" s="302" t="s">
        <v>660</v>
      </c>
      <c r="CA230" s="434">
        <v>0</v>
      </c>
      <c r="CB230" s="302" t="s">
        <v>667</v>
      </c>
      <c r="CC230" s="302" t="s">
        <v>668</v>
      </c>
      <c r="CD230" s="434">
        <v>0.01</v>
      </c>
      <c r="CE230" s="434">
        <f t="shared" si="318"/>
        <v>0.5</v>
      </c>
      <c r="CF230" s="1621" t="s">
        <v>862</v>
      </c>
      <c r="CG230" s="1621" t="s">
        <v>1166</v>
      </c>
      <c r="CH230" s="1621" t="s">
        <v>862</v>
      </c>
      <c r="CI230" s="408" t="s">
        <v>862</v>
      </c>
      <c r="CJ230" s="642">
        <v>0.66200000000000003</v>
      </c>
      <c r="CK230" s="591" t="s">
        <v>922</v>
      </c>
      <c r="CL230" s="302" t="s">
        <v>508</v>
      </c>
      <c r="CM230" s="302" t="s">
        <v>660</v>
      </c>
      <c r="CN230" s="637">
        <v>0</v>
      </c>
      <c r="CO230" s="302" t="s">
        <v>667</v>
      </c>
      <c r="CP230" s="302" t="s">
        <v>668</v>
      </c>
      <c r="CQ230" s="637">
        <v>0.01</v>
      </c>
    </row>
    <row r="231" spans="1:95" ht="15.75" customHeight="1" x14ac:dyDescent="0.2">
      <c r="A231" s="661" t="s">
        <v>348</v>
      </c>
      <c r="B231" s="440" t="s">
        <v>582</v>
      </c>
      <c r="C231" s="637">
        <v>0.49</v>
      </c>
      <c r="D231" s="440" t="s">
        <v>508</v>
      </c>
      <c r="E231" s="440" t="s">
        <v>509</v>
      </c>
      <c r="F231" s="637">
        <v>0</v>
      </c>
      <c r="G231" s="440" t="s">
        <v>2218</v>
      </c>
      <c r="H231" s="440" t="s">
        <v>2219</v>
      </c>
      <c r="I231" s="637">
        <v>0.01</v>
      </c>
      <c r="J231" s="662">
        <f t="shared" si="289"/>
        <v>0.5</v>
      </c>
      <c r="K231" s="637">
        <v>0.49</v>
      </c>
      <c r="L231" s="440" t="s">
        <v>508</v>
      </c>
      <c r="M231" s="440" t="s">
        <v>509</v>
      </c>
      <c r="N231" s="637">
        <v>0</v>
      </c>
      <c r="O231" s="440" t="s">
        <v>2218</v>
      </c>
      <c r="P231" s="440" t="s">
        <v>2219</v>
      </c>
      <c r="Q231" s="637">
        <v>0.01</v>
      </c>
      <c r="R231" s="662">
        <f t="shared" si="262"/>
        <v>0.5</v>
      </c>
      <c r="S231" s="637">
        <v>0.49</v>
      </c>
      <c r="T231" s="302" t="s">
        <v>508</v>
      </c>
      <c r="U231" s="302" t="s">
        <v>509</v>
      </c>
      <c r="V231" s="637">
        <v>0</v>
      </c>
      <c r="W231" s="302" t="s">
        <v>2218</v>
      </c>
      <c r="X231" s="302" t="s">
        <v>2219</v>
      </c>
      <c r="Y231" s="637">
        <v>0.01</v>
      </c>
      <c r="Z231" s="645">
        <f t="shared" si="263"/>
        <v>0.5</v>
      </c>
      <c r="AA231" s="637">
        <v>0.49</v>
      </c>
      <c r="AB231" s="302" t="s">
        <v>508</v>
      </c>
      <c r="AC231" s="302" t="s">
        <v>509</v>
      </c>
      <c r="AD231" s="637">
        <v>0</v>
      </c>
      <c r="AE231" s="302" t="s">
        <v>2218</v>
      </c>
      <c r="AF231" s="302" t="s">
        <v>2219</v>
      </c>
      <c r="AG231" s="637">
        <v>0.01</v>
      </c>
      <c r="AH231" s="645">
        <f t="shared" si="313"/>
        <v>0.5</v>
      </c>
      <c r="AI231" s="637">
        <v>0.49</v>
      </c>
      <c r="AJ231" s="302" t="s">
        <v>508</v>
      </c>
      <c r="AK231" s="302" t="s">
        <v>509</v>
      </c>
      <c r="AL231" s="637">
        <v>0</v>
      </c>
      <c r="AM231" s="302" t="s">
        <v>2218</v>
      </c>
      <c r="AN231" s="302" t="s">
        <v>2219</v>
      </c>
      <c r="AO231" s="637">
        <v>0.01</v>
      </c>
      <c r="AP231" s="645">
        <f t="shared" si="311"/>
        <v>0.5</v>
      </c>
      <c r="AQ231" s="637">
        <v>0.49</v>
      </c>
      <c r="AR231" s="302" t="s">
        <v>508</v>
      </c>
      <c r="AS231" s="302" t="s">
        <v>509</v>
      </c>
      <c r="AT231" s="637">
        <v>0</v>
      </c>
      <c r="AU231" s="302" t="s">
        <v>580</v>
      </c>
      <c r="AV231" s="302" t="s">
        <v>1293</v>
      </c>
      <c r="AW231" s="637">
        <v>0.01</v>
      </c>
      <c r="AX231" s="645">
        <f t="shared" si="314"/>
        <v>0.5</v>
      </c>
      <c r="AY231" s="637">
        <v>0.74</v>
      </c>
      <c r="AZ231" s="302" t="s">
        <v>508</v>
      </c>
      <c r="BA231" s="302" t="s">
        <v>509</v>
      </c>
      <c r="BB231" s="637">
        <v>0</v>
      </c>
      <c r="BC231" s="302" t="s">
        <v>580</v>
      </c>
      <c r="BD231" s="302" t="s">
        <v>581</v>
      </c>
      <c r="BE231" s="637">
        <v>0.01</v>
      </c>
      <c r="BF231" s="434">
        <f t="shared" si="315"/>
        <v>0.75</v>
      </c>
      <c r="BG231" s="587">
        <v>0.99</v>
      </c>
      <c r="BH231" s="302" t="s">
        <v>508</v>
      </c>
      <c r="BI231" s="302" t="s">
        <v>509</v>
      </c>
      <c r="BJ231" s="434">
        <v>0</v>
      </c>
      <c r="BK231" s="302" t="s">
        <v>580</v>
      </c>
      <c r="BL231" s="302" t="s">
        <v>581</v>
      </c>
      <c r="BM231" s="434">
        <v>0.01</v>
      </c>
      <c r="BN231" s="645">
        <f t="shared" si="316"/>
        <v>1</v>
      </c>
      <c r="BO231" s="434"/>
      <c r="BP231" s="434">
        <v>0.49</v>
      </c>
      <c r="BQ231" s="302" t="s">
        <v>508</v>
      </c>
      <c r="BR231" s="302" t="s">
        <v>509</v>
      </c>
      <c r="BS231" s="434">
        <v>0</v>
      </c>
      <c r="BT231" s="302" t="s">
        <v>580</v>
      </c>
      <c r="BU231" s="302" t="s">
        <v>581</v>
      </c>
      <c r="BV231" s="434">
        <v>0.01</v>
      </c>
      <c r="BW231" s="645">
        <f t="shared" si="317"/>
        <v>0.5</v>
      </c>
      <c r="BX231" s="434">
        <v>0.49</v>
      </c>
      <c r="BY231" s="302" t="s">
        <v>508</v>
      </c>
      <c r="BZ231" s="302" t="s">
        <v>509</v>
      </c>
      <c r="CA231" s="434">
        <v>0</v>
      </c>
      <c r="CB231" s="302" t="s">
        <v>580</v>
      </c>
      <c r="CC231" s="302" t="s">
        <v>581</v>
      </c>
      <c r="CD231" s="434">
        <v>0.01</v>
      </c>
      <c r="CE231" s="434">
        <f t="shared" si="318"/>
        <v>0.5</v>
      </c>
      <c r="CF231" s="1620" t="s">
        <v>862</v>
      </c>
      <c r="CG231" s="1620" t="s">
        <v>862</v>
      </c>
      <c r="CH231" s="1620" t="s">
        <v>1166</v>
      </c>
      <c r="CI231" s="408" t="s">
        <v>862</v>
      </c>
      <c r="CJ231" s="642">
        <v>0.70399999999999996</v>
      </c>
      <c r="CK231" s="591" t="s">
        <v>922</v>
      </c>
      <c r="CL231" s="302" t="s">
        <v>508</v>
      </c>
      <c r="CM231" s="302" t="s">
        <v>509</v>
      </c>
      <c r="CN231" s="637">
        <v>0</v>
      </c>
      <c r="CO231" s="302" t="s">
        <v>580</v>
      </c>
      <c r="CP231" s="302" t="s">
        <v>581</v>
      </c>
      <c r="CQ231" s="637">
        <v>0.01</v>
      </c>
    </row>
    <row r="232" spans="1:95" ht="15.75" customHeight="1" x14ac:dyDescent="0.2">
      <c r="A232" s="661" t="s">
        <v>350</v>
      </c>
      <c r="B232" s="440" t="s">
        <v>571</v>
      </c>
      <c r="C232" s="637">
        <v>0.49</v>
      </c>
      <c r="D232" s="440" t="s">
        <v>508</v>
      </c>
      <c r="E232" s="440" t="s">
        <v>509</v>
      </c>
      <c r="F232" s="637">
        <v>0</v>
      </c>
      <c r="G232" s="440" t="s">
        <v>572</v>
      </c>
      <c r="H232" s="440" t="s">
        <v>1200</v>
      </c>
      <c r="I232" s="637">
        <v>0.01</v>
      </c>
      <c r="J232" s="662">
        <f t="shared" si="289"/>
        <v>0.5</v>
      </c>
      <c r="K232" s="637">
        <v>0.49</v>
      </c>
      <c r="L232" s="440" t="s">
        <v>508</v>
      </c>
      <c r="M232" s="440" t="s">
        <v>509</v>
      </c>
      <c r="N232" s="637">
        <v>0</v>
      </c>
      <c r="O232" s="440" t="s">
        <v>572</v>
      </c>
      <c r="P232" s="440" t="s">
        <v>1200</v>
      </c>
      <c r="Q232" s="637">
        <v>0.01</v>
      </c>
      <c r="R232" s="662">
        <f t="shared" si="262"/>
        <v>0.5</v>
      </c>
      <c r="S232" s="637">
        <v>0.49</v>
      </c>
      <c r="T232" s="302" t="s">
        <v>508</v>
      </c>
      <c r="U232" s="302" t="s">
        <v>509</v>
      </c>
      <c r="V232" s="637">
        <v>0</v>
      </c>
      <c r="W232" s="302" t="s">
        <v>572</v>
      </c>
      <c r="X232" s="302" t="s">
        <v>1200</v>
      </c>
      <c r="Y232" s="637">
        <v>0.01</v>
      </c>
      <c r="Z232" s="645">
        <f t="shared" si="263"/>
        <v>0.5</v>
      </c>
      <c r="AA232" s="637">
        <v>0.49</v>
      </c>
      <c r="AB232" s="302" t="s">
        <v>508</v>
      </c>
      <c r="AC232" s="302" t="s">
        <v>509</v>
      </c>
      <c r="AD232" s="637">
        <v>0</v>
      </c>
      <c r="AE232" s="302" t="s">
        <v>572</v>
      </c>
      <c r="AF232" s="302" t="s">
        <v>1200</v>
      </c>
      <c r="AG232" s="637">
        <v>0.01</v>
      </c>
      <c r="AH232" s="645">
        <f t="shared" si="313"/>
        <v>0.5</v>
      </c>
      <c r="AI232" s="637">
        <v>0.49</v>
      </c>
      <c r="AJ232" s="302" t="s">
        <v>508</v>
      </c>
      <c r="AK232" s="302" t="s">
        <v>509</v>
      </c>
      <c r="AL232" s="637">
        <v>0</v>
      </c>
      <c r="AM232" s="302" t="s">
        <v>572</v>
      </c>
      <c r="AN232" s="302" t="s">
        <v>1200</v>
      </c>
      <c r="AO232" s="637">
        <v>0.01</v>
      </c>
      <c r="AP232" s="645">
        <f t="shared" si="311"/>
        <v>0.5</v>
      </c>
      <c r="AQ232" s="637">
        <v>0.49</v>
      </c>
      <c r="AR232" s="302" t="s">
        <v>508</v>
      </c>
      <c r="AS232" s="302" t="s">
        <v>509</v>
      </c>
      <c r="AT232" s="637">
        <v>0</v>
      </c>
      <c r="AU232" s="302" t="s">
        <v>572</v>
      </c>
      <c r="AV232" s="302" t="s">
        <v>1200</v>
      </c>
      <c r="AW232" s="637">
        <v>0.01</v>
      </c>
      <c r="AX232" s="645">
        <f t="shared" si="314"/>
        <v>0.5</v>
      </c>
      <c r="AY232" s="637">
        <v>0.49</v>
      </c>
      <c r="AZ232" s="302" t="s">
        <v>508</v>
      </c>
      <c r="BA232" s="302" t="s">
        <v>509</v>
      </c>
      <c r="BB232" s="637">
        <v>0</v>
      </c>
      <c r="BC232" s="302" t="s">
        <v>572</v>
      </c>
      <c r="BD232" s="302" t="s">
        <v>1200</v>
      </c>
      <c r="BE232" s="637">
        <v>0.01</v>
      </c>
      <c r="BF232" s="434">
        <f t="shared" si="315"/>
        <v>0.5</v>
      </c>
      <c r="BG232" s="587">
        <v>0.49</v>
      </c>
      <c r="BH232" s="302" t="s">
        <v>508</v>
      </c>
      <c r="BI232" s="302" t="s">
        <v>509</v>
      </c>
      <c r="BJ232" s="434">
        <v>0</v>
      </c>
      <c r="BK232" s="302" t="s">
        <v>572</v>
      </c>
      <c r="BL232" s="302" t="s">
        <v>573</v>
      </c>
      <c r="BM232" s="434">
        <v>0.01</v>
      </c>
      <c r="BN232" s="645">
        <f t="shared" si="316"/>
        <v>0.5</v>
      </c>
      <c r="BO232" s="434"/>
      <c r="BP232" s="434">
        <v>0.49</v>
      </c>
      <c r="BQ232" s="302" t="s">
        <v>508</v>
      </c>
      <c r="BR232" s="302" t="s">
        <v>509</v>
      </c>
      <c r="BS232" s="434">
        <v>0</v>
      </c>
      <c r="BT232" s="302" t="s">
        <v>572</v>
      </c>
      <c r="BU232" s="302" t="s">
        <v>573</v>
      </c>
      <c r="BV232" s="434">
        <v>0.01</v>
      </c>
      <c r="BW232" s="645">
        <f t="shared" si="317"/>
        <v>0.5</v>
      </c>
      <c r="BX232" s="434">
        <v>0.49</v>
      </c>
      <c r="BY232" s="302" t="s">
        <v>508</v>
      </c>
      <c r="BZ232" s="302" t="s">
        <v>509</v>
      </c>
      <c r="CA232" s="434">
        <v>0</v>
      </c>
      <c r="CB232" s="302" t="s">
        <v>572</v>
      </c>
      <c r="CC232" s="302" t="s">
        <v>573</v>
      </c>
      <c r="CD232" s="434">
        <v>0.01</v>
      </c>
      <c r="CE232" s="434">
        <f t="shared" si="318"/>
        <v>0.5</v>
      </c>
      <c r="CF232" s="1620" t="s">
        <v>1166</v>
      </c>
      <c r="CG232" s="1620" t="s">
        <v>1166</v>
      </c>
      <c r="CH232" s="1620" t="s">
        <v>1166</v>
      </c>
      <c r="CI232" s="408" t="s">
        <v>862</v>
      </c>
      <c r="CJ232" s="642">
        <v>0.68400000000000005</v>
      </c>
      <c r="CK232" s="591" t="s">
        <v>922</v>
      </c>
      <c r="CL232" s="302" t="s">
        <v>508</v>
      </c>
      <c r="CM232" s="302" t="s">
        <v>509</v>
      </c>
      <c r="CN232" s="637">
        <v>0</v>
      </c>
      <c r="CO232" s="302" t="s">
        <v>572</v>
      </c>
      <c r="CP232" s="302" t="s">
        <v>573</v>
      </c>
      <c r="CQ232" s="637">
        <v>0.01</v>
      </c>
    </row>
    <row r="233" spans="1:95" ht="15.75" customHeight="1" x14ac:dyDescent="0.2">
      <c r="A233" s="661" t="s">
        <v>352</v>
      </c>
      <c r="B233" s="440" t="s">
        <v>351</v>
      </c>
      <c r="C233" s="637">
        <v>0.3</v>
      </c>
      <c r="D233" s="440" t="s">
        <v>674</v>
      </c>
      <c r="E233" s="440" t="s">
        <v>675</v>
      </c>
      <c r="F233" s="637">
        <v>0.37</v>
      </c>
      <c r="G233" s="440" t="s">
        <v>508</v>
      </c>
      <c r="H233" s="440" t="s">
        <v>508</v>
      </c>
      <c r="I233" s="637">
        <v>0</v>
      </c>
      <c r="J233" s="662">
        <f t="shared" si="289"/>
        <v>0.66999999999999993</v>
      </c>
      <c r="K233" s="637">
        <v>0.3</v>
      </c>
      <c r="L233" s="440" t="s">
        <v>674</v>
      </c>
      <c r="M233" s="440" t="s">
        <v>675</v>
      </c>
      <c r="N233" s="637">
        <v>0.37</v>
      </c>
      <c r="O233" s="440" t="s">
        <v>508</v>
      </c>
      <c r="P233" s="440" t="s">
        <v>508</v>
      </c>
      <c r="Q233" s="637">
        <v>0</v>
      </c>
      <c r="R233" s="662">
        <f t="shared" si="262"/>
        <v>0.66999999999999993</v>
      </c>
      <c r="S233" s="637">
        <v>0.3</v>
      </c>
      <c r="T233" s="302" t="s">
        <v>674</v>
      </c>
      <c r="U233" s="302" t="s">
        <v>675</v>
      </c>
      <c r="V233" s="637">
        <v>0.37</v>
      </c>
      <c r="W233" s="302" t="s">
        <v>508</v>
      </c>
      <c r="X233" s="302" t="s">
        <v>508</v>
      </c>
      <c r="Y233" s="637">
        <v>0</v>
      </c>
      <c r="Z233" s="645">
        <f t="shared" si="263"/>
        <v>0.66999999999999993</v>
      </c>
      <c r="AA233" s="637">
        <v>0.3</v>
      </c>
      <c r="AB233" s="302" t="s">
        <v>674</v>
      </c>
      <c r="AC233" s="302" t="s">
        <v>675</v>
      </c>
      <c r="AD233" s="637">
        <v>0.37</v>
      </c>
      <c r="AE233" s="302" t="s">
        <v>508</v>
      </c>
      <c r="AF233" s="302" t="s">
        <v>508</v>
      </c>
      <c r="AG233" s="637">
        <v>0</v>
      </c>
      <c r="AH233" s="645">
        <f t="shared" si="313"/>
        <v>0.66999999999999993</v>
      </c>
      <c r="AI233" s="637">
        <v>0.3</v>
      </c>
      <c r="AJ233" s="302" t="s">
        <v>674</v>
      </c>
      <c r="AK233" s="302" t="s">
        <v>675</v>
      </c>
      <c r="AL233" s="637">
        <v>0.37</v>
      </c>
      <c r="AM233" s="302" t="s">
        <v>508</v>
      </c>
      <c r="AN233" s="302" t="s">
        <v>508</v>
      </c>
      <c r="AO233" s="637">
        <v>0</v>
      </c>
      <c r="AP233" s="645">
        <f t="shared" si="311"/>
        <v>0.66999999999999993</v>
      </c>
      <c r="AQ233" s="637">
        <v>0.3</v>
      </c>
      <c r="AR233" s="302" t="s">
        <v>674</v>
      </c>
      <c r="AS233" s="302" t="s">
        <v>675</v>
      </c>
      <c r="AT233" s="637">
        <v>0.37</v>
      </c>
      <c r="AU233" s="302" t="s">
        <v>508</v>
      </c>
      <c r="AV233" s="302" t="s">
        <v>508</v>
      </c>
      <c r="AW233" s="637">
        <v>0</v>
      </c>
      <c r="AX233" s="645">
        <f t="shared" si="314"/>
        <v>0.66999999999999993</v>
      </c>
      <c r="AY233" s="637">
        <v>0.48</v>
      </c>
      <c r="AZ233" s="302" t="s">
        <v>674</v>
      </c>
      <c r="BA233" s="302" t="s">
        <v>675</v>
      </c>
      <c r="BB233" s="637">
        <v>0.27</v>
      </c>
      <c r="BC233" s="302" t="s">
        <v>508</v>
      </c>
      <c r="BD233" s="302" t="s">
        <v>508</v>
      </c>
      <c r="BE233" s="637">
        <v>0</v>
      </c>
      <c r="BF233" s="434">
        <f t="shared" si="315"/>
        <v>0.75</v>
      </c>
      <c r="BG233" s="587">
        <v>0.64</v>
      </c>
      <c r="BH233" s="302" t="s">
        <v>674</v>
      </c>
      <c r="BI233" s="302" t="s">
        <v>675</v>
      </c>
      <c r="BJ233" s="434">
        <v>0.36</v>
      </c>
      <c r="BK233" s="302" t="s">
        <v>508</v>
      </c>
      <c r="BL233" s="302" t="s">
        <v>508</v>
      </c>
      <c r="BM233" s="434">
        <v>0</v>
      </c>
      <c r="BN233" s="645">
        <f t="shared" si="316"/>
        <v>1</v>
      </c>
      <c r="BO233" s="434"/>
      <c r="BP233" s="434">
        <v>0.3</v>
      </c>
      <c r="BQ233" s="302" t="s">
        <v>674</v>
      </c>
      <c r="BR233" s="302" t="s">
        <v>675</v>
      </c>
      <c r="BS233" s="434">
        <v>0.37</v>
      </c>
      <c r="BT233" s="302" t="s">
        <v>508</v>
      </c>
      <c r="BU233" s="302" t="s">
        <v>508</v>
      </c>
      <c r="BV233" s="434">
        <v>0</v>
      </c>
      <c r="BW233" s="645">
        <f t="shared" si="317"/>
        <v>0.66999999999999993</v>
      </c>
      <c r="BX233" s="434">
        <v>0.3</v>
      </c>
      <c r="BY233" s="302" t="s">
        <v>674</v>
      </c>
      <c r="BZ233" s="302" t="s">
        <v>675</v>
      </c>
      <c r="CA233" s="434">
        <v>0.2</v>
      </c>
      <c r="CB233" s="302" t="s">
        <v>508</v>
      </c>
      <c r="CC233" s="302" t="s">
        <v>508</v>
      </c>
      <c r="CD233" s="434">
        <v>0</v>
      </c>
      <c r="CE233" s="434">
        <f t="shared" si="318"/>
        <v>0.5</v>
      </c>
      <c r="CF233" s="1620" t="s">
        <v>1166</v>
      </c>
      <c r="CG233" s="1620" t="s">
        <v>1166</v>
      </c>
      <c r="CH233" s="1620" t="s">
        <v>1166</v>
      </c>
      <c r="CI233" s="408" t="s">
        <v>862</v>
      </c>
      <c r="CJ233" s="642">
        <v>0.75900000000000001</v>
      </c>
      <c r="CK233" s="591" t="s">
        <v>922</v>
      </c>
      <c r="CL233" s="302" t="s">
        <v>674</v>
      </c>
      <c r="CM233" s="302" t="s">
        <v>675</v>
      </c>
      <c r="CN233" s="637">
        <v>0.2</v>
      </c>
      <c r="CO233" s="302" t="s">
        <v>508</v>
      </c>
      <c r="CP233" s="302" t="s">
        <v>508</v>
      </c>
      <c r="CQ233" s="637">
        <v>0</v>
      </c>
    </row>
    <row r="234" spans="1:95" ht="15.75" customHeight="1" x14ac:dyDescent="0.2">
      <c r="A234" s="661" t="s">
        <v>354</v>
      </c>
      <c r="B234" s="440" t="s">
        <v>353</v>
      </c>
      <c r="C234" s="637">
        <v>0.4</v>
      </c>
      <c r="D234" s="440" t="s">
        <v>649</v>
      </c>
      <c r="E234" s="440" t="s">
        <v>650</v>
      </c>
      <c r="F234" s="637">
        <v>0.1</v>
      </c>
      <c r="G234" s="440" t="s">
        <v>508</v>
      </c>
      <c r="H234" s="440" t="s">
        <v>546</v>
      </c>
      <c r="I234" s="637">
        <v>0</v>
      </c>
      <c r="J234" s="662">
        <f t="shared" si="289"/>
        <v>0.5</v>
      </c>
      <c r="K234" s="637">
        <v>0.4</v>
      </c>
      <c r="L234" s="440" t="s">
        <v>649</v>
      </c>
      <c r="M234" s="440" t="s">
        <v>650</v>
      </c>
      <c r="N234" s="637">
        <v>0.1</v>
      </c>
      <c r="O234" s="440" t="s">
        <v>508</v>
      </c>
      <c r="P234" s="440" t="s">
        <v>546</v>
      </c>
      <c r="Q234" s="637">
        <v>0</v>
      </c>
      <c r="R234" s="662">
        <f t="shared" si="262"/>
        <v>0.5</v>
      </c>
      <c r="S234" s="637">
        <v>0.4</v>
      </c>
      <c r="T234" s="302" t="s">
        <v>649</v>
      </c>
      <c r="U234" s="302" t="s">
        <v>650</v>
      </c>
      <c r="V234" s="637">
        <v>0.1</v>
      </c>
      <c r="W234" s="302" t="s">
        <v>508</v>
      </c>
      <c r="X234" s="302" t="s">
        <v>546</v>
      </c>
      <c r="Y234" s="637">
        <v>0</v>
      </c>
      <c r="Z234" s="645">
        <f t="shared" si="263"/>
        <v>0.5</v>
      </c>
      <c r="AA234" s="637">
        <v>0.4</v>
      </c>
      <c r="AB234" s="302" t="s">
        <v>649</v>
      </c>
      <c r="AC234" s="302" t="s">
        <v>650</v>
      </c>
      <c r="AD234" s="637">
        <v>0.1</v>
      </c>
      <c r="AE234" s="302" t="s">
        <v>508</v>
      </c>
      <c r="AF234" s="302" t="s">
        <v>546</v>
      </c>
      <c r="AG234" s="637">
        <v>0</v>
      </c>
      <c r="AH234" s="645">
        <f t="shared" si="313"/>
        <v>0.5</v>
      </c>
      <c r="AI234" s="637">
        <v>0.4</v>
      </c>
      <c r="AJ234" s="302" t="s">
        <v>649</v>
      </c>
      <c r="AK234" s="302" t="s">
        <v>650</v>
      </c>
      <c r="AL234" s="637">
        <v>0.1</v>
      </c>
      <c r="AM234" s="302" t="s">
        <v>508</v>
      </c>
      <c r="AN234" s="302" t="s">
        <v>546</v>
      </c>
      <c r="AO234" s="637">
        <v>0</v>
      </c>
      <c r="AP234" s="645">
        <f t="shared" si="311"/>
        <v>0.5</v>
      </c>
      <c r="AQ234" s="637">
        <v>0.4</v>
      </c>
      <c r="AR234" s="302" t="s">
        <v>649</v>
      </c>
      <c r="AS234" s="302" t="s">
        <v>650</v>
      </c>
      <c r="AT234" s="637">
        <v>0.1</v>
      </c>
      <c r="AU234" s="302" t="s">
        <v>508</v>
      </c>
      <c r="AV234" s="302" t="s">
        <v>546</v>
      </c>
      <c r="AW234" s="637">
        <v>0</v>
      </c>
      <c r="AX234" s="645">
        <f t="shared" si="314"/>
        <v>0.5</v>
      </c>
      <c r="AY234" s="637">
        <v>0.4</v>
      </c>
      <c r="AZ234" s="302" t="s">
        <v>649</v>
      </c>
      <c r="BA234" s="302" t="s">
        <v>650</v>
      </c>
      <c r="BB234" s="637">
        <v>0.1</v>
      </c>
      <c r="BC234" s="302" t="s">
        <v>508</v>
      </c>
      <c r="BD234" s="302" t="s">
        <v>546</v>
      </c>
      <c r="BE234" s="637">
        <v>0</v>
      </c>
      <c r="BF234" s="434">
        <f t="shared" si="315"/>
        <v>0.5</v>
      </c>
      <c r="BG234" s="587">
        <v>0.3</v>
      </c>
      <c r="BH234" s="302" t="s">
        <v>649</v>
      </c>
      <c r="BI234" s="302" t="s">
        <v>650</v>
      </c>
      <c r="BJ234" s="434">
        <v>0.7</v>
      </c>
      <c r="BK234" s="302" t="s">
        <v>508</v>
      </c>
      <c r="BL234" s="302" t="s">
        <v>546</v>
      </c>
      <c r="BM234" s="434">
        <v>0</v>
      </c>
      <c r="BN234" s="645">
        <f t="shared" si="316"/>
        <v>1</v>
      </c>
      <c r="BO234" s="434"/>
      <c r="BP234" s="434">
        <v>0.4</v>
      </c>
      <c r="BQ234" s="302" t="s">
        <v>649</v>
      </c>
      <c r="BR234" s="302" t="s">
        <v>650</v>
      </c>
      <c r="BS234" s="434">
        <v>0.1</v>
      </c>
      <c r="BT234" s="302" t="s">
        <v>508</v>
      </c>
      <c r="BU234" s="302" t="s">
        <v>546</v>
      </c>
      <c r="BV234" s="434">
        <v>0</v>
      </c>
      <c r="BW234" s="645">
        <f t="shared" si="317"/>
        <v>0.5</v>
      </c>
      <c r="BX234" s="434">
        <v>0.4</v>
      </c>
      <c r="BY234" s="302" t="s">
        <v>649</v>
      </c>
      <c r="BZ234" s="302" t="s">
        <v>650</v>
      </c>
      <c r="CA234" s="434">
        <v>0.1</v>
      </c>
      <c r="CB234" s="302" t="s">
        <v>508</v>
      </c>
      <c r="CC234" s="302" t="s">
        <v>546</v>
      </c>
      <c r="CD234" s="434">
        <v>0</v>
      </c>
      <c r="CE234" s="434">
        <f t="shared" si="318"/>
        <v>0.5</v>
      </c>
      <c r="CF234" s="1620" t="s">
        <v>1166</v>
      </c>
      <c r="CG234" s="1620" t="s">
        <v>1166</v>
      </c>
      <c r="CH234" s="1620" t="s">
        <v>1166</v>
      </c>
      <c r="CI234" s="406"/>
      <c r="CJ234" s="642">
        <v>0.72399999999999998</v>
      </c>
      <c r="CK234" s="591" t="s">
        <v>922</v>
      </c>
      <c r="CL234" s="302" t="s">
        <v>649</v>
      </c>
      <c r="CM234" s="302" t="s">
        <v>650</v>
      </c>
      <c r="CN234" s="637">
        <v>0.6</v>
      </c>
      <c r="CO234" s="302" t="s">
        <v>508</v>
      </c>
      <c r="CP234" s="302" t="s">
        <v>546</v>
      </c>
      <c r="CQ234" s="637">
        <v>0</v>
      </c>
    </row>
    <row r="235" spans="1:95" ht="15.75" customHeight="1" x14ac:dyDescent="0.2">
      <c r="A235" s="661" t="s">
        <v>356</v>
      </c>
      <c r="B235" s="440" t="s">
        <v>355</v>
      </c>
      <c r="C235" s="637">
        <v>0.4</v>
      </c>
      <c r="D235" s="440" t="s">
        <v>590</v>
      </c>
      <c r="E235" s="440" t="s">
        <v>591</v>
      </c>
      <c r="F235" s="637">
        <v>0.1</v>
      </c>
      <c r="G235" s="440" t="s">
        <v>508</v>
      </c>
      <c r="H235" s="440" t="s">
        <v>546</v>
      </c>
      <c r="I235" s="637">
        <v>0</v>
      </c>
      <c r="J235" s="662">
        <f t="shared" si="289"/>
        <v>0.5</v>
      </c>
      <c r="K235" s="637">
        <v>0.4</v>
      </c>
      <c r="L235" s="440" t="s">
        <v>590</v>
      </c>
      <c r="M235" s="440" t="s">
        <v>591</v>
      </c>
      <c r="N235" s="637">
        <v>0.1</v>
      </c>
      <c r="O235" s="440" t="s">
        <v>508</v>
      </c>
      <c r="P235" s="440" t="s">
        <v>546</v>
      </c>
      <c r="Q235" s="637">
        <v>0</v>
      </c>
      <c r="R235" s="662">
        <f t="shared" ref="R235:R299" si="319">+K235+N235+Q235</f>
        <v>0.5</v>
      </c>
      <c r="S235" s="637">
        <v>0.4</v>
      </c>
      <c r="T235" s="302" t="s">
        <v>590</v>
      </c>
      <c r="U235" s="302" t="s">
        <v>591</v>
      </c>
      <c r="V235" s="637">
        <v>0.1</v>
      </c>
      <c r="W235" s="302" t="s">
        <v>508</v>
      </c>
      <c r="X235" s="302" t="s">
        <v>546</v>
      </c>
      <c r="Y235" s="637">
        <v>0</v>
      </c>
      <c r="Z235" s="645">
        <f t="shared" si="263"/>
        <v>0.5</v>
      </c>
      <c r="AA235" s="637">
        <v>0.4</v>
      </c>
      <c r="AB235" s="302" t="s">
        <v>590</v>
      </c>
      <c r="AC235" s="302" t="s">
        <v>591</v>
      </c>
      <c r="AD235" s="637">
        <v>0.1</v>
      </c>
      <c r="AE235" s="302" t="s">
        <v>508</v>
      </c>
      <c r="AF235" s="302" t="s">
        <v>546</v>
      </c>
      <c r="AG235" s="637">
        <v>0</v>
      </c>
      <c r="AH235" s="645">
        <f t="shared" ref="AH235" si="320">+AA235+AD235+AG235</f>
        <v>0.5</v>
      </c>
      <c r="AI235" s="637">
        <v>0.4</v>
      </c>
      <c r="AJ235" s="302" t="s">
        <v>590</v>
      </c>
      <c r="AK235" s="302" t="s">
        <v>591</v>
      </c>
      <c r="AL235" s="637">
        <v>0.1</v>
      </c>
      <c r="AM235" s="302" t="s">
        <v>508</v>
      </c>
      <c r="AN235" s="302" t="s">
        <v>546</v>
      </c>
      <c r="AO235" s="637">
        <v>0</v>
      </c>
      <c r="AP235" s="645">
        <f t="shared" si="311"/>
        <v>0.5</v>
      </c>
      <c r="AQ235" s="637">
        <v>0.4</v>
      </c>
      <c r="AR235" s="302" t="s">
        <v>590</v>
      </c>
      <c r="AS235" s="302" t="s">
        <v>591</v>
      </c>
      <c r="AT235" s="637">
        <v>0.1</v>
      </c>
      <c r="AU235" s="302" t="s">
        <v>508</v>
      </c>
      <c r="AV235" s="302" t="s">
        <v>546</v>
      </c>
      <c r="AW235" s="637">
        <v>0</v>
      </c>
      <c r="AX235" s="645">
        <f t="shared" si="314"/>
        <v>0.5</v>
      </c>
      <c r="AY235" s="637">
        <v>0.35</v>
      </c>
      <c r="AZ235" s="302" t="s">
        <v>590</v>
      </c>
      <c r="BA235" s="302" t="s">
        <v>591</v>
      </c>
      <c r="BB235" s="637">
        <v>0.4</v>
      </c>
      <c r="BC235" s="302" t="s">
        <v>508</v>
      </c>
      <c r="BD235" s="302" t="s">
        <v>546</v>
      </c>
      <c r="BE235" s="637">
        <v>0</v>
      </c>
      <c r="BF235" s="434">
        <f t="shared" si="315"/>
        <v>0.75</v>
      </c>
      <c r="BG235" s="587">
        <v>0.4</v>
      </c>
      <c r="BH235" s="302" t="s">
        <v>590</v>
      </c>
      <c r="BI235" s="302" t="s">
        <v>591</v>
      </c>
      <c r="BJ235" s="434">
        <v>0.1</v>
      </c>
      <c r="BK235" s="302" t="s">
        <v>508</v>
      </c>
      <c r="BL235" s="302" t="s">
        <v>546</v>
      </c>
      <c r="BM235" s="434">
        <v>0</v>
      </c>
      <c r="BN235" s="645">
        <f t="shared" si="316"/>
        <v>0.5</v>
      </c>
      <c r="BO235" s="434"/>
      <c r="BP235" s="434">
        <v>0.4</v>
      </c>
      <c r="BQ235" s="302" t="s">
        <v>590</v>
      </c>
      <c r="BR235" s="302" t="s">
        <v>591</v>
      </c>
      <c r="BS235" s="434">
        <v>0.1</v>
      </c>
      <c r="BT235" s="302" t="s">
        <v>508</v>
      </c>
      <c r="BU235" s="302" t="s">
        <v>546</v>
      </c>
      <c r="BV235" s="434">
        <v>0</v>
      </c>
      <c r="BW235" s="645">
        <f t="shared" si="317"/>
        <v>0.5</v>
      </c>
      <c r="BX235" s="434">
        <v>0.4</v>
      </c>
      <c r="BY235" s="302" t="s">
        <v>590</v>
      </c>
      <c r="BZ235" s="302" t="s">
        <v>591</v>
      </c>
      <c r="CA235" s="434">
        <v>0.1</v>
      </c>
      <c r="CB235" s="302" t="s">
        <v>508</v>
      </c>
      <c r="CC235" s="302" t="s">
        <v>546</v>
      </c>
      <c r="CD235" s="434">
        <v>0</v>
      </c>
      <c r="CE235" s="434">
        <f t="shared" si="318"/>
        <v>0.5</v>
      </c>
      <c r="CF235" s="1620" t="s">
        <v>862</v>
      </c>
      <c r="CG235" s="1620" t="s">
        <v>1166</v>
      </c>
      <c r="CH235" s="1620" t="s">
        <v>1166</v>
      </c>
      <c r="CI235" s="406"/>
      <c r="CJ235" s="642">
        <v>0.76900000000000002</v>
      </c>
      <c r="CK235" s="591" t="s">
        <v>922</v>
      </c>
      <c r="CL235" s="302" t="s">
        <v>590</v>
      </c>
      <c r="CM235" s="302" t="s">
        <v>591</v>
      </c>
      <c r="CN235" s="637">
        <v>0.6</v>
      </c>
      <c r="CO235" s="302" t="s">
        <v>508</v>
      </c>
      <c r="CP235" s="302" t="s">
        <v>546</v>
      </c>
      <c r="CQ235" s="637">
        <v>0</v>
      </c>
    </row>
    <row r="236" spans="1:95" ht="15.75" customHeight="1" x14ac:dyDescent="0.2">
      <c r="A236" s="661" t="s">
        <v>358</v>
      </c>
      <c r="B236" s="440" t="s">
        <v>357</v>
      </c>
      <c r="C236" s="637">
        <v>0.99</v>
      </c>
      <c r="D236" s="440" t="s">
        <v>508</v>
      </c>
      <c r="E236" s="440" t="s">
        <v>660</v>
      </c>
      <c r="F236" s="637">
        <v>0</v>
      </c>
      <c r="G236" s="440" t="s">
        <v>663</v>
      </c>
      <c r="H236" s="440" t="s">
        <v>664</v>
      </c>
      <c r="I236" s="637">
        <v>0.01</v>
      </c>
      <c r="J236" s="662">
        <f t="shared" si="289"/>
        <v>1</v>
      </c>
      <c r="K236" s="637">
        <v>0.99</v>
      </c>
      <c r="L236" s="440" t="s">
        <v>508</v>
      </c>
      <c r="M236" s="440" t="s">
        <v>660</v>
      </c>
      <c r="N236" s="637">
        <v>0</v>
      </c>
      <c r="O236" s="440" t="s">
        <v>663</v>
      </c>
      <c r="P236" s="440" t="s">
        <v>664</v>
      </c>
      <c r="Q236" s="637">
        <v>0.01</v>
      </c>
      <c r="R236" s="662">
        <f t="shared" si="319"/>
        <v>1</v>
      </c>
      <c r="S236" s="637">
        <v>0.99</v>
      </c>
      <c r="T236" s="302" t="s">
        <v>508</v>
      </c>
      <c r="U236" s="302" t="s">
        <v>660</v>
      </c>
      <c r="V236" s="637">
        <v>0</v>
      </c>
      <c r="W236" s="302" t="s">
        <v>663</v>
      </c>
      <c r="X236" s="302" t="s">
        <v>664</v>
      </c>
      <c r="Y236" s="637">
        <v>0.01</v>
      </c>
      <c r="Z236" s="645">
        <f t="shared" si="263"/>
        <v>1</v>
      </c>
      <c r="AA236" s="637">
        <v>0.99</v>
      </c>
      <c r="AB236" s="302" t="s">
        <v>508</v>
      </c>
      <c r="AC236" s="302" t="s">
        <v>660</v>
      </c>
      <c r="AD236" s="637">
        <v>0</v>
      </c>
      <c r="AE236" s="302" t="s">
        <v>663</v>
      </c>
      <c r="AF236" s="302" t="s">
        <v>664</v>
      </c>
      <c r="AG236" s="637">
        <v>0.01</v>
      </c>
      <c r="AH236" s="645">
        <f t="shared" ref="AH236" si="321">+AA236+AD236+AG236</f>
        <v>1</v>
      </c>
      <c r="AI236" s="637">
        <v>0.99</v>
      </c>
      <c r="AJ236" s="302" t="s">
        <v>508</v>
      </c>
      <c r="AK236" s="302" t="s">
        <v>660</v>
      </c>
      <c r="AL236" s="637">
        <v>0</v>
      </c>
      <c r="AM236" s="302" t="s">
        <v>663</v>
      </c>
      <c r="AN236" s="302" t="s">
        <v>664</v>
      </c>
      <c r="AO236" s="637">
        <v>0.01</v>
      </c>
      <c r="AP236" s="645">
        <f t="shared" si="311"/>
        <v>1</v>
      </c>
      <c r="AQ236" s="637">
        <v>0.99</v>
      </c>
      <c r="AR236" s="302" t="s">
        <v>508</v>
      </c>
      <c r="AS236" s="302" t="s">
        <v>660</v>
      </c>
      <c r="AT236" s="637">
        <v>0</v>
      </c>
      <c r="AU236" s="302" t="s">
        <v>663</v>
      </c>
      <c r="AV236" s="302" t="s">
        <v>664</v>
      </c>
      <c r="AW236" s="637">
        <v>0.01</v>
      </c>
      <c r="AX236" s="645">
        <f t="shared" si="314"/>
        <v>1</v>
      </c>
      <c r="AY236" s="637">
        <v>0.99</v>
      </c>
      <c r="AZ236" s="302" t="s">
        <v>508</v>
      </c>
      <c r="BA236" s="302" t="s">
        <v>660</v>
      </c>
      <c r="BB236" s="637">
        <v>0</v>
      </c>
      <c r="BC236" s="302" t="s">
        <v>663</v>
      </c>
      <c r="BD236" s="302" t="s">
        <v>664</v>
      </c>
      <c r="BE236" s="637">
        <v>0.01</v>
      </c>
      <c r="BF236" s="434">
        <f t="shared" si="315"/>
        <v>1</v>
      </c>
      <c r="BG236" s="587">
        <v>0.99</v>
      </c>
      <c r="BH236" s="302" t="s">
        <v>508</v>
      </c>
      <c r="BI236" s="302" t="s">
        <v>660</v>
      </c>
      <c r="BJ236" s="434">
        <v>0</v>
      </c>
      <c r="BK236" s="302" t="s">
        <v>663</v>
      </c>
      <c r="BL236" s="302" t="s">
        <v>664</v>
      </c>
      <c r="BM236" s="434">
        <v>0.01</v>
      </c>
      <c r="BN236" s="645">
        <f t="shared" si="316"/>
        <v>1</v>
      </c>
      <c r="BO236" s="434"/>
      <c r="BP236" s="434">
        <v>0.99</v>
      </c>
      <c r="BQ236" s="302" t="s">
        <v>508</v>
      </c>
      <c r="BR236" s="302" t="s">
        <v>660</v>
      </c>
      <c r="BS236" s="434">
        <v>0</v>
      </c>
      <c r="BT236" s="302" t="s">
        <v>663</v>
      </c>
      <c r="BU236" s="302" t="s">
        <v>664</v>
      </c>
      <c r="BV236" s="434">
        <v>0.01</v>
      </c>
      <c r="BW236" s="645">
        <f t="shared" si="317"/>
        <v>1</v>
      </c>
      <c r="BX236" s="434">
        <v>0.49</v>
      </c>
      <c r="BY236" s="302" t="s">
        <v>508</v>
      </c>
      <c r="BZ236" s="302" t="s">
        <v>660</v>
      </c>
      <c r="CA236" s="434">
        <v>0</v>
      </c>
      <c r="CB236" s="302" t="s">
        <v>663</v>
      </c>
      <c r="CC236" s="302" t="s">
        <v>664</v>
      </c>
      <c r="CD236" s="434">
        <v>0.01</v>
      </c>
      <c r="CE236" s="434">
        <f t="shared" si="318"/>
        <v>0.5</v>
      </c>
      <c r="CF236" s="1621" t="s">
        <v>862</v>
      </c>
      <c r="CG236" s="1621" t="s">
        <v>862</v>
      </c>
      <c r="CH236" s="1621" t="s">
        <v>862</v>
      </c>
      <c r="CI236" s="408" t="s">
        <v>862</v>
      </c>
      <c r="CJ236" s="642">
        <v>0.67400000000000004</v>
      </c>
      <c r="CK236" s="591" t="s">
        <v>922</v>
      </c>
      <c r="CL236" s="302" t="s">
        <v>508</v>
      </c>
      <c r="CM236" s="302" t="s">
        <v>660</v>
      </c>
      <c r="CN236" s="637">
        <v>0</v>
      </c>
      <c r="CO236" s="302" t="s">
        <v>663</v>
      </c>
      <c r="CP236" s="302" t="s">
        <v>664</v>
      </c>
      <c r="CQ236" s="637">
        <v>0.01</v>
      </c>
    </row>
    <row r="237" spans="1:95" ht="15.75" customHeight="1" x14ac:dyDescent="0.2">
      <c r="A237" s="661" t="s">
        <v>360</v>
      </c>
      <c r="B237" s="440" t="s">
        <v>359</v>
      </c>
      <c r="C237" s="637">
        <v>0.4</v>
      </c>
      <c r="D237" s="440" t="s">
        <v>645</v>
      </c>
      <c r="E237" s="440" t="s">
        <v>646</v>
      </c>
      <c r="F237" s="637">
        <v>0.09</v>
      </c>
      <c r="G237" s="440" t="s">
        <v>643</v>
      </c>
      <c r="H237" s="440" t="s">
        <v>1201</v>
      </c>
      <c r="I237" s="637">
        <v>0.01</v>
      </c>
      <c r="J237" s="662">
        <f t="shared" si="289"/>
        <v>0.5</v>
      </c>
      <c r="K237" s="637">
        <v>0.4</v>
      </c>
      <c r="L237" s="440" t="s">
        <v>645</v>
      </c>
      <c r="M237" s="440" t="s">
        <v>646</v>
      </c>
      <c r="N237" s="637">
        <v>0.09</v>
      </c>
      <c r="O237" s="440" t="s">
        <v>643</v>
      </c>
      <c r="P237" s="440" t="s">
        <v>1201</v>
      </c>
      <c r="Q237" s="637">
        <v>0.01</v>
      </c>
      <c r="R237" s="662">
        <f t="shared" si="319"/>
        <v>0.5</v>
      </c>
      <c r="S237" s="637">
        <v>0.4</v>
      </c>
      <c r="T237" s="302" t="s">
        <v>645</v>
      </c>
      <c r="U237" s="302" t="s">
        <v>646</v>
      </c>
      <c r="V237" s="637">
        <v>0.09</v>
      </c>
      <c r="W237" s="302" t="s">
        <v>643</v>
      </c>
      <c r="X237" s="302" t="s">
        <v>1201</v>
      </c>
      <c r="Y237" s="637">
        <v>0.01</v>
      </c>
      <c r="Z237" s="645">
        <f t="shared" si="263"/>
        <v>0.5</v>
      </c>
      <c r="AA237" s="637">
        <v>0.4</v>
      </c>
      <c r="AB237" s="302" t="s">
        <v>645</v>
      </c>
      <c r="AC237" s="302" t="s">
        <v>646</v>
      </c>
      <c r="AD237" s="637">
        <v>0.09</v>
      </c>
      <c r="AE237" s="302" t="s">
        <v>643</v>
      </c>
      <c r="AF237" s="302" t="s">
        <v>1201</v>
      </c>
      <c r="AG237" s="637">
        <v>0.01</v>
      </c>
      <c r="AH237" s="645">
        <f t="shared" ref="AH237" si="322">+AA237+AD237+AG237</f>
        <v>0.5</v>
      </c>
      <c r="AI237" s="637">
        <v>0.4</v>
      </c>
      <c r="AJ237" s="302" t="s">
        <v>645</v>
      </c>
      <c r="AK237" s="302" t="s">
        <v>646</v>
      </c>
      <c r="AL237" s="637">
        <v>0.09</v>
      </c>
      <c r="AM237" s="302" t="s">
        <v>643</v>
      </c>
      <c r="AN237" s="302" t="s">
        <v>1201</v>
      </c>
      <c r="AO237" s="637">
        <v>0.01</v>
      </c>
      <c r="AP237" s="645">
        <f t="shared" si="311"/>
        <v>0.5</v>
      </c>
      <c r="AQ237" s="637">
        <v>0.4</v>
      </c>
      <c r="AR237" s="302" t="s">
        <v>645</v>
      </c>
      <c r="AS237" s="302" t="s">
        <v>646</v>
      </c>
      <c r="AT237" s="637">
        <v>0.09</v>
      </c>
      <c r="AU237" s="302" t="s">
        <v>643</v>
      </c>
      <c r="AV237" s="302" t="s">
        <v>1201</v>
      </c>
      <c r="AW237" s="637">
        <v>0.01</v>
      </c>
      <c r="AX237" s="645">
        <f t="shared" si="314"/>
        <v>0.5</v>
      </c>
      <c r="AY237" s="637">
        <v>0.4</v>
      </c>
      <c r="AZ237" s="302" t="s">
        <v>645</v>
      </c>
      <c r="BA237" s="302" t="s">
        <v>646</v>
      </c>
      <c r="BB237" s="637">
        <v>0.33999999999999997</v>
      </c>
      <c r="BC237" s="302" t="s">
        <v>643</v>
      </c>
      <c r="BD237" s="302" t="s">
        <v>1201</v>
      </c>
      <c r="BE237" s="637">
        <v>0.01</v>
      </c>
      <c r="BF237" s="434">
        <f t="shared" si="315"/>
        <v>0.75</v>
      </c>
      <c r="BG237" s="587">
        <v>0.4</v>
      </c>
      <c r="BH237" s="302" t="s">
        <v>645</v>
      </c>
      <c r="BI237" s="302" t="s">
        <v>646</v>
      </c>
      <c r="BJ237" s="434">
        <v>0.09</v>
      </c>
      <c r="BK237" s="302" t="s">
        <v>643</v>
      </c>
      <c r="BL237" s="302" t="s">
        <v>644</v>
      </c>
      <c r="BM237" s="434">
        <v>0.01</v>
      </c>
      <c r="BN237" s="645">
        <f t="shared" si="316"/>
        <v>0.5</v>
      </c>
      <c r="BO237" s="434"/>
      <c r="BP237" s="434">
        <v>0.4</v>
      </c>
      <c r="BQ237" s="302" t="s">
        <v>645</v>
      </c>
      <c r="BR237" s="302" t="s">
        <v>646</v>
      </c>
      <c r="BS237" s="434">
        <v>0.09</v>
      </c>
      <c r="BT237" s="302" t="s">
        <v>643</v>
      </c>
      <c r="BU237" s="302" t="s">
        <v>644</v>
      </c>
      <c r="BV237" s="434">
        <v>0.01</v>
      </c>
      <c r="BW237" s="645">
        <f t="shared" si="317"/>
        <v>0.5</v>
      </c>
      <c r="BX237" s="434">
        <v>0.4</v>
      </c>
      <c r="BY237" s="302" t="s">
        <v>645</v>
      </c>
      <c r="BZ237" s="302" t="s">
        <v>646</v>
      </c>
      <c r="CA237" s="434">
        <v>0.09</v>
      </c>
      <c r="CB237" s="302" t="s">
        <v>643</v>
      </c>
      <c r="CC237" s="302" t="s">
        <v>644</v>
      </c>
      <c r="CD237" s="434">
        <v>0.01</v>
      </c>
      <c r="CE237" s="434">
        <f t="shared" si="318"/>
        <v>0.5</v>
      </c>
      <c r="CF237" s="1621" t="s">
        <v>1166</v>
      </c>
      <c r="CG237" s="1621" t="s">
        <v>1166</v>
      </c>
      <c r="CH237" s="1621" t="s">
        <v>1166</v>
      </c>
      <c r="CI237" s="406"/>
      <c r="CJ237" s="642">
        <v>0.70199999999999996</v>
      </c>
      <c r="CK237" s="591" t="s">
        <v>922</v>
      </c>
      <c r="CL237" s="302" t="s">
        <v>645</v>
      </c>
      <c r="CM237" s="302" t="s">
        <v>646</v>
      </c>
      <c r="CN237" s="637">
        <v>0.59</v>
      </c>
      <c r="CO237" s="302" t="s">
        <v>643</v>
      </c>
      <c r="CP237" s="302" t="s">
        <v>644</v>
      </c>
      <c r="CQ237" s="637">
        <v>0.01</v>
      </c>
    </row>
    <row r="238" spans="1:95" ht="15.75" customHeight="1" x14ac:dyDescent="0.2">
      <c r="A238" s="661" t="s">
        <v>362</v>
      </c>
      <c r="B238" s="440" t="s">
        <v>361</v>
      </c>
      <c r="C238" s="637">
        <v>0.4</v>
      </c>
      <c r="D238" s="440" t="s">
        <v>645</v>
      </c>
      <c r="E238" s="440" t="s">
        <v>646</v>
      </c>
      <c r="F238" s="637">
        <v>0.09</v>
      </c>
      <c r="G238" s="440" t="s">
        <v>643</v>
      </c>
      <c r="H238" s="440" t="s">
        <v>1201</v>
      </c>
      <c r="I238" s="637">
        <v>0.01</v>
      </c>
      <c r="J238" s="662">
        <f t="shared" si="289"/>
        <v>0.5</v>
      </c>
      <c r="K238" s="637">
        <v>0.4</v>
      </c>
      <c r="L238" s="440" t="s">
        <v>645</v>
      </c>
      <c r="M238" s="440" t="s">
        <v>646</v>
      </c>
      <c r="N238" s="637">
        <v>0.09</v>
      </c>
      <c r="O238" s="440" t="s">
        <v>643</v>
      </c>
      <c r="P238" s="440" t="s">
        <v>1201</v>
      </c>
      <c r="Q238" s="637">
        <v>0.01</v>
      </c>
      <c r="R238" s="662">
        <f t="shared" si="319"/>
        <v>0.5</v>
      </c>
      <c r="S238" s="637">
        <v>0.4</v>
      </c>
      <c r="T238" s="302" t="s">
        <v>645</v>
      </c>
      <c r="U238" s="302" t="s">
        <v>646</v>
      </c>
      <c r="V238" s="637">
        <v>0.09</v>
      </c>
      <c r="W238" s="302" t="s">
        <v>643</v>
      </c>
      <c r="X238" s="302" t="s">
        <v>1201</v>
      </c>
      <c r="Y238" s="637">
        <v>0.01</v>
      </c>
      <c r="Z238" s="645">
        <f t="shared" si="263"/>
        <v>0.5</v>
      </c>
      <c r="AA238" s="637">
        <v>0.4</v>
      </c>
      <c r="AB238" s="302" t="s">
        <v>645</v>
      </c>
      <c r="AC238" s="302" t="s">
        <v>646</v>
      </c>
      <c r="AD238" s="637">
        <v>0.09</v>
      </c>
      <c r="AE238" s="302" t="s">
        <v>643</v>
      </c>
      <c r="AF238" s="302" t="s">
        <v>1201</v>
      </c>
      <c r="AG238" s="637">
        <v>0.01</v>
      </c>
      <c r="AH238" s="645">
        <f t="shared" ref="AH238" si="323">+AA238+AD238+AG238</f>
        <v>0.5</v>
      </c>
      <c r="AI238" s="637">
        <v>0.4</v>
      </c>
      <c r="AJ238" s="302" t="s">
        <v>645</v>
      </c>
      <c r="AK238" s="302" t="s">
        <v>646</v>
      </c>
      <c r="AL238" s="637">
        <v>0.09</v>
      </c>
      <c r="AM238" s="302" t="s">
        <v>643</v>
      </c>
      <c r="AN238" s="302" t="s">
        <v>1201</v>
      </c>
      <c r="AO238" s="637">
        <v>0.01</v>
      </c>
      <c r="AP238" s="645">
        <f t="shared" si="311"/>
        <v>0.5</v>
      </c>
      <c r="AQ238" s="637">
        <v>0.4</v>
      </c>
      <c r="AR238" s="302" t="s">
        <v>645</v>
      </c>
      <c r="AS238" s="302" t="s">
        <v>646</v>
      </c>
      <c r="AT238" s="637">
        <v>0.09</v>
      </c>
      <c r="AU238" s="302" t="s">
        <v>643</v>
      </c>
      <c r="AV238" s="302" t="s">
        <v>1201</v>
      </c>
      <c r="AW238" s="637">
        <v>0.01</v>
      </c>
      <c r="AX238" s="645">
        <f t="shared" si="314"/>
        <v>0.5</v>
      </c>
      <c r="AY238" s="637">
        <v>0.4</v>
      </c>
      <c r="AZ238" s="302" t="s">
        <v>645</v>
      </c>
      <c r="BA238" s="302" t="s">
        <v>646</v>
      </c>
      <c r="BB238" s="637">
        <v>0.33999999999999997</v>
      </c>
      <c r="BC238" s="302" t="s">
        <v>643</v>
      </c>
      <c r="BD238" s="302" t="s">
        <v>1201</v>
      </c>
      <c r="BE238" s="637">
        <v>0.01</v>
      </c>
      <c r="BF238" s="434">
        <f t="shared" si="315"/>
        <v>0.75</v>
      </c>
      <c r="BG238" s="587">
        <v>0.4</v>
      </c>
      <c r="BH238" s="302" t="s">
        <v>645</v>
      </c>
      <c r="BI238" s="302" t="s">
        <v>646</v>
      </c>
      <c r="BJ238" s="434">
        <v>0.09</v>
      </c>
      <c r="BK238" s="302" t="s">
        <v>643</v>
      </c>
      <c r="BL238" s="302" t="s">
        <v>644</v>
      </c>
      <c r="BM238" s="434">
        <v>0.01</v>
      </c>
      <c r="BN238" s="645">
        <f t="shared" si="316"/>
        <v>0.5</v>
      </c>
      <c r="BO238" s="434"/>
      <c r="BP238" s="434">
        <v>0.4</v>
      </c>
      <c r="BQ238" s="302" t="s">
        <v>645</v>
      </c>
      <c r="BR238" s="302" t="s">
        <v>646</v>
      </c>
      <c r="BS238" s="434">
        <v>0.09</v>
      </c>
      <c r="BT238" s="302" t="s">
        <v>643</v>
      </c>
      <c r="BU238" s="302" t="s">
        <v>644</v>
      </c>
      <c r="BV238" s="434">
        <v>0.01</v>
      </c>
      <c r="BW238" s="645">
        <f t="shared" si="317"/>
        <v>0.5</v>
      </c>
      <c r="BX238" s="434">
        <v>0.4</v>
      </c>
      <c r="BY238" s="302" t="s">
        <v>645</v>
      </c>
      <c r="BZ238" s="302" t="s">
        <v>646</v>
      </c>
      <c r="CA238" s="434">
        <v>0.09</v>
      </c>
      <c r="CB238" s="302" t="s">
        <v>643</v>
      </c>
      <c r="CC238" s="302" t="s">
        <v>644</v>
      </c>
      <c r="CD238" s="434">
        <v>0.01</v>
      </c>
      <c r="CE238" s="434">
        <f t="shared" si="318"/>
        <v>0.5</v>
      </c>
      <c r="CF238" s="1620" t="s">
        <v>1166</v>
      </c>
      <c r="CG238" s="1620" t="s">
        <v>1166</v>
      </c>
      <c r="CH238" s="1620" t="s">
        <v>1166</v>
      </c>
      <c r="CI238" s="406"/>
      <c r="CJ238" s="642">
        <v>0.66400000000000003</v>
      </c>
      <c r="CK238" s="591" t="s">
        <v>922</v>
      </c>
      <c r="CL238" s="302" t="s">
        <v>645</v>
      </c>
      <c r="CM238" s="302" t="s">
        <v>646</v>
      </c>
      <c r="CN238" s="637">
        <v>0.59</v>
      </c>
      <c r="CO238" s="302" t="s">
        <v>643</v>
      </c>
      <c r="CP238" s="302" t="s">
        <v>644</v>
      </c>
      <c r="CQ238" s="637">
        <v>0.01</v>
      </c>
    </row>
    <row r="239" spans="1:95" ht="15.75" customHeight="1" x14ac:dyDescent="0.2">
      <c r="A239" s="661" t="s">
        <v>364</v>
      </c>
      <c r="B239" s="440" t="s">
        <v>363</v>
      </c>
      <c r="C239" s="637">
        <v>0.4</v>
      </c>
      <c r="D239" s="440" t="s">
        <v>590</v>
      </c>
      <c r="E239" s="440" t="s">
        <v>591</v>
      </c>
      <c r="F239" s="637">
        <v>0.1</v>
      </c>
      <c r="G239" s="440" t="s">
        <v>508</v>
      </c>
      <c r="H239" s="440" t="s">
        <v>546</v>
      </c>
      <c r="I239" s="637">
        <v>0</v>
      </c>
      <c r="J239" s="662">
        <f t="shared" si="289"/>
        <v>0.5</v>
      </c>
      <c r="K239" s="637">
        <v>0.4</v>
      </c>
      <c r="L239" s="440" t="s">
        <v>590</v>
      </c>
      <c r="M239" s="440" t="s">
        <v>591</v>
      </c>
      <c r="N239" s="637">
        <v>0.1</v>
      </c>
      <c r="O239" s="440" t="s">
        <v>508</v>
      </c>
      <c r="P239" s="440" t="s">
        <v>546</v>
      </c>
      <c r="Q239" s="637">
        <v>0</v>
      </c>
      <c r="R239" s="662">
        <f t="shared" si="319"/>
        <v>0.5</v>
      </c>
      <c r="S239" s="637">
        <v>0.4</v>
      </c>
      <c r="T239" s="302" t="s">
        <v>590</v>
      </c>
      <c r="U239" s="302" t="s">
        <v>591</v>
      </c>
      <c r="V239" s="637">
        <v>0.1</v>
      </c>
      <c r="W239" s="302" t="s">
        <v>508</v>
      </c>
      <c r="X239" s="302" t="s">
        <v>546</v>
      </c>
      <c r="Y239" s="637">
        <v>0</v>
      </c>
      <c r="Z239" s="645">
        <f t="shared" si="263"/>
        <v>0.5</v>
      </c>
      <c r="AA239" s="637">
        <v>0.4</v>
      </c>
      <c r="AB239" s="302" t="s">
        <v>590</v>
      </c>
      <c r="AC239" s="302" t="s">
        <v>591</v>
      </c>
      <c r="AD239" s="637">
        <v>0.1</v>
      </c>
      <c r="AE239" s="302" t="s">
        <v>508</v>
      </c>
      <c r="AF239" s="302" t="s">
        <v>546</v>
      </c>
      <c r="AG239" s="637">
        <v>0</v>
      </c>
      <c r="AH239" s="645">
        <f t="shared" ref="AH239:AH301" si="324">+AA239+AD239+AG239</f>
        <v>0.5</v>
      </c>
      <c r="AI239" s="637">
        <v>0.4</v>
      </c>
      <c r="AJ239" s="302" t="s">
        <v>590</v>
      </c>
      <c r="AK239" s="302" t="s">
        <v>591</v>
      </c>
      <c r="AL239" s="637">
        <v>0.1</v>
      </c>
      <c r="AM239" s="302" t="s">
        <v>508</v>
      </c>
      <c r="AN239" s="302" t="s">
        <v>546</v>
      </c>
      <c r="AO239" s="637">
        <v>0</v>
      </c>
      <c r="AP239" s="645">
        <f t="shared" si="311"/>
        <v>0.5</v>
      </c>
      <c r="AQ239" s="637">
        <v>0.4</v>
      </c>
      <c r="AR239" s="302" t="s">
        <v>590</v>
      </c>
      <c r="AS239" s="302" t="s">
        <v>591</v>
      </c>
      <c r="AT239" s="637">
        <v>0.1</v>
      </c>
      <c r="AU239" s="302" t="s">
        <v>508</v>
      </c>
      <c r="AV239" s="302" t="s">
        <v>546</v>
      </c>
      <c r="AW239" s="637">
        <v>0</v>
      </c>
      <c r="AX239" s="645">
        <f t="shared" ref="AX239:AX242" si="325">+AQ239+AT239+AW239</f>
        <v>0.5</v>
      </c>
      <c r="AY239" s="637">
        <v>0.35</v>
      </c>
      <c r="AZ239" s="302" t="s">
        <v>590</v>
      </c>
      <c r="BA239" s="302" t="s">
        <v>591</v>
      </c>
      <c r="BB239" s="637">
        <v>0.4</v>
      </c>
      <c r="BC239" s="302" t="s">
        <v>508</v>
      </c>
      <c r="BD239" s="302" t="s">
        <v>546</v>
      </c>
      <c r="BE239" s="637">
        <v>0</v>
      </c>
      <c r="BF239" s="434">
        <f t="shared" ref="BF239:BF242" si="326">+AY239+BB239+BE239</f>
        <v>0.75</v>
      </c>
      <c r="BG239" s="587">
        <v>0.4</v>
      </c>
      <c r="BH239" s="302" t="s">
        <v>590</v>
      </c>
      <c r="BI239" s="302" t="s">
        <v>591</v>
      </c>
      <c r="BJ239" s="434">
        <v>0.1</v>
      </c>
      <c r="BK239" s="302" t="s">
        <v>508</v>
      </c>
      <c r="BL239" s="302" t="s">
        <v>546</v>
      </c>
      <c r="BM239" s="434">
        <v>0</v>
      </c>
      <c r="BN239" s="645">
        <f t="shared" ref="BN239:BN242" si="327">+BG239+BJ239+BM239</f>
        <v>0.5</v>
      </c>
      <c r="BO239" s="434"/>
      <c r="BP239" s="434">
        <v>0.4</v>
      </c>
      <c r="BQ239" s="302" t="s">
        <v>590</v>
      </c>
      <c r="BR239" s="302" t="s">
        <v>591</v>
      </c>
      <c r="BS239" s="434">
        <v>0.1</v>
      </c>
      <c r="BT239" s="302" t="s">
        <v>508</v>
      </c>
      <c r="BU239" s="302" t="s">
        <v>546</v>
      </c>
      <c r="BV239" s="434">
        <v>0</v>
      </c>
      <c r="BW239" s="645">
        <f t="shared" ref="BW239:BW242" si="328">+BP239+BS239+BV239</f>
        <v>0.5</v>
      </c>
      <c r="BX239" s="434">
        <v>0.4</v>
      </c>
      <c r="BY239" s="302" t="s">
        <v>590</v>
      </c>
      <c r="BZ239" s="302" t="s">
        <v>591</v>
      </c>
      <c r="CA239" s="434">
        <v>0.1</v>
      </c>
      <c r="CB239" s="302" t="s">
        <v>508</v>
      </c>
      <c r="CC239" s="302" t="s">
        <v>546</v>
      </c>
      <c r="CD239" s="434">
        <v>0</v>
      </c>
      <c r="CE239" s="434">
        <f t="shared" ref="CE239:CE242" si="329">+BX239+CA239+CD239</f>
        <v>0.5</v>
      </c>
      <c r="CF239" s="1620" t="s">
        <v>1166</v>
      </c>
      <c r="CG239" s="1620" t="s">
        <v>1166</v>
      </c>
      <c r="CH239" s="1620" t="s">
        <v>1166</v>
      </c>
      <c r="CI239" s="406"/>
      <c r="CJ239" s="642">
        <v>0.73299999999999998</v>
      </c>
      <c r="CK239" s="591" t="s">
        <v>922</v>
      </c>
      <c r="CL239" s="302" t="s">
        <v>590</v>
      </c>
      <c r="CM239" s="302" t="s">
        <v>591</v>
      </c>
      <c r="CN239" s="637">
        <v>0.6</v>
      </c>
      <c r="CO239" s="302" t="s">
        <v>508</v>
      </c>
      <c r="CP239" s="302" t="s">
        <v>546</v>
      </c>
      <c r="CQ239" s="637">
        <v>0</v>
      </c>
    </row>
    <row r="240" spans="1:95" ht="15" x14ac:dyDescent="0.2">
      <c r="A240" s="661" t="s">
        <v>366</v>
      </c>
      <c r="B240" s="440" t="s">
        <v>365</v>
      </c>
      <c r="C240" s="637">
        <v>0.99</v>
      </c>
      <c r="D240" s="440" t="s">
        <v>508</v>
      </c>
      <c r="E240" s="440" t="s">
        <v>660</v>
      </c>
      <c r="F240" s="637">
        <v>0</v>
      </c>
      <c r="G240" s="440" t="s">
        <v>1281</v>
      </c>
      <c r="H240" s="440" t="s">
        <v>1199</v>
      </c>
      <c r="I240" s="637">
        <v>0.01</v>
      </c>
      <c r="J240" s="662">
        <f t="shared" si="289"/>
        <v>1</v>
      </c>
      <c r="K240" s="637">
        <v>0.99</v>
      </c>
      <c r="L240" s="440" t="s">
        <v>508</v>
      </c>
      <c r="M240" s="440" t="s">
        <v>660</v>
      </c>
      <c r="N240" s="637">
        <v>0</v>
      </c>
      <c r="O240" s="440" t="s">
        <v>1281</v>
      </c>
      <c r="P240" s="440" t="s">
        <v>1199</v>
      </c>
      <c r="Q240" s="637">
        <v>0.01</v>
      </c>
      <c r="R240" s="662">
        <f t="shared" si="319"/>
        <v>1</v>
      </c>
      <c r="S240" s="637">
        <v>0.99</v>
      </c>
      <c r="T240" s="302" t="s">
        <v>508</v>
      </c>
      <c r="U240" s="302" t="s">
        <v>660</v>
      </c>
      <c r="V240" s="637">
        <v>0</v>
      </c>
      <c r="W240" s="302" t="s">
        <v>1281</v>
      </c>
      <c r="X240" s="302" t="s">
        <v>1199</v>
      </c>
      <c r="Y240" s="637">
        <v>0.01</v>
      </c>
      <c r="Z240" s="645">
        <f t="shared" si="263"/>
        <v>1</v>
      </c>
      <c r="AA240" s="637">
        <v>0.99</v>
      </c>
      <c r="AB240" s="302" t="s">
        <v>508</v>
      </c>
      <c r="AC240" s="302" t="s">
        <v>660</v>
      </c>
      <c r="AD240" s="637">
        <v>0</v>
      </c>
      <c r="AE240" s="302" t="s">
        <v>1281</v>
      </c>
      <c r="AF240" s="302" t="s">
        <v>1199</v>
      </c>
      <c r="AG240" s="637">
        <v>0.01</v>
      </c>
      <c r="AH240" s="645">
        <f t="shared" si="324"/>
        <v>1</v>
      </c>
      <c r="AI240" s="637">
        <v>0.99</v>
      </c>
      <c r="AJ240" s="302" t="s">
        <v>508</v>
      </c>
      <c r="AK240" s="302" t="s">
        <v>660</v>
      </c>
      <c r="AL240" s="637">
        <v>0</v>
      </c>
      <c r="AM240" s="302" t="s">
        <v>1281</v>
      </c>
      <c r="AN240" s="302" t="s">
        <v>1199</v>
      </c>
      <c r="AO240" s="637">
        <v>0.01</v>
      </c>
      <c r="AP240" s="645">
        <f t="shared" si="311"/>
        <v>1</v>
      </c>
      <c r="AQ240" s="637">
        <v>0.99</v>
      </c>
      <c r="AR240" s="302" t="s">
        <v>508</v>
      </c>
      <c r="AS240" s="302" t="s">
        <v>660</v>
      </c>
      <c r="AT240" s="637">
        <v>0</v>
      </c>
      <c r="AU240" s="302" t="s">
        <v>1281</v>
      </c>
      <c r="AV240" s="302" t="s">
        <v>1199</v>
      </c>
      <c r="AW240" s="637">
        <v>0.01</v>
      </c>
      <c r="AX240" s="645">
        <f t="shared" si="325"/>
        <v>1</v>
      </c>
      <c r="AY240" s="637">
        <v>0.99</v>
      </c>
      <c r="AZ240" s="302" t="s">
        <v>508</v>
      </c>
      <c r="BA240" s="302" t="s">
        <v>660</v>
      </c>
      <c r="BB240" s="637">
        <v>0</v>
      </c>
      <c r="BC240" s="302" t="s">
        <v>661</v>
      </c>
      <c r="BD240" s="302" t="s">
        <v>1199</v>
      </c>
      <c r="BE240" s="637">
        <v>0.01</v>
      </c>
      <c r="BF240" s="434">
        <f t="shared" si="326"/>
        <v>1</v>
      </c>
      <c r="BG240" s="587">
        <v>0.99</v>
      </c>
      <c r="BH240" s="302" t="s">
        <v>508</v>
      </c>
      <c r="BI240" s="302" t="s">
        <v>660</v>
      </c>
      <c r="BJ240" s="434">
        <v>0</v>
      </c>
      <c r="BK240" s="302" t="s">
        <v>661</v>
      </c>
      <c r="BL240" s="302" t="s">
        <v>662</v>
      </c>
      <c r="BM240" s="434">
        <v>0.01</v>
      </c>
      <c r="BN240" s="645">
        <f t="shared" si="327"/>
        <v>1</v>
      </c>
      <c r="BO240" s="434"/>
      <c r="BP240" s="434">
        <v>0.99</v>
      </c>
      <c r="BQ240" s="302" t="s">
        <v>508</v>
      </c>
      <c r="BR240" s="302" t="s">
        <v>660</v>
      </c>
      <c r="BS240" s="434">
        <v>0</v>
      </c>
      <c r="BT240" s="302" t="s">
        <v>661</v>
      </c>
      <c r="BU240" s="302" t="s">
        <v>662</v>
      </c>
      <c r="BV240" s="434">
        <v>0.01</v>
      </c>
      <c r="BW240" s="645">
        <f t="shared" si="328"/>
        <v>1</v>
      </c>
      <c r="BX240" s="434">
        <v>0.49</v>
      </c>
      <c r="BY240" s="302" t="s">
        <v>508</v>
      </c>
      <c r="BZ240" s="302" t="s">
        <v>660</v>
      </c>
      <c r="CA240" s="434">
        <v>0</v>
      </c>
      <c r="CB240" s="302" t="s">
        <v>661</v>
      </c>
      <c r="CC240" s="302" t="s">
        <v>662</v>
      </c>
      <c r="CD240" s="434">
        <v>0.01</v>
      </c>
      <c r="CE240" s="434">
        <f t="shared" si="329"/>
        <v>0.5</v>
      </c>
      <c r="CF240" s="1620" t="s">
        <v>1166</v>
      </c>
      <c r="CG240" s="1620" t="s">
        <v>1166</v>
      </c>
      <c r="CH240" s="1620" t="s">
        <v>1166</v>
      </c>
      <c r="CI240" s="408" t="s">
        <v>862</v>
      </c>
      <c r="CJ240" s="642">
        <v>0.66800000000000004</v>
      </c>
      <c r="CK240" s="591" t="s">
        <v>922</v>
      </c>
      <c r="CL240" s="302" t="s">
        <v>508</v>
      </c>
      <c r="CM240" s="302" t="s">
        <v>660</v>
      </c>
      <c r="CN240" s="637">
        <v>0</v>
      </c>
      <c r="CO240" s="302" t="s">
        <v>661</v>
      </c>
      <c r="CP240" s="302" t="s">
        <v>662</v>
      </c>
      <c r="CQ240" s="637">
        <v>0.01</v>
      </c>
    </row>
    <row r="241" spans="1:95" ht="15" x14ac:dyDescent="0.2">
      <c r="A241" s="661" t="s">
        <v>368</v>
      </c>
      <c r="B241" s="440" t="s">
        <v>545</v>
      </c>
      <c r="C241" s="637">
        <v>0.49</v>
      </c>
      <c r="D241" s="440" t="s">
        <v>508</v>
      </c>
      <c r="E241" s="440" t="s">
        <v>509</v>
      </c>
      <c r="F241" s="637">
        <v>0</v>
      </c>
      <c r="G241" s="440" t="s">
        <v>541</v>
      </c>
      <c r="H241" s="440" t="s">
        <v>542</v>
      </c>
      <c r="I241" s="637">
        <v>0.01</v>
      </c>
      <c r="J241" s="662">
        <f t="shared" si="289"/>
        <v>0.5</v>
      </c>
      <c r="K241" s="637">
        <v>0.49</v>
      </c>
      <c r="L241" s="440" t="s">
        <v>508</v>
      </c>
      <c r="M241" s="440" t="s">
        <v>509</v>
      </c>
      <c r="N241" s="637">
        <v>0</v>
      </c>
      <c r="O241" s="440" t="s">
        <v>541</v>
      </c>
      <c r="P241" s="440" t="s">
        <v>542</v>
      </c>
      <c r="Q241" s="637">
        <v>0.01</v>
      </c>
      <c r="R241" s="662">
        <f t="shared" si="319"/>
        <v>0.5</v>
      </c>
      <c r="S241" s="637">
        <v>0.49</v>
      </c>
      <c r="T241" s="302" t="s">
        <v>508</v>
      </c>
      <c r="U241" s="302" t="s">
        <v>509</v>
      </c>
      <c r="V241" s="637">
        <v>0</v>
      </c>
      <c r="W241" s="302" t="s">
        <v>541</v>
      </c>
      <c r="X241" s="302" t="s">
        <v>542</v>
      </c>
      <c r="Y241" s="637">
        <v>0.01</v>
      </c>
      <c r="Z241" s="645">
        <f t="shared" ref="Z241:Z301" si="330">+S241+V241+Y241</f>
        <v>0.5</v>
      </c>
      <c r="AA241" s="637">
        <v>0.49</v>
      </c>
      <c r="AB241" s="302" t="s">
        <v>508</v>
      </c>
      <c r="AC241" s="302" t="s">
        <v>509</v>
      </c>
      <c r="AD241" s="637">
        <v>0</v>
      </c>
      <c r="AE241" s="302" t="s">
        <v>541</v>
      </c>
      <c r="AF241" s="302" t="s">
        <v>542</v>
      </c>
      <c r="AG241" s="637">
        <v>0.01</v>
      </c>
      <c r="AH241" s="645">
        <f t="shared" si="324"/>
        <v>0.5</v>
      </c>
      <c r="AI241" s="637">
        <v>0.49</v>
      </c>
      <c r="AJ241" s="302" t="s">
        <v>508</v>
      </c>
      <c r="AK241" s="302" t="s">
        <v>509</v>
      </c>
      <c r="AL241" s="637">
        <v>0</v>
      </c>
      <c r="AM241" s="302" t="s">
        <v>541</v>
      </c>
      <c r="AN241" s="302" t="s">
        <v>542</v>
      </c>
      <c r="AO241" s="637">
        <v>0.01</v>
      </c>
      <c r="AP241" s="645">
        <f t="shared" si="311"/>
        <v>0.5</v>
      </c>
      <c r="AQ241" s="637">
        <v>0.49</v>
      </c>
      <c r="AR241" s="302" t="s">
        <v>508</v>
      </c>
      <c r="AS241" s="302" t="s">
        <v>509</v>
      </c>
      <c r="AT241" s="637">
        <v>0</v>
      </c>
      <c r="AU241" s="302" t="s">
        <v>541</v>
      </c>
      <c r="AV241" s="302" t="s">
        <v>542</v>
      </c>
      <c r="AW241" s="637">
        <v>0.01</v>
      </c>
      <c r="AX241" s="645">
        <f t="shared" si="325"/>
        <v>0.5</v>
      </c>
      <c r="AY241" s="637">
        <v>0.49</v>
      </c>
      <c r="AZ241" s="302" t="s">
        <v>508</v>
      </c>
      <c r="BA241" s="302" t="s">
        <v>509</v>
      </c>
      <c r="BB241" s="637">
        <v>0</v>
      </c>
      <c r="BC241" s="302" t="s">
        <v>541</v>
      </c>
      <c r="BD241" s="302" t="s">
        <v>542</v>
      </c>
      <c r="BE241" s="637">
        <v>0.01</v>
      </c>
      <c r="BF241" s="434">
        <f t="shared" si="326"/>
        <v>0.5</v>
      </c>
      <c r="BG241" s="587">
        <v>0.49</v>
      </c>
      <c r="BH241" s="302" t="s">
        <v>508</v>
      </c>
      <c r="BI241" s="302" t="s">
        <v>509</v>
      </c>
      <c r="BJ241" s="434">
        <v>0</v>
      </c>
      <c r="BK241" s="302" t="s">
        <v>541</v>
      </c>
      <c r="BL241" s="302" t="s">
        <v>542</v>
      </c>
      <c r="BM241" s="434">
        <v>0.01</v>
      </c>
      <c r="BN241" s="645">
        <f t="shared" si="327"/>
        <v>0.5</v>
      </c>
      <c r="BO241" s="434"/>
      <c r="BP241" s="434">
        <v>0.49</v>
      </c>
      <c r="BQ241" s="302" t="s">
        <v>508</v>
      </c>
      <c r="BR241" s="302" t="s">
        <v>509</v>
      </c>
      <c r="BS241" s="434">
        <v>0</v>
      </c>
      <c r="BT241" s="302" t="s">
        <v>541</v>
      </c>
      <c r="BU241" s="302" t="s">
        <v>542</v>
      </c>
      <c r="BV241" s="434">
        <v>0.01</v>
      </c>
      <c r="BW241" s="645">
        <f t="shared" si="328"/>
        <v>0.5</v>
      </c>
      <c r="BX241" s="434">
        <v>0.49</v>
      </c>
      <c r="BY241" s="302" t="s">
        <v>508</v>
      </c>
      <c r="BZ241" s="302" t="s">
        <v>509</v>
      </c>
      <c r="CA241" s="434">
        <v>0</v>
      </c>
      <c r="CB241" s="302" t="s">
        <v>541</v>
      </c>
      <c r="CC241" s="302" t="s">
        <v>542</v>
      </c>
      <c r="CD241" s="434">
        <v>0.01</v>
      </c>
      <c r="CE241" s="434">
        <f t="shared" si="329"/>
        <v>0.5</v>
      </c>
      <c r="CF241" s="1620" t="s">
        <v>862</v>
      </c>
      <c r="CG241" s="1620" t="s">
        <v>1166</v>
      </c>
      <c r="CH241" s="1620" t="s">
        <v>1166</v>
      </c>
      <c r="CI241" s="408" t="s">
        <v>862</v>
      </c>
      <c r="CJ241" s="642">
        <v>0.66900000000000004</v>
      </c>
      <c r="CK241" s="591" t="s">
        <v>922</v>
      </c>
      <c r="CL241" s="302" t="s">
        <v>508</v>
      </c>
      <c r="CM241" s="302" t="s">
        <v>509</v>
      </c>
      <c r="CN241" s="637">
        <v>0</v>
      </c>
      <c r="CO241" s="302" t="s">
        <v>541</v>
      </c>
      <c r="CP241" s="302" t="s">
        <v>542</v>
      </c>
      <c r="CQ241" s="637">
        <v>0.01</v>
      </c>
    </row>
    <row r="242" spans="1:95" ht="15" x14ac:dyDescent="0.2">
      <c r="A242" s="661" t="s">
        <v>370</v>
      </c>
      <c r="B242" s="440" t="s">
        <v>642</v>
      </c>
      <c r="C242" s="637">
        <v>0.49</v>
      </c>
      <c r="D242" s="440" t="s">
        <v>508</v>
      </c>
      <c r="E242" s="440" t="s">
        <v>509</v>
      </c>
      <c r="F242" s="637">
        <v>0</v>
      </c>
      <c r="G242" s="440" t="s">
        <v>643</v>
      </c>
      <c r="H242" s="440" t="s">
        <v>1201</v>
      </c>
      <c r="I242" s="637">
        <v>0.01</v>
      </c>
      <c r="J242" s="662">
        <f t="shared" si="289"/>
        <v>0.5</v>
      </c>
      <c r="K242" s="637">
        <v>0.49</v>
      </c>
      <c r="L242" s="440" t="s">
        <v>508</v>
      </c>
      <c r="M242" s="440" t="s">
        <v>509</v>
      </c>
      <c r="N242" s="637">
        <v>0</v>
      </c>
      <c r="O242" s="440" t="s">
        <v>643</v>
      </c>
      <c r="P242" s="440" t="s">
        <v>1201</v>
      </c>
      <c r="Q242" s="637">
        <v>0.01</v>
      </c>
      <c r="R242" s="662">
        <f t="shared" si="319"/>
        <v>0.5</v>
      </c>
      <c r="S242" s="637">
        <v>0.49</v>
      </c>
      <c r="T242" s="302" t="s">
        <v>508</v>
      </c>
      <c r="U242" s="302" t="s">
        <v>509</v>
      </c>
      <c r="V242" s="637">
        <v>0</v>
      </c>
      <c r="W242" s="302" t="s">
        <v>643</v>
      </c>
      <c r="X242" s="302" t="s">
        <v>1201</v>
      </c>
      <c r="Y242" s="637">
        <v>0.01</v>
      </c>
      <c r="Z242" s="645">
        <f t="shared" si="330"/>
        <v>0.5</v>
      </c>
      <c r="AA242" s="637">
        <v>0.49</v>
      </c>
      <c r="AB242" s="302" t="s">
        <v>508</v>
      </c>
      <c r="AC242" s="302" t="s">
        <v>509</v>
      </c>
      <c r="AD242" s="637">
        <v>0</v>
      </c>
      <c r="AE242" s="302" t="s">
        <v>643</v>
      </c>
      <c r="AF242" s="302" t="s">
        <v>1201</v>
      </c>
      <c r="AG242" s="637">
        <v>0.01</v>
      </c>
      <c r="AH242" s="645">
        <f t="shared" si="324"/>
        <v>0.5</v>
      </c>
      <c r="AI242" s="637">
        <v>0.49</v>
      </c>
      <c r="AJ242" s="302" t="s">
        <v>508</v>
      </c>
      <c r="AK242" s="302" t="s">
        <v>509</v>
      </c>
      <c r="AL242" s="637">
        <v>0</v>
      </c>
      <c r="AM242" s="302" t="s">
        <v>643</v>
      </c>
      <c r="AN242" s="302" t="s">
        <v>1201</v>
      </c>
      <c r="AO242" s="637">
        <v>0.01</v>
      </c>
      <c r="AP242" s="645">
        <f t="shared" si="311"/>
        <v>0.5</v>
      </c>
      <c r="AQ242" s="637">
        <v>0.49</v>
      </c>
      <c r="AR242" s="302" t="s">
        <v>508</v>
      </c>
      <c r="AS242" s="302" t="s">
        <v>509</v>
      </c>
      <c r="AT242" s="637">
        <v>0</v>
      </c>
      <c r="AU242" s="302" t="s">
        <v>643</v>
      </c>
      <c r="AV242" s="302" t="s">
        <v>1201</v>
      </c>
      <c r="AW242" s="637">
        <v>0.01</v>
      </c>
      <c r="AX242" s="645">
        <f t="shared" si="325"/>
        <v>0.5</v>
      </c>
      <c r="AY242" s="637">
        <v>0.74</v>
      </c>
      <c r="AZ242" s="302" t="s">
        <v>508</v>
      </c>
      <c r="BA242" s="302" t="s">
        <v>509</v>
      </c>
      <c r="BB242" s="637">
        <v>0</v>
      </c>
      <c r="BC242" s="302" t="s">
        <v>643</v>
      </c>
      <c r="BD242" s="302" t="s">
        <v>1201</v>
      </c>
      <c r="BE242" s="637">
        <v>0.01</v>
      </c>
      <c r="BF242" s="434">
        <f t="shared" si="326"/>
        <v>0.75</v>
      </c>
      <c r="BG242" s="587">
        <v>0.49</v>
      </c>
      <c r="BH242" s="302" t="s">
        <v>508</v>
      </c>
      <c r="BI242" s="302" t="s">
        <v>509</v>
      </c>
      <c r="BJ242" s="434">
        <v>0</v>
      </c>
      <c r="BK242" s="302" t="s">
        <v>643</v>
      </c>
      <c r="BL242" s="302" t="s">
        <v>644</v>
      </c>
      <c r="BM242" s="434">
        <v>0.01</v>
      </c>
      <c r="BN242" s="645">
        <f t="shared" si="327"/>
        <v>0.5</v>
      </c>
      <c r="BO242" s="434"/>
      <c r="BP242" s="434">
        <v>0.49</v>
      </c>
      <c r="BQ242" s="302" t="s">
        <v>508</v>
      </c>
      <c r="BR242" s="302" t="s">
        <v>509</v>
      </c>
      <c r="BS242" s="434">
        <v>0</v>
      </c>
      <c r="BT242" s="302" t="s">
        <v>643</v>
      </c>
      <c r="BU242" s="302" t="s">
        <v>644</v>
      </c>
      <c r="BV242" s="434">
        <v>0.01</v>
      </c>
      <c r="BW242" s="645">
        <f t="shared" si="328"/>
        <v>0.5</v>
      </c>
      <c r="BX242" s="434">
        <v>0.49</v>
      </c>
      <c r="BY242" s="302" t="s">
        <v>508</v>
      </c>
      <c r="BZ242" s="302" t="s">
        <v>509</v>
      </c>
      <c r="CA242" s="434">
        <v>0</v>
      </c>
      <c r="CB242" s="302" t="s">
        <v>643</v>
      </c>
      <c r="CC242" s="302" t="s">
        <v>644</v>
      </c>
      <c r="CD242" s="434">
        <v>0.01</v>
      </c>
      <c r="CE242" s="434">
        <f t="shared" si="329"/>
        <v>0.5</v>
      </c>
      <c r="CF242" s="1620" t="s">
        <v>862</v>
      </c>
      <c r="CG242" s="1620" t="s">
        <v>1166</v>
      </c>
      <c r="CH242" s="1620" t="s">
        <v>1166</v>
      </c>
      <c r="CI242" s="408" t="s">
        <v>862</v>
      </c>
      <c r="CJ242" s="642">
        <v>0.67</v>
      </c>
      <c r="CK242" s="591" t="s">
        <v>922</v>
      </c>
      <c r="CL242" s="302" t="s">
        <v>508</v>
      </c>
      <c r="CM242" s="302" t="s">
        <v>509</v>
      </c>
      <c r="CN242" s="637">
        <v>0</v>
      </c>
      <c r="CO242" s="302" t="s">
        <v>643</v>
      </c>
      <c r="CP242" s="302" t="s">
        <v>644</v>
      </c>
      <c r="CQ242" s="637">
        <v>0.01</v>
      </c>
    </row>
    <row r="243" spans="1:95" ht="15.75" customHeight="1" x14ac:dyDescent="0.2">
      <c r="A243" s="661" t="s">
        <v>372</v>
      </c>
      <c r="B243" s="440" t="s">
        <v>371</v>
      </c>
      <c r="C243" s="637">
        <v>0.4</v>
      </c>
      <c r="D243" s="440" t="s">
        <v>652</v>
      </c>
      <c r="E243" s="440" t="s">
        <v>653</v>
      </c>
      <c r="F243" s="637">
        <v>0.1</v>
      </c>
      <c r="G243" s="440" t="s">
        <v>508</v>
      </c>
      <c r="H243" s="440" t="s">
        <v>546</v>
      </c>
      <c r="I243" s="637">
        <v>0</v>
      </c>
      <c r="J243" s="662">
        <f t="shared" si="289"/>
        <v>0.5</v>
      </c>
      <c r="K243" s="637">
        <v>0.4</v>
      </c>
      <c r="L243" s="440" t="s">
        <v>652</v>
      </c>
      <c r="M243" s="440" t="s">
        <v>653</v>
      </c>
      <c r="N243" s="637">
        <v>0.1</v>
      </c>
      <c r="O243" s="440" t="s">
        <v>508</v>
      </c>
      <c r="P243" s="440" t="s">
        <v>546</v>
      </c>
      <c r="Q243" s="637">
        <v>0</v>
      </c>
      <c r="R243" s="662">
        <f t="shared" si="319"/>
        <v>0.5</v>
      </c>
      <c r="S243" s="637">
        <v>0.4</v>
      </c>
      <c r="T243" s="302" t="s">
        <v>652</v>
      </c>
      <c r="U243" s="302" t="s">
        <v>653</v>
      </c>
      <c r="V243" s="637">
        <v>0.1</v>
      </c>
      <c r="W243" s="302" t="s">
        <v>508</v>
      </c>
      <c r="X243" s="302" t="s">
        <v>546</v>
      </c>
      <c r="Y243" s="637">
        <v>0</v>
      </c>
      <c r="Z243" s="645">
        <f t="shared" si="330"/>
        <v>0.5</v>
      </c>
      <c r="AA243" s="637">
        <v>0.4</v>
      </c>
      <c r="AB243" s="302" t="s">
        <v>652</v>
      </c>
      <c r="AC243" s="302" t="s">
        <v>653</v>
      </c>
      <c r="AD243" s="637">
        <v>0.1</v>
      </c>
      <c r="AE243" s="302" t="s">
        <v>508</v>
      </c>
      <c r="AF243" s="302" t="s">
        <v>546</v>
      </c>
      <c r="AG243" s="637">
        <v>0</v>
      </c>
      <c r="AH243" s="645">
        <f t="shared" si="324"/>
        <v>0.5</v>
      </c>
      <c r="AI243" s="637">
        <v>0.4</v>
      </c>
      <c r="AJ243" s="302" t="s">
        <v>652</v>
      </c>
      <c r="AK243" s="302" t="s">
        <v>653</v>
      </c>
      <c r="AL243" s="637">
        <v>0.1</v>
      </c>
      <c r="AM243" s="302" t="s">
        <v>508</v>
      </c>
      <c r="AN243" s="302" t="s">
        <v>546</v>
      </c>
      <c r="AO243" s="637">
        <v>0</v>
      </c>
      <c r="AP243" s="645">
        <f t="shared" si="311"/>
        <v>0.5</v>
      </c>
      <c r="AQ243" s="637">
        <v>0.4</v>
      </c>
      <c r="AR243" s="302" t="s">
        <v>652</v>
      </c>
      <c r="AS243" s="302" t="s">
        <v>653</v>
      </c>
      <c r="AT243" s="637">
        <v>0.1</v>
      </c>
      <c r="AU243" s="302" t="s">
        <v>508</v>
      </c>
      <c r="AV243" s="302" t="s">
        <v>546</v>
      </c>
      <c r="AW243" s="637">
        <v>0</v>
      </c>
      <c r="AX243" s="645">
        <f t="shared" ref="AX243:AX246" si="331">+AQ243+AT243+AW243</f>
        <v>0.5</v>
      </c>
      <c r="AY243" s="637">
        <v>0.4</v>
      </c>
      <c r="AZ243" s="302" t="s">
        <v>652</v>
      </c>
      <c r="BA243" s="302" t="s">
        <v>653</v>
      </c>
      <c r="BB243" s="637">
        <v>0.1</v>
      </c>
      <c r="BC243" s="302" t="s">
        <v>508</v>
      </c>
      <c r="BD243" s="302" t="s">
        <v>546</v>
      </c>
      <c r="BE243" s="637">
        <v>0</v>
      </c>
      <c r="BF243" s="434">
        <f t="shared" ref="BF243:BF246" si="332">+AY243+BB243+BE243</f>
        <v>0.5</v>
      </c>
      <c r="BG243" s="587">
        <v>0.4</v>
      </c>
      <c r="BH243" s="302" t="s">
        <v>652</v>
      </c>
      <c r="BI243" s="302" t="s">
        <v>653</v>
      </c>
      <c r="BJ243" s="434">
        <v>0.1</v>
      </c>
      <c r="BK243" s="302" t="s">
        <v>508</v>
      </c>
      <c r="BL243" s="302" t="s">
        <v>546</v>
      </c>
      <c r="BM243" s="434">
        <v>0</v>
      </c>
      <c r="BN243" s="645">
        <f t="shared" ref="BN243:BN246" si="333">+BG243+BJ243+BM243</f>
        <v>0.5</v>
      </c>
      <c r="BO243" s="434"/>
      <c r="BP243" s="434">
        <v>0.4</v>
      </c>
      <c r="BQ243" s="302" t="s">
        <v>652</v>
      </c>
      <c r="BR243" s="302" t="s">
        <v>653</v>
      </c>
      <c r="BS243" s="434">
        <v>0.1</v>
      </c>
      <c r="BT243" s="302" t="s">
        <v>508</v>
      </c>
      <c r="BU243" s="302" t="s">
        <v>546</v>
      </c>
      <c r="BV243" s="434">
        <v>0</v>
      </c>
      <c r="BW243" s="645">
        <f t="shared" ref="BW243:BW246" si="334">+BP243+BS243+BV243</f>
        <v>0.5</v>
      </c>
      <c r="BX243" s="434">
        <v>0.4</v>
      </c>
      <c r="BY243" s="302" t="s">
        <v>652</v>
      </c>
      <c r="BZ243" s="302" t="s">
        <v>653</v>
      </c>
      <c r="CA243" s="434">
        <v>0.1</v>
      </c>
      <c r="CB243" s="302" t="s">
        <v>508</v>
      </c>
      <c r="CC243" s="302" t="s">
        <v>546</v>
      </c>
      <c r="CD243" s="434">
        <v>0</v>
      </c>
      <c r="CE243" s="434">
        <f t="shared" ref="CE243:CE246" si="335">+BX243+CA243+CD243</f>
        <v>0.5</v>
      </c>
      <c r="CF243" s="1620" t="s">
        <v>1166</v>
      </c>
      <c r="CG243" s="1620" t="s">
        <v>1166</v>
      </c>
      <c r="CH243" s="1620" t="s">
        <v>1166</v>
      </c>
      <c r="CI243" s="406"/>
      <c r="CJ243" s="642">
        <v>0.68300000000000005</v>
      </c>
      <c r="CK243" s="591" t="s">
        <v>922</v>
      </c>
      <c r="CL243" s="302" t="s">
        <v>652</v>
      </c>
      <c r="CM243" s="302" t="s">
        <v>653</v>
      </c>
      <c r="CN243" s="637">
        <v>0.6</v>
      </c>
      <c r="CO243" s="302" t="s">
        <v>508</v>
      </c>
      <c r="CP243" s="302" t="s">
        <v>546</v>
      </c>
      <c r="CQ243" s="637">
        <v>0</v>
      </c>
    </row>
    <row r="244" spans="1:95" ht="15.75" customHeight="1" x14ac:dyDescent="0.2">
      <c r="A244" s="661" t="s">
        <v>374</v>
      </c>
      <c r="B244" s="440" t="s">
        <v>373</v>
      </c>
      <c r="C244" s="637">
        <v>0.4</v>
      </c>
      <c r="D244" s="440" t="s">
        <v>577</v>
      </c>
      <c r="E244" s="440" t="s">
        <v>578</v>
      </c>
      <c r="F244" s="637">
        <v>0.1</v>
      </c>
      <c r="G244" s="440" t="s">
        <v>508</v>
      </c>
      <c r="H244" s="440" t="s">
        <v>546</v>
      </c>
      <c r="I244" s="637">
        <v>0</v>
      </c>
      <c r="J244" s="662">
        <f t="shared" si="289"/>
        <v>0.5</v>
      </c>
      <c r="K244" s="637">
        <v>0.4</v>
      </c>
      <c r="L244" s="440" t="s">
        <v>577</v>
      </c>
      <c r="M244" s="440" t="s">
        <v>578</v>
      </c>
      <c r="N244" s="637">
        <v>0.1</v>
      </c>
      <c r="O244" s="440" t="s">
        <v>508</v>
      </c>
      <c r="P244" s="440" t="s">
        <v>546</v>
      </c>
      <c r="Q244" s="637">
        <v>0</v>
      </c>
      <c r="R244" s="662">
        <f t="shared" si="319"/>
        <v>0.5</v>
      </c>
      <c r="S244" s="637">
        <v>0.4</v>
      </c>
      <c r="T244" s="302" t="s">
        <v>577</v>
      </c>
      <c r="U244" s="302" t="s">
        <v>578</v>
      </c>
      <c r="V244" s="637">
        <v>0.1</v>
      </c>
      <c r="W244" s="302" t="s">
        <v>508</v>
      </c>
      <c r="X244" s="302" t="s">
        <v>546</v>
      </c>
      <c r="Y244" s="637">
        <v>0</v>
      </c>
      <c r="Z244" s="645">
        <f t="shared" si="330"/>
        <v>0.5</v>
      </c>
      <c r="AA244" s="637">
        <v>0.4</v>
      </c>
      <c r="AB244" s="302" t="s">
        <v>577</v>
      </c>
      <c r="AC244" s="302" t="s">
        <v>578</v>
      </c>
      <c r="AD244" s="637">
        <v>0.1</v>
      </c>
      <c r="AE244" s="302" t="s">
        <v>508</v>
      </c>
      <c r="AF244" s="302" t="s">
        <v>546</v>
      </c>
      <c r="AG244" s="637">
        <v>0</v>
      </c>
      <c r="AH244" s="645">
        <f t="shared" si="324"/>
        <v>0.5</v>
      </c>
      <c r="AI244" s="637">
        <v>0.4</v>
      </c>
      <c r="AJ244" s="302" t="s">
        <v>577</v>
      </c>
      <c r="AK244" s="302" t="s">
        <v>578</v>
      </c>
      <c r="AL244" s="637">
        <v>0.1</v>
      </c>
      <c r="AM244" s="302" t="s">
        <v>508</v>
      </c>
      <c r="AN244" s="302" t="s">
        <v>546</v>
      </c>
      <c r="AO244" s="637">
        <v>0</v>
      </c>
      <c r="AP244" s="645">
        <f t="shared" si="311"/>
        <v>0.5</v>
      </c>
      <c r="AQ244" s="637">
        <v>0.4</v>
      </c>
      <c r="AR244" s="302" t="s">
        <v>577</v>
      </c>
      <c r="AS244" s="302" t="s">
        <v>578</v>
      </c>
      <c r="AT244" s="637">
        <v>0.1</v>
      </c>
      <c r="AU244" s="302" t="s">
        <v>508</v>
      </c>
      <c r="AV244" s="302" t="s">
        <v>546</v>
      </c>
      <c r="AW244" s="637">
        <v>0</v>
      </c>
      <c r="AX244" s="645">
        <f t="shared" si="331"/>
        <v>0.5</v>
      </c>
      <c r="AY244" s="637">
        <v>0.4</v>
      </c>
      <c r="AZ244" s="302" t="s">
        <v>577</v>
      </c>
      <c r="BA244" s="302" t="s">
        <v>578</v>
      </c>
      <c r="BB244" s="637">
        <v>0.1</v>
      </c>
      <c r="BC244" s="302" t="s">
        <v>508</v>
      </c>
      <c r="BD244" s="302" t="s">
        <v>546</v>
      </c>
      <c r="BE244" s="637">
        <v>0</v>
      </c>
      <c r="BF244" s="434">
        <f t="shared" si="332"/>
        <v>0.5</v>
      </c>
      <c r="BG244" s="587">
        <v>0.5</v>
      </c>
      <c r="BH244" s="302" t="s">
        <v>577</v>
      </c>
      <c r="BI244" s="302" t="s">
        <v>578</v>
      </c>
      <c r="BJ244" s="434">
        <v>0.5</v>
      </c>
      <c r="BK244" s="302" t="s">
        <v>508</v>
      </c>
      <c r="BL244" s="302" t="s">
        <v>546</v>
      </c>
      <c r="BM244" s="434">
        <v>0</v>
      </c>
      <c r="BN244" s="645">
        <f t="shared" si="333"/>
        <v>1</v>
      </c>
      <c r="BO244" s="434"/>
      <c r="BP244" s="434">
        <v>0.4</v>
      </c>
      <c r="BQ244" s="302" t="s">
        <v>577</v>
      </c>
      <c r="BR244" s="302" t="s">
        <v>578</v>
      </c>
      <c r="BS244" s="434">
        <v>0.1</v>
      </c>
      <c r="BT244" s="302" t="s">
        <v>508</v>
      </c>
      <c r="BU244" s="302" t="s">
        <v>546</v>
      </c>
      <c r="BV244" s="434">
        <v>0</v>
      </c>
      <c r="BW244" s="645">
        <f t="shared" si="334"/>
        <v>0.5</v>
      </c>
      <c r="BX244" s="434">
        <v>0.4</v>
      </c>
      <c r="BY244" s="302" t="s">
        <v>577</v>
      </c>
      <c r="BZ244" s="302" t="s">
        <v>578</v>
      </c>
      <c r="CA244" s="434">
        <v>0.1</v>
      </c>
      <c r="CB244" s="302" t="s">
        <v>508</v>
      </c>
      <c r="CC244" s="302" t="s">
        <v>546</v>
      </c>
      <c r="CD244" s="434">
        <v>0</v>
      </c>
      <c r="CE244" s="434">
        <f t="shared" si="335"/>
        <v>0.5</v>
      </c>
      <c r="CF244" s="1620" t="s">
        <v>1166</v>
      </c>
      <c r="CG244" s="1620" t="s">
        <v>1166</v>
      </c>
      <c r="CH244" s="1620" t="s">
        <v>1166</v>
      </c>
      <c r="CI244" s="406"/>
      <c r="CJ244" s="642">
        <v>0.66700000000000004</v>
      </c>
      <c r="CK244" s="591" t="s">
        <v>922</v>
      </c>
      <c r="CL244" s="302" t="s">
        <v>577</v>
      </c>
      <c r="CM244" s="302" t="s">
        <v>578</v>
      </c>
      <c r="CN244" s="637">
        <v>0.6</v>
      </c>
      <c r="CO244" s="302" t="s">
        <v>508</v>
      </c>
      <c r="CP244" s="302" t="s">
        <v>546</v>
      </c>
      <c r="CQ244" s="637">
        <v>0</v>
      </c>
    </row>
    <row r="245" spans="1:95" ht="15" x14ac:dyDescent="0.2">
      <c r="A245" s="661" t="s">
        <v>376</v>
      </c>
      <c r="B245" s="440" t="s">
        <v>375</v>
      </c>
      <c r="C245" s="637">
        <v>0.49</v>
      </c>
      <c r="D245" s="440" t="s">
        <v>508</v>
      </c>
      <c r="E245" s="440" t="s">
        <v>660</v>
      </c>
      <c r="F245" s="637">
        <v>0</v>
      </c>
      <c r="G245" s="440" t="s">
        <v>667</v>
      </c>
      <c r="H245" s="440" t="s">
        <v>668</v>
      </c>
      <c r="I245" s="637">
        <v>0.01</v>
      </c>
      <c r="J245" s="662">
        <f t="shared" si="289"/>
        <v>0.5</v>
      </c>
      <c r="K245" s="637">
        <v>0.49</v>
      </c>
      <c r="L245" s="440" t="s">
        <v>508</v>
      </c>
      <c r="M245" s="440" t="s">
        <v>660</v>
      </c>
      <c r="N245" s="637">
        <v>0</v>
      </c>
      <c r="O245" s="440" t="s">
        <v>667</v>
      </c>
      <c r="P245" s="440" t="s">
        <v>668</v>
      </c>
      <c r="Q245" s="637">
        <v>0.01</v>
      </c>
      <c r="R245" s="662">
        <f t="shared" si="319"/>
        <v>0.5</v>
      </c>
      <c r="S245" s="637">
        <v>0.49</v>
      </c>
      <c r="T245" s="302" t="s">
        <v>508</v>
      </c>
      <c r="U245" s="302" t="s">
        <v>660</v>
      </c>
      <c r="V245" s="637">
        <v>0</v>
      </c>
      <c r="W245" s="302" t="s">
        <v>667</v>
      </c>
      <c r="X245" s="302" t="s">
        <v>668</v>
      </c>
      <c r="Y245" s="637">
        <v>0.01</v>
      </c>
      <c r="Z245" s="645">
        <f t="shared" si="330"/>
        <v>0.5</v>
      </c>
      <c r="AA245" s="637">
        <v>0.49</v>
      </c>
      <c r="AB245" s="302" t="s">
        <v>508</v>
      </c>
      <c r="AC245" s="302" t="s">
        <v>660</v>
      </c>
      <c r="AD245" s="637">
        <v>0</v>
      </c>
      <c r="AE245" s="302" t="s">
        <v>667</v>
      </c>
      <c r="AF245" s="302" t="s">
        <v>668</v>
      </c>
      <c r="AG245" s="637">
        <v>0.01</v>
      </c>
      <c r="AH245" s="645">
        <f t="shared" si="324"/>
        <v>0.5</v>
      </c>
      <c r="AI245" s="637">
        <v>0.49</v>
      </c>
      <c r="AJ245" s="302" t="s">
        <v>508</v>
      </c>
      <c r="AK245" s="302" t="s">
        <v>660</v>
      </c>
      <c r="AL245" s="637">
        <v>0</v>
      </c>
      <c r="AM245" s="302" t="s">
        <v>667</v>
      </c>
      <c r="AN245" s="302" t="s">
        <v>668</v>
      </c>
      <c r="AO245" s="637">
        <v>0.01</v>
      </c>
      <c r="AP245" s="645">
        <f t="shared" si="311"/>
        <v>0.5</v>
      </c>
      <c r="AQ245" s="637">
        <v>0.49</v>
      </c>
      <c r="AR245" s="302" t="s">
        <v>508</v>
      </c>
      <c r="AS245" s="302" t="s">
        <v>660</v>
      </c>
      <c r="AT245" s="637">
        <v>0</v>
      </c>
      <c r="AU245" s="302" t="s">
        <v>667</v>
      </c>
      <c r="AV245" s="302" t="s">
        <v>668</v>
      </c>
      <c r="AW245" s="637">
        <v>0.01</v>
      </c>
      <c r="AX245" s="645">
        <f t="shared" si="331"/>
        <v>0.5</v>
      </c>
      <c r="AY245" s="637">
        <v>0.49</v>
      </c>
      <c r="AZ245" s="302" t="s">
        <v>508</v>
      </c>
      <c r="BA245" s="302" t="s">
        <v>660</v>
      </c>
      <c r="BB245" s="637">
        <v>0</v>
      </c>
      <c r="BC245" s="302" t="s">
        <v>667</v>
      </c>
      <c r="BD245" s="302" t="s">
        <v>668</v>
      </c>
      <c r="BE245" s="637">
        <v>0.01</v>
      </c>
      <c r="BF245" s="434">
        <f t="shared" si="332"/>
        <v>0.5</v>
      </c>
      <c r="BG245" s="587">
        <v>0.49</v>
      </c>
      <c r="BH245" s="302" t="s">
        <v>508</v>
      </c>
      <c r="BI245" s="302" t="s">
        <v>660</v>
      </c>
      <c r="BJ245" s="434">
        <v>0</v>
      </c>
      <c r="BK245" s="302" t="s">
        <v>667</v>
      </c>
      <c r="BL245" s="302" t="s">
        <v>668</v>
      </c>
      <c r="BM245" s="434">
        <v>0.01</v>
      </c>
      <c r="BN245" s="645">
        <f t="shared" si="333"/>
        <v>0.5</v>
      </c>
      <c r="BO245" s="434"/>
      <c r="BP245" s="434">
        <v>0.49</v>
      </c>
      <c r="BQ245" s="302" t="s">
        <v>508</v>
      </c>
      <c r="BR245" s="302" t="s">
        <v>660</v>
      </c>
      <c r="BS245" s="434">
        <v>0</v>
      </c>
      <c r="BT245" s="302" t="s">
        <v>667</v>
      </c>
      <c r="BU245" s="302" t="s">
        <v>668</v>
      </c>
      <c r="BV245" s="434">
        <v>0.01</v>
      </c>
      <c r="BW245" s="645">
        <f t="shared" si="334"/>
        <v>0.5</v>
      </c>
      <c r="BX245" s="434">
        <v>0.49</v>
      </c>
      <c r="BY245" s="302" t="s">
        <v>508</v>
      </c>
      <c r="BZ245" s="302" t="s">
        <v>660</v>
      </c>
      <c r="CA245" s="434">
        <v>0</v>
      </c>
      <c r="CB245" s="302" t="s">
        <v>667</v>
      </c>
      <c r="CC245" s="302" t="s">
        <v>668</v>
      </c>
      <c r="CD245" s="434">
        <v>0.01</v>
      </c>
      <c r="CE245" s="434">
        <f t="shared" si="335"/>
        <v>0.5</v>
      </c>
      <c r="CF245" s="1620" t="s">
        <v>862</v>
      </c>
      <c r="CG245" s="1620" t="s">
        <v>1166</v>
      </c>
      <c r="CH245" s="1620" t="s">
        <v>862</v>
      </c>
      <c r="CI245" s="408" t="s">
        <v>862</v>
      </c>
      <c r="CJ245" s="642">
        <v>0.67600000000000005</v>
      </c>
      <c r="CK245" s="591" t="s">
        <v>922</v>
      </c>
      <c r="CL245" s="302" t="s">
        <v>508</v>
      </c>
      <c r="CM245" s="302" t="s">
        <v>660</v>
      </c>
      <c r="CN245" s="637">
        <v>0</v>
      </c>
      <c r="CO245" s="302" t="s">
        <v>667</v>
      </c>
      <c r="CP245" s="302" t="s">
        <v>668</v>
      </c>
      <c r="CQ245" s="637">
        <v>0.01</v>
      </c>
    </row>
    <row r="246" spans="1:95" ht="15.75" customHeight="1" x14ac:dyDescent="0.2">
      <c r="A246" s="661" t="s">
        <v>378</v>
      </c>
      <c r="B246" s="440" t="s">
        <v>377</v>
      </c>
      <c r="C246" s="637">
        <v>0.4</v>
      </c>
      <c r="D246" s="440" t="s">
        <v>649</v>
      </c>
      <c r="E246" s="440" t="s">
        <v>650</v>
      </c>
      <c r="F246" s="637">
        <v>0.1</v>
      </c>
      <c r="G246" s="440" t="s">
        <v>508</v>
      </c>
      <c r="H246" s="440" t="s">
        <v>546</v>
      </c>
      <c r="I246" s="637">
        <v>0</v>
      </c>
      <c r="J246" s="662">
        <f t="shared" si="289"/>
        <v>0.5</v>
      </c>
      <c r="K246" s="637">
        <v>0.4</v>
      </c>
      <c r="L246" s="440" t="s">
        <v>649</v>
      </c>
      <c r="M246" s="440" t="s">
        <v>650</v>
      </c>
      <c r="N246" s="637">
        <v>0.1</v>
      </c>
      <c r="O246" s="440" t="s">
        <v>508</v>
      </c>
      <c r="P246" s="440" t="s">
        <v>546</v>
      </c>
      <c r="Q246" s="637">
        <v>0</v>
      </c>
      <c r="R246" s="662">
        <f t="shared" si="319"/>
        <v>0.5</v>
      </c>
      <c r="S246" s="637">
        <v>0.4</v>
      </c>
      <c r="T246" s="302" t="s">
        <v>649</v>
      </c>
      <c r="U246" s="302" t="s">
        <v>650</v>
      </c>
      <c r="V246" s="637">
        <v>0.1</v>
      </c>
      <c r="W246" s="302" t="s">
        <v>508</v>
      </c>
      <c r="X246" s="302" t="s">
        <v>546</v>
      </c>
      <c r="Y246" s="637">
        <v>0</v>
      </c>
      <c r="Z246" s="645">
        <f t="shared" si="330"/>
        <v>0.5</v>
      </c>
      <c r="AA246" s="637">
        <v>0.4</v>
      </c>
      <c r="AB246" s="302" t="s">
        <v>649</v>
      </c>
      <c r="AC246" s="302" t="s">
        <v>650</v>
      </c>
      <c r="AD246" s="637">
        <v>0.1</v>
      </c>
      <c r="AE246" s="302" t="s">
        <v>508</v>
      </c>
      <c r="AF246" s="302" t="s">
        <v>546</v>
      </c>
      <c r="AG246" s="637">
        <v>0</v>
      </c>
      <c r="AH246" s="645">
        <f t="shared" si="324"/>
        <v>0.5</v>
      </c>
      <c r="AI246" s="637">
        <v>0.4</v>
      </c>
      <c r="AJ246" s="302" t="s">
        <v>649</v>
      </c>
      <c r="AK246" s="302" t="s">
        <v>650</v>
      </c>
      <c r="AL246" s="637">
        <v>0.1</v>
      </c>
      <c r="AM246" s="302" t="s">
        <v>508</v>
      </c>
      <c r="AN246" s="302" t="s">
        <v>546</v>
      </c>
      <c r="AO246" s="637">
        <v>0</v>
      </c>
      <c r="AP246" s="645">
        <f t="shared" si="311"/>
        <v>0.5</v>
      </c>
      <c r="AQ246" s="637">
        <v>0.4</v>
      </c>
      <c r="AR246" s="302" t="s">
        <v>649</v>
      </c>
      <c r="AS246" s="302" t="s">
        <v>650</v>
      </c>
      <c r="AT246" s="637">
        <v>0.1</v>
      </c>
      <c r="AU246" s="302" t="s">
        <v>508</v>
      </c>
      <c r="AV246" s="302" t="s">
        <v>546</v>
      </c>
      <c r="AW246" s="637">
        <v>0</v>
      </c>
      <c r="AX246" s="645">
        <f t="shared" si="331"/>
        <v>0.5</v>
      </c>
      <c r="AY246" s="637">
        <v>0.4</v>
      </c>
      <c r="AZ246" s="302" t="s">
        <v>649</v>
      </c>
      <c r="BA246" s="302" t="s">
        <v>650</v>
      </c>
      <c r="BB246" s="637">
        <v>0.1</v>
      </c>
      <c r="BC246" s="302" t="s">
        <v>508</v>
      </c>
      <c r="BD246" s="302" t="s">
        <v>546</v>
      </c>
      <c r="BE246" s="637">
        <v>0</v>
      </c>
      <c r="BF246" s="434">
        <f t="shared" si="332"/>
        <v>0.5</v>
      </c>
      <c r="BG246" s="587">
        <v>0.3</v>
      </c>
      <c r="BH246" s="302" t="s">
        <v>649</v>
      </c>
      <c r="BI246" s="302" t="s">
        <v>650</v>
      </c>
      <c r="BJ246" s="434">
        <v>0.7</v>
      </c>
      <c r="BK246" s="302" t="s">
        <v>508</v>
      </c>
      <c r="BL246" s="302" t="s">
        <v>546</v>
      </c>
      <c r="BM246" s="434">
        <v>0</v>
      </c>
      <c r="BN246" s="645">
        <f t="shared" si="333"/>
        <v>1</v>
      </c>
      <c r="BO246" s="434"/>
      <c r="BP246" s="434">
        <v>0.4</v>
      </c>
      <c r="BQ246" s="302" t="s">
        <v>649</v>
      </c>
      <c r="BR246" s="302" t="s">
        <v>650</v>
      </c>
      <c r="BS246" s="434">
        <v>0.1</v>
      </c>
      <c r="BT246" s="302" t="s">
        <v>508</v>
      </c>
      <c r="BU246" s="302" t="s">
        <v>546</v>
      </c>
      <c r="BV246" s="434">
        <v>0</v>
      </c>
      <c r="BW246" s="645">
        <f t="shared" si="334"/>
        <v>0.5</v>
      </c>
      <c r="BX246" s="434">
        <v>0.4</v>
      </c>
      <c r="BY246" s="302" t="s">
        <v>649</v>
      </c>
      <c r="BZ246" s="302" t="s">
        <v>650</v>
      </c>
      <c r="CA246" s="434">
        <v>0.1</v>
      </c>
      <c r="CB246" s="302" t="s">
        <v>508</v>
      </c>
      <c r="CC246" s="302" t="s">
        <v>546</v>
      </c>
      <c r="CD246" s="434">
        <v>0</v>
      </c>
      <c r="CE246" s="434">
        <f t="shared" si="335"/>
        <v>0.5</v>
      </c>
      <c r="CF246" s="1620" t="s">
        <v>1166</v>
      </c>
      <c r="CG246" s="1620" t="s">
        <v>1166</v>
      </c>
      <c r="CH246" s="1620" t="s">
        <v>1166</v>
      </c>
      <c r="CI246" s="406"/>
      <c r="CJ246" s="642">
        <v>0.749</v>
      </c>
      <c r="CK246" s="591" t="s">
        <v>922</v>
      </c>
      <c r="CL246" s="302" t="s">
        <v>649</v>
      </c>
      <c r="CM246" s="302" t="s">
        <v>650</v>
      </c>
      <c r="CN246" s="637">
        <v>0.6</v>
      </c>
      <c r="CO246" s="302" t="s">
        <v>508</v>
      </c>
      <c r="CP246" s="302" t="s">
        <v>546</v>
      </c>
      <c r="CQ246" s="637">
        <v>0</v>
      </c>
    </row>
    <row r="247" spans="1:95" ht="15.75" customHeight="1" x14ac:dyDescent="0.2">
      <c r="A247" s="661" t="s">
        <v>380</v>
      </c>
      <c r="B247" s="440" t="s">
        <v>379</v>
      </c>
      <c r="C247" s="637">
        <v>0.3</v>
      </c>
      <c r="D247" s="440" t="s">
        <v>674</v>
      </c>
      <c r="E247" s="440" t="s">
        <v>675</v>
      </c>
      <c r="F247" s="637">
        <v>0.37</v>
      </c>
      <c r="G247" s="440" t="s">
        <v>508</v>
      </c>
      <c r="H247" s="440" t="s">
        <v>508</v>
      </c>
      <c r="I247" s="637">
        <v>0</v>
      </c>
      <c r="J247" s="662">
        <f t="shared" si="289"/>
        <v>0.66999999999999993</v>
      </c>
      <c r="K247" s="637">
        <v>0.3</v>
      </c>
      <c r="L247" s="440" t="s">
        <v>674</v>
      </c>
      <c r="M247" s="440" t="s">
        <v>675</v>
      </c>
      <c r="N247" s="637">
        <v>0.37</v>
      </c>
      <c r="O247" s="440" t="s">
        <v>508</v>
      </c>
      <c r="P247" s="440" t="s">
        <v>508</v>
      </c>
      <c r="Q247" s="637">
        <v>0</v>
      </c>
      <c r="R247" s="662">
        <f t="shared" si="319"/>
        <v>0.66999999999999993</v>
      </c>
      <c r="S247" s="637">
        <v>0.3</v>
      </c>
      <c r="T247" s="302" t="s">
        <v>674</v>
      </c>
      <c r="U247" s="302" t="s">
        <v>675</v>
      </c>
      <c r="V247" s="637">
        <v>0.37</v>
      </c>
      <c r="W247" s="302" t="s">
        <v>508</v>
      </c>
      <c r="X247" s="302" t="s">
        <v>508</v>
      </c>
      <c r="Y247" s="637">
        <v>0</v>
      </c>
      <c r="Z247" s="645">
        <f t="shared" si="330"/>
        <v>0.66999999999999993</v>
      </c>
      <c r="AA247" s="637">
        <v>0.3</v>
      </c>
      <c r="AB247" s="302" t="s">
        <v>674</v>
      </c>
      <c r="AC247" s="302" t="s">
        <v>675</v>
      </c>
      <c r="AD247" s="637">
        <v>0.37</v>
      </c>
      <c r="AE247" s="302" t="s">
        <v>508</v>
      </c>
      <c r="AF247" s="302" t="s">
        <v>508</v>
      </c>
      <c r="AG247" s="637">
        <v>0</v>
      </c>
      <c r="AH247" s="645">
        <f t="shared" si="324"/>
        <v>0.66999999999999993</v>
      </c>
      <c r="AI247" s="637">
        <v>0.3</v>
      </c>
      <c r="AJ247" s="302" t="s">
        <v>674</v>
      </c>
      <c r="AK247" s="302" t="s">
        <v>675</v>
      </c>
      <c r="AL247" s="637">
        <v>0.37</v>
      </c>
      <c r="AM247" s="302" t="s">
        <v>508</v>
      </c>
      <c r="AN247" s="302" t="s">
        <v>508</v>
      </c>
      <c r="AO247" s="637">
        <v>0</v>
      </c>
      <c r="AP247" s="645">
        <f t="shared" si="311"/>
        <v>0.66999999999999993</v>
      </c>
      <c r="AQ247" s="637">
        <v>0.3</v>
      </c>
      <c r="AR247" s="302" t="s">
        <v>674</v>
      </c>
      <c r="AS247" s="302" t="s">
        <v>675</v>
      </c>
      <c r="AT247" s="637">
        <v>0.37</v>
      </c>
      <c r="AU247" s="302" t="s">
        <v>508</v>
      </c>
      <c r="AV247" s="302" t="s">
        <v>508</v>
      </c>
      <c r="AW247" s="637">
        <v>0</v>
      </c>
      <c r="AX247" s="645">
        <f t="shared" ref="AX247:AX250" si="336">+AQ247+AT247+AW247</f>
        <v>0.66999999999999993</v>
      </c>
      <c r="AY247" s="637">
        <v>0.48</v>
      </c>
      <c r="AZ247" s="302" t="s">
        <v>674</v>
      </c>
      <c r="BA247" s="302" t="s">
        <v>675</v>
      </c>
      <c r="BB247" s="637">
        <v>0.27</v>
      </c>
      <c r="BC247" s="302" t="s">
        <v>508</v>
      </c>
      <c r="BD247" s="302" t="s">
        <v>508</v>
      </c>
      <c r="BE247" s="637">
        <v>0</v>
      </c>
      <c r="BF247" s="434">
        <f t="shared" ref="BF247:BF250" si="337">+AY247+BB247+BE247</f>
        <v>0.75</v>
      </c>
      <c r="BG247" s="587">
        <v>0.64</v>
      </c>
      <c r="BH247" s="302" t="s">
        <v>674</v>
      </c>
      <c r="BI247" s="302" t="s">
        <v>675</v>
      </c>
      <c r="BJ247" s="434">
        <v>0.36</v>
      </c>
      <c r="BK247" s="302" t="s">
        <v>508</v>
      </c>
      <c r="BL247" s="302" t="s">
        <v>508</v>
      </c>
      <c r="BM247" s="434">
        <v>0</v>
      </c>
      <c r="BN247" s="645">
        <f t="shared" ref="BN247:BN250" si="338">+BG247+BJ247+BM247</f>
        <v>1</v>
      </c>
      <c r="BO247" s="434"/>
      <c r="BP247" s="434">
        <v>0.3</v>
      </c>
      <c r="BQ247" s="302" t="s">
        <v>674</v>
      </c>
      <c r="BR247" s="302" t="s">
        <v>675</v>
      </c>
      <c r="BS247" s="434">
        <v>0.37</v>
      </c>
      <c r="BT247" s="302" t="s">
        <v>508</v>
      </c>
      <c r="BU247" s="302" t="s">
        <v>508</v>
      </c>
      <c r="BV247" s="434">
        <v>0</v>
      </c>
      <c r="BW247" s="645">
        <f t="shared" ref="BW247:BW250" si="339">+BP247+BS247+BV247</f>
        <v>0.66999999999999993</v>
      </c>
      <c r="BX247" s="434">
        <v>0.3</v>
      </c>
      <c r="BY247" s="302" t="s">
        <v>674</v>
      </c>
      <c r="BZ247" s="302" t="s">
        <v>675</v>
      </c>
      <c r="CA247" s="434">
        <v>0.2</v>
      </c>
      <c r="CB247" s="302" t="s">
        <v>508</v>
      </c>
      <c r="CC247" s="302" t="s">
        <v>508</v>
      </c>
      <c r="CD247" s="434">
        <v>0</v>
      </c>
      <c r="CE247" s="434">
        <f t="shared" ref="CE247:CE250" si="340">+BX247+CA247+CD247</f>
        <v>0.5</v>
      </c>
      <c r="CF247" s="1620" t="s">
        <v>1166</v>
      </c>
      <c r="CG247" s="1620" t="s">
        <v>1166</v>
      </c>
      <c r="CH247" s="1620" t="s">
        <v>1166</v>
      </c>
      <c r="CI247" s="408" t="s">
        <v>862</v>
      </c>
      <c r="CJ247" s="642">
        <v>0.73599999999999999</v>
      </c>
      <c r="CK247" s="591" t="s">
        <v>922</v>
      </c>
      <c r="CL247" s="302" t="s">
        <v>674</v>
      </c>
      <c r="CM247" s="302" t="s">
        <v>675</v>
      </c>
      <c r="CN247" s="637">
        <v>0.2</v>
      </c>
      <c r="CO247" s="302" t="s">
        <v>508</v>
      </c>
      <c r="CP247" s="302" t="s">
        <v>508</v>
      </c>
      <c r="CQ247" s="637">
        <v>0</v>
      </c>
    </row>
    <row r="248" spans="1:95" ht="15.75" customHeight="1" x14ac:dyDescent="0.2">
      <c r="A248" s="661" t="s">
        <v>382</v>
      </c>
      <c r="B248" s="440" t="s">
        <v>381</v>
      </c>
      <c r="C248" s="637">
        <v>0.4</v>
      </c>
      <c r="D248" s="440" t="s">
        <v>602</v>
      </c>
      <c r="E248" s="440" t="s">
        <v>603</v>
      </c>
      <c r="F248" s="637">
        <v>0.09</v>
      </c>
      <c r="G248" s="440" t="s">
        <v>600</v>
      </c>
      <c r="H248" s="440" t="s">
        <v>601</v>
      </c>
      <c r="I248" s="637">
        <v>0.01</v>
      </c>
      <c r="J248" s="662">
        <f t="shared" si="289"/>
        <v>0.5</v>
      </c>
      <c r="K248" s="637">
        <v>0.4</v>
      </c>
      <c r="L248" s="440" t="s">
        <v>602</v>
      </c>
      <c r="M248" s="440" t="s">
        <v>603</v>
      </c>
      <c r="N248" s="637">
        <v>0.09</v>
      </c>
      <c r="O248" s="440" t="s">
        <v>600</v>
      </c>
      <c r="P248" s="440" t="s">
        <v>601</v>
      </c>
      <c r="Q248" s="637">
        <v>0.01</v>
      </c>
      <c r="R248" s="662">
        <f t="shared" si="319"/>
        <v>0.5</v>
      </c>
      <c r="S248" s="637">
        <v>0.4</v>
      </c>
      <c r="T248" s="302" t="s">
        <v>602</v>
      </c>
      <c r="U248" s="302" t="s">
        <v>603</v>
      </c>
      <c r="V248" s="637">
        <v>0.09</v>
      </c>
      <c r="W248" s="302" t="s">
        <v>600</v>
      </c>
      <c r="X248" s="302" t="s">
        <v>601</v>
      </c>
      <c r="Y248" s="637">
        <v>0.01</v>
      </c>
      <c r="Z248" s="645">
        <f t="shared" si="330"/>
        <v>0.5</v>
      </c>
      <c r="AA248" s="637">
        <v>0.4</v>
      </c>
      <c r="AB248" s="302" t="s">
        <v>602</v>
      </c>
      <c r="AC248" s="302" t="s">
        <v>603</v>
      </c>
      <c r="AD248" s="637">
        <v>0.09</v>
      </c>
      <c r="AE248" s="302" t="s">
        <v>600</v>
      </c>
      <c r="AF248" s="302" t="s">
        <v>601</v>
      </c>
      <c r="AG248" s="637">
        <v>0.01</v>
      </c>
      <c r="AH248" s="645">
        <f t="shared" si="324"/>
        <v>0.5</v>
      </c>
      <c r="AI248" s="637">
        <v>0.4</v>
      </c>
      <c r="AJ248" s="302" t="s">
        <v>602</v>
      </c>
      <c r="AK248" s="302" t="s">
        <v>603</v>
      </c>
      <c r="AL248" s="637">
        <v>0.09</v>
      </c>
      <c r="AM248" s="302" t="s">
        <v>600</v>
      </c>
      <c r="AN248" s="302" t="s">
        <v>601</v>
      </c>
      <c r="AO248" s="637">
        <v>0.01</v>
      </c>
      <c r="AP248" s="645">
        <f t="shared" si="311"/>
        <v>0.5</v>
      </c>
      <c r="AQ248" s="637">
        <v>0.4</v>
      </c>
      <c r="AR248" s="302" t="s">
        <v>602</v>
      </c>
      <c r="AS248" s="302" t="s">
        <v>603</v>
      </c>
      <c r="AT248" s="637">
        <v>0.09</v>
      </c>
      <c r="AU248" s="302" t="s">
        <v>600</v>
      </c>
      <c r="AV248" s="302" t="s">
        <v>601</v>
      </c>
      <c r="AW248" s="637">
        <v>0.01</v>
      </c>
      <c r="AX248" s="645">
        <f t="shared" si="336"/>
        <v>0.5</v>
      </c>
      <c r="AY248" s="637">
        <v>0.4</v>
      </c>
      <c r="AZ248" s="302" t="s">
        <v>602</v>
      </c>
      <c r="BA248" s="302" t="s">
        <v>603</v>
      </c>
      <c r="BB248" s="637">
        <v>0.09</v>
      </c>
      <c r="BC248" s="302" t="s">
        <v>600</v>
      </c>
      <c r="BD248" s="302" t="s">
        <v>601</v>
      </c>
      <c r="BE248" s="637">
        <v>0.01</v>
      </c>
      <c r="BF248" s="434">
        <f t="shared" si="337"/>
        <v>0.5</v>
      </c>
      <c r="BG248" s="587">
        <v>0.4</v>
      </c>
      <c r="BH248" s="302" t="s">
        <v>602</v>
      </c>
      <c r="BI248" s="302" t="s">
        <v>603</v>
      </c>
      <c r="BJ248" s="434">
        <v>0.59</v>
      </c>
      <c r="BK248" s="302" t="s">
        <v>600</v>
      </c>
      <c r="BL248" s="302" t="s">
        <v>601</v>
      </c>
      <c r="BM248" s="434">
        <v>0.01</v>
      </c>
      <c r="BN248" s="645">
        <f t="shared" si="338"/>
        <v>1</v>
      </c>
      <c r="BO248" s="434"/>
      <c r="BP248" s="434">
        <v>0.4</v>
      </c>
      <c r="BQ248" s="302" t="s">
        <v>602</v>
      </c>
      <c r="BR248" s="302" t="s">
        <v>603</v>
      </c>
      <c r="BS248" s="434">
        <v>0.09</v>
      </c>
      <c r="BT248" s="302" t="s">
        <v>600</v>
      </c>
      <c r="BU248" s="302" t="s">
        <v>601</v>
      </c>
      <c r="BV248" s="434">
        <v>0.01</v>
      </c>
      <c r="BW248" s="645">
        <f t="shared" si="339"/>
        <v>0.5</v>
      </c>
      <c r="BX248" s="434">
        <v>0.4</v>
      </c>
      <c r="BY248" s="302" t="s">
        <v>602</v>
      </c>
      <c r="BZ248" s="302" t="s">
        <v>603</v>
      </c>
      <c r="CA248" s="434">
        <v>0.09</v>
      </c>
      <c r="CB248" s="302" t="s">
        <v>600</v>
      </c>
      <c r="CC248" s="302" t="s">
        <v>601</v>
      </c>
      <c r="CD248" s="434">
        <v>0.01</v>
      </c>
      <c r="CE248" s="434">
        <f t="shared" si="340"/>
        <v>0.5</v>
      </c>
      <c r="CF248" s="1620" t="s">
        <v>1166</v>
      </c>
      <c r="CG248" s="1620" t="s">
        <v>1166</v>
      </c>
      <c r="CH248" s="1620" t="s">
        <v>1166</v>
      </c>
      <c r="CI248" s="406"/>
      <c r="CJ248" s="642">
        <v>0.69199999999999995</v>
      </c>
      <c r="CK248" s="591" t="s">
        <v>922</v>
      </c>
      <c r="CL248" s="302" t="s">
        <v>602</v>
      </c>
      <c r="CM248" s="302" t="s">
        <v>603</v>
      </c>
      <c r="CN248" s="637">
        <v>0.59</v>
      </c>
      <c r="CO248" s="302" t="s">
        <v>600</v>
      </c>
      <c r="CP248" s="302" t="s">
        <v>601</v>
      </c>
      <c r="CQ248" s="637">
        <v>0.01</v>
      </c>
    </row>
    <row r="249" spans="1:95" ht="15.75" customHeight="1" x14ac:dyDescent="0.2">
      <c r="A249" s="661" t="s">
        <v>384</v>
      </c>
      <c r="B249" s="440" t="s">
        <v>657</v>
      </c>
      <c r="C249" s="637">
        <v>0.49</v>
      </c>
      <c r="D249" s="440" t="s">
        <v>508</v>
      </c>
      <c r="E249" s="440" t="s">
        <v>509</v>
      </c>
      <c r="F249" s="637">
        <v>0</v>
      </c>
      <c r="G249" s="440" t="s">
        <v>1282</v>
      </c>
      <c r="H249" s="440" t="s">
        <v>1283</v>
      </c>
      <c r="I249" s="637">
        <v>0.01</v>
      </c>
      <c r="J249" s="662">
        <f t="shared" si="289"/>
        <v>0.5</v>
      </c>
      <c r="K249" s="637">
        <v>0.49</v>
      </c>
      <c r="L249" s="440" t="s">
        <v>508</v>
      </c>
      <c r="M249" s="440" t="s">
        <v>509</v>
      </c>
      <c r="N249" s="637">
        <v>0</v>
      </c>
      <c r="O249" s="440" t="s">
        <v>1282</v>
      </c>
      <c r="P249" s="440" t="s">
        <v>1283</v>
      </c>
      <c r="Q249" s="637">
        <v>0.01</v>
      </c>
      <c r="R249" s="662">
        <f t="shared" si="319"/>
        <v>0.5</v>
      </c>
      <c r="S249" s="637">
        <v>0.49</v>
      </c>
      <c r="T249" s="302" t="s">
        <v>508</v>
      </c>
      <c r="U249" s="302" t="s">
        <v>509</v>
      </c>
      <c r="V249" s="637">
        <v>0</v>
      </c>
      <c r="W249" s="302" t="s">
        <v>1282</v>
      </c>
      <c r="X249" s="302" t="s">
        <v>1283</v>
      </c>
      <c r="Y249" s="637">
        <v>0.01</v>
      </c>
      <c r="Z249" s="645">
        <f t="shared" si="330"/>
        <v>0.5</v>
      </c>
      <c r="AA249" s="637">
        <v>0.49</v>
      </c>
      <c r="AB249" s="302" t="s">
        <v>508</v>
      </c>
      <c r="AC249" s="302" t="s">
        <v>509</v>
      </c>
      <c r="AD249" s="637">
        <v>0</v>
      </c>
      <c r="AE249" s="302" t="s">
        <v>1282</v>
      </c>
      <c r="AF249" s="302" t="s">
        <v>1283</v>
      </c>
      <c r="AG249" s="637">
        <v>0.01</v>
      </c>
      <c r="AH249" s="645">
        <f t="shared" si="324"/>
        <v>0.5</v>
      </c>
      <c r="AI249" s="637">
        <v>0.49</v>
      </c>
      <c r="AJ249" s="302" t="s">
        <v>508</v>
      </c>
      <c r="AK249" s="302" t="s">
        <v>509</v>
      </c>
      <c r="AL249" s="637">
        <v>0</v>
      </c>
      <c r="AM249" s="302" t="s">
        <v>1282</v>
      </c>
      <c r="AN249" s="302" t="s">
        <v>1283</v>
      </c>
      <c r="AO249" s="637">
        <v>0.01</v>
      </c>
      <c r="AP249" s="645">
        <f t="shared" si="311"/>
        <v>0.5</v>
      </c>
      <c r="AQ249" s="637">
        <v>0.49</v>
      </c>
      <c r="AR249" s="302" t="s">
        <v>508</v>
      </c>
      <c r="AS249" s="302" t="s">
        <v>509</v>
      </c>
      <c r="AT249" s="637">
        <v>0</v>
      </c>
      <c r="AU249" s="302" t="s">
        <v>1282</v>
      </c>
      <c r="AV249" s="302" t="s">
        <v>1283</v>
      </c>
      <c r="AW249" s="637">
        <v>0.01</v>
      </c>
      <c r="AX249" s="645">
        <f t="shared" si="336"/>
        <v>0.5</v>
      </c>
      <c r="AY249" s="637">
        <v>0.49</v>
      </c>
      <c r="AZ249" s="302" t="s">
        <v>508</v>
      </c>
      <c r="BA249" s="302" t="s">
        <v>509</v>
      </c>
      <c r="BB249" s="637">
        <v>0</v>
      </c>
      <c r="BC249" s="302" t="s">
        <v>658</v>
      </c>
      <c r="BD249" s="302" t="s">
        <v>659</v>
      </c>
      <c r="BE249" s="637">
        <v>0.01</v>
      </c>
      <c r="BF249" s="434">
        <f t="shared" si="337"/>
        <v>0.5</v>
      </c>
      <c r="BG249" s="587">
        <v>0.49</v>
      </c>
      <c r="BH249" s="302" t="s">
        <v>508</v>
      </c>
      <c r="BI249" s="302" t="s">
        <v>509</v>
      </c>
      <c r="BJ249" s="434">
        <v>0</v>
      </c>
      <c r="BK249" s="302" t="s">
        <v>658</v>
      </c>
      <c r="BL249" s="302" t="s">
        <v>659</v>
      </c>
      <c r="BM249" s="434">
        <v>0.01</v>
      </c>
      <c r="BN249" s="645">
        <f t="shared" si="338"/>
        <v>0.5</v>
      </c>
      <c r="BO249" s="434"/>
      <c r="BP249" s="434">
        <v>0.49</v>
      </c>
      <c r="BQ249" s="302" t="s">
        <v>508</v>
      </c>
      <c r="BR249" s="302" t="s">
        <v>509</v>
      </c>
      <c r="BS249" s="434">
        <v>0</v>
      </c>
      <c r="BT249" s="302" t="s">
        <v>658</v>
      </c>
      <c r="BU249" s="302" t="s">
        <v>659</v>
      </c>
      <c r="BV249" s="434">
        <v>0.01</v>
      </c>
      <c r="BW249" s="645">
        <f t="shared" si="339"/>
        <v>0.5</v>
      </c>
      <c r="BX249" s="434">
        <v>0.49</v>
      </c>
      <c r="BY249" s="302" t="s">
        <v>508</v>
      </c>
      <c r="BZ249" s="302" t="s">
        <v>509</v>
      </c>
      <c r="CA249" s="434">
        <v>0</v>
      </c>
      <c r="CB249" s="302" t="s">
        <v>658</v>
      </c>
      <c r="CC249" s="302" t="s">
        <v>659</v>
      </c>
      <c r="CD249" s="434">
        <v>0.01</v>
      </c>
      <c r="CE249" s="434">
        <f t="shared" si="340"/>
        <v>0.5</v>
      </c>
      <c r="CF249" s="1620" t="s">
        <v>1166</v>
      </c>
      <c r="CG249" s="1620" t="s">
        <v>1166</v>
      </c>
      <c r="CH249" s="1620" t="s">
        <v>1166</v>
      </c>
      <c r="CI249" s="408" t="s">
        <v>862</v>
      </c>
      <c r="CJ249" s="642">
        <v>0.71099999999999997</v>
      </c>
      <c r="CK249" s="591" t="s">
        <v>922</v>
      </c>
      <c r="CL249" s="302" t="s">
        <v>508</v>
      </c>
      <c r="CM249" s="302" t="s">
        <v>509</v>
      </c>
      <c r="CN249" s="637">
        <v>0</v>
      </c>
      <c r="CO249" s="302" t="s">
        <v>658</v>
      </c>
      <c r="CP249" s="302" t="s">
        <v>659</v>
      </c>
      <c r="CQ249" s="637">
        <v>0.01</v>
      </c>
    </row>
    <row r="250" spans="1:95" ht="15.75" customHeight="1" x14ac:dyDescent="0.2">
      <c r="A250" s="661" t="s">
        <v>386</v>
      </c>
      <c r="B250" s="440" t="s">
        <v>385</v>
      </c>
      <c r="C250" s="637">
        <v>0.99</v>
      </c>
      <c r="D250" s="440" t="s">
        <v>508</v>
      </c>
      <c r="E250" s="440" t="s">
        <v>660</v>
      </c>
      <c r="F250" s="637">
        <v>0</v>
      </c>
      <c r="G250" s="440" t="s">
        <v>1281</v>
      </c>
      <c r="H250" s="440" t="s">
        <v>1199</v>
      </c>
      <c r="I250" s="637">
        <v>0.01</v>
      </c>
      <c r="J250" s="662">
        <f t="shared" si="289"/>
        <v>1</v>
      </c>
      <c r="K250" s="637">
        <v>0.99</v>
      </c>
      <c r="L250" s="440" t="s">
        <v>508</v>
      </c>
      <c r="M250" s="440" t="s">
        <v>660</v>
      </c>
      <c r="N250" s="637">
        <v>0</v>
      </c>
      <c r="O250" s="440" t="s">
        <v>1281</v>
      </c>
      <c r="P250" s="440" t="s">
        <v>1199</v>
      </c>
      <c r="Q250" s="637">
        <v>0.01</v>
      </c>
      <c r="R250" s="662">
        <f t="shared" si="319"/>
        <v>1</v>
      </c>
      <c r="S250" s="637">
        <v>0.99</v>
      </c>
      <c r="T250" s="302" t="s">
        <v>508</v>
      </c>
      <c r="U250" s="302" t="s">
        <v>660</v>
      </c>
      <c r="V250" s="637">
        <v>0</v>
      </c>
      <c r="W250" s="302" t="s">
        <v>1281</v>
      </c>
      <c r="X250" s="302" t="s">
        <v>1199</v>
      </c>
      <c r="Y250" s="637">
        <v>0.01</v>
      </c>
      <c r="Z250" s="645">
        <f t="shared" si="330"/>
        <v>1</v>
      </c>
      <c r="AA250" s="637">
        <v>0.99</v>
      </c>
      <c r="AB250" s="302" t="s">
        <v>508</v>
      </c>
      <c r="AC250" s="302" t="s">
        <v>660</v>
      </c>
      <c r="AD250" s="637">
        <v>0</v>
      </c>
      <c r="AE250" s="302" t="s">
        <v>1281</v>
      </c>
      <c r="AF250" s="302" t="s">
        <v>1199</v>
      </c>
      <c r="AG250" s="637">
        <v>0.01</v>
      </c>
      <c r="AH250" s="645">
        <f t="shared" si="324"/>
        <v>1</v>
      </c>
      <c r="AI250" s="637">
        <v>0.99</v>
      </c>
      <c r="AJ250" s="302" t="s">
        <v>508</v>
      </c>
      <c r="AK250" s="302" t="s">
        <v>660</v>
      </c>
      <c r="AL250" s="637">
        <v>0</v>
      </c>
      <c r="AM250" s="302" t="s">
        <v>1281</v>
      </c>
      <c r="AN250" s="302" t="s">
        <v>1199</v>
      </c>
      <c r="AO250" s="637">
        <v>0.01</v>
      </c>
      <c r="AP250" s="645">
        <f t="shared" si="311"/>
        <v>1</v>
      </c>
      <c r="AQ250" s="637">
        <v>0.99</v>
      </c>
      <c r="AR250" s="302" t="s">
        <v>508</v>
      </c>
      <c r="AS250" s="302" t="s">
        <v>660</v>
      </c>
      <c r="AT250" s="637">
        <v>0</v>
      </c>
      <c r="AU250" s="302" t="s">
        <v>1281</v>
      </c>
      <c r="AV250" s="302" t="s">
        <v>1199</v>
      </c>
      <c r="AW250" s="637">
        <v>0.01</v>
      </c>
      <c r="AX250" s="645">
        <f t="shared" si="336"/>
        <v>1</v>
      </c>
      <c r="AY250" s="637">
        <v>0.99</v>
      </c>
      <c r="AZ250" s="302" t="s">
        <v>508</v>
      </c>
      <c r="BA250" s="302" t="s">
        <v>660</v>
      </c>
      <c r="BB250" s="637">
        <v>0</v>
      </c>
      <c r="BC250" s="302" t="s">
        <v>661</v>
      </c>
      <c r="BD250" s="302" t="s">
        <v>1199</v>
      </c>
      <c r="BE250" s="637">
        <v>0.01</v>
      </c>
      <c r="BF250" s="434">
        <f t="shared" si="337"/>
        <v>1</v>
      </c>
      <c r="BG250" s="587">
        <v>0.99</v>
      </c>
      <c r="BH250" s="302" t="s">
        <v>508</v>
      </c>
      <c r="BI250" s="302" t="s">
        <v>660</v>
      </c>
      <c r="BJ250" s="434">
        <v>0</v>
      </c>
      <c r="BK250" s="302" t="s">
        <v>661</v>
      </c>
      <c r="BL250" s="302" t="s">
        <v>662</v>
      </c>
      <c r="BM250" s="434">
        <v>0.01</v>
      </c>
      <c r="BN250" s="645">
        <f t="shared" si="338"/>
        <v>1</v>
      </c>
      <c r="BO250" s="434"/>
      <c r="BP250" s="434">
        <v>0.99</v>
      </c>
      <c r="BQ250" s="302" t="s">
        <v>508</v>
      </c>
      <c r="BR250" s="302" t="s">
        <v>660</v>
      </c>
      <c r="BS250" s="434">
        <v>0</v>
      </c>
      <c r="BT250" s="302" t="s">
        <v>661</v>
      </c>
      <c r="BU250" s="302" t="s">
        <v>662</v>
      </c>
      <c r="BV250" s="434">
        <v>0.01</v>
      </c>
      <c r="BW250" s="645">
        <f t="shared" si="339"/>
        <v>1</v>
      </c>
      <c r="BX250" s="434">
        <v>0.49</v>
      </c>
      <c r="BY250" s="302" t="s">
        <v>508</v>
      </c>
      <c r="BZ250" s="302" t="s">
        <v>660</v>
      </c>
      <c r="CA250" s="434">
        <v>0</v>
      </c>
      <c r="CB250" s="302" t="s">
        <v>661</v>
      </c>
      <c r="CC250" s="302" t="s">
        <v>662</v>
      </c>
      <c r="CD250" s="434">
        <v>0.01</v>
      </c>
      <c r="CE250" s="434">
        <f t="shared" si="340"/>
        <v>0.5</v>
      </c>
      <c r="CF250" s="1620" t="s">
        <v>1166</v>
      </c>
      <c r="CG250" s="1620" t="s">
        <v>1166</v>
      </c>
      <c r="CH250" s="1620" t="s">
        <v>1166</v>
      </c>
      <c r="CI250" s="408" t="s">
        <v>862</v>
      </c>
      <c r="CJ250" s="642">
        <v>0.64600000000000002</v>
      </c>
      <c r="CK250" s="591" t="s">
        <v>922</v>
      </c>
      <c r="CL250" s="302" t="s">
        <v>508</v>
      </c>
      <c r="CM250" s="302" t="s">
        <v>660</v>
      </c>
      <c r="CN250" s="637">
        <v>0</v>
      </c>
      <c r="CO250" s="302" t="s">
        <v>661</v>
      </c>
      <c r="CP250" s="302" t="s">
        <v>662</v>
      </c>
      <c r="CQ250" s="637">
        <v>0.01</v>
      </c>
    </row>
    <row r="251" spans="1:95" ht="15.75" customHeight="1" x14ac:dyDescent="0.2">
      <c r="A251" s="661" t="s">
        <v>388</v>
      </c>
      <c r="B251" s="440" t="s">
        <v>387</v>
      </c>
      <c r="C251" s="637">
        <v>0.4</v>
      </c>
      <c r="D251" s="440" t="s">
        <v>645</v>
      </c>
      <c r="E251" s="440" t="s">
        <v>646</v>
      </c>
      <c r="F251" s="637">
        <v>0.09</v>
      </c>
      <c r="G251" s="440" t="s">
        <v>643</v>
      </c>
      <c r="H251" s="440" t="s">
        <v>1201</v>
      </c>
      <c r="I251" s="637">
        <v>0.01</v>
      </c>
      <c r="J251" s="662">
        <f t="shared" si="289"/>
        <v>0.5</v>
      </c>
      <c r="K251" s="637">
        <v>0.4</v>
      </c>
      <c r="L251" s="440" t="s">
        <v>645</v>
      </c>
      <c r="M251" s="440" t="s">
        <v>646</v>
      </c>
      <c r="N251" s="637">
        <v>0.09</v>
      </c>
      <c r="O251" s="440" t="s">
        <v>643</v>
      </c>
      <c r="P251" s="440" t="s">
        <v>1201</v>
      </c>
      <c r="Q251" s="637">
        <v>0.01</v>
      </c>
      <c r="R251" s="662">
        <f t="shared" si="319"/>
        <v>0.5</v>
      </c>
      <c r="S251" s="637">
        <v>0.4</v>
      </c>
      <c r="T251" s="302" t="s">
        <v>645</v>
      </c>
      <c r="U251" s="302" t="s">
        <v>646</v>
      </c>
      <c r="V251" s="637">
        <v>0.09</v>
      </c>
      <c r="W251" s="302" t="s">
        <v>643</v>
      </c>
      <c r="X251" s="302" t="s">
        <v>1201</v>
      </c>
      <c r="Y251" s="637">
        <v>0.01</v>
      </c>
      <c r="Z251" s="645">
        <f t="shared" si="330"/>
        <v>0.5</v>
      </c>
      <c r="AA251" s="637">
        <v>0.4</v>
      </c>
      <c r="AB251" s="302" t="s">
        <v>645</v>
      </c>
      <c r="AC251" s="302" t="s">
        <v>646</v>
      </c>
      <c r="AD251" s="637">
        <v>0.09</v>
      </c>
      <c r="AE251" s="302" t="s">
        <v>643</v>
      </c>
      <c r="AF251" s="302" t="s">
        <v>1201</v>
      </c>
      <c r="AG251" s="637">
        <v>0.01</v>
      </c>
      <c r="AH251" s="645">
        <f t="shared" si="324"/>
        <v>0.5</v>
      </c>
      <c r="AI251" s="637">
        <v>0.4</v>
      </c>
      <c r="AJ251" s="302" t="s">
        <v>645</v>
      </c>
      <c r="AK251" s="302" t="s">
        <v>646</v>
      </c>
      <c r="AL251" s="637">
        <v>0.09</v>
      </c>
      <c r="AM251" s="302" t="s">
        <v>643</v>
      </c>
      <c r="AN251" s="302" t="s">
        <v>1201</v>
      </c>
      <c r="AO251" s="637">
        <v>0.01</v>
      </c>
      <c r="AP251" s="645">
        <f t="shared" si="311"/>
        <v>0.5</v>
      </c>
      <c r="AQ251" s="637">
        <v>0.4</v>
      </c>
      <c r="AR251" s="302" t="s">
        <v>645</v>
      </c>
      <c r="AS251" s="302" t="s">
        <v>646</v>
      </c>
      <c r="AT251" s="637">
        <v>0.09</v>
      </c>
      <c r="AU251" s="302" t="s">
        <v>643</v>
      </c>
      <c r="AV251" s="302" t="s">
        <v>1201</v>
      </c>
      <c r="AW251" s="637">
        <v>0.01</v>
      </c>
      <c r="AX251" s="645">
        <f t="shared" ref="AX251:AX254" si="341">+AQ251+AT251+AW251</f>
        <v>0.5</v>
      </c>
      <c r="AY251" s="637">
        <v>0.4</v>
      </c>
      <c r="AZ251" s="302" t="s">
        <v>645</v>
      </c>
      <c r="BA251" s="302" t="s">
        <v>646</v>
      </c>
      <c r="BB251" s="637">
        <v>0.33999999999999997</v>
      </c>
      <c r="BC251" s="302" t="s">
        <v>643</v>
      </c>
      <c r="BD251" s="302" t="s">
        <v>1201</v>
      </c>
      <c r="BE251" s="637">
        <v>0.01</v>
      </c>
      <c r="BF251" s="434">
        <f t="shared" ref="BF251:BF254" si="342">+AY251+BB251+BE251</f>
        <v>0.75</v>
      </c>
      <c r="BG251" s="587">
        <v>0.4</v>
      </c>
      <c r="BH251" s="302" t="s">
        <v>645</v>
      </c>
      <c r="BI251" s="302" t="s">
        <v>646</v>
      </c>
      <c r="BJ251" s="434">
        <v>0.09</v>
      </c>
      <c r="BK251" s="302" t="s">
        <v>643</v>
      </c>
      <c r="BL251" s="302" t="s">
        <v>644</v>
      </c>
      <c r="BM251" s="434">
        <v>0.01</v>
      </c>
      <c r="BN251" s="645">
        <f t="shared" ref="BN251:BN254" si="343">+BG251+BJ251+BM251</f>
        <v>0.5</v>
      </c>
      <c r="BO251" s="434"/>
      <c r="BP251" s="434">
        <v>0.4</v>
      </c>
      <c r="BQ251" s="302" t="s">
        <v>645</v>
      </c>
      <c r="BR251" s="302" t="s">
        <v>646</v>
      </c>
      <c r="BS251" s="434">
        <v>0.09</v>
      </c>
      <c r="BT251" s="302" t="s">
        <v>643</v>
      </c>
      <c r="BU251" s="302" t="s">
        <v>644</v>
      </c>
      <c r="BV251" s="434">
        <v>0.01</v>
      </c>
      <c r="BW251" s="645">
        <f t="shared" ref="BW251:BW254" si="344">+BP251+BS251+BV251</f>
        <v>0.5</v>
      </c>
      <c r="BX251" s="434">
        <v>0.4</v>
      </c>
      <c r="BY251" s="302" t="s">
        <v>645</v>
      </c>
      <c r="BZ251" s="302" t="s">
        <v>646</v>
      </c>
      <c r="CA251" s="434">
        <v>0.09</v>
      </c>
      <c r="CB251" s="302" t="s">
        <v>643</v>
      </c>
      <c r="CC251" s="302" t="s">
        <v>644</v>
      </c>
      <c r="CD251" s="434">
        <v>0.01</v>
      </c>
      <c r="CE251" s="434">
        <f t="shared" ref="CE251:CE254" si="345">+BX251+CA251+CD251</f>
        <v>0.5</v>
      </c>
      <c r="CF251" s="1620" t="s">
        <v>1166</v>
      </c>
      <c r="CG251" s="1620" t="s">
        <v>1166</v>
      </c>
      <c r="CH251" s="1620" t="s">
        <v>1166</v>
      </c>
      <c r="CI251" s="406"/>
      <c r="CJ251" s="642">
        <v>0.70899999999999996</v>
      </c>
      <c r="CK251" s="591" t="s">
        <v>922</v>
      </c>
      <c r="CL251" s="302" t="s">
        <v>645</v>
      </c>
      <c r="CM251" s="302" t="s">
        <v>646</v>
      </c>
      <c r="CN251" s="637">
        <v>0.59</v>
      </c>
      <c r="CO251" s="302" t="s">
        <v>643</v>
      </c>
      <c r="CP251" s="302" t="s">
        <v>644</v>
      </c>
      <c r="CQ251" s="637">
        <v>0.01</v>
      </c>
    </row>
    <row r="252" spans="1:95" ht="15.75" customHeight="1" x14ac:dyDescent="0.2">
      <c r="A252" s="661" t="s">
        <v>390</v>
      </c>
      <c r="B252" s="440" t="s">
        <v>389</v>
      </c>
      <c r="C252" s="637">
        <v>0.4</v>
      </c>
      <c r="D252" s="440" t="s">
        <v>649</v>
      </c>
      <c r="E252" s="440" t="s">
        <v>650</v>
      </c>
      <c r="F252" s="637">
        <v>0.1</v>
      </c>
      <c r="G252" s="440" t="s">
        <v>508</v>
      </c>
      <c r="H252" s="440" t="s">
        <v>546</v>
      </c>
      <c r="I252" s="637">
        <v>0</v>
      </c>
      <c r="J252" s="662">
        <f t="shared" si="289"/>
        <v>0.5</v>
      </c>
      <c r="K252" s="637">
        <v>0.4</v>
      </c>
      <c r="L252" s="440" t="s">
        <v>649</v>
      </c>
      <c r="M252" s="440" t="s">
        <v>650</v>
      </c>
      <c r="N252" s="637">
        <v>0.1</v>
      </c>
      <c r="O252" s="440" t="s">
        <v>508</v>
      </c>
      <c r="P252" s="440" t="s">
        <v>546</v>
      </c>
      <c r="Q252" s="637">
        <v>0</v>
      </c>
      <c r="R252" s="662">
        <f t="shared" si="319"/>
        <v>0.5</v>
      </c>
      <c r="S252" s="637">
        <v>0.4</v>
      </c>
      <c r="T252" s="302" t="s">
        <v>649</v>
      </c>
      <c r="U252" s="302" t="s">
        <v>650</v>
      </c>
      <c r="V252" s="637">
        <v>0.1</v>
      </c>
      <c r="W252" s="302" t="s">
        <v>508</v>
      </c>
      <c r="X252" s="302" t="s">
        <v>546</v>
      </c>
      <c r="Y252" s="637">
        <v>0</v>
      </c>
      <c r="Z252" s="645">
        <f t="shared" si="330"/>
        <v>0.5</v>
      </c>
      <c r="AA252" s="637">
        <v>0.4</v>
      </c>
      <c r="AB252" s="302" t="s">
        <v>649</v>
      </c>
      <c r="AC252" s="302" t="s">
        <v>650</v>
      </c>
      <c r="AD252" s="637">
        <v>0.1</v>
      </c>
      <c r="AE252" s="302" t="s">
        <v>508</v>
      </c>
      <c r="AF252" s="302" t="s">
        <v>546</v>
      </c>
      <c r="AG252" s="637">
        <v>0</v>
      </c>
      <c r="AH252" s="645">
        <f t="shared" si="324"/>
        <v>0.5</v>
      </c>
      <c r="AI252" s="637">
        <v>0.4</v>
      </c>
      <c r="AJ252" s="302" t="s">
        <v>649</v>
      </c>
      <c r="AK252" s="302" t="s">
        <v>650</v>
      </c>
      <c r="AL252" s="637">
        <v>0.1</v>
      </c>
      <c r="AM252" s="302" t="s">
        <v>508</v>
      </c>
      <c r="AN252" s="302" t="s">
        <v>546</v>
      </c>
      <c r="AO252" s="637">
        <v>0</v>
      </c>
      <c r="AP252" s="645">
        <f t="shared" si="311"/>
        <v>0.5</v>
      </c>
      <c r="AQ252" s="637">
        <v>0.4</v>
      </c>
      <c r="AR252" s="302" t="s">
        <v>649</v>
      </c>
      <c r="AS252" s="302" t="s">
        <v>650</v>
      </c>
      <c r="AT252" s="637">
        <v>0.1</v>
      </c>
      <c r="AU252" s="302" t="s">
        <v>508</v>
      </c>
      <c r="AV252" s="302" t="s">
        <v>546</v>
      </c>
      <c r="AW252" s="637">
        <v>0</v>
      </c>
      <c r="AX252" s="645">
        <f t="shared" si="341"/>
        <v>0.5</v>
      </c>
      <c r="AY252" s="637">
        <v>0.4</v>
      </c>
      <c r="AZ252" s="302" t="s">
        <v>649</v>
      </c>
      <c r="BA252" s="302" t="s">
        <v>650</v>
      </c>
      <c r="BB252" s="637">
        <v>0.1</v>
      </c>
      <c r="BC252" s="302" t="s">
        <v>508</v>
      </c>
      <c r="BD252" s="302" t="s">
        <v>546</v>
      </c>
      <c r="BE252" s="637">
        <v>0</v>
      </c>
      <c r="BF252" s="434">
        <f t="shared" si="342"/>
        <v>0.5</v>
      </c>
      <c r="BG252" s="587">
        <v>0.3</v>
      </c>
      <c r="BH252" s="302" t="s">
        <v>649</v>
      </c>
      <c r="BI252" s="302" t="s">
        <v>650</v>
      </c>
      <c r="BJ252" s="434">
        <v>0.7</v>
      </c>
      <c r="BK252" s="302" t="s">
        <v>508</v>
      </c>
      <c r="BL252" s="302" t="s">
        <v>546</v>
      </c>
      <c r="BM252" s="434">
        <v>0</v>
      </c>
      <c r="BN252" s="645">
        <f t="shared" si="343"/>
        <v>1</v>
      </c>
      <c r="BO252" s="434"/>
      <c r="BP252" s="434">
        <v>0.4</v>
      </c>
      <c r="BQ252" s="302" t="s">
        <v>649</v>
      </c>
      <c r="BR252" s="302" t="s">
        <v>650</v>
      </c>
      <c r="BS252" s="434">
        <v>0.1</v>
      </c>
      <c r="BT252" s="302" t="s">
        <v>508</v>
      </c>
      <c r="BU252" s="302" t="s">
        <v>546</v>
      </c>
      <c r="BV252" s="434">
        <v>0</v>
      </c>
      <c r="BW252" s="645">
        <f t="shared" si="344"/>
        <v>0.5</v>
      </c>
      <c r="BX252" s="434">
        <v>0.4</v>
      </c>
      <c r="BY252" s="302" t="s">
        <v>649</v>
      </c>
      <c r="BZ252" s="302" t="s">
        <v>650</v>
      </c>
      <c r="CA252" s="434">
        <v>0.1</v>
      </c>
      <c r="CB252" s="302" t="s">
        <v>508</v>
      </c>
      <c r="CC252" s="302" t="s">
        <v>546</v>
      </c>
      <c r="CD252" s="434">
        <v>0</v>
      </c>
      <c r="CE252" s="434">
        <f t="shared" si="345"/>
        <v>0.5</v>
      </c>
      <c r="CF252" s="1620" t="s">
        <v>1166</v>
      </c>
      <c r="CG252" s="1620" t="s">
        <v>1166</v>
      </c>
      <c r="CH252" s="1620" t="s">
        <v>1166</v>
      </c>
      <c r="CI252" s="406"/>
      <c r="CJ252" s="642">
        <v>0.69199999999999995</v>
      </c>
      <c r="CK252" s="591" t="s">
        <v>922</v>
      </c>
      <c r="CL252" s="302" t="s">
        <v>649</v>
      </c>
      <c r="CM252" s="302" t="s">
        <v>650</v>
      </c>
      <c r="CN252" s="637">
        <v>0.6</v>
      </c>
      <c r="CO252" s="302" t="s">
        <v>508</v>
      </c>
      <c r="CP252" s="302" t="s">
        <v>546</v>
      </c>
      <c r="CQ252" s="637">
        <v>0</v>
      </c>
    </row>
    <row r="253" spans="1:95" ht="15.75" customHeight="1" x14ac:dyDescent="0.2">
      <c r="A253" s="661" t="s">
        <v>392</v>
      </c>
      <c r="B253" s="440" t="s">
        <v>391</v>
      </c>
      <c r="C253" s="637">
        <v>0.4</v>
      </c>
      <c r="D253" s="440" t="s">
        <v>557</v>
      </c>
      <c r="E253" s="440" t="s">
        <v>558</v>
      </c>
      <c r="F253" s="637">
        <v>0.09</v>
      </c>
      <c r="G253" s="440" t="s">
        <v>554</v>
      </c>
      <c r="H253" s="440" t="s">
        <v>555</v>
      </c>
      <c r="I253" s="637">
        <v>0.01</v>
      </c>
      <c r="J253" s="662">
        <f t="shared" si="289"/>
        <v>0.5</v>
      </c>
      <c r="K253" s="637">
        <v>0.4</v>
      </c>
      <c r="L253" s="440" t="s">
        <v>557</v>
      </c>
      <c r="M253" s="440" t="s">
        <v>558</v>
      </c>
      <c r="N253" s="637">
        <v>0.09</v>
      </c>
      <c r="O253" s="440" t="s">
        <v>554</v>
      </c>
      <c r="P253" s="440" t="s">
        <v>555</v>
      </c>
      <c r="Q253" s="637">
        <v>0.01</v>
      </c>
      <c r="R253" s="662">
        <f t="shared" si="319"/>
        <v>0.5</v>
      </c>
      <c r="S253" s="637">
        <v>0.4</v>
      </c>
      <c r="T253" s="302" t="s">
        <v>557</v>
      </c>
      <c r="U253" s="302" t="s">
        <v>558</v>
      </c>
      <c r="V253" s="637">
        <v>0.09</v>
      </c>
      <c r="W253" s="302" t="s">
        <v>554</v>
      </c>
      <c r="X253" s="302" t="s">
        <v>555</v>
      </c>
      <c r="Y253" s="637">
        <v>0.01</v>
      </c>
      <c r="Z253" s="645">
        <f t="shared" si="330"/>
        <v>0.5</v>
      </c>
      <c r="AA253" s="637">
        <v>0.4</v>
      </c>
      <c r="AB253" s="302" t="s">
        <v>557</v>
      </c>
      <c r="AC253" s="302" t="s">
        <v>558</v>
      </c>
      <c r="AD253" s="637">
        <v>0.09</v>
      </c>
      <c r="AE253" s="302" t="s">
        <v>554</v>
      </c>
      <c r="AF253" s="302" t="s">
        <v>555</v>
      </c>
      <c r="AG253" s="637">
        <v>0.01</v>
      </c>
      <c r="AH253" s="645">
        <f t="shared" si="324"/>
        <v>0.5</v>
      </c>
      <c r="AI253" s="637">
        <v>0.4</v>
      </c>
      <c r="AJ253" s="302" t="s">
        <v>557</v>
      </c>
      <c r="AK253" s="302" t="s">
        <v>558</v>
      </c>
      <c r="AL253" s="637">
        <v>0.09</v>
      </c>
      <c r="AM253" s="302" t="s">
        <v>554</v>
      </c>
      <c r="AN253" s="302" t="s">
        <v>555</v>
      </c>
      <c r="AO253" s="637">
        <v>0.01</v>
      </c>
      <c r="AP253" s="645">
        <f t="shared" si="311"/>
        <v>0.5</v>
      </c>
      <c r="AQ253" s="637">
        <v>0.4</v>
      </c>
      <c r="AR253" s="302" t="s">
        <v>557</v>
      </c>
      <c r="AS253" s="302" t="s">
        <v>558</v>
      </c>
      <c r="AT253" s="637">
        <v>0.09</v>
      </c>
      <c r="AU253" s="302" t="s">
        <v>554</v>
      </c>
      <c r="AV253" s="302" t="s">
        <v>555</v>
      </c>
      <c r="AW253" s="637">
        <v>0.01</v>
      </c>
      <c r="AX253" s="645">
        <f t="shared" si="341"/>
        <v>0.5</v>
      </c>
      <c r="AY253" s="637">
        <v>0.4</v>
      </c>
      <c r="AZ253" s="302" t="s">
        <v>557</v>
      </c>
      <c r="BA253" s="302" t="s">
        <v>558</v>
      </c>
      <c r="BB253" s="637">
        <v>0.09</v>
      </c>
      <c r="BC253" s="302" t="s">
        <v>554</v>
      </c>
      <c r="BD253" s="302" t="s">
        <v>555</v>
      </c>
      <c r="BE253" s="637">
        <v>0.01</v>
      </c>
      <c r="BF253" s="434">
        <f t="shared" si="342"/>
        <v>0.5</v>
      </c>
      <c r="BG253" s="587">
        <v>0.4</v>
      </c>
      <c r="BH253" s="302" t="s">
        <v>557</v>
      </c>
      <c r="BI253" s="302" t="s">
        <v>558</v>
      </c>
      <c r="BJ253" s="434">
        <v>0.59</v>
      </c>
      <c r="BK253" s="302" t="s">
        <v>554</v>
      </c>
      <c r="BL253" s="302" t="s">
        <v>555</v>
      </c>
      <c r="BM253" s="434">
        <v>0.01</v>
      </c>
      <c r="BN253" s="645">
        <f t="shared" si="343"/>
        <v>1</v>
      </c>
      <c r="BO253" s="434"/>
      <c r="BP253" s="434">
        <v>0.4</v>
      </c>
      <c r="BQ253" s="302" t="s">
        <v>557</v>
      </c>
      <c r="BR253" s="302" t="s">
        <v>558</v>
      </c>
      <c r="BS253" s="434">
        <v>0.09</v>
      </c>
      <c r="BT253" s="302" t="s">
        <v>554</v>
      </c>
      <c r="BU253" s="302" t="s">
        <v>555</v>
      </c>
      <c r="BV253" s="434">
        <v>0.01</v>
      </c>
      <c r="BW253" s="645">
        <f t="shared" si="344"/>
        <v>0.5</v>
      </c>
      <c r="BX253" s="434">
        <v>0.4</v>
      </c>
      <c r="BY253" s="302" t="s">
        <v>557</v>
      </c>
      <c r="BZ253" s="302" t="s">
        <v>558</v>
      </c>
      <c r="CA253" s="434">
        <v>0.09</v>
      </c>
      <c r="CB253" s="302" t="s">
        <v>554</v>
      </c>
      <c r="CC253" s="302" t="s">
        <v>555</v>
      </c>
      <c r="CD253" s="434">
        <v>0.01</v>
      </c>
      <c r="CE253" s="434">
        <f t="shared" si="345"/>
        <v>0.5</v>
      </c>
      <c r="CF253" s="1620" t="s">
        <v>1166</v>
      </c>
      <c r="CG253" s="1620" t="s">
        <v>1166</v>
      </c>
      <c r="CH253" s="1620" t="s">
        <v>1166</v>
      </c>
      <c r="CI253" s="406"/>
      <c r="CJ253" s="642">
        <v>0.65800000000000003</v>
      </c>
      <c r="CK253" s="591" t="s">
        <v>922</v>
      </c>
      <c r="CL253" s="302" t="s">
        <v>557</v>
      </c>
      <c r="CM253" s="302" t="s">
        <v>558</v>
      </c>
      <c r="CN253" s="637">
        <v>0.59</v>
      </c>
      <c r="CO253" s="302" t="s">
        <v>554</v>
      </c>
      <c r="CP253" s="302" t="s">
        <v>555</v>
      </c>
      <c r="CQ253" s="637">
        <v>0.01</v>
      </c>
    </row>
    <row r="254" spans="1:95" ht="15.75" customHeight="1" x14ac:dyDescent="0.2">
      <c r="A254" s="661" t="s">
        <v>394</v>
      </c>
      <c r="B254" s="776" t="s">
        <v>638</v>
      </c>
      <c r="C254" s="637">
        <v>0.49</v>
      </c>
      <c r="D254" s="440" t="s">
        <v>508</v>
      </c>
      <c r="E254" s="440" t="s">
        <v>509</v>
      </c>
      <c r="F254" s="637">
        <v>0</v>
      </c>
      <c r="G254" s="440" t="s">
        <v>639</v>
      </c>
      <c r="H254" s="440" t="s">
        <v>640</v>
      </c>
      <c r="I254" s="637">
        <v>0.01</v>
      </c>
      <c r="J254" s="662">
        <f t="shared" si="289"/>
        <v>0.5</v>
      </c>
      <c r="K254" s="637">
        <v>0.49</v>
      </c>
      <c r="L254" s="440" t="s">
        <v>508</v>
      </c>
      <c r="M254" s="440" t="s">
        <v>509</v>
      </c>
      <c r="N254" s="637">
        <v>0</v>
      </c>
      <c r="O254" s="440" t="s">
        <v>639</v>
      </c>
      <c r="P254" s="440" t="s">
        <v>640</v>
      </c>
      <c r="Q254" s="637">
        <v>0.01</v>
      </c>
      <c r="R254" s="662">
        <f t="shared" si="319"/>
        <v>0.5</v>
      </c>
      <c r="S254" s="637">
        <v>0.49</v>
      </c>
      <c r="T254" s="302" t="s">
        <v>508</v>
      </c>
      <c r="U254" s="302" t="s">
        <v>509</v>
      </c>
      <c r="V254" s="637">
        <v>0</v>
      </c>
      <c r="W254" s="302" t="s">
        <v>639</v>
      </c>
      <c r="X254" s="302" t="s">
        <v>640</v>
      </c>
      <c r="Y254" s="637">
        <v>0.01</v>
      </c>
      <c r="Z254" s="645">
        <f t="shared" si="330"/>
        <v>0.5</v>
      </c>
      <c r="AA254" s="637">
        <v>0.49</v>
      </c>
      <c r="AB254" s="302" t="s">
        <v>508</v>
      </c>
      <c r="AC254" s="302" t="s">
        <v>509</v>
      </c>
      <c r="AD254" s="637">
        <v>0</v>
      </c>
      <c r="AE254" s="302" t="s">
        <v>639</v>
      </c>
      <c r="AF254" s="302" t="s">
        <v>640</v>
      </c>
      <c r="AG254" s="637">
        <v>0.01</v>
      </c>
      <c r="AH254" s="645">
        <f t="shared" si="324"/>
        <v>0.5</v>
      </c>
      <c r="AI254" s="637">
        <v>0.49</v>
      </c>
      <c r="AJ254" s="302" t="s">
        <v>508</v>
      </c>
      <c r="AK254" s="302" t="s">
        <v>509</v>
      </c>
      <c r="AL254" s="637">
        <v>0</v>
      </c>
      <c r="AM254" s="302" t="s">
        <v>639</v>
      </c>
      <c r="AN254" s="302" t="s">
        <v>640</v>
      </c>
      <c r="AO254" s="637">
        <v>0.01</v>
      </c>
      <c r="AP254" s="645">
        <f t="shared" si="311"/>
        <v>0.5</v>
      </c>
      <c r="AQ254" s="637">
        <v>0.49</v>
      </c>
      <c r="AR254" s="302" t="s">
        <v>508</v>
      </c>
      <c r="AS254" s="302" t="s">
        <v>509</v>
      </c>
      <c r="AT254" s="637">
        <v>0</v>
      </c>
      <c r="AU254" s="302" t="s">
        <v>639</v>
      </c>
      <c r="AV254" s="302" t="s">
        <v>640</v>
      </c>
      <c r="AW254" s="637">
        <v>0.01</v>
      </c>
      <c r="AX254" s="645">
        <f t="shared" si="341"/>
        <v>0.5</v>
      </c>
      <c r="AY254" s="637">
        <v>0.49</v>
      </c>
      <c r="AZ254" s="302" t="s">
        <v>508</v>
      </c>
      <c r="BA254" s="302" t="s">
        <v>509</v>
      </c>
      <c r="BB254" s="637">
        <v>0</v>
      </c>
      <c r="BC254" s="302" t="s">
        <v>639</v>
      </c>
      <c r="BD254" s="302" t="s">
        <v>640</v>
      </c>
      <c r="BE254" s="637">
        <v>0.01</v>
      </c>
      <c r="BF254" s="434">
        <f t="shared" si="342"/>
        <v>0.5</v>
      </c>
      <c r="BG254" s="587">
        <v>0.49</v>
      </c>
      <c r="BH254" s="302" t="s">
        <v>508</v>
      </c>
      <c r="BI254" s="302" t="s">
        <v>509</v>
      </c>
      <c r="BJ254" s="434">
        <v>0</v>
      </c>
      <c r="BK254" s="302" t="s">
        <v>639</v>
      </c>
      <c r="BL254" s="302" t="s">
        <v>640</v>
      </c>
      <c r="BM254" s="434">
        <v>0.01</v>
      </c>
      <c r="BN254" s="645">
        <f t="shared" si="343"/>
        <v>0.5</v>
      </c>
      <c r="BO254" s="434"/>
      <c r="BP254" s="434">
        <v>0.49</v>
      </c>
      <c r="BQ254" s="302" t="s">
        <v>508</v>
      </c>
      <c r="BR254" s="302" t="s">
        <v>509</v>
      </c>
      <c r="BS254" s="434">
        <v>0</v>
      </c>
      <c r="BT254" s="302" t="s">
        <v>639</v>
      </c>
      <c r="BU254" s="302" t="s">
        <v>640</v>
      </c>
      <c r="BV254" s="434">
        <v>0.01</v>
      </c>
      <c r="BW254" s="645">
        <f t="shared" si="344"/>
        <v>0.5</v>
      </c>
      <c r="BX254" s="434">
        <v>0.49</v>
      </c>
      <c r="BY254" s="302" t="s">
        <v>508</v>
      </c>
      <c r="BZ254" s="302" t="s">
        <v>509</v>
      </c>
      <c r="CA254" s="434">
        <v>0</v>
      </c>
      <c r="CB254" s="302" t="s">
        <v>639</v>
      </c>
      <c r="CC254" s="302" t="s">
        <v>640</v>
      </c>
      <c r="CD254" s="434">
        <v>0.01</v>
      </c>
      <c r="CE254" s="434">
        <f t="shared" si="345"/>
        <v>0.5</v>
      </c>
      <c r="CF254" s="1620" t="s">
        <v>1166</v>
      </c>
      <c r="CG254" s="1620" t="s">
        <v>1166</v>
      </c>
      <c r="CH254" s="1620" t="s">
        <v>1166</v>
      </c>
      <c r="CI254" s="408" t="s">
        <v>862</v>
      </c>
      <c r="CJ254" s="642">
        <v>0.69499999999999995</v>
      </c>
      <c r="CK254" s="591" t="s">
        <v>922</v>
      </c>
      <c r="CL254" s="302" t="s">
        <v>508</v>
      </c>
      <c r="CM254" s="302" t="s">
        <v>509</v>
      </c>
      <c r="CN254" s="637">
        <v>0</v>
      </c>
      <c r="CO254" s="302" t="s">
        <v>639</v>
      </c>
      <c r="CP254" s="302" t="s">
        <v>640</v>
      </c>
      <c r="CQ254" s="637">
        <v>0.01</v>
      </c>
    </row>
    <row r="255" spans="1:95" ht="15.75" customHeight="1" x14ac:dyDescent="0.2">
      <c r="A255" s="661" t="s">
        <v>396</v>
      </c>
      <c r="B255" s="440" t="s">
        <v>395</v>
      </c>
      <c r="C255" s="637">
        <v>0.4</v>
      </c>
      <c r="D255" s="440" t="s">
        <v>575</v>
      </c>
      <c r="E255" s="440" t="s">
        <v>576</v>
      </c>
      <c r="F255" s="637">
        <v>0.09</v>
      </c>
      <c r="G255" s="440" t="s">
        <v>572</v>
      </c>
      <c r="H255" s="440" t="s">
        <v>1200</v>
      </c>
      <c r="I255" s="637">
        <v>0.01</v>
      </c>
      <c r="J255" s="662">
        <f t="shared" si="289"/>
        <v>0.5</v>
      </c>
      <c r="K255" s="637">
        <v>0.4</v>
      </c>
      <c r="L255" s="440" t="s">
        <v>575</v>
      </c>
      <c r="M255" s="440" t="s">
        <v>576</v>
      </c>
      <c r="N255" s="637">
        <v>0.09</v>
      </c>
      <c r="O255" s="440" t="s">
        <v>572</v>
      </c>
      <c r="P255" s="440" t="s">
        <v>1200</v>
      </c>
      <c r="Q255" s="637">
        <v>0.01</v>
      </c>
      <c r="R255" s="662">
        <f t="shared" si="319"/>
        <v>0.5</v>
      </c>
      <c r="S255" s="637">
        <v>0.4</v>
      </c>
      <c r="T255" s="302" t="s">
        <v>575</v>
      </c>
      <c r="U255" s="302" t="s">
        <v>576</v>
      </c>
      <c r="V255" s="637">
        <v>0.09</v>
      </c>
      <c r="W255" s="302" t="s">
        <v>572</v>
      </c>
      <c r="X255" s="302" t="s">
        <v>1200</v>
      </c>
      <c r="Y255" s="637">
        <v>0.01</v>
      </c>
      <c r="Z255" s="645">
        <f t="shared" si="330"/>
        <v>0.5</v>
      </c>
      <c r="AA255" s="637">
        <v>0.4</v>
      </c>
      <c r="AB255" s="302" t="s">
        <v>575</v>
      </c>
      <c r="AC255" s="302" t="s">
        <v>576</v>
      </c>
      <c r="AD255" s="637">
        <v>0.09</v>
      </c>
      <c r="AE255" s="302" t="s">
        <v>572</v>
      </c>
      <c r="AF255" s="302" t="s">
        <v>1200</v>
      </c>
      <c r="AG255" s="637">
        <v>0.01</v>
      </c>
      <c r="AH255" s="645">
        <f t="shared" si="324"/>
        <v>0.5</v>
      </c>
      <c r="AI255" s="637">
        <v>0.4</v>
      </c>
      <c r="AJ255" s="302" t="s">
        <v>575</v>
      </c>
      <c r="AK255" s="302" t="s">
        <v>576</v>
      </c>
      <c r="AL255" s="637">
        <v>0.09</v>
      </c>
      <c r="AM255" s="302" t="s">
        <v>572</v>
      </c>
      <c r="AN255" s="302" t="s">
        <v>1200</v>
      </c>
      <c r="AO255" s="637">
        <v>0.01</v>
      </c>
      <c r="AP255" s="645">
        <f t="shared" si="311"/>
        <v>0.5</v>
      </c>
      <c r="AQ255" s="637">
        <v>0.4</v>
      </c>
      <c r="AR255" s="302" t="s">
        <v>575</v>
      </c>
      <c r="AS255" s="302" t="s">
        <v>576</v>
      </c>
      <c r="AT255" s="637">
        <v>0.09</v>
      </c>
      <c r="AU255" s="302" t="s">
        <v>572</v>
      </c>
      <c r="AV255" s="302" t="s">
        <v>1200</v>
      </c>
      <c r="AW255" s="637">
        <v>0.01</v>
      </c>
      <c r="AX255" s="645">
        <f t="shared" ref="AX255:AX258" si="346">+AQ255+AT255+AW255</f>
        <v>0.5</v>
      </c>
      <c r="AY255" s="637">
        <v>0.4</v>
      </c>
      <c r="AZ255" s="302" t="s">
        <v>575</v>
      </c>
      <c r="BA255" s="302" t="s">
        <v>576</v>
      </c>
      <c r="BB255" s="637">
        <v>0.09</v>
      </c>
      <c r="BC255" s="302" t="s">
        <v>572</v>
      </c>
      <c r="BD255" s="302" t="s">
        <v>1200</v>
      </c>
      <c r="BE255" s="637">
        <v>0.01</v>
      </c>
      <c r="BF255" s="434">
        <f t="shared" ref="BF255:BF258" si="347">+AY255+BB255+BE255</f>
        <v>0.5</v>
      </c>
      <c r="BG255" s="587">
        <v>0.4</v>
      </c>
      <c r="BH255" s="302" t="s">
        <v>575</v>
      </c>
      <c r="BI255" s="302" t="s">
        <v>576</v>
      </c>
      <c r="BJ255" s="434">
        <v>0.09</v>
      </c>
      <c r="BK255" s="302" t="s">
        <v>572</v>
      </c>
      <c r="BL255" s="302" t="s">
        <v>573</v>
      </c>
      <c r="BM255" s="434">
        <v>0.01</v>
      </c>
      <c r="BN255" s="645">
        <f t="shared" ref="BN255:BN258" si="348">+BG255+BJ255+BM255</f>
        <v>0.5</v>
      </c>
      <c r="BO255" s="434"/>
      <c r="BP255" s="434">
        <v>0.4</v>
      </c>
      <c r="BQ255" s="302" t="s">
        <v>575</v>
      </c>
      <c r="BR255" s="302" t="s">
        <v>576</v>
      </c>
      <c r="BS255" s="434">
        <v>0.09</v>
      </c>
      <c r="BT255" s="302" t="s">
        <v>572</v>
      </c>
      <c r="BU255" s="302" t="s">
        <v>573</v>
      </c>
      <c r="BV255" s="434">
        <v>0.01</v>
      </c>
      <c r="BW255" s="645">
        <f t="shared" ref="BW255:BW258" si="349">+BP255+BS255+BV255</f>
        <v>0.5</v>
      </c>
      <c r="BX255" s="434">
        <v>0.4</v>
      </c>
      <c r="BY255" s="302" t="s">
        <v>575</v>
      </c>
      <c r="BZ255" s="302" t="s">
        <v>576</v>
      </c>
      <c r="CA255" s="434">
        <v>0.09</v>
      </c>
      <c r="CB255" s="302" t="s">
        <v>572</v>
      </c>
      <c r="CC255" s="302" t="s">
        <v>573</v>
      </c>
      <c r="CD255" s="434">
        <v>0.01</v>
      </c>
      <c r="CE255" s="434">
        <f t="shared" ref="CE255:CE258" si="350">+BX255+CA255+CD255</f>
        <v>0.5</v>
      </c>
      <c r="CF255" s="1620" t="s">
        <v>862</v>
      </c>
      <c r="CG255" s="1620" t="s">
        <v>862</v>
      </c>
      <c r="CH255" s="1620" t="s">
        <v>1166</v>
      </c>
      <c r="CI255" s="406"/>
      <c r="CJ255" s="642">
        <v>0.65300000000000002</v>
      </c>
      <c r="CK255" s="591" t="s">
        <v>922</v>
      </c>
      <c r="CL255" s="302" t="s">
        <v>575</v>
      </c>
      <c r="CM255" s="302" t="s">
        <v>576</v>
      </c>
      <c r="CN255" s="637">
        <v>0.59</v>
      </c>
      <c r="CO255" s="302" t="s">
        <v>572</v>
      </c>
      <c r="CP255" s="302" t="s">
        <v>573</v>
      </c>
      <c r="CQ255" s="637">
        <v>0.01</v>
      </c>
    </row>
    <row r="256" spans="1:95" ht="15.75" customHeight="1" x14ac:dyDescent="0.2">
      <c r="A256" s="661" t="s">
        <v>398</v>
      </c>
      <c r="B256" s="440" t="s">
        <v>397</v>
      </c>
      <c r="C256" s="637">
        <v>0.4</v>
      </c>
      <c r="D256" s="440" t="s">
        <v>583</v>
      </c>
      <c r="E256" s="440" t="s">
        <v>584</v>
      </c>
      <c r="F256" s="637">
        <v>0.09</v>
      </c>
      <c r="G256" s="440" t="s">
        <v>2218</v>
      </c>
      <c r="H256" s="440" t="s">
        <v>2219</v>
      </c>
      <c r="I256" s="637">
        <v>0.01</v>
      </c>
      <c r="J256" s="662">
        <f t="shared" si="289"/>
        <v>0.5</v>
      </c>
      <c r="K256" s="637">
        <v>0.4</v>
      </c>
      <c r="L256" s="440" t="s">
        <v>583</v>
      </c>
      <c r="M256" s="440" t="s">
        <v>584</v>
      </c>
      <c r="N256" s="637">
        <v>0.09</v>
      </c>
      <c r="O256" s="440" t="s">
        <v>2218</v>
      </c>
      <c r="P256" s="440" t="s">
        <v>2219</v>
      </c>
      <c r="Q256" s="637">
        <v>0.01</v>
      </c>
      <c r="R256" s="662">
        <f t="shared" si="319"/>
        <v>0.5</v>
      </c>
      <c r="S256" s="637">
        <v>0.4</v>
      </c>
      <c r="T256" s="302" t="s">
        <v>583</v>
      </c>
      <c r="U256" s="302" t="s">
        <v>584</v>
      </c>
      <c r="V256" s="637">
        <v>0.09</v>
      </c>
      <c r="W256" s="302" t="s">
        <v>2218</v>
      </c>
      <c r="X256" s="302" t="s">
        <v>2219</v>
      </c>
      <c r="Y256" s="637">
        <v>0.01</v>
      </c>
      <c r="Z256" s="645">
        <f t="shared" si="330"/>
        <v>0.5</v>
      </c>
      <c r="AA256" s="637">
        <v>0.4</v>
      </c>
      <c r="AB256" s="302" t="s">
        <v>583</v>
      </c>
      <c r="AC256" s="302" t="s">
        <v>584</v>
      </c>
      <c r="AD256" s="637">
        <v>0.09</v>
      </c>
      <c r="AE256" s="302" t="s">
        <v>2218</v>
      </c>
      <c r="AF256" s="302" t="s">
        <v>2219</v>
      </c>
      <c r="AG256" s="637">
        <v>0.01</v>
      </c>
      <c r="AH256" s="645">
        <f t="shared" si="324"/>
        <v>0.5</v>
      </c>
      <c r="AI256" s="637">
        <v>0.4</v>
      </c>
      <c r="AJ256" s="302" t="s">
        <v>583</v>
      </c>
      <c r="AK256" s="302" t="s">
        <v>584</v>
      </c>
      <c r="AL256" s="637">
        <v>0.09</v>
      </c>
      <c r="AM256" s="302" t="s">
        <v>2218</v>
      </c>
      <c r="AN256" s="302" t="s">
        <v>2219</v>
      </c>
      <c r="AO256" s="637">
        <v>0.01</v>
      </c>
      <c r="AP256" s="645">
        <f t="shared" si="311"/>
        <v>0.5</v>
      </c>
      <c r="AQ256" s="637">
        <v>0.4</v>
      </c>
      <c r="AR256" s="302" t="s">
        <v>583</v>
      </c>
      <c r="AS256" s="302" t="s">
        <v>584</v>
      </c>
      <c r="AT256" s="637">
        <v>0.09</v>
      </c>
      <c r="AU256" s="302" t="s">
        <v>580</v>
      </c>
      <c r="AV256" s="302" t="s">
        <v>1293</v>
      </c>
      <c r="AW256" s="637">
        <v>0.01</v>
      </c>
      <c r="AX256" s="645">
        <f t="shared" si="346"/>
        <v>0.5</v>
      </c>
      <c r="AY256" s="637">
        <v>0.4</v>
      </c>
      <c r="AZ256" s="302" t="s">
        <v>583</v>
      </c>
      <c r="BA256" s="302" t="s">
        <v>584</v>
      </c>
      <c r="BB256" s="637">
        <v>0.09</v>
      </c>
      <c r="BC256" s="302" t="s">
        <v>580</v>
      </c>
      <c r="BD256" s="302" t="s">
        <v>581</v>
      </c>
      <c r="BE256" s="637">
        <v>0.01</v>
      </c>
      <c r="BF256" s="434">
        <f t="shared" si="347"/>
        <v>0.5</v>
      </c>
      <c r="BG256" s="587">
        <v>0.4</v>
      </c>
      <c r="BH256" s="302" t="s">
        <v>583</v>
      </c>
      <c r="BI256" s="302" t="s">
        <v>584</v>
      </c>
      <c r="BJ256" s="434">
        <v>0.09</v>
      </c>
      <c r="BK256" s="302" t="s">
        <v>580</v>
      </c>
      <c r="BL256" s="302" t="s">
        <v>581</v>
      </c>
      <c r="BM256" s="434">
        <v>0.01</v>
      </c>
      <c r="BN256" s="645">
        <f t="shared" si="348"/>
        <v>0.5</v>
      </c>
      <c r="BO256" s="434"/>
      <c r="BP256" s="434">
        <v>0.4</v>
      </c>
      <c r="BQ256" s="302" t="s">
        <v>583</v>
      </c>
      <c r="BR256" s="302" t="s">
        <v>584</v>
      </c>
      <c r="BS256" s="434">
        <v>0.09</v>
      </c>
      <c r="BT256" s="302" t="s">
        <v>580</v>
      </c>
      <c r="BU256" s="302" t="s">
        <v>581</v>
      </c>
      <c r="BV256" s="434">
        <v>0.01</v>
      </c>
      <c r="BW256" s="645">
        <f t="shared" si="349"/>
        <v>0.5</v>
      </c>
      <c r="BX256" s="434">
        <v>0.4</v>
      </c>
      <c r="BY256" s="302" t="s">
        <v>583</v>
      </c>
      <c r="BZ256" s="302" t="s">
        <v>584</v>
      </c>
      <c r="CA256" s="434">
        <v>0.09</v>
      </c>
      <c r="CB256" s="302" t="s">
        <v>580</v>
      </c>
      <c r="CC256" s="302" t="s">
        <v>581</v>
      </c>
      <c r="CD256" s="434">
        <v>0.01</v>
      </c>
      <c r="CE256" s="434">
        <f t="shared" si="350"/>
        <v>0.5</v>
      </c>
      <c r="CF256" s="1620" t="s">
        <v>1166</v>
      </c>
      <c r="CG256" s="1620" t="s">
        <v>1166</v>
      </c>
      <c r="CH256" s="1620" t="s">
        <v>1166</v>
      </c>
      <c r="CI256" s="406"/>
      <c r="CJ256" s="642">
        <v>0.69699999999999995</v>
      </c>
      <c r="CK256" s="591" t="s">
        <v>922</v>
      </c>
      <c r="CL256" s="302" t="s">
        <v>583</v>
      </c>
      <c r="CM256" s="302" t="s">
        <v>584</v>
      </c>
      <c r="CN256" s="637">
        <v>0.59</v>
      </c>
      <c r="CO256" s="302" t="s">
        <v>580</v>
      </c>
      <c r="CP256" s="302" t="s">
        <v>581</v>
      </c>
      <c r="CQ256" s="637">
        <v>0.01</v>
      </c>
    </row>
    <row r="257" spans="1:98" ht="15.75" customHeight="1" x14ac:dyDescent="0.2">
      <c r="A257" s="661" t="s">
        <v>400</v>
      </c>
      <c r="B257" s="440" t="s">
        <v>399</v>
      </c>
      <c r="C257" s="637">
        <v>0.4</v>
      </c>
      <c r="D257" s="440" t="s">
        <v>577</v>
      </c>
      <c r="E257" s="440" t="s">
        <v>578</v>
      </c>
      <c r="F257" s="637">
        <v>0.1</v>
      </c>
      <c r="G257" s="440" t="s">
        <v>508</v>
      </c>
      <c r="H257" s="440" t="s">
        <v>546</v>
      </c>
      <c r="I257" s="637">
        <v>0</v>
      </c>
      <c r="J257" s="662">
        <f t="shared" si="289"/>
        <v>0.5</v>
      </c>
      <c r="K257" s="637">
        <v>0.4</v>
      </c>
      <c r="L257" s="440" t="s">
        <v>577</v>
      </c>
      <c r="M257" s="440" t="s">
        <v>578</v>
      </c>
      <c r="N257" s="637">
        <v>0.1</v>
      </c>
      <c r="O257" s="440" t="s">
        <v>508</v>
      </c>
      <c r="P257" s="440" t="s">
        <v>546</v>
      </c>
      <c r="Q257" s="637">
        <v>0</v>
      </c>
      <c r="R257" s="662">
        <f t="shared" si="319"/>
        <v>0.5</v>
      </c>
      <c r="S257" s="637">
        <v>0.4</v>
      </c>
      <c r="T257" s="302" t="s">
        <v>577</v>
      </c>
      <c r="U257" s="302" t="s">
        <v>578</v>
      </c>
      <c r="V257" s="637">
        <v>0.1</v>
      </c>
      <c r="W257" s="302" t="s">
        <v>508</v>
      </c>
      <c r="X257" s="302" t="s">
        <v>546</v>
      </c>
      <c r="Y257" s="637">
        <v>0</v>
      </c>
      <c r="Z257" s="645">
        <f t="shared" si="330"/>
        <v>0.5</v>
      </c>
      <c r="AA257" s="637">
        <v>0.4</v>
      </c>
      <c r="AB257" s="302" t="s">
        <v>577</v>
      </c>
      <c r="AC257" s="302" t="s">
        <v>578</v>
      </c>
      <c r="AD257" s="637">
        <v>0.1</v>
      </c>
      <c r="AE257" s="302" t="s">
        <v>508</v>
      </c>
      <c r="AF257" s="302" t="s">
        <v>546</v>
      </c>
      <c r="AG257" s="637">
        <v>0</v>
      </c>
      <c r="AH257" s="645">
        <f t="shared" si="324"/>
        <v>0.5</v>
      </c>
      <c r="AI257" s="637">
        <v>0.4</v>
      </c>
      <c r="AJ257" s="302" t="s">
        <v>577</v>
      </c>
      <c r="AK257" s="302" t="s">
        <v>578</v>
      </c>
      <c r="AL257" s="637">
        <v>0.1</v>
      </c>
      <c r="AM257" s="302" t="s">
        <v>508</v>
      </c>
      <c r="AN257" s="302" t="s">
        <v>546</v>
      </c>
      <c r="AO257" s="637">
        <v>0</v>
      </c>
      <c r="AP257" s="645">
        <f t="shared" si="311"/>
        <v>0.5</v>
      </c>
      <c r="AQ257" s="637">
        <v>0.4</v>
      </c>
      <c r="AR257" s="302" t="s">
        <v>577</v>
      </c>
      <c r="AS257" s="302" t="s">
        <v>578</v>
      </c>
      <c r="AT257" s="637">
        <v>0.1</v>
      </c>
      <c r="AU257" s="302" t="s">
        <v>508</v>
      </c>
      <c r="AV257" s="302" t="s">
        <v>546</v>
      </c>
      <c r="AW257" s="637">
        <v>0</v>
      </c>
      <c r="AX257" s="645">
        <f t="shared" si="346"/>
        <v>0.5</v>
      </c>
      <c r="AY257" s="637">
        <v>0.4</v>
      </c>
      <c r="AZ257" s="302" t="s">
        <v>577</v>
      </c>
      <c r="BA257" s="302" t="s">
        <v>578</v>
      </c>
      <c r="BB257" s="637">
        <v>0.1</v>
      </c>
      <c r="BC257" s="302" t="s">
        <v>508</v>
      </c>
      <c r="BD257" s="302" t="s">
        <v>546</v>
      </c>
      <c r="BE257" s="637">
        <v>0</v>
      </c>
      <c r="BF257" s="434">
        <f t="shared" si="347"/>
        <v>0.5</v>
      </c>
      <c r="BG257" s="587">
        <v>0.5</v>
      </c>
      <c r="BH257" s="302" t="s">
        <v>577</v>
      </c>
      <c r="BI257" s="302" t="s">
        <v>578</v>
      </c>
      <c r="BJ257" s="434">
        <v>0.5</v>
      </c>
      <c r="BK257" s="302" t="s">
        <v>508</v>
      </c>
      <c r="BL257" s="302" t="s">
        <v>546</v>
      </c>
      <c r="BM257" s="434">
        <v>0</v>
      </c>
      <c r="BN257" s="645">
        <f t="shared" si="348"/>
        <v>1</v>
      </c>
      <c r="BO257" s="434"/>
      <c r="BP257" s="434">
        <v>0.4</v>
      </c>
      <c r="BQ257" s="302" t="s">
        <v>577</v>
      </c>
      <c r="BR257" s="302" t="s">
        <v>578</v>
      </c>
      <c r="BS257" s="434">
        <v>0.1</v>
      </c>
      <c r="BT257" s="302" t="s">
        <v>508</v>
      </c>
      <c r="BU257" s="302" t="s">
        <v>546</v>
      </c>
      <c r="BV257" s="434">
        <v>0</v>
      </c>
      <c r="BW257" s="645">
        <f t="shared" si="349"/>
        <v>0.5</v>
      </c>
      <c r="BX257" s="434">
        <v>0.4</v>
      </c>
      <c r="BY257" s="302" t="s">
        <v>577</v>
      </c>
      <c r="BZ257" s="302" t="s">
        <v>578</v>
      </c>
      <c r="CA257" s="434">
        <v>0.1</v>
      </c>
      <c r="CB257" s="302" t="s">
        <v>508</v>
      </c>
      <c r="CC257" s="302" t="s">
        <v>546</v>
      </c>
      <c r="CD257" s="434">
        <v>0</v>
      </c>
      <c r="CE257" s="434">
        <f t="shared" si="350"/>
        <v>0.5</v>
      </c>
      <c r="CF257" s="1620" t="s">
        <v>1166</v>
      </c>
      <c r="CG257" s="1620" t="s">
        <v>1166</v>
      </c>
      <c r="CH257" s="1620" t="s">
        <v>1166</v>
      </c>
      <c r="CI257" s="406"/>
      <c r="CJ257" s="642">
        <v>0.69399999999999995</v>
      </c>
      <c r="CK257" s="591" t="s">
        <v>922</v>
      </c>
      <c r="CL257" s="302" t="s">
        <v>577</v>
      </c>
      <c r="CM257" s="302" t="s">
        <v>578</v>
      </c>
      <c r="CN257" s="637">
        <v>0.6</v>
      </c>
      <c r="CO257" s="302" t="s">
        <v>508</v>
      </c>
      <c r="CP257" s="302" t="s">
        <v>546</v>
      </c>
      <c r="CQ257" s="637">
        <v>0</v>
      </c>
    </row>
    <row r="258" spans="1:98" ht="15.75" customHeight="1" x14ac:dyDescent="0.2">
      <c r="A258" s="661" t="s">
        <v>402</v>
      </c>
      <c r="B258" s="440" t="s">
        <v>401</v>
      </c>
      <c r="C258" s="637">
        <v>0.4</v>
      </c>
      <c r="D258" s="440" t="s">
        <v>602</v>
      </c>
      <c r="E258" s="440" t="s">
        <v>603</v>
      </c>
      <c r="F258" s="637">
        <v>0.09</v>
      </c>
      <c r="G258" s="440" t="s">
        <v>600</v>
      </c>
      <c r="H258" s="440" t="s">
        <v>601</v>
      </c>
      <c r="I258" s="637">
        <v>0.01</v>
      </c>
      <c r="J258" s="662">
        <f t="shared" si="289"/>
        <v>0.5</v>
      </c>
      <c r="K258" s="637">
        <v>0.4</v>
      </c>
      <c r="L258" s="440" t="s">
        <v>602</v>
      </c>
      <c r="M258" s="440" t="s">
        <v>603</v>
      </c>
      <c r="N258" s="637">
        <v>0.09</v>
      </c>
      <c r="O258" s="440" t="s">
        <v>600</v>
      </c>
      <c r="P258" s="440" t="s">
        <v>601</v>
      </c>
      <c r="Q258" s="637">
        <v>0.01</v>
      </c>
      <c r="R258" s="662">
        <f t="shared" si="319"/>
        <v>0.5</v>
      </c>
      <c r="S258" s="637">
        <v>0.4</v>
      </c>
      <c r="T258" s="302" t="s">
        <v>602</v>
      </c>
      <c r="U258" s="302" t="s">
        <v>603</v>
      </c>
      <c r="V258" s="637">
        <v>0.09</v>
      </c>
      <c r="W258" s="302" t="s">
        <v>600</v>
      </c>
      <c r="X258" s="302" t="s">
        <v>601</v>
      </c>
      <c r="Y258" s="637">
        <v>0.01</v>
      </c>
      <c r="Z258" s="645">
        <f t="shared" si="330"/>
        <v>0.5</v>
      </c>
      <c r="AA258" s="637">
        <v>0.4</v>
      </c>
      <c r="AB258" s="302" t="s">
        <v>602</v>
      </c>
      <c r="AC258" s="302" t="s">
        <v>603</v>
      </c>
      <c r="AD258" s="637">
        <v>0.09</v>
      </c>
      <c r="AE258" s="302" t="s">
        <v>600</v>
      </c>
      <c r="AF258" s="302" t="s">
        <v>601</v>
      </c>
      <c r="AG258" s="637">
        <v>0.01</v>
      </c>
      <c r="AH258" s="645">
        <f t="shared" si="324"/>
        <v>0.5</v>
      </c>
      <c r="AI258" s="637">
        <v>0.4</v>
      </c>
      <c r="AJ258" s="302" t="s">
        <v>602</v>
      </c>
      <c r="AK258" s="302" t="s">
        <v>603</v>
      </c>
      <c r="AL258" s="637">
        <v>0.09</v>
      </c>
      <c r="AM258" s="302" t="s">
        <v>600</v>
      </c>
      <c r="AN258" s="302" t="s">
        <v>601</v>
      </c>
      <c r="AO258" s="637">
        <v>0.01</v>
      </c>
      <c r="AP258" s="645">
        <f t="shared" si="311"/>
        <v>0.5</v>
      </c>
      <c r="AQ258" s="637">
        <v>0.4</v>
      </c>
      <c r="AR258" s="302" t="s">
        <v>602</v>
      </c>
      <c r="AS258" s="302" t="s">
        <v>603</v>
      </c>
      <c r="AT258" s="637">
        <v>0.09</v>
      </c>
      <c r="AU258" s="302" t="s">
        <v>600</v>
      </c>
      <c r="AV258" s="302" t="s">
        <v>601</v>
      </c>
      <c r="AW258" s="637">
        <v>0.01</v>
      </c>
      <c r="AX258" s="645">
        <f t="shared" si="346"/>
        <v>0.5</v>
      </c>
      <c r="AY258" s="637">
        <v>0.4</v>
      </c>
      <c r="AZ258" s="302" t="s">
        <v>602</v>
      </c>
      <c r="BA258" s="302" t="s">
        <v>603</v>
      </c>
      <c r="BB258" s="637">
        <v>0.09</v>
      </c>
      <c r="BC258" s="302" t="s">
        <v>600</v>
      </c>
      <c r="BD258" s="302" t="s">
        <v>601</v>
      </c>
      <c r="BE258" s="637">
        <v>0.01</v>
      </c>
      <c r="BF258" s="434">
        <f t="shared" si="347"/>
        <v>0.5</v>
      </c>
      <c r="BG258" s="587">
        <v>0.4</v>
      </c>
      <c r="BH258" s="302" t="s">
        <v>602</v>
      </c>
      <c r="BI258" s="302" t="s">
        <v>603</v>
      </c>
      <c r="BJ258" s="434">
        <v>0.59</v>
      </c>
      <c r="BK258" s="302" t="s">
        <v>600</v>
      </c>
      <c r="BL258" s="302" t="s">
        <v>601</v>
      </c>
      <c r="BM258" s="434">
        <v>0.01</v>
      </c>
      <c r="BN258" s="645">
        <f t="shared" si="348"/>
        <v>1</v>
      </c>
      <c r="BO258" s="434"/>
      <c r="BP258" s="434">
        <v>0.4</v>
      </c>
      <c r="BQ258" s="302" t="s">
        <v>602</v>
      </c>
      <c r="BR258" s="302" t="s">
        <v>603</v>
      </c>
      <c r="BS258" s="434">
        <v>0.09</v>
      </c>
      <c r="BT258" s="302" t="s">
        <v>600</v>
      </c>
      <c r="BU258" s="302" t="s">
        <v>601</v>
      </c>
      <c r="BV258" s="434">
        <v>0.01</v>
      </c>
      <c r="BW258" s="645">
        <f t="shared" si="349"/>
        <v>0.5</v>
      </c>
      <c r="BX258" s="434">
        <v>0.4</v>
      </c>
      <c r="BY258" s="302" t="s">
        <v>602</v>
      </c>
      <c r="BZ258" s="302" t="s">
        <v>603</v>
      </c>
      <c r="CA258" s="434">
        <v>0.09</v>
      </c>
      <c r="CB258" s="302" t="s">
        <v>600</v>
      </c>
      <c r="CC258" s="302" t="s">
        <v>601</v>
      </c>
      <c r="CD258" s="434">
        <v>0.01</v>
      </c>
      <c r="CE258" s="434">
        <f t="shared" si="350"/>
        <v>0.5</v>
      </c>
      <c r="CF258" s="1620" t="s">
        <v>1166</v>
      </c>
      <c r="CG258" s="1620" t="s">
        <v>1166</v>
      </c>
      <c r="CH258" s="1620" t="s">
        <v>1166</v>
      </c>
      <c r="CI258" s="406"/>
      <c r="CJ258" s="642">
        <v>0.65300000000000002</v>
      </c>
      <c r="CK258" s="591" t="s">
        <v>922</v>
      </c>
      <c r="CL258" s="302" t="s">
        <v>602</v>
      </c>
      <c r="CM258" s="302" t="s">
        <v>603</v>
      </c>
      <c r="CN258" s="637">
        <v>0.59</v>
      </c>
      <c r="CO258" s="302" t="s">
        <v>600</v>
      </c>
      <c r="CP258" s="302" t="s">
        <v>601</v>
      </c>
      <c r="CQ258" s="637">
        <v>0.01</v>
      </c>
    </row>
    <row r="259" spans="1:98" ht="15.75" customHeight="1" x14ac:dyDescent="0.2">
      <c r="A259" s="661" t="s">
        <v>404</v>
      </c>
      <c r="B259" s="440" t="s">
        <v>403</v>
      </c>
      <c r="C259" s="637">
        <v>0.4</v>
      </c>
      <c r="D259" s="440" t="s">
        <v>590</v>
      </c>
      <c r="E259" s="440" t="s">
        <v>591</v>
      </c>
      <c r="F259" s="637">
        <v>0.1</v>
      </c>
      <c r="G259" s="440" t="s">
        <v>508</v>
      </c>
      <c r="H259" s="440" t="s">
        <v>546</v>
      </c>
      <c r="I259" s="637">
        <v>0</v>
      </c>
      <c r="J259" s="662">
        <f t="shared" si="289"/>
        <v>0.5</v>
      </c>
      <c r="K259" s="637">
        <v>0.4</v>
      </c>
      <c r="L259" s="440" t="s">
        <v>590</v>
      </c>
      <c r="M259" s="440" t="s">
        <v>591</v>
      </c>
      <c r="N259" s="637">
        <v>0.1</v>
      </c>
      <c r="O259" s="440" t="s">
        <v>508</v>
      </c>
      <c r="P259" s="440" t="s">
        <v>546</v>
      </c>
      <c r="Q259" s="637">
        <v>0</v>
      </c>
      <c r="R259" s="662">
        <f t="shared" si="319"/>
        <v>0.5</v>
      </c>
      <c r="S259" s="637">
        <v>0.4</v>
      </c>
      <c r="T259" s="302" t="s">
        <v>590</v>
      </c>
      <c r="U259" s="302" t="s">
        <v>591</v>
      </c>
      <c r="V259" s="637">
        <v>0.1</v>
      </c>
      <c r="W259" s="302" t="s">
        <v>508</v>
      </c>
      <c r="X259" s="302" t="s">
        <v>546</v>
      </c>
      <c r="Y259" s="637">
        <v>0</v>
      </c>
      <c r="Z259" s="645">
        <f t="shared" si="330"/>
        <v>0.5</v>
      </c>
      <c r="AA259" s="637">
        <v>0.4</v>
      </c>
      <c r="AB259" s="302" t="s">
        <v>590</v>
      </c>
      <c r="AC259" s="302" t="s">
        <v>591</v>
      </c>
      <c r="AD259" s="637">
        <v>0.1</v>
      </c>
      <c r="AE259" s="302" t="s">
        <v>508</v>
      </c>
      <c r="AF259" s="302" t="s">
        <v>546</v>
      </c>
      <c r="AG259" s="637">
        <v>0</v>
      </c>
      <c r="AH259" s="645">
        <f t="shared" si="324"/>
        <v>0.5</v>
      </c>
      <c r="AI259" s="637">
        <v>0.4</v>
      </c>
      <c r="AJ259" s="302" t="s">
        <v>590</v>
      </c>
      <c r="AK259" s="302" t="s">
        <v>591</v>
      </c>
      <c r="AL259" s="637">
        <v>0.1</v>
      </c>
      <c r="AM259" s="302" t="s">
        <v>508</v>
      </c>
      <c r="AN259" s="302" t="s">
        <v>546</v>
      </c>
      <c r="AO259" s="637">
        <v>0</v>
      </c>
      <c r="AP259" s="645">
        <f t="shared" si="311"/>
        <v>0.5</v>
      </c>
      <c r="AQ259" s="637">
        <v>0.4</v>
      </c>
      <c r="AR259" s="302" t="s">
        <v>590</v>
      </c>
      <c r="AS259" s="302" t="s">
        <v>591</v>
      </c>
      <c r="AT259" s="637">
        <v>0.1</v>
      </c>
      <c r="AU259" s="302" t="s">
        <v>508</v>
      </c>
      <c r="AV259" s="302" t="s">
        <v>546</v>
      </c>
      <c r="AW259" s="637">
        <v>0</v>
      </c>
      <c r="AX259" s="645">
        <f t="shared" ref="AX259:AX262" si="351">+AQ259+AT259+AW259</f>
        <v>0.5</v>
      </c>
      <c r="AY259" s="637">
        <v>0.35</v>
      </c>
      <c r="AZ259" s="302" t="s">
        <v>590</v>
      </c>
      <c r="BA259" s="302" t="s">
        <v>591</v>
      </c>
      <c r="BB259" s="637">
        <v>0.4</v>
      </c>
      <c r="BC259" s="302" t="s">
        <v>508</v>
      </c>
      <c r="BD259" s="302" t="s">
        <v>546</v>
      </c>
      <c r="BE259" s="637">
        <v>0</v>
      </c>
      <c r="BF259" s="434">
        <f t="shared" ref="BF259:BF262" si="352">+AY259+BB259+BE259</f>
        <v>0.75</v>
      </c>
      <c r="BG259" s="587">
        <v>0.4</v>
      </c>
      <c r="BH259" s="302" t="s">
        <v>590</v>
      </c>
      <c r="BI259" s="302" t="s">
        <v>591</v>
      </c>
      <c r="BJ259" s="434">
        <v>0.1</v>
      </c>
      <c r="BK259" s="302" t="s">
        <v>508</v>
      </c>
      <c r="BL259" s="302" t="s">
        <v>546</v>
      </c>
      <c r="BM259" s="434">
        <v>0</v>
      </c>
      <c r="BN259" s="645">
        <f t="shared" ref="BN259:BN262" si="353">+BG259+BJ259+BM259</f>
        <v>0.5</v>
      </c>
      <c r="BO259" s="434"/>
      <c r="BP259" s="434">
        <v>0.4</v>
      </c>
      <c r="BQ259" s="302" t="s">
        <v>590</v>
      </c>
      <c r="BR259" s="302" t="s">
        <v>591</v>
      </c>
      <c r="BS259" s="434">
        <v>0.1</v>
      </c>
      <c r="BT259" s="302" t="s">
        <v>508</v>
      </c>
      <c r="BU259" s="302" t="s">
        <v>546</v>
      </c>
      <c r="BV259" s="434">
        <v>0</v>
      </c>
      <c r="BW259" s="645">
        <f t="shared" ref="BW259:BW262" si="354">+BP259+BS259+BV259</f>
        <v>0.5</v>
      </c>
      <c r="BX259" s="434">
        <v>0.4</v>
      </c>
      <c r="BY259" s="302" t="s">
        <v>590</v>
      </c>
      <c r="BZ259" s="302" t="s">
        <v>591</v>
      </c>
      <c r="CA259" s="434">
        <v>0.1</v>
      </c>
      <c r="CB259" s="302" t="s">
        <v>508</v>
      </c>
      <c r="CC259" s="302" t="s">
        <v>546</v>
      </c>
      <c r="CD259" s="434">
        <v>0</v>
      </c>
      <c r="CE259" s="434">
        <f t="shared" ref="CE259:CE262" si="355">+BX259+CA259+CD259</f>
        <v>0.5</v>
      </c>
      <c r="CF259" s="1620" t="s">
        <v>1166</v>
      </c>
      <c r="CG259" s="1620" t="s">
        <v>1166</v>
      </c>
      <c r="CH259" s="1620" t="s">
        <v>1166</v>
      </c>
      <c r="CI259" s="406"/>
      <c r="CJ259" s="642">
        <v>0.76500000000000001</v>
      </c>
      <c r="CK259" s="591" t="s">
        <v>922</v>
      </c>
      <c r="CL259" s="302" t="s">
        <v>590</v>
      </c>
      <c r="CM259" s="302" t="s">
        <v>591</v>
      </c>
      <c r="CN259" s="637">
        <v>0.6</v>
      </c>
      <c r="CO259" s="302" t="s">
        <v>508</v>
      </c>
      <c r="CP259" s="302" t="s">
        <v>546</v>
      </c>
      <c r="CQ259" s="637">
        <v>0</v>
      </c>
    </row>
    <row r="260" spans="1:98" ht="15.75" customHeight="1" x14ac:dyDescent="0.2">
      <c r="A260" s="661" t="s">
        <v>406</v>
      </c>
      <c r="B260" s="440" t="s">
        <v>574</v>
      </c>
      <c r="C260" s="637">
        <v>0.49</v>
      </c>
      <c r="D260" s="440" t="s">
        <v>508</v>
      </c>
      <c r="E260" s="440" t="s">
        <v>509</v>
      </c>
      <c r="F260" s="637">
        <v>0</v>
      </c>
      <c r="G260" s="440" t="s">
        <v>572</v>
      </c>
      <c r="H260" s="440" t="s">
        <v>1200</v>
      </c>
      <c r="I260" s="637">
        <v>0.01</v>
      </c>
      <c r="J260" s="662">
        <f t="shared" si="289"/>
        <v>0.5</v>
      </c>
      <c r="K260" s="637">
        <v>0.49</v>
      </c>
      <c r="L260" s="440" t="s">
        <v>508</v>
      </c>
      <c r="M260" s="440" t="s">
        <v>509</v>
      </c>
      <c r="N260" s="637">
        <v>0</v>
      </c>
      <c r="O260" s="440" t="s">
        <v>572</v>
      </c>
      <c r="P260" s="440" t="s">
        <v>1200</v>
      </c>
      <c r="Q260" s="637">
        <v>0.01</v>
      </c>
      <c r="R260" s="662">
        <f t="shared" si="319"/>
        <v>0.5</v>
      </c>
      <c r="S260" s="637">
        <v>0.49</v>
      </c>
      <c r="T260" s="302" t="s">
        <v>508</v>
      </c>
      <c r="U260" s="302" t="s">
        <v>509</v>
      </c>
      <c r="V260" s="637">
        <v>0</v>
      </c>
      <c r="W260" s="302" t="s">
        <v>572</v>
      </c>
      <c r="X260" s="302" t="s">
        <v>1200</v>
      </c>
      <c r="Y260" s="637">
        <v>0.01</v>
      </c>
      <c r="Z260" s="645">
        <f t="shared" si="330"/>
        <v>0.5</v>
      </c>
      <c r="AA260" s="637">
        <v>0.49</v>
      </c>
      <c r="AB260" s="302" t="s">
        <v>508</v>
      </c>
      <c r="AC260" s="302" t="s">
        <v>509</v>
      </c>
      <c r="AD260" s="637">
        <v>0</v>
      </c>
      <c r="AE260" s="302" t="s">
        <v>572</v>
      </c>
      <c r="AF260" s="302" t="s">
        <v>1200</v>
      </c>
      <c r="AG260" s="637">
        <v>0.01</v>
      </c>
      <c r="AH260" s="645">
        <f t="shared" si="324"/>
        <v>0.5</v>
      </c>
      <c r="AI260" s="637">
        <v>0.49</v>
      </c>
      <c r="AJ260" s="302" t="s">
        <v>508</v>
      </c>
      <c r="AK260" s="302" t="s">
        <v>509</v>
      </c>
      <c r="AL260" s="637">
        <v>0</v>
      </c>
      <c r="AM260" s="302" t="s">
        <v>572</v>
      </c>
      <c r="AN260" s="302" t="s">
        <v>1200</v>
      </c>
      <c r="AO260" s="637">
        <v>0.01</v>
      </c>
      <c r="AP260" s="645">
        <f t="shared" si="311"/>
        <v>0.5</v>
      </c>
      <c r="AQ260" s="637">
        <v>0.49</v>
      </c>
      <c r="AR260" s="302" t="s">
        <v>508</v>
      </c>
      <c r="AS260" s="302" t="s">
        <v>509</v>
      </c>
      <c r="AT260" s="637">
        <v>0</v>
      </c>
      <c r="AU260" s="302" t="s">
        <v>572</v>
      </c>
      <c r="AV260" s="302" t="s">
        <v>1200</v>
      </c>
      <c r="AW260" s="637">
        <v>0.01</v>
      </c>
      <c r="AX260" s="645">
        <f t="shared" si="351"/>
        <v>0.5</v>
      </c>
      <c r="AY260" s="637">
        <v>0.49</v>
      </c>
      <c r="AZ260" s="302" t="s">
        <v>508</v>
      </c>
      <c r="BA260" s="302" t="s">
        <v>509</v>
      </c>
      <c r="BB260" s="637">
        <v>0</v>
      </c>
      <c r="BC260" s="302" t="s">
        <v>572</v>
      </c>
      <c r="BD260" s="302" t="s">
        <v>1200</v>
      </c>
      <c r="BE260" s="637">
        <v>0.01</v>
      </c>
      <c r="BF260" s="434">
        <f t="shared" si="352"/>
        <v>0.5</v>
      </c>
      <c r="BG260" s="587">
        <v>0.49</v>
      </c>
      <c r="BH260" s="302" t="s">
        <v>508</v>
      </c>
      <c r="BI260" s="302" t="s">
        <v>509</v>
      </c>
      <c r="BJ260" s="434">
        <v>0</v>
      </c>
      <c r="BK260" s="302" t="s">
        <v>572</v>
      </c>
      <c r="BL260" s="302" t="s">
        <v>573</v>
      </c>
      <c r="BM260" s="434">
        <v>0.01</v>
      </c>
      <c r="BN260" s="645">
        <f t="shared" si="353"/>
        <v>0.5</v>
      </c>
      <c r="BO260" s="434"/>
      <c r="BP260" s="434">
        <v>0.49</v>
      </c>
      <c r="BQ260" s="302" t="s">
        <v>508</v>
      </c>
      <c r="BR260" s="302" t="s">
        <v>509</v>
      </c>
      <c r="BS260" s="434">
        <v>0</v>
      </c>
      <c r="BT260" s="302" t="s">
        <v>572</v>
      </c>
      <c r="BU260" s="302" t="s">
        <v>573</v>
      </c>
      <c r="BV260" s="434">
        <v>0.01</v>
      </c>
      <c r="BW260" s="645">
        <f t="shared" si="354"/>
        <v>0.5</v>
      </c>
      <c r="BX260" s="434">
        <v>0.49</v>
      </c>
      <c r="BY260" s="302" t="s">
        <v>508</v>
      </c>
      <c r="BZ260" s="302" t="s">
        <v>509</v>
      </c>
      <c r="CA260" s="434">
        <v>0</v>
      </c>
      <c r="CB260" s="302" t="s">
        <v>572</v>
      </c>
      <c r="CC260" s="302" t="s">
        <v>573</v>
      </c>
      <c r="CD260" s="434">
        <v>0.01</v>
      </c>
      <c r="CE260" s="434">
        <f t="shared" si="355"/>
        <v>0.5</v>
      </c>
      <c r="CF260" s="1620" t="s">
        <v>862</v>
      </c>
      <c r="CG260" s="1620" t="s">
        <v>862</v>
      </c>
      <c r="CH260" s="1620" t="s">
        <v>1166</v>
      </c>
      <c r="CI260" s="408" t="s">
        <v>862</v>
      </c>
      <c r="CJ260" s="642">
        <v>0.70699999999999996</v>
      </c>
      <c r="CK260" s="591" t="s">
        <v>922</v>
      </c>
      <c r="CL260" s="302" t="s">
        <v>508</v>
      </c>
      <c r="CM260" s="302" t="s">
        <v>509</v>
      </c>
      <c r="CN260" s="637">
        <v>0</v>
      </c>
      <c r="CO260" s="302" t="s">
        <v>572</v>
      </c>
      <c r="CP260" s="302" t="s">
        <v>573</v>
      </c>
      <c r="CQ260" s="637">
        <v>0.01</v>
      </c>
    </row>
    <row r="261" spans="1:98" ht="15.75" customHeight="1" x14ac:dyDescent="0.2">
      <c r="A261" s="661" t="s">
        <v>408</v>
      </c>
      <c r="B261" s="440" t="s">
        <v>604</v>
      </c>
      <c r="C261" s="637">
        <v>0.4</v>
      </c>
      <c r="D261" s="440" t="s">
        <v>602</v>
      </c>
      <c r="E261" s="440" t="s">
        <v>603</v>
      </c>
      <c r="F261" s="637">
        <v>0.09</v>
      </c>
      <c r="G261" s="440" t="s">
        <v>600</v>
      </c>
      <c r="H261" s="440" t="s">
        <v>601</v>
      </c>
      <c r="I261" s="637">
        <v>0.01</v>
      </c>
      <c r="J261" s="662">
        <f t="shared" si="289"/>
        <v>0.5</v>
      </c>
      <c r="K261" s="637">
        <v>0.4</v>
      </c>
      <c r="L261" s="440" t="s">
        <v>602</v>
      </c>
      <c r="M261" s="440" t="s">
        <v>603</v>
      </c>
      <c r="N261" s="637">
        <v>0.09</v>
      </c>
      <c r="O261" s="440" t="s">
        <v>600</v>
      </c>
      <c r="P261" s="440" t="s">
        <v>601</v>
      </c>
      <c r="Q261" s="637">
        <v>0.01</v>
      </c>
      <c r="R261" s="662">
        <f t="shared" si="319"/>
        <v>0.5</v>
      </c>
      <c r="S261" s="637">
        <v>0.4</v>
      </c>
      <c r="T261" s="302" t="s">
        <v>602</v>
      </c>
      <c r="U261" s="302" t="s">
        <v>603</v>
      </c>
      <c r="V261" s="637">
        <v>0.09</v>
      </c>
      <c r="W261" s="302" t="s">
        <v>600</v>
      </c>
      <c r="X261" s="302" t="s">
        <v>601</v>
      </c>
      <c r="Y261" s="637">
        <v>0.01</v>
      </c>
      <c r="Z261" s="645">
        <f t="shared" si="330"/>
        <v>0.5</v>
      </c>
      <c r="AA261" s="637">
        <v>0.4</v>
      </c>
      <c r="AB261" s="302" t="s">
        <v>602</v>
      </c>
      <c r="AC261" s="302" t="s">
        <v>603</v>
      </c>
      <c r="AD261" s="637">
        <v>0.09</v>
      </c>
      <c r="AE261" s="302" t="s">
        <v>600</v>
      </c>
      <c r="AF261" s="302" t="s">
        <v>601</v>
      </c>
      <c r="AG261" s="637">
        <v>0.01</v>
      </c>
      <c r="AH261" s="645">
        <f t="shared" si="324"/>
        <v>0.5</v>
      </c>
      <c r="AI261" s="637">
        <v>0.4</v>
      </c>
      <c r="AJ261" s="302" t="s">
        <v>602</v>
      </c>
      <c r="AK261" s="302" t="s">
        <v>603</v>
      </c>
      <c r="AL261" s="637">
        <v>0.09</v>
      </c>
      <c r="AM261" s="302" t="s">
        <v>600</v>
      </c>
      <c r="AN261" s="302" t="s">
        <v>601</v>
      </c>
      <c r="AO261" s="637">
        <v>0.01</v>
      </c>
      <c r="AP261" s="645">
        <f t="shared" si="311"/>
        <v>0.5</v>
      </c>
      <c r="AQ261" s="637">
        <v>0.4</v>
      </c>
      <c r="AR261" s="302" t="s">
        <v>602</v>
      </c>
      <c r="AS261" s="302" t="s">
        <v>603</v>
      </c>
      <c r="AT261" s="637">
        <v>0.09</v>
      </c>
      <c r="AU261" s="302" t="s">
        <v>600</v>
      </c>
      <c r="AV261" s="302" t="s">
        <v>601</v>
      </c>
      <c r="AW261" s="637">
        <v>0.01</v>
      </c>
      <c r="AX261" s="645">
        <f t="shared" si="351"/>
        <v>0.5</v>
      </c>
      <c r="AY261" s="637">
        <v>0.4</v>
      </c>
      <c r="AZ261" s="302" t="s">
        <v>602</v>
      </c>
      <c r="BA261" s="302" t="s">
        <v>603</v>
      </c>
      <c r="BB261" s="637">
        <v>0.09</v>
      </c>
      <c r="BC261" s="302" t="s">
        <v>600</v>
      </c>
      <c r="BD261" s="302" t="s">
        <v>601</v>
      </c>
      <c r="BE261" s="637">
        <v>0.01</v>
      </c>
      <c r="BF261" s="434">
        <f t="shared" si="352"/>
        <v>0.5</v>
      </c>
      <c r="BG261" s="587">
        <v>0.4</v>
      </c>
      <c r="BH261" s="302" t="s">
        <v>602</v>
      </c>
      <c r="BI261" s="302" t="s">
        <v>603</v>
      </c>
      <c r="BJ261" s="434">
        <v>0.59</v>
      </c>
      <c r="BK261" s="302" t="s">
        <v>600</v>
      </c>
      <c r="BL261" s="302" t="s">
        <v>601</v>
      </c>
      <c r="BM261" s="434">
        <v>0.01</v>
      </c>
      <c r="BN261" s="645">
        <f t="shared" si="353"/>
        <v>1</v>
      </c>
      <c r="BO261" s="434"/>
      <c r="BP261" s="434">
        <v>0.4</v>
      </c>
      <c r="BQ261" s="302" t="s">
        <v>602</v>
      </c>
      <c r="BR261" s="302" t="s">
        <v>603</v>
      </c>
      <c r="BS261" s="434">
        <v>0.09</v>
      </c>
      <c r="BT261" s="302" t="s">
        <v>600</v>
      </c>
      <c r="BU261" s="302" t="s">
        <v>601</v>
      </c>
      <c r="BV261" s="434">
        <v>0.01</v>
      </c>
      <c r="BW261" s="645">
        <f t="shared" si="354"/>
        <v>0.5</v>
      </c>
      <c r="BX261" s="434">
        <v>0.4</v>
      </c>
      <c r="BY261" s="302" t="s">
        <v>602</v>
      </c>
      <c r="BZ261" s="302" t="s">
        <v>603</v>
      </c>
      <c r="CA261" s="434">
        <v>0.09</v>
      </c>
      <c r="CB261" s="302" t="s">
        <v>600</v>
      </c>
      <c r="CC261" s="302" t="s">
        <v>601</v>
      </c>
      <c r="CD261" s="434">
        <v>0.01</v>
      </c>
      <c r="CE261" s="434">
        <f t="shared" si="355"/>
        <v>0.5</v>
      </c>
      <c r="CF261" s="1620" t="s">
        <v>862</v>
      </c>
      <c r="CG261" s="1620" t="s">
        <v>1166</v>
      </c>
      <c r="CH261" s="1620" t="s">
        <v>1166</v>
      </c>
      <c r="CI261" s="406"/>
      <c r="CJ261" s="642">
        <v>0.70599999999999996</v>
      </c>
      <c r="CK261" s="591" t="s">
        <v>922</v>
      </c>
      <c r="CL261" s="302" t="s">
        <v>602</v>
      </c>
      <c r="CM261" s="302" t="s">
        <v>603</v>
      </c>
      <c r="CN261" s="637">
        <v>0.59</v>
      </c>
      <c r="CO261" s="302" t="s">
        <v>600</v>
      </c>
      <c r="CP261" s="302" t="s">
        <v>601</v>
      </c>
      <c r="CQ261" s="637">
        <v>0.01</v>
      </c>
    </row>
    <row r="262" spans="1:98" ht="15.75" customHeight="1" x14ac:dyDescent="0.2">
      <c r="A262" s="661" t="s">
        <v>410</v>
      </c>
      <c r="B262" s="440" t="s">
        <v>556</v>
      </c>
      <c r="C262" s="637">
        <v>0.49</v>
      </c>
      <c r="D262" s="440" t="s">
        <v>508</v>
      </c>
      <c r="E262" s="440" t="s">
        <v>509</v>
      </c>
      <c r="F262" s="637">
        <v>0</v>
      </c>
      <c r="G262" s="440" t="s">
        <v>554</v>
      </c>
      <c r="H262" s="440" t="s">
        <v>555</v>
      </c>
      <c r="I262" s="637">
        <v>0.01</v>
      </c>
      <c r="J262" s="662">
        <f t="shared" si="289"/>
        <v>0.5</v>
      </c>
      <c r="K262" s="637">
        <v>0.49</v>
      </c>
      <c r="L262" s="440" t="s">
        <v>508</v>
      </c>
      <c r="M262" s="440" t="s">
        <v>509</v>
      </c>
      <c r="N262" s="637">
        <v>0</v>
      </c>
      <c r="O262" s="440" t="s">
        <v>554</v>
      </c>
      <c r="P262" s="440" t="s">
        <v>555</v>
      </c>
      <c r="Q262" s="637">
        <v>0.01</v>
      </c>
      <c r="R262" s="662">
        <f t="shared" si="319"/>
        <v>0.5</v>
      </c>
      <c r="S262" s="637">
        <v>0.49</v>
      </c>
      <c r="T262" s="302" t="s">
        <v>508</v>
      </c>
      <c r="U262" s="302" t="s">
        <v>509</v>
      </c>
      <c r="V262" s="637">
        <v>0</v>
      </c>
      <c r="W262" s="302" t="s">
        <v>554</v>
      </c>
      <c r="X262" s="302" t="s">
        <v>555</v>
      </c>
      <c r="Y262" s="637">
        <v>0.01</v>
      </c>
      <c r="Z262" s="645">
        <f t="shared" si="330"/>
        <v>0.5</v>
      </c>
      <c r="AA262" s="637">
        <v>0.49</v>
      </c>
      <c r="AB262" s="302" t="s">
        <v>508</v>
      </c>
      <c r="AC262" s="302" t="s">
        <v>509</v>
      </c>
      <c r="AD262" s="637">
        <v>0</v>
      </c>
      <c r="AE262" s="302" t="s">
        <v>554</v>
      </c>
      <c r="AF262" s="302" t="s">
        <v>555</v>
      </c>
      <c r="AG262" s="637">
        <v>0.01</v>
      </c>
      <c r="AH262" s="645">
        <f t="shared" si="324"/>
        <v>0.5</v>
      </c>
      <c r="AI262" s="637">
        <v>0.49</v>
      </c>
      <c r="AJ262" s="302" t="s">
        <v>508</v>
      </c>
      <c r="AK262" s="302" t="s">
        <v>509</v>
      </c>
      <c r="AL262" s="637">
        <v>0</v>
      </c>
      <c r="AM262" s="302" t="s">
        <v>554</v>
      </c>
      <c r="AN262" s="302" t="s">
        <v>555</v>
      </c>
      <c r="AO262" s="637">
        <v>0.01</v>
      </c>
      <c r="AP262" s="645">
        <f t="shared" si="311"/>
        <v>0.5</v>
      </c>
      <c r="AQ262" s="637">
        <v>0.49</v>
      </c>
      <c r="AR262" s="302" t="s">
        <v>508</v>
      </c>
      <c r="AS262" s="302" t="s">
        <v>509</v>
      </c>
      <c r="AT262" s="637">
        <v>0</v>
      </c>
      <c r="AU262" s="302" t="s">
        <v>554</v>
      </c>
      <c r="AV262" s="302" t="s">
        <v>555</v>
      </c>
      <c r="AW262" s="637">
        <v>0.01</v>
      </c>
      <c r="AX262" s="645">
        <f t="shared" si="351"/>
        <v>0.5</v>
      </c>
      <c r="AY262" s="637">
        <v>0.49</v>
      </c>
      <c r="AZ262" s="302" t="s">
        <v>508</v>
      </c>
      <c r="BA262" s="302" t="s">
        <v>509</v>
      </c>
      <c r="BB262" s="637">
        <v>0</v>
      </c>
      <c r="BC262" s="302" t="s">
        <v>554</v>
      </c>
      <c r="BD262" s="302" t="s">
        <v>555</v>
      </c>
      <c r="BE262" s="637">
        <v>0.01</v>
      </c>
      <c r="BF262" s="434">
        <f t="shared" si="352"/>
        <v>0.5</v>
      </c>
      <c r="BG262" s="587">
        <v>0.99</v>
      </c>
      <c r="BH262" s="302" t="s">
        <v>508</v>
      </c>
      <c r="BI262" s="302" t="s">
        <v>509</v>
      </c>
      <c r="BJ262" s="434">
        <v>0</v>
      </c>
      <c r="BK262" s="302" t="s">
        <v>554</v>
      </c>
      <c r="BL262" s="302" t="s">
        <v>555</v>
      </c>
      <c r="BM262" s="434">
        <v>0.01</v>
      </c>
      <c r="BN262" s="645">
        <f t="shared" si="353"/>
        <v>1</v>
      </c>
      <c r="BO262" s="434"/>
      <c r="BP262" s="434">
        <v>0.49</v>
      </c>
      <c r="BQ262" s="302" t="s">
        <v>508</v>
      </c>
      <c r="BR262" s="302" t="s">
        <v>509</v>
      </c>
      <c r="BS262" s="434">
        <v>0</v>
      </c>
      <c r="BT262" s="302" t="s">
        <v>554</v>
      </c>
      <c r="BU262" s="302" t="s">
        <v>555</v>
      </c>
      <c r="BV262" s="434">
        <v>0.01</v>
      </c>
      <c r="BW262" s="645">
        <f t="shared" si="354"/>
        <v>0.5</v>
      </c>
      <c r="BX262" s="434">
        <v>0.49</v>
      </c>
      <c r="BY262" s="302" t="s">
        <v>508</v>
      </c>
      <c r="BZ262" s="302" t="s">
        <v>509</v>
      </c>
      <c r="CA262" s="434">
        <v>0</v>
      </c>
      <c r="CB262" s="302" t="s">
        <v>554</v>
      </c>
      <c r="CC262" s="302" t="s">
        <v>555</v>
      </c>
      <c r="CD262" s="434">
        <v>0.01</v>
      </c>
      <c r="CE262" s="434">
        <f t="shared" si="355"/>
        <v>0.5</v>
      </c>
      <c r="CF262" s="1620" t="s">
        <v>1166</v>
      </c>
      <c r="CG262" s="1620" t="s">
        <v>1166</v>
      </c>
      <c r="CH262" s="1620" t="s">
        <v>1166</v>
      </c>
      <c r="CI262" s="408" t="s">
        <v>862</v>
      </c>
      <c r="CJ262" s="642">
        <v>0.66</v>
      </c>
      <c r="CK262" s="591" t="s">
        <v>922</v>
      </c>
      <c r="CL262" s="302" t="s">
        <v>508</v>
      </c>
      <c r="CM262" s="302" t="s">
        <v>509</v>
      </c>
      <c r="CN262" s="637">
        <v>0</v>
      </c>
      <c r="CO262" s="302" t="s">
        <v>554</v>
      </c>
      <c r="CP262" s="302" t="s">
        <v>555</v>
      </c>
      <c r="CQ262" s="637">
        <v>0.01</v>
      </c>
    </row>
    <row r="263" spans="1:98" ht="15.75" customHeight="1" x14ac:dyDescent="0.2">
      <c r="A263" s="661" t="s">
        <v>412</v>
      </c>
      <c r="B263" s="440" t="s">
        <v>411</v>
      </c>
      <c r="C263" s="637">
        <v>0.4</v>
      </c>
      <c r="D263" s="440" t="s">
        <v>557</v>
      </c>
      <c r="E263" s="440" t="s">
        <v>558</v>
      </c>
      <c r="F263" s="637">
        <v>0.09</v>
      </c>
      <c r="G263" s="440" t="s">
        <v>554</v>
      </c>
      <c r="H263" s="440" t="s">
        <v>555</v>
      </c>
      <c r="I263" s="637">
        <v>0.01</v>
      </c>
      <c r="J263" s="662">
        <f t="shared" ref="J263:J301" si="356">C263+F263+I263</f>
        <v>0.5</v>
      </c>
      <c r="K263" s="637">
        <v>0.4</v>
      </c>
      <c r="L263" s="440" t="s">
        <v>557</v>
      </c>
      <c r="M263" s="440" t="s">
        <v>558</v>
      </c>
      <c r="N263" s="637">
        <v>0.09</v>
      </c>
      <c r="O263" s="440" t="s">
        <v>554</v>
      </c>
      <c r="P263" s="440" t="s">
        <v>555</v>
      </c>
      <c r="Q263" s="637">
        <v>0.01</v>
      </c>
      <c r="R263" s="662">
        <f t="shared" si="319"/>
        <v>0.5</v>
      </c>
      <c r="S263" s="637">
        <v>0.4</v>
      </c>
      <c r="T263" s="302" t="s">
        <v>557</v>
      </c>
      <c r="U263" s="302" t="s">
        <v>558</v>
      </c>
      <c r="V263" s="637">
        <v>0.09</v>
      </c>
      <c r="W263" s="302" t="s">
        <v>554</v>
      </c>
      <c r="X263" s="302" t="s">
        <v>555</v>
      </c>
      <c r="Y263" s="637">
        <v>0.01</v>
      </c>
      <c r="Z263" s="645">
        <f t="shared" si="330"/>
        <v>0.5</v>
      </c>
      <c r="AA263" s="637">
        <v>0.4</v>
      </c>
      <c r="AB263" s="302" t="s">
        <v>557</v>
      </c>
      <c r="AC263" s="302" t="s">
        <v>558</v>
      </c>
      <c r="AD263" s="637">
        <v>0.09</v>
      </c>
      <c r="AE263" s="302" t="s">
        <v>554</v>
      </c>
      <c r="AF263" s="302" t="s">
        <v>555</v>
      </c>
      <c r="AG263" s="637">
        <v>0.01</v>
      </c>
      <c r="AH263" s="645">
        <f t="shared" si="324"/>
        <v>0.5</v>
      </c>
      <c r="AI263" s="637">
        <v>0.4</v>
      </c>
      <c r="AJ263" s="302" t="s">
        <v>557</v>
      </c>
      <c r="AK263" s="302" t="s">
        <v>558</v>
      </c>
      <c r="AL263" s="637">
        <v>0.09</v>
      </c>
      <c r="AM263" s="302" t="s">
        <v>554</v>
      </c>
      <c r="AN263" s="302" t="s">
        <v>555</v>
      </c>
      <c r="AO263" s="637">
        <v>0.01</v>
      </c>
      <c r="AP263" s="645">
        <f t="shared" si="311"/>
        <v>0.5</v>
      </c>
      <c r="AQ263" s="637">
        <v>0.4</v>
      </c>
      <c r="AR263" s="302" t="s">
        <v>557</v>
      </c>
      <c r="AS263" s="302" t="s">
        <v>558</v>
      </c>
      <c r="AT263" s="637">
        <v>0.09</v>
      </c>
      <c r="AU263" s="302" t="s">
        <v>554</v>
      </c>
      <c r="AV263" s="302" t="s">
        <v>555</v>
      </c>
      <c r="AW263" s="637">
        <v>0.01</v>
      </c>
      <c r="AX263" s="645">
        <f t="shared" ref="AX263:AX266" si="357">+AQ263+AT263+AW263</f>
        <v>0.5</v>
      </c>
      <c r="AY263" s="637">
        <v>0.4</v>
      </c>
      <c r="AZ263" s="302" t="s">
        <v>557</v>
      </c>
      <c r="BA263" s="302" t="s">
        <v>558</v>
      </c>
      <c r="BB263" s="637">
        <v>0.09</v>
      </c>
      <c r="BC263" s="302" t="s">
        <v>554</v>
      </c>
      <c r="BD263" s="302" t="s">
        <v>555</v>
      </c>
      <c r="BE263" s="637">
        <v>0.01</v>
      </c>
      <c r="BF263" s="434">
        <f t="shared" ref="BF263:BF266" si="358">+AY263+BB263+BE263</f>
        <v>0.5</v>
      </c>
      <c r="BG263" s="587">
        <v>0.4</v>
      </c>
      <c r="BH263" s="302" t="s">
        <v>557</v>
      </c>
      <c r="BI263" s="302" t="s">
        <v>558</v>
      </c>
      <c r="BJ263" s="434">
        <v>0.59</v>
      </c>
      <c r="BK263" s="302" t="s">
        <v>554</v>
      </c>
      <c r="BL263" s="302" t="s">
        <v>555</v>
      </c>
      <c r="BM263" s="434">
        <v>0.01</v>
      </c>
      <c r="BN263" s="645">
        <f t="shared" ref="BN263:BN266" si="359">+BG263+BJ263+BM263</f>
        <v>1</v>
      </c>
      <c r="BO263" s="434"/>
      <c r="BP263" s="434">
        <v>0.4</v>
      </c>
      <c r="BQ263" s="302" t="s">
        <v>557</v>
      </c>
      <c r="BR263" s="302" t="s">
        <v>558</v>
      </c>
      <c r="BS263" s="434">
        <v>0.09</v>
      </c>
      <c r="BT263" s="302" t="s">
        <v>554</v>
      </c>
      <c r="BU263" s="302" t="s">
        <v>555</v>
      </c>
      <c r="BV263" s="434">
        <v>0.01</v>
      </c>
      <c r="BW263" s="645">
        <f t="shared" ref="BW263:BW266" si="360">+BP263+BS263+BV263</f>
        <v>0.5</v>
      </c>
      <c r="BX263" s="434">
        <v>0.4</v>
      </c>
      <c r="BY263" s="302" t="s">
        <v>557</v>
      </c>
      <c r="BZ263" s="302" t="s">
        <v>558</v>
      </c>
      <c r="CA263" s="434">
        <v>0.09</v>
      </c>
      <c r="CB263" s="302" t="s">
        <v>554</v>
      </c>
      <c r="CC263" s="302" t="s">
        <v>555</v>
      </c>
      <c r="CD263" s="434">
        <v>0.01</v>
      </c>
      <c r="CE263" s="434">
        <f t="shared" ref="CE263:CE266" si="361">+BX263+CA263+CD263</f>
        <v>0.5</v>
      </c>
      <c r="CF263" s="1620" t="s">
        <v>1166</v>
      </c>
      <c r="CG263" s="1620" t="s">
        <v>1166</v>
      </c>
      <c r="CH263" s="1620" t="s">
        <v>1166</v>
      </c>
      <c r="CI263" s="406"/>
      <c r="CJ263" s="642">
        <v>0.625</v>
      </c>
      <c r="CK263" s="591" t="s">
        <v>922</v>
      </c>
      <c r="CL263" s="302" t="s">
        <v>557</v>
      </c>
      <c r="CM263" s="302" t="s">
        <v>558</v>
      </c>
      <c r="CN263" s="637">
        <v>0.59</v>
      </c>
      <c r="CO263" s="302" t="s">
        <v>554</v>
      </c>
      <c r="CP263" s="302" t="s">
        <v>555</v>
      </c>
      <c r="CQ263" s="637">
        <v>0.01</v>
      </c>
    </row>
    <row r="264" spans="1:98" ht="15.75" customHeight="1" x14ac:dyDescent="0.2">
      <c r="A264" s="661" t="s">
        <v>414</v>
      </c>
      <c r="B264" s="440" t="s">
        <v>413</v>
      </c>
      <c r="C264" s="637">
        <v>0.3</v>
      </c>
      <c r="D264" s="440" t="s">
        <v>674</v>
      </c>
      <c r="E264" s="440" t="s">
        <v>675</v>
      </c>
      <c r="F264" s="637">
        <v>0.37</v>
      </c>
      <c r="G264" s="440" t="s">
        <v>508</v>
      </c>
      <c r="H264" s="440" t="s">
        <v>508</v>
      </c>
      <c r="I264" s="637">
        <v>0</v>
      </c>
      <c r="J264" s="662">
        <f t="shared" si="356"/>
        <v>0.66999999999999993</v>
      </c>
      <c r="K264" s="637">
        <v>0.3</v>
      </c>
      <c r="L264" s="440" t="s">
        <v>674</v>
      </c>
      <c r="M264" s="440" t="s">
        <v>675</v>
      </c>
      <c r="N264" s="637">
        <v>0.37</v>
      </c>
      <c r="O264" s="440" t="s">
        <v>508</v>
      </c>
      <c r="P264" s="440" t="s">
        <v>508</v>
      </c>
      <c r="Q264" s="637">
        <v>0</v>
      </c>
      <c r="R264" s="662">
        <f t="shared" si="319"/>
        <v>0.66999999999999993</v>
      </c>
      <c r="S264" s="637">
        <v>0.3</v>
      </c>
      <c r="T264" s="302" t="s">
        <v>674</v>
      </c>
      <c r="U264" s="302" t="s">
        <v>675</v>
      </c>
      <c r="V264" s="637">
        <v>0.37</v>
      </c>
      <c r="W264" s="302" t="s">
        <v>508</v>
      </c>
      <c r="X264" s="302" t="s">
        <v>508</v>
      </c>
      <c r="Y264" s="637">
        <v>0</v>
      </c>
      <c r="Z264" s="645">
        <f t="shared" si="330"/>
        <v>0.66999999999999993</v>
      </c>
      <c r="AA264" s="637">
        <v>0.3</v>
      </c>
      <c r="AB264" s="302" t="s">
        <v>674</v>
      </c>
      <c r="AC264" s="302" t="s">
        <v>675</v>
      </c>
      <c r="AD264" s="637">
        <v>0.37</v>
      </c>
      <c r="AE264" s="302" t="s">
        <v>508</v>
      </c>
      <c r="AF264" s="302" t="s">
        <v>508</v>
      </c>
      <c r="AG264" s="637">
        <v>0</v>
      </c>
      <c r="AH264" s="645">
        <f t="shared" si="324"/>
        <v>0.66999999999999993</v>
      </c>
      <c r="AI264" s="637">
        <v>0.3</v>
      </c>
      <c r="AJ264" s="302" t="s">
        <v>674</v>
      </c>
      <c r="AK264" s="302" t="s">
        <v>675</v>
      </c>
      <c r="AL264" s="637">
        <v>0.37</v>
      </c>
      <c r="AM264" s="302" t="s">
        <v>508</v>
      </c>
      <c r="AN264" s="302" t="s">
        <v>508</v>
      </c>
      <c r="AO264" s="637">
        <v>0</v>
      </c>
      <c r="AP264" s="645">
        <f t="shared" si="311"/>
        <v>0.66999999999999993</v>
      </c>
      <c r="AQ264" s="637">
        <v>0.3</v>
      </c>
      <c r="AR264" s="302" t="s">
        <v>674</v>
      </c>
      <c r="AS264" s="302" t="s">
        <v>675</v>
      </c>
      <c r="AT264" s="637">
        <v>0.37</v>
      </c>
      <c r="AU264" s="302" t="s">
        <v>508</v>
      </c>
      <c r="AV264" s="302" t="s">
        <v>508</v>
      </c>
      <c r="AW264" s="637">
        <v>0</v>
      </c>
      <c r="AX264" s="645">
        <f t="shared" si="357"/>
        <v>0.66999999999999993</v>
      </c>
      <c r="AY264" s="637">
        <v>0.48</v>
      </c>
      <c r="AZ264" s="302" t="s">
        <v>674</v>
      </c>
      <c r="BA264" s="302" t="s">
        <v>675</v>
      </c>
      <c r="BB264" s="637">
        <v>0.27</v>
      </c>
      <c r="BC264" s="302" t="s">
        <v>508</v>
      </c>
      <c r="BD264" s="302" t="s">
        <v>508</v>
      </c>
      <c r="BE264" s="637">
        <v>0</v>
      </c>
      <c r="BF264" s="434">
        <f t="shared" si="358"/>
        <v>0.75</v>
      </c>
      <c r="BG264" s="587">
        <v>0.64</v>
      </c>
      <c r="BH264" s="302" t="s">
        <v>674</v>
      </c>
      <c r="BI264" s="302" t="s">
        <v>675</v>
      </c>
      <c r="BJ264" s="434">
        <v>0.36</v>
      </c>
      <c r="BK264" s="302" t="s">
        <v>508</v>
      </c>
      <c r="BL264" s="302" t="s">
        <v>508</v>
      </c>
      <c r="BM264" s="434">
        <v>0</v>
      </c>
      <c r="BN264" s="645">
        <f t="shared" si="359"/>
        <v>1</v>
      </c>
      <c r="BO264" s="434"/>
      <c r="BP264" s="434">
        <v>0.3</v>
      </c>
      <c r="BQ264" s="302" t="s">
        <v>674</v>
      </c>
      <c r="BR264" s="302" t="s">
        <v>675</v>
      </c>
      <c r="BS264" s="434">
        <v>0.37</v>
      </c>
      <c r="BT264" s="302" t="s">
        <v>508</v>
      </c>
      <c r="BU264" s="302" t="s">
        <v>508</v>
      </c>
      <c r="BV264" s="434">
        <v>0</v>
      </c>
      <c r="BW264" s="645">
        <f t="shared" si="360"/>
        <v>0.66999999999999993</v>
      </c>
      <c r="BX264" s="434">
        <v>0.3</v>
      </c>
      <c r="BY264" s="302" t="s">
        <v>674</v>
      </c>
      <c r="BZ264" s="302" t="s">
        <v>675</v>
      </c>
      <c r="CA264" s="434">
        <v>0.2</v>
      </c>
      <c r="CB264" s="302" t="s">
        <v>508</v>
      </c>
      <c r="CC264" s="302" t="s">
        <v>508</v>
      </c>
      <c r="CD264" s="434">
        <v>0</v>
      </c>
      <c r="CE264" s="434">
        <f t="shared" si="361"/>
        <v>0.5</v>
      </c>
      <c r="CF264" s="1620" t="s">
        <v>1166</v>
      </c>
      <c r="CG264" s="1620" t="s">
        <v>1166</v>
      </c>
      <c r="CH264" s="1620" t="s">
        <v>1166</v>
      </c>
      <c r="CI264" s="408" t="s">
        <v>862</v>
      </c>
      <c r="CJ264" s="642">
        <v>0.71899999999999997</v>
      </c>
      <c r="CK264" s="591" t="s">
        <v>922</v>
      </c>
      <c r="CL264" s="302" t="s">
        <v>674</v>
      </c>
      <c r="CM264" s="302" t="s">
        <v>675</v>
      </c>
      <c r="CN264" s="637">
        <v>0.2</v>
      </c>
      <c r="CO264" s="302" t="s">
        <v>508</v>
      </c>
      <c r="CP264" s="302" t="s">
        <v>508</v>
      </c>
      <c r="CQ264" s="637">
        <v>0</v>
      </c>
    </row>
    <row r="265" spans="1:98" ht="15.75" customHeight="1" x14ac:dyDescent="0.2">
      <c r="A265" s="661" t="s">
        <v>416</v>
      </c>
      <c r="B265" s="440" t="s">
        <v>415</v>
      </c>
      <c r="C265" s="637">
        <v>0.99</v>
      </c>
      <c r="D265" s="440" t="s">
        <v>508</v>
      </c>
      <c r="E265" s="440" t="s">
        <v>660</v>
      </c>
      <c r="F265" s="637">
        <v>0</v>
      </c>
      <c r="G265" s="440" t="s">
        <v>1281</v>
      </c>
      <c r="H265" s="440" t="s">
        <v>1199</v>
      </c>
      <c r="I265" s="637">
        <v>0.01</v>
      </c>
      <c r="J265" s="662">
        <f t="shared" si="356"/>
        <v>1</v>
      </c>
      <c r="K265" s="637">
        <v>0.99</v>
      </c>
      <c r="L265" s="440" t="s">
        <v>508</v>
      </c>
      <c r="M265" s="440" t="s">
        <v>660</v>
      </c>
      <c r="N265" s="637">
        <v>0</v>
      </c>
      <c r="O265" s="440" t="s">
        <v>1281</v>
      </c>
      <c r="P265" s="440" t="s">
        <v>1199</v>
      </c>
      <c r="Q265" s="637">
        <v>0.01</v>
      </c>
      <c r="R265" s="662">
        <f t="shared" si="319"/>
        <v>1</v>
      </c>
      <c r="S265" s="637">
        <v>0.99</v>
      </c>
      <c r="T265" s="302" t="s">
        <v>508</v>
      </c>
      <c r="U265" s="302" t="s">
        <v>660</v>
      </c>
      <c r="V265" s="637">
        <v>0</v>
      </c>
      <c r="W265" s="302" t="s">
        <v>1281</v>
      </c>
      <c r="X265" s="302" t="s">
        <v>1199</v>
      </c>
      <c r="Y265" s="637">
        <v>0.01</v>
      </c>
      <c r="Z265" s="645">
        <f t="shared" si="330"/>
        <v>1</v>
      </c>
      <c r="AA265" s="637">
        <v>0.99</v>
      </c>
      <c r="AB265" s="302" t="s">
        <v>508</v>
      </c>
      <c r="AC265" s="302" t="s">
        <v>660</v>
      </c>
      <c r="AD265" s="637">
        <v>0</v>
      </c>
      <c r="AE265" s="302" t="s">
        <v>1281</v>
      </c>
      <c r="AF265" s="302" t="s">
        <v>1199</v>
      </c>
      <c r="AG265" s="637">
        <v>0.01</v>
      </c>
      <c r="AH265" s="645">
        <f t="shared" si="324"/>
        <v>1</v>
      </c>
      <c r="AI265" s="637">
        <v>0.99</v>
      </c>
      <c r="AJ265" s="302" t="s">
        <v>508</v>
      </c>
      <c r="AK265" s="302" t="s">
        <v>660</v>
      </c>
      <c r="AL265" s="637">
        <v>0</v>
      </c>
      <c r="AM265" s="302" t="s">
        <v>1281</v>
      </c>
      <c r="AN265" s="302" t="s">
        <v>1199</v>
      </c>
      <c r="AO265" s="637">
        <v>0.01</v>
      </c>
      <c r="AP265" s="645">
        <f t="shared" si="311"/>
        <v>1</v>
      </c>
      <c r="AQ265" s="637">
        <v>0.99</v>
      </c>
      <c r="AR265" s="302" t="s">
        <v>508</v>
      </c>
      <c r="AS265" s="302" t="s">
        <v>660</v>
      </c>
      <c r="AT265" s="637">
        <v>0</v>
      </c>
      <c r="AU265" s="302" t="s">
        <v>1281</v>
      </c>
      <c r="AV265" s="302" t="s">
        <v>1199</v>
      </c>
      <c r="AW265" s="637">
        <v>0.01</v>
      </c>
      <c r="AX265" s="645">
        <f t="shared" si="357"/>
        <v>1</v>
      </c>
      <c r="AY265" s="637">
        <v>0.99</v>
      </c>
      <c r="AZ265" s="302" t="s">
        <v>508</v>
      </c>
      <c r="BA265" s="302" t="s">
        <v>660</v>
      </c>
      <c r="BB265" s="637">
        <v>0</v>
      </c>
      <c r="BC265" s="302" t="s">
        <v>661</v>
      </c>
      <c r="BD265" s="302" t="s">
        <v>1199</v>
      </c>
      <c r="BE265" s="637">
        <v>0.01</v>
      </c>
      <c r="BF265" s="434">
        <f t="shared" si="358"/>
        <v>1</v>
      </c>
      <c r="BG265" s="587">
        <v>0.99</v>
      </c>
      <c r="BH265" s="302" t="s">
        <v>508</v>
      </c>
      <c r="BI265" s="302" t="s">
        <v>660</v>
      </c>
      <c r="BJ265" s="434">
        <v>0</v>
      </c>
      <c r="BK265" s="302" t="s">
        <v>661</v>
      </c>
      <c r="BL265" s="302" t="s">
        <v>662</v>
      </c>
      <c r="BM265" s="434">
        <v>0.01</v>
      </c>
      <c r="BN265" s="645">
        <f t="shared" si="359"/>
        <v>1</v>
      </c>
      <c r="BO265" s="434"/>
      <c r="BP265" s="434">
        <v>0.99</v>
      </c>
      <c r="BQ265" s="302" t="s">
        <v>508</v>
      </c>
      <c r="BR265" s="302" t="s">
        <v>660</v>
      </c>
      <c r="BS265" s="434">
        <v>0</v>
      </c>
      <c r="BT265" s="302" t="s">
        <v>661</v>
      </c>
      <c r="BU265" s="302" t="s">
        <v>662</v>
      </c>
      <c r="BV265" s="434">
        <v>0.01</v>
      </c>
      <c r="BW265" s="645">
        <f t="shared" si="360"/>
        <v>1</v>
      </c>
      <c r="BX265" s="434">
        <v>0.49</v>
      </c>
      <c r="BY265" s="302" t="s">
        <v>508</v>
      </c>
      <c r="BZ265" s="302" t="s">
        <v>660</v>
      </c>
      <c r="CA265" s="434">
        <v>0</v>
      </c>
      <c r="CB265" s="302" t="s">
        <v>661</v>
      </c>
      <c r="CC265" s="302" t="s">
        <v>662</v>
      </c>
      <c r="CD265" s="434">
        <v>0.01</v>
      </c>
      <c r="CE265" s="434">
        <f t="shared" si="361"/>
        <v>0.5</v>
      </c>
      <c r="CF265" s="1620" t="s">
        <v>862</v>
      </c>
      <c r="CG265" s="1620" t="s">
        <v>1166</v>
      </c>
      <c r="CH265" s="1620" t="s">
        <v>1166</v>
      </c>
      <c r="CI265" s="408" t="s">
        <v>862</v>
      </c>
      <c r="CJ265" s="642">
        <v>0.69699999999999995</v>
      </c>
      <c r="CK265" s="591" t="s">
        <v>922</v>
      </c>
      <c r="CL265" s="302" t="s">
        <v>508</v>
      </c>
      <c r="CM265" s="302" t="s">
        <v>660</v>
      </c>
      <c r="CN265" s="637">
        <v>0</v>
      </c>
      <c r="CO265" s="302" t="s">
        <v>661</v>
      </c>
      <c r="CP265" s="302" t="s">
        <v>662</v>
      </c>
      <c r="CQ265" s="637">
        <v>0.01</v>
      </c>
    </row>
    <row r="266" spans="1:98" ht="15.75" customHeight="1" x14ac:dyDescent="0.2">
      <c r="A266" s="661" t="s">
        <v>418</v>
      </c>
      <c r="B266" s="440" t="s">
        <v>417</v>
      </c>
      <c r="C266" s="637">
        <v>0.4</v>
      </c>
      <c r="D266" s="440" t="s">
        <v>602</v>
      </c>
      <c r="E266" s="440" t="s">
        <v>603</v>
      </c>
      <c r="F266" s="637">
        <v>0.09</v>
      </c>
      <c r="G266" s="440" t="s">
        <v>600</v>
      </c>
      <c r="H266" s="440" t="s">
        <v>601</v>
      </c>
      <c r="I266" s="637">
        <v>0.01</v>
      </c>
      <c r="J266" s="662">
        <f t="shared" si="356"/>
        <v>0.5</v>
      </c>
      <c r="K266" s="637">
        <v>0.4</v>
      </c>
      <c r="L266" s="440" t="s">
        <v>602</v>
      </c>
      <c r="M266" s="440" t="s">
        <v>603</v>
      </c>
      <c r="N266" s="637">
        <v>0.09</v>
      </c>
      <c r="O266" s="440" t="s">
        <v>600</v>
      </c>
      <c r="P266" s="440" t="s">
        <v>601</v>
      </c>
      <c r="Q266" s="637">
        <v>0.01</v>
      </c>
      <c r="R266" s="662">
        <f t="shared" si="319"/>
        <v>0.5</v>
      </c>
      <c r="S266" s="637">
        <v>0.4</v>
      </c>
      <c r="T266" s="302" t="s">
        <v>602</v>
      </c>
      <c r="U266" s="302" t="s">
        <v>603</v>
      </c>
      <c r="V266" s="637">
        <v>0.09</v>
      </c>
      <c r="W266" s="302" t="s">
        <v>600</v>
      </c>
      <c r="X266" s="302" t="s">
        <v>601</v>
      </c>
      <c r="Y266" s="637">
        <v>0.01</v>
      </c>
      <c r="Z266" s="645">
        <f t="shared" si="330"/>
        <v>0.5</v>
      </c>
      <c r="AA266" s="637">
        <v>0.4</v>
      </c>
      <c r="AB266" s="302" t="s">
        <v>602</v>
      </c>
      <c r="AC266" s="302" t="s">
        <v>603</v>
      </c>
      <c r="AD266" s="637">
        <v>0.09</v>
      </c>
      <c r="AE266" s="302" t="s">
        <v>600</v>
      </c>
      <c r="AF266" s="302" t="s">
        <v>601</v>
      </c>
      <c r="AG266" s="637">
        <v>0.01</v>
      </c>
      <c r="AH266" s="645">
        <f t="shared" si="324"/>
        <v>0.5</v>
      </c>
      <c r="AI266" s="637">
        <v>0.4</v>
      </c>
      <c r="AJ266" s="302" t="s">
        <v>602</v>
      </c>
      <c r="AK266" s="302" t="s">
        <v>603</v>
      </c>
      <c r="AL266" s="637">
        <v>0.09</v>
      </c>
      <c r="AM266" s="302" t="s">
        <v>600</v>
      </c>
      <c r="AN266" s="302" t="s">
        <v>601</v>
      </c>
      <c r="AO266" s="637">
        <v>0.01</v>
      </c>
      <c r="AP266" s="645">
        <f t="shared" si="311"/>
        <v>0.5</v>
      </c>
      <c r="AQ266" s="637">
        <v>0.4</v>
      </c>
      <c r="AR266" s="302" t="s">
        <v>602</v>
      </c>
      <c r="AS266" s="302" t="s">
        <v>603</v>
      </c>
      <c r="AT266" s="637">
        <v>0.09</v>
      </c>
      <c r="AU266" s="302" t="s">
        <v>600</v>
      </c>
      <c r="AV266" s="302" t="s">
        <v>601</v>
      </c>
      <c r="AW266" s="637">
        <v>0.01</v>
      </c>
      <c r="AX266" s="645">
        <f t="shared" si="357"/>
        <v>0.5</v>
      </c>
      <c r="AY266" s="637">
        <v>0.4</v>
      </c>
      <c r="AZ266" s="302" t="s">
        <v>602</v>
      </c>
      <c r="BA266" s="302" t="s">
        <v>603</v>
      </c>
      <c r="BB266" s="637">
        <v>0.09</v>
      </c>
      <c r="BC266" s="302" t="s">
        <v>600</v>
      </c>
      <c r="BD266" s="302" t="s">
        <v>601</v>
      </c>
      <c r="BE266" s="637">
        <v>0.01</v>
      </c>
      <c r="BF266" s="434">
        <f t="shared" si="358"/>
        <v>0.5</v>
      </c>
      <c r="BG266" s="587">
        <v>0.4</v>
      </c>
      <c r="BH266" s="302" t="s">
        <v>602</v>
      </c>
      <c r="BI266" s="302" t="s">
        <v>603</v>
      </c>
      <c r="BJ266" s="434">
        <v>0.59</v>
      </c>
      <c r="BK266" s="302" t="s">
        <v>600</v>
      </c>
      <c r="BL266" s="302" t="s">
        <v>601</v>
      </c>
      <c r="BM266" s="434">
        <v>0.01</v>
      </c>
      <c r="BN266" s="645">
        <f t="shared" si="359"/>
        <v>1</v>
      </c>
      <c r="BO266" s="434"/>
      <c r="BP266" s="434">
        <v>0.4</v>
      </c>
      <c r="BQ266" s="302" t="s">
        <v>602</v>
      </c>
      <c r="BR266" s="302" t="s">
        <v>603</v>
      </c>
      <c r="BS266" s="434">
        <v>0.09</v>
      </c>
      <c r="BT266" s="302" t="s">
        <v>600</v>
      </c>
      <c r="BU266" s="302" t="s">
        <v>601</v>
      </c>
      <c r="BV266" s="434">
        <v>0.01</v>
      </c>
      <c r="BW266" s="645">
        <f t="shared" si="360"/>
        <v>0.5</v>
      </c>
      <c r="BX266" s="434">
        <v>0.4</v>
      </c>
      <c r="BY266" s="302" t="s">
        <v>602</v>
      </c>
      <c r="BZ266" s="302" t="s">
        <v>603</v>
      </c>
      <c r="CA266" s="434">
        <v>0.09</v>
      </c>
      <c r="CB266" s="302" t="s">
        <v>600</v>
      </c>
      <c r="CC266" s="302" t="s">
        <v>601</v>
      </c>
      <c r="CD266" s="434">
        <v>0.01</v>
      </c>
      <c r="CE266" s="434">
        <f t="shared" si="361"/>
        <v>0.5</v>
      </c>
      <c r="CF266" s="1620" t="s">
        <v>1166</v>
      </c>
      <c r="CG266" s="1620" t="s">
        <v>1166</v>
      </c>
      <c r="CH266" s="1620" t="s">
        <v>1166</v>
      </c>
      <c r="CI266" s="406"/>
      <c r="CJ266" s="642">
        <v>0.70399999999999996</v>
      </c>
      <c r="CK266" s="591" t="s">
        <v>922</v>
      </c>
      <c r="CL266" s="302" t="s">
        <v>602</v>
      </c>
      <c r="CM266" s="302" t="s">
        <v>603</v>
      </c>
      <c r="CN266" s="637">
        <v>0.59</v>
      </c>
      <c r="CO266" s="302" t="s">
        <v>600</v>
      </c>
      <c r="CP266" s="302" t="s">
        <v>601</v>
      </c>
      <c r="CQ266" s="637">
        <v>0.01</v>
      </c>
    </row>
    <row r="267" spans="1:98" ht="15.75" customHeight="1" x14ac:dyDescent="0.2">
      <c r="A267" s="661" t="s">
        <v>420</v>
      </c>
      <c r="B267" s="440" t="s">
        <v>419</v>
      </c>
      <c r="C267" s="637">
        <v>0.4</v>
      </c>
      <c r="D267" s="440" t="s">
        <v>575</v>
      </c>
      <c r="E267" s="440" t="s">
        <v>576</v>
      </c>
      <c r="F267" s="637">
        <v>0.09</v>
      </c>
      <c r="G267" s="440" t="s">
        <v>572</v>
      </c>
      <c r="H267" s="440" t="s">
        <v>1200</v>
      </c>
      <c r="I267" s="637">
        <v>0.01</v>
      </c>
      <c r="J267" s="662">
        <f t="shared" si="356"/>
        <v>0.5</v>
      </c>
      <c r="K267" s="637">
        <v>0.4</v>
      </c>
      <c r="L267" s="440" t="s">
        <v>575</v>
      </c>
      <c r="M267" s="440" t="s">
        <v>576</v>
      </c>
      <c r="N267" s="637">
        <v>0.09</v>
      </c>
      <c r="O267" s="440" t="s">
        <v>572</v>
      </c>
      <c r="P267" s="440" t="s">
        <v>1200</v>
      </c>
      <c r="Q267" s="637">
        <v>0.01</v>
      </c>
      <c r="R267" s="662">
        <f t="shared" si="319"/>
        <v>0.5</v>
      </c>
      <c r="S267" s="637">
        <v>0.4</v>
      </c>
      <c r="T267" s="302" t="s">
        <v>575</v>
      </c>
      <c r="U267" s="302" t="s">
        <v>576</v>
      </c>
      <c r="V267" s="637">
        <v>0.09</v>
      </c>
      <c r="W267" s="302" t="s">
        <v>572</v>
      </c>
      <c r="X267" s="302" t="s">
        <v>1200</v>
      </c>
      <c r="Y267" s="637">
        <v>0.01</v>
      </c>
      <c r="Z267" s="645">
        <f t="shared" si="330"/>
        <v>0.5</v>
      </c>
      <c r="AA267" s="637">
        <v>0.4</v>
      </c>
      <c r="AB267" s="302" t="s">
        <v>575</v>
      </c>
      <c r="AC267" s="302" t="s">
        <v>576</v>
      </c>
      <c r="AD267" s="637">
        <v>0.09</v>
      </c>
      <c r="AE267" s="302" t="s">
        <v>572</v>
      </c>
      <c r="AF267" s="302" t="s">
        <v>1200</v>
      </c>
      <c r="AG267" s="637">
        <v>0.01</v>
      </c>
      <c r="AH267" s="645">
        <f t="shared" si="324"/>
        <v>0.5</v>
      </c>
      <c r="AI267" s="637">
        <v>0.4</v>
      </c>
      <c r="AJ267" s="302" t="s">
        <v>575</v>
      </c>
      <c r="AK267" s="302" t="s">
        <v>576</v>
      </c>
      <c r="AL267" s="637">
        <v>0.09</v>
      </c>
      <c r="AM267" s="302" t="s">
        <v>572</v>
      </c>
      <c r="AN267" s="302" t="s">
        <v>1200</v>
      </c>
      <c r="AO267" s="637">
        <v>0.01</v>
      </c>
      <c r="AP267" s="645">
        <f t="shared" si="311"/>
        <v>0.5</v>
      </c>
      <c r="AQ267" s="637">
        <v>0.4</v>
      </c>
      <c r="AR267" s="302" t="s">
        <v>575</v>
      </c>
      <c r="AS267" s="302" t="s">
        <v>576</v>
      </c>
      <c r="AT267" s="637">
        <v>0.09</v>
      </c>
      <c r="AU267" s="302" t="s">
        <v>572</v>
      </c>
      <c r="AV267" s="302" t="s">
        <v>1200</v>
      </c>
      <c r="AW267" s="637">
        <v>0.01</v>
      </c>
      <c r="AX267" s="645">
        <f t="shared" ref="AX267:AX270" si="362">+AQ267+AT267+AW267</f>
        <v>0.5</v>
      </c>
      <c r="AY267" s="637">
        <v>0.4</v>
      </c>
      <c r="AZ267" s="302" t="s">
        <v>575</v>
      </c>
      <c r="BA267" s="302" t="s">
        <v>576</v>
      </c>
      <c r="BB267" s="637">
        <v>0.09</v>
      </c>
      <c r="BC267" s="302" t="s">
        <v>572</v>
      </c>
      <c r="BD267" s="302" t="s">
        <v>1200</v>
      </c>
      <c r="BE267" s="637">
        <v>0.01</v>
      </c>
      <c r="BF267" s="434">
        <f t="shared" ref="BF267:BF270" si="363">+AY267+BB267+BE267</f>
        <v>0.5</v>
      </c>
      <c r="BG267" s="587">
        <v>0.4</v>
      </c>
      <c r="BH267" s="302" t="s">
        <v>575</v>
      </c>
      <c r="BI267" s="302" t="s">
        <v>576</v>
      </c>
      <c r="BJ267" s="434">
        <v>0.09</v>
      </c>
      <c r="BK267" s="302" t="s">
        <v>572</v>
      </c>
      <c r="BL267" s="302" t="s">
        <v>573</v>
      </c>
      <c r="BM267" s="434">
        <v>0.01</v>
      </c>
      <c r="BN267" s="645">
        <f t="shared" ref="BN267:BN270" si="364">+BG267+BJ267+BM267</f>
        <v>0.5</v>
      </c>
      <c r="BO267" s="434"/>
      <c r="BP267" s="434">
        <v>0.4</v>
      </c>
      <c r="BQ267" s="302" t="s">
        <v>575</v>
      </c>
      <c r="BR267" s="302" t="s">
        <v>576</v>
      </c>
      <c r="BS267" s="434">
        <v>0.09</v>
      </c>
      <c r="BT267" s="302" t="s">
        <v>572</v>
      </c>
      <c r="BU267" s="302" t="s">
        <v>573</v>
      </c>
      <c r="BV267" s="434">
        <v>0.01</v>
      </c>
      <c r="BW267" s="645">
        <f t="shared" ref="BW267:BW270" si="365">+BP267+BS267+BV267</f>
        <v>0.5</v>
      </c>
      <c r="BX267" s="434">
        <v>0.4</v>
      </c>
      <c r="BY267" s="302" t="s">
        <v>575</v>
      </c>
      <c r="BZ267" s="302" t="s">
        <v>576</v>
      </c>
      <c r="CA267" s="434">
        <v>0.09</v>
      </c>
      <c r="CB267" s="302" t="s">
        <v>572</v>
      </c>
      <c r="CC267" s="302" t="s">
        <v>573</v>
      </c>
      <c r="CD267" s="434">
        <v>0.01</v>
      </c>
      <c r="CE267" s="434">
        <f t="shared" ref="CE267:CE270" si="366">+BX267+CA267+CD267</f>
        <v>0.5</v>
      </c>
      <c r="CF267" s="1620" t="s">
        <v>1166</v>
      </c>
      <c r="CG267" s="1620" t="s">
        <v>1166</v>
      </c>
      <c r="CH267" s="1620" t="s">
        <v>1166</v>
      </c>
      <c r="CI267" s="406"/>
      <c r="CJ267" s="642">
        <v>0.70699999999999996</v>
      </c>
      <c r="CK267" s="591" t="s">
        <v>922</v>
      </c>
      <c r="CL267" s="302" t="s">
        <v>575</v>
      </c>
      <c r="CM267" s="302" t="s">
        <v>576</v>
      </c>
      <c r="CN267" s="637">
        <v>0.59</v>
      </c>
      <c r="CO267" s="302" t="s">
        <v>572</v>
      </c>
      <c r="CP267" s="302" t="s">
        <v>573</v>
      </c>
      <c r="CQ267" s="637">
        <v>0.01</v>
      </c>
    </row>
    <row r="268" spans="1:98" customFormat="1" x14ac:dyDescent="0.2">
      <c r="A268" s="668" t="s">
        <v>422</v>
      </c>
      <c r="B268" s="668" t="s">
        <v>421</v>
      </c>
      <c r="C268" s="638">
        <v>0.4</v>
      </c>
      <c r="D268" s="668" t="s">
        <v>636</v>
      </c>
      <c r="E268" s="668" t="s">
        <v>637</v>
      </c>
      <c r="F268" s="640">
        <v>0.1</v>
      </c>
      <c r="G268" s="668" t="s">
        <v>508</v>
      </c>
      <c r="H268" s="668" t="s">
        <v>546</v>
      </c>
      <c r="I268" s="640">
        <v>0</v>
      </c>
      <c r="J268" s="662">
        <f t="shared" si="356"/>
        <v>0.5</v>
      </c>
      <c r="K268" s="638">
        <v>0.4</v>
      </c>
      <c r="L268" s="668" t="s">
        <v>636</v>
      </c>
      <c r="M268" s="668" t="s">
        <v>637</v>
      </c>
      <c r="N268" s="640">
        <v>0.1</v>
      </c>
      <c r="O268" s="668" t="s">
        <v>508</v>
      </c>
      <c r="P268" s="668" t="s">
        <v>546</v>
      </c>
      <c r="Q268" s="640">
        <v>0</v>
      </c>
      <c r="R268" s="669">
        <f t="shared" si="319"/>
        <v>0.5</v>
      </c>
      <c r="S268" s="638">
        <v>0.4</v>
      </c>
      <c r="T268" s="396" t="s">
        <v>636</v>
      </c>
      <c r="U268" s="396" t="s">
        <v>637</v>
      </c>
      <c r="V268" s="640">
        <v>0.1</v>
      </c>
      <c r="W268" s="396" t="s">
        <v>508</v>
      </c>
      <c r="X268" s="396" t="s">
        <v>546</v>
      </c>
      <c r="Y268" s="640">
        <v>0</v>
      </c>
      <c r="Z268" s="646">
        <f t="shared" si="330"/>
        <v>0.5</v>
      </c>
      <c r="AA268" s="638">
        <v>0.4</v>
      </c>
      <c r="AB268" s="396" t="s">
        <v>636</v>
      </c>
      <c r="AC268" s="396" t="s">
        <v>637</v>
      </c>
      <c r="AD268" s="640">
        <v>0.1</v>
      </c>
      <c r="AE268" s="396" t="s">
        <v>508</v>
      </c>
      <c r="AF268" s="396" t="s">
        <v>546</v>
      </c>
      <c r="AG268" s="640">
        <v>0</v>
      </c>
      <c r="AH268" s="646">
        <f t="shared" si="324"/>
        <v>0.5</v>
      </c>
      <c r="AI268" s="638">
        <v>0.4</v>
      </c>
      <c r="AJ268" s="396" t="s">
        <v>636</v>
      </c>
      <c r="AK268" s="396" t="s">
        <v>637</v>
      </c>
      <c r="AL268" s="640">
        <v>0.1</v>
      </c>
      <c r="AM268" s="396" t="s">
        <v>508</v>
      </c>
      <c r="AN268" s="396" t="s">
        <v>546</v>
      </c>
      <c r="AO268" s="640">
        <v>0</v>
      </c>
      <c r="AP268" s="646">
        <f t="shared" si="311"/>
        <v>0.5</v>
      </c>
      <c r="AQ268" s="638">
        <v>0.4</v>
      </c>
      <c r="AR268" s="396" t="s">
        <v>636</v>
      </c>
      <c r="AS268" s="396" t="s">
        <v>637</v>
      </c>
      <c r="AT268" s="640">
        <v>0.1</v>
      </c>
      <c r="AU268" s="396" t="s">
        <v>508</v>
      </c>
      <c r="AV268" s="396" t="s">
        <v>546</v>
      </c>
      <c r="AW268" s="640">
        <v>0</v>
      </c>
      <c r="AX268" s="646">
        <f t="shared" si="362"/>
        <v>0.5</v>
      </c>
      <c r="AY268" s="638">
        <v>0.4</v>
      </c>
      <c r="AZ268" s="396" t="s">
        <v>636</v>
      </c>
      <c r="BA268" s="396" t="s">
        <v>637</v>
      </c>
      <c r="BB268" s="640">
        <v>0.1</v>
      </c>
      <c r="BC268" s="396" t="s">
        <v>508</v>
      </c>
      <c r="BD268" s="396" t="s">
        <v>546</v>
      </c>
      <c r="BE268" s="640">
        <v>0</v>
      </c>
      <c r="BF268" s="414">
        <f t="shared" si="363"/>
        <v>0.5</v>
      </c>
      <c r="BG268" s="588">
        <v>0.4</v>
      </c>
      <c r="BH268" s="396" t="s">
        <v>636</v>
      </c>
      <c r="BI268" s="396" t="s">
        <v>637</v>
      </c>
      <c r="BJ268" s="413">
        <v>0.1</v>
      </c>
      <c r="BK268" s="396" t="s">
        <v>508</v>
      </c>
      <c r="BL268" s="396" t="s">
        <v>546</v>
      </c>
      <c r="BM268" s="414">
        <v>0</v>
      </c>
      <c r="BN268" s="646">
        <f t="shared" si="364"/>
        <v>0.5</v>
      </c>
      <c r="BO268" s="414"/>
      <c r="BP268" s="413">
        <v>0.4</v>
      </c>
      <c r="BQ268" s="396" t="s">
        <v>636</v>
      </c>
      <c r="BR268" s="396" t="s">
        <v>637</v>
      </c>
      <c r="BS268" s="413">
        <v>0.1</v>
      </c>
      <c r="BT268" s="396" t="s">
        <v>508</v>
      </c>
      <c r="BU268" s="396" t="s">
        <v>546</v>
      </c>
      <c r="BV268" s="414">
        <v>0</v>
      </c>
      <c r="BW268" s="646">
        <f t="shared" si="365"/>
        <v>0.5</v>
      </c>
      <c r="BX268" s="413">
        <v>0.4</v>
      </c>
      <c r="BY268" s="396" t="s">
        <v>636</v>
      </c>
      <c r="BZ268" s="396" t="s">
        <v>637</v>
      </c>
      <c r="CA268" s="413">
        <v>0.1</v>
      </c>
      <c r="CB268" s="396" t="s">
        <v>508</v>
      </c>
      <c r="CC268" s="396" t="s">
        <v>546</v>
      </c>
      <c r="CD268" s="414">
        <v>0</v>
      </c>
      <c r="CE268" s="414">
        <f t="shared" si="366"/>
        <v>0.5</v>
      </c>
      <c r="CF268" s="1621" t="s">
        <v>862</v>
      </c>
      <c r="CG268" s="1621" t="s">
        <v>1166</v>
      </c>
      <c r="CH268" s="1621" t="s">
        <v>1166</v>
      </c>
      <c r="CI268" s="409"/>
      <c r="CJ268" s="642">
        <v>0.68799999999999994</v>
      </c>
      <c r="CK268" s="591" t="s">
        <v>922</v>
      </c>
      <c r="CL268" s="396" t="s">
        <v>636</v>
      </c>
      <c r="CM268" s="396" t="s">
        <v>637</v>
      </c>
      <c r="CN268" s="637">
        <v>0.6</v>
      </c>
      <c r="CO268" s="396" t="s">
        <v>508</v>
      </c>
      <c r="CP268" s="396" t="s">
        <v>546</v>
      </c>
      <c r="CQ268" s="640">
        <v>0</v>
      </c>
      <c r="CS268" s="428"/>
      <c r="CT268" s="428"/>
    </row>
    <row r="269" spans="1:98" ht="15.75" customHeight="1" x14ac:dyDescent="0.2">
      <c r="A269" s="661" t="s">
        <v>424</v>
      </c>
      <c r="B269" s="440" t="s">
        <v>423</v>
      </c>
      <c r="C269" s="637">
        <v>0.49</v>
      </c>
      <c r="D269" s="440" t="s">
        <v>508</v>
      </c>
      <c r="E269" s="440" t="s">
        <v>660</v>
      </c>
      <c r="F269" s="637">
        <v>0</v>
      </c>
      <c r="G269" s="440" t="s">
        <v>671</v>
      </c>
      <c r="H269" s="440" t="s">
        <v>672</v>
      </c>
      <c r="I269" s="637">
        <v>0.01</v>
      </c>
      <c r="J269" s="662">
        <f t="shared" si="356"/>
        <v>0.5</v>
      </c>
      <c r="K269" s="637">
        <v>0.49</v>
      </c>
      <c r="L269" s="440" t="s">
        <v>508</v>
      </c>
      <c r="M269" s="440" t="s">
        <v>660</v>
      </c>
      <c r="N269" s="637">
        <v>0</v>
      </c>
      <c r="O269" s="440" t="s">
        <v>671</v>
      </c>
      <c r="P269" s="440" t="s">
        <v>672</v>
      </c>
      <c r="Q269" s="637">
        <v>0.01</v>
      </c>
      <c r="R269" s="662">
        <f t="shared" si="319"/>
        <v>0.5</v>
      </c>
      <c r="S269" s="637">
        <v>0.49</v>
      </c>
      <c r="T269" s="302" t="s">
        <v>508</v>
      </c>
      <c r="U269" s="302" t="s">
        <v>660</v>
      </c>
      <c r="V269" s="637">
        <v>0</v>
      </c>
      <c r="W269" s="302" t="s">
        <v>671</v>
      </c>
      <c r="X269" s="302" t="s">
        <v>672</v>
      </c>
      <c r="Y269" s="637">
        <v>0.01</v>
      </c>
      <c r="Z269" s="645">
        <f t="shared" si="330"/>
        <v>0.5</v>
      </c>
      <c r="AA269" s="637">
        <v>0.49</v>
      </c>
      <c r="AB269" s="302" t="s">
        <v>508</v>
      </c>
      <c r="AC269" s="302" t="s">
        <v>660</v>
      </c>
      <c r="AD269" s="637">
        <v>0</v>
      </c>
      <c r="AE269" s="302" t="s">
        <v>671</v>
      </c>
      <c r="AF269" s="302" t="s">
        <v>672</v>
      </c>
      <c r="AG269" s="637">
        <v>0.01</v>
      </c>
      <c r="AH269" s="645">
        <f t="shared" si="324"/>
        <v>0.5</v>
      </c>
      <c r="AI269" s="637">
        <v>0.49</v>
      </c>
      <c r="AJ269" s="302" t="s">
        <v>508</v>
      </c>
      <c r="AK269" s="302" t="s">
        <v>660</v>
      </c>
      <c r="AL269" s="637">
        <v>0</v>
      </c>
      <c r="AM269" s="302" t="s">
        <v>671</v>
      </c>
      <c r="AN269" s="302" t="s">
        <v>672</v>
      </c>
      <c r="AO269" s="637">
        <v>0.01</v>
      </c>
      <c r="AP269" s="645">
        <f t="shared" si="311"/>
        <v>0.5</v>
      </c>
      <c r="AQ269" s="637">
        <v>0.49</v>
      </c>
      <c r="AR269" s="302" t="s">
        <v>508</v>
      </c>
      <c r="AS269" s="302" t="s">
        <v>660</v>
      </c>
      <c r="AT269" s="637">
        <v>0</v>
      </c>
      <c r="AU269" s="302" t="s">
        <v>671</v>
      </c>
      <c r="AV269" s="302" t="s">
        <v>672</v>
      </c>
      <c r="AW269" s="637">
        <v>0.01</v>
      </c>
      <c r="AX269" s="645">
        <f t="shared" si="362"/>
        <v>0.5</v>
      </c>
      <c r="AY269" s="637">
        <v>0.74</v>
      </c>
      <c r="AZ269" s="302" t="s">
        <v>508</v>
      </c>
      <c r="BA269" s="302" t="s">
        <v>660</v>
      </c>
      <c r="BB269" s="637">
        <v>0</v>
      </c>
      <c r="BC269" s="302" t="s">
        <v>671</v>
      </c>
      <c r="BD269" s="302" t="s">
        <v>672</v>
      </c>
      <c r="BE269" s="637">
        <v>0.01</v>
      </c>
      <c r="BF269" s="434">
        <f t="shared" si="363"/>
        <v>0.75</v>
      </c>
      <c r="BG269" s="587">
        <v>0.99</v>
      </c>
      <c r="BH269" s="302" t="s">
        <v>508</v>
      </c>
      <c r="BI269" s="302" t="s">
        <v>660</v>
      </c>
      <c r="BJ269" s="434">
        <v>0</v>
      </c>
      <c r="BK269" s="302" t="s">
        <v>671</v>
      </c>
      <c r="BL269" s="302" t="s">
        <v>672</v>
      </c>
      <c r="BM269" s="434">
        <v>0.01</v>
      </c>
      <c r="BN269" s="645">
        <f t="shared" si="364"/>
        <v>1</v>
      </c>
      <c r="BO269" s="434"/>
      <c r="BP269" s="434">
        <v>0.49</v>
      </c>
      <c r="BQ269" s="302" t="s">
        <v>508</v>
      </c>
      <c r="BR269" s="302" t="s">
        <v>660</v>
      </c>
      <c r="BS269" s="434">
        <v>0</v>
      </c>
      <c r="BT269" s="302" t="s">
        <v>671</v>
      </c>
      <c r="BU269" s="302" t="s">
        <v>672</v>
      </c>
      <c r="BV269" s="434">
        <v>0.01</v>
      </c>
      <c r="BW269" s="645">
        <f t="shared" si="365"/>
        <v>0.5</v>
      </c>
      <c r="BX269" s="434">
        <v>0.49</v>
      </c>
      <c r="BY269" s="302" t="s">
        <v>508</v>
      </c>
      <c r="BZ269" s="302" t="s">
        <v>660</v>
      </c>
      <c r="CA269" s="434">
        <v>0</v>
      </c>
      <c r="CB269" s="302" t="s">
        <v>671</v>
      </c>
      <c r="CC269" s="302" t="s">
        <v>672</v>
      </c>
      <c r="CD269" s="434">
        <v>0.01</v>
      </c>
      <c r="CE269" s="434">
        <f t="shared" si="366"/>
        <v>0.5</v>
      </c>
      <c r="CF269" s="1620" t="s">
        <v>862</v>
      </c>
      <c r="CG269" s="1620" t="s">
        <v>1166</v>
      </c>
      <c r="CH269" s="1620" t="s">
        <v>1166</v>
      </c>
      <c r="CI269" s="408" t="s">
        <v>862</v>
      </c>
      <c r="CJ269" s="642">
        <v>0.68200000000000005</v>
      </c>
      <c r="CK269" s="591" t="s">
        <v>922</v>
      </c>
      <c r="CL269" s="302" t="s">
        <v>508</v>
      </c>
      <c r="CM269" s="302" t="s">
        <v>660</v>
      </c>
      <c r="CN269" s="637">
        <v>0</v>
      </c>
      <c r="CO269" s="302" t="s">
        <v>671</v>
      </c>
      <c r="CP269" s="302" t="s">
        <v>672</v>
      </c>
      <c r="CQ269" s="637">
        <v>0.01</v>
      </c>
    </row>
    <row r="270" spans="1:98" ht="15" x14ac:dyDescent="0.2">
      <c r="A270" s="661" t="s">
        <v>426</v>
      </c>
      <c r="B270" s="440" t="s">
        <v>425</v>
      </c>
      <c r="C270" s="637">
        <v>0.99</v>
      </c>
      <c r="D270" s="440" t="s">
        <v>508</v>
      </c>
      <c r="E270" s="440" t="s">
        <v>660</v>
      </c>
      <c r="F270" s="637">
        <v>0</v>
      </c>
      <c r="G270" s="440" t="s">
        <v>669</v>
      </c>
      <c r="H270" s="440" t="s">
        <v>670</v>
      </c>
      <c r="I270" s="637">
        <v>0.01</v>
      </c>
      <c r="J270" s="662">
        <f t="shared" si="356"/>
        <v>1</v>
      </c>
      <c r="K270" s="637">
        <v>0.99</v>
      </c>
      <c r="L270" s="440" t="s">
        <v>508</v>
      </c>
      <c r="M270" s="440" t="s">
        <v>660</v>
      </c>
      <c r="N270" s="637">
        <v>0</v>
      </c>
      <c r="O270" s="440" t="s">
        <v>669</v>
      </c>
      <c r="P270" s="440" t="s">
        <v>670</v>
      </c>
      <c r="Q270" s="637">
        <v>0.01</v>
      </c>
      <c r="R270" s="662">
        <f t="shared" si="319"/>
        <v>1</v>
      </c>
      <c r="S270" s="637">
        <v>0.99</v>
      </c>
      <c r="T270" s="302" t="s">
        <v>508</v>
      </c>
      <c r="U270" s="302" t="s">
        <v>660</v>
      </c>
      <c r="V270" s="637">
        <v>0</v>
      </c>
      <c r="W270" s="302" t="s">
        <v>669</v>
      </c>
      <c r="X270" s="302" t="s">
        <v>670</v>
      </c>
      <c r="Y270" s="637">
        <v>0.01</v>
      </c>
      <c r="Z270" s="645">
        <f t="shared" si="330"/>
        <v>1</v>
      </c>
      <c r="AA270" s="637">
        <v>0.99</v>
      </c>
      <c r="AB270" s="302" t="s">
        <v>508</v>
      </c>
      <c r="AC270" s="302" t="s">
        <v>660</v>
      </c>
      <c r="AD270" s="637">
        <v>0</v>
      </c>
      <c r="AE270" s="302" t="s">
        <v>669</v>
      </c>
      <c r="AF270" s="302" t="s">
        <v>670</v>
      </c>
      <c r="AG270" s="637">
        <v>0.01</v>
      </c>
      <c r="AH270" s="645">
        <f t="shared" si="324"/>
        <v>1</v>
      </c>
      <c r="AI270" s="637">
        <v>0.99</v>
      </c>
      <c r="AJ270" s="302" t="s">
        <v>508</v>
      </c>
      <c r="AK270" s="302" t="s">
        <v>660</v>
      </c>
      <c r="AL270" s="637">
        <v>0</v>
      </c>
      <c r="AM270" s="302" t="s">
        <v>669</v>
      </c>
      <c r="AN270" s="302" t="s">
        <v>670</v>
      </c>
      <c r="AO270" s="637">
        <v>0.01</v>
      </c>
      <c r="AP270" s="645">
        <f t="shared" si="311"/>
        <v>1</v>
      </c>
      <c r="AQ270" s="637">
        <v>0.99</v>
      </c>
      <c r="AR270" s="302" t="s">
        <v>508</v>
      </c>
      <c r="AS270" s="302" t="s">
        <v>660</v>
      </c>
      <c r="AT270" s="637">
        <v>0</v>
      </c>
      <c r="AU270" s="302" t="s">
        <v>669</v>
      </c>
      <c r="AV270" s="302" t="s">
        <v>670</v>
      </c>
      <c r="AW270" s="637">
        <v>0.01</v>
      </c>
      <c r="AX270" s="645">
        <f t="shared" si="362"/>
        <v>1</v>
      </c>
      <c r="AY270" s="637">
        <v>0.99</v>
      </c>
      <c r="AZ270" s="302" t="s">
        <v>508</v>
      </c>
      <c r="BA270" s="302" t="s">
        <v>660</v>
      </c>
      <c r="BB270" s="637">
        <v>0</v>
      </c>
      <c r="BC270" s="302" t="s">
        <v>669</v>
      </c>
      <c r="BD270" s="302" t="s">
        <v>670</v>
      </c>
      <c r="BE270" s="637">
        <v>0.01</v>
      </c>
      <c r="BF270" s="434">
        <f t="shared" si="363"/>
        <v>1</v>
      </c>
      <c r="BG270" s="587">
        <v>0.99</v>
      </c>
      <c r="BH270" s="302" t="s">
        <v>508</v>
      </c>
      <c r="BI270" s="302" t="s">
        <v>660</v>
      </c>
      <c r="BJ270" s="434">
        <v>0</v>
      </c>
      <c r="BK270" s="302" t="s">
        <v>669</v>
      </c>
      <c r="BL270" s="302" t="s">
        <v>670</v>
      </c>
      <c r="BM270" s="434">
        <v>0.01</v>
      </c>
      <c r="BN270" s="645">
        <f t="shared" si="364"/>
        <v>1</v>
      </c>
      <c r="BO270" s="434"/>
      <c r="BP270" s="434">
        <v>0.99</v>
      </c>
      <c r="BQ270" s="302" t="s">
        <v>508</v>
      </c>
      <c r="BR270" s="302" t="s">
        <v>660</v>
      </c>
      <c r="BS270" s="434">
        <v>0</v>
      </c>
      <c r="BT270" s="302" t="s">
        <v>669</v>
      </c>
      <c r="BU270" s="302" t="s">
        <v>670</v>
      </c>
      <c r="BV270" s="434">
        <v>0.01</v>
      </c>
      <c r="BW270" s="645">
        <f t="shared" si="365"/>
        <v>1</v>
      </c>
      <c r="BX270" s="434">
        <v>0.49</v>
      </c>
      <c r="BY270" s="302" t="s">
        <v>508</v>
      </c>
      <c r="BZ270" s="302" t="s">
        <v>660</v>
      </c>
      <c r="CA270" s="434">
        <v>0</v>
      </c>
      <c r="CB270" s="302" t="s">
        <v>669</v>
      </c>
      <c r="CC270" s="302" t="s">
        <v>670</v>
      </c>
      <c r="CD270" s="434">
        <v>0.01</v>
      </c>
      <c r="CE270" s="434">
        <f t="shared" si="366"/>
        <v>0.5</v>
      </c>
      <c r="CF270" s="1620" t="s">
        <v>862</v>
      </c>
      <c r="CG270" s="1620" t="s">
        <v>1166</v>
      </c>
      <c r="CH270" s="1620" t="s">
        <v>1166</v>
      </c>
      <c r="CI270" s="408" t="s">
        <v>862</v>
      </c>
      <c r="CJ270" s="642">
        <v>0.67200000000000004</v>
      </c>
      <c r="CK270" s="591" t="s">
        <v>922</v>
      </c>
      <c r="CL270" s="302" t="s">
        <v>508</v>
      </c>
      <c r="CM270" s="302" t="s">
        <v>660</v>
      </c>
      <c r="CN270" s="637">
        <v>0</v>
      </c>
      <c r="CO270" s="302" t="s">
        <v>669</v>
      </c>
      <c r="CP270" s="302" t="s">
        <v>670</v>
      </c>
      <c r="CQ270" s="637">
        <v>0.01</v>
      </c>
    </row>
    <row r="271" spans="1:98" ht="15.75" customHeight="1" x14ac:dyDescent="0.2">
      <c r="A271" s="661" t="s">
        <v>428</v>
      </c>
      <c r="B271" s="440" t="s">
        <v>427</v>
      </c>
      <c r="C271" s="637">
        <v>0.3</v>
      </c>
      <c r="D271" s="440" t="s">
        <v>674</v>
      </c>
      <c r="E271" s="440" t="s">
        <v>675</v>
      </c>
      <c r="F271" s="637">
        <v>0.37</v>
      </c>
      <c r="G271" s="440" t="s">
        <v>508</v>
      </c>
      <c r="H271" s="440" t="s">
        <v>508</v>
      </c>
      <c r="I271" s="637">
        <v>0</v>
      </c>
      <c r="J271" s="662">
        <f t="shared" si="356"/>
        <v>0.66999999999999993</v>
      </c>
      <c r="K271" s="637">
        <v>0.3</v>
      </c>
      <c r="L271" s="440" t="s">
        <v>674</v>
      </c>
      <c r="M271" s="440" t="s">
        <v>675</v>
      </c>
      <c r="N271" s="637">
        <v>0.37</v>
      </c>
      <c r="O271" s="440" t="s">
        <v>508</v>
      </c>
      <c r="P271" s="440" t="s">
        <v>508</v>
      </c>
      <c r="Q271" s="637">
        <v>0</v>
      </c>
      <c r="R271" s="662">
        <f t="shared" si="319"/>
        <v>0.66999999999999993</v>
      </c>
      <c r="S271" s="637">
        <v>0.3</v>
      </c>
      <c r="T271" s="302" t="s">
        <v>674</v>
      </c>
      <c r="U271" s="302" t="s">
        <v>675</v>
      </c>
      <c r="V271" s="637">
        <v>0.37</v>
      </c>
      <c r="W271" s="302" t="s">
        <v>508</v>
      </c>
      <c r="X271" s="302" t="s">
        <v>508</v>
      </c>
      <c r="Y271" s="637">
        <v>0</v>
      </c>
      <c r="Z271" s="645">
        <f t="shared" si="330"/>
        <v>0.66999999999999993</v>
      </c>
      <c r="AA271" s="637">
        <v>0.3</v>
      </c>
      <c r="AB271" s="302" t="s">
        <v>674</v>
      </c>
      <c r="AC271" s="302" t="s">
        <v>675</v>
      </c>
      <c r="AD271" s="637">
        <v>0.37</v>
      </c>
      <c r="AE271" s="302" t="s">
        <v>508</v>
      </c>
      <c r="AF271" s="302" t="s">
        <v>508</v>
      </c>
      <c r="AG271" s="637">
        <v>0</v>
      </c>
      <c r="AH271" s="645">
        <f t="shared" si="324"/>
        <v>0.66999999999999993</v>
      </c>
      <c r="AI271" s="637">
        <v>0.3</v>
      </c>
      <c r="AJ271" s="302" t="s">
        <v>674</v>
      </c>
      <c r="AK271" s="302" t="s">
        <v>675</v>
      </c>
      <c r="AL271" s="637">
        <v>0.37</v>
      </c>
      <c r="AM271" s="302" t="s">
        <v>508</v>
      </c>
      <c r="AN271" s="302" t="s">
        <v>508</v>
      </c>
      <c r="AO271" s="637">
        <v>0</v>
      </c>
      <c r="AP271" s="645">
        <f t="shared" si="311"/>
        <v>0.66999999999999993</v>
      </c>
      <c r="AQ271" s="637">
        <v>0.3</v>
      </c>
      <c r="AR271" s="302" t="s">
        <v>674</v>
      </c>
      <c r="AS271" s="302" t="s">
        <v>675</v>
      </c>
      <c r="AT271" s="637">
        <v>0.37</v>
      </c>
      <c r="AU271" s="302" t="s">
        <v>508</v>
      </c>
      <c r="AV271" s="302" t="s">
        <v>508</v>
      </c>
      <c r="AW271" s="637">
        <v>0</v>
      </c>
      <c r="AX271" s="645">
        <f t="shared" ref="AX271:AX274" si="367">+AQ271+AT271+AW271</f>
        <v>0.66999999999999993</v>
      </c>
      <c r="AY271" s="637">
        <v>0.48</v>
      </c>
      <c r="AZ271" s="302" t="s">
        <v>674</v>
      </c>
      <c r="BA271" s="302" t="s">
        <v>675</v>
      </c>
      <c r="BB271" s="637">
        <v>0.27</v>
      </c>
      <c r="BC271" s="302" t="s">
        <v>508</v>
      </c>
      <c r="BD271" s="302" t="s">
        <v>508</v>
      </c>
      <c r="BE271" s="637">
        <v>0</v>
      </c>
      <c r="BF271" s="434">
        <f t="shared" ref="BF271:BF274" si="368">+AY271+BB271+BE271</f>
        <v>0.75</v>
      </c>
      <c r="BG271" s="587">
        <v>0.64</v>
      </c>
      <c r="BH271" s="302" t="s">
        <v>674</v>
      </c>
      <c r="BI271" s="302" t="s">
        <v>675</v>
      </c>
      <c r="BJ271" s="434">
        <v>0.36</v>
      </c>
      <c r="BK271" s="302" t="s">
        <v>508</v>
      </c>
      <c r="BL271" s="302" t="s">
        <v>508</v>
      </c>
      <c r="BM271" s="434">
        <v>0</v>
      </c>
      <c r="BN271" s="645">
        <f t="shared" ref="BN271:BN274" si="369">+BG271+BJ271+BM271</f>
        <v>1</v>
      </c>
      <c r="BO271" s="434"/>
      <c r="BP271" s="434">
        <v>0.3</v>
      </c>
      <c r="BQ271" s="302" t="s">
        <v>674</v>
      </c>
      <c r="BR271" s="302" t="s">
        <v>675</v>
      </c>
      <c r="BS271" s="434">
        <v>0.37</v>
      </c>
      <c r="BT271" s="302" t="s">
        <v>508</v>
      </c>
      <c r="BU271" s="302" t="s">
        <v>508</v>
      </c>
      <c r="BV271" s="434">
        <v>0</v>
      </c>
      <c r="BW271" s="645">
        <f t="shared" ref="BW271:BW274" si="370">+BP271+BS271+BV271</f>
        <v>0.66999999999999993</v>
      </c>
      <c r="BX271" s="434">
        <v>0.3</v>
      </c>
      <c r="BY271" s="302" t="s">
        <v>674</v>
      </c>
      <c r="BZ271" s="302" t="s">
        <v>675</v>
      </c>
      <c r="CA271" s="434">
        <v>0.2</v>
      </c>
      <c r="CB271" s="302" t="s">
        <v>508</v>
      </c>
      <c r="CC271" s="302" t="s">
        <v>508</v>
      </c>
      <c r="CD271" s="434">
        <v>0</v>
      </c>
      <c r="CE271" s="434">
        <f t="shared" ref="CE271:CE274" si="371">+BX271+CA271+CD271</f>
        <v>0.5</v>
      </c>
      <c r="CF271" s="1620" t="s">
        <v>1166</v>
      </c>
      <c r="CG271" s="1620" t="s">
        <v>1166</v>
      </c>
      <c r="CH271" s="1620" t="s">
        <v>1166</v>
      </c>
      <c r="CI271" s="408" t="s">
        <v>862</v>
      </c>
      <c r="CJ271" s="642">
        <v>0.76900000000000002</v>
      </c>
      <c r="CK271" s="591" t="s">
        <v>922</v>
      </c>
      <c r="CL271" s="302" t="s">
        <v>674</v>
      </c>
      <c r="CM271" s="302" t="s">
        <v>675</v>
      </c>
      <c r="CN271" s="637">
        <v>0.2</v>
      </c>
      <c r="CO271" s="302" t="s">
        <v>508</v>
      </c>
      <c r="CP271" s="302" t="s">
        <v>508</v>
      </c>
      <c r="CQ271" s="637">
        <v>0</v>
      </c>
    </row>
    <row r="272" spans="1:98" ht="15.75" customHeight="1" x14ac:dyDescent="0.2">
      <c r="A272" s="661" t="s">
        <v>430</v>
      </c>
      <c r="B272" s="440" t="s">
        <v>429</v>
      </c>
      <c r="C272" s="637">
        <v>0.3</v>
      </c>
      <c r="D272" s="440" t="s">
        <v>674</v>
      </c>
      <c r="E272" s="440" t="s">
        <v>675</v>
      </c>
      <c r="F272" s="637">
        <v>0.37</v>
      </c>
      <c r="G272" s="440" t="s">
        <v>508</v>
      </c>
      <c r="H272" s="440" t="s">
        <v>508</v>
      </c>
      <c r="I272" s="637">
        <v>0</v>
      </c>
      <c r="J272" s="662">
        <f t="shared" si="356"/>
        <v>0.66999999999999993</v>
      </c>
      <c r="K272" s="637">
        <v>0.3</v>
      </c>
      <c r="L272" s="440" t="s">
        <v>674</v>
      </c>
      <c r="M272" s="440" t="s">
        <v>675</v>
      </c>
      <c r="N272" s="637">
        <v>0.37</v>
      </c>
      <c r="O272" s="440" t="s">
        <v>508</v>
      </c>
      <c r="P272" s="440" t="s">
        <v>508</v>
      </c>
      <c r="Q272" s="637">
        <v>0</v>
      </c>
      <c r="R272" s="662">
        <f t="shared" si="319"/>
        <v>0.66999999999999993</v>
      </c>
      <c r="S272" s="637">
        <v>0.3</v>
      </c>
      <c r="T272" s="302" t="s">
        <v>674</v>
      </c>
      <c r="U272" s="302" t="s">
        <v>675</v>
      </c>
      <c r="V272" s="637">
        <v>0.37</v>
      </c>
      <c r="W272" s="302" t="s">
        <v>508</v>
      </c>
      <c r="X272" s="302" t="s">
        <v>508</v>
      </c>
      <c r="Y272" s="637">
        <v>0</v>
      </c>
      <c r="Z272" s="645">
        <f t="shared" si="330"/>
        <v>0.66999999999999993</v>
      </c>
      <c r="AA272" s="637">
        <v>0.3</v>
      </c>
      <c r="AB272" s="302" t="s">
        <v>674</v>
      </c>
      <c r="AC272" s="302" t="s">
        <v>675</v>
      </c>
      <c r="AD272" s="637">
        <v>0.37</v>
      </c>
      <c r="AE272" s="302" t="s">
        <v>508</v>
      </c>
      <c r="AF272" s="302" t="s">
        <v>508</v>
      </c>
      <c r="AG272" s="637">
        <v>0</v>
      </c>
      <c r="AH272" s="645">
        <f t="shared" si="324"/>
        <v>0.66999999999999993</v>
      </c>
      <c r="AI272" s="637">
        <v>0.3</v>
      </c>
      <c r="AJ272" s="302" t="s">
        <v>674</v>
      </c>
      <c r="AK272" s="302" t="s">
        <v>675</v>
      </c>
      <c r="AL272" s="637">
        <v>0.37</v>
      </c>
      <c r="AM272" s="302" t="s">
        <v>508</v>
      </c>
      <c r="AN272" s="302" t="s">
        <v>508</v>
      </c>
      <c r="AO272" s="637">
        <v>0</v>
      </c>
      <c r="AP272" s="645">
        <f t="shared" si="311"/>
        <v>0.66999999999999993</v>
      </c>
      <c r="AQ272" s="637">
        <v>0.3</v>
      </c>
      <c r="AR272" s="302" t="s">
        <v>674</v>
      </c>
      <c r="AS272" s="302" t="s">
        <v>675</v>
      </c>
      <c r="AT272" s="637">
        <v>0.37</v>
      </c>
      <c r="AU272" s="302" t="s">
        <v>508</v>
      </c>
      <c r="AV272" s="302" t="s">
        <v>508</v>
      </c>
      <c r="AW272" s="637">
        <v>0</v>
      </c>
      <c r="AX272" s="645">
        <f t="shared" si="367"/>
        <v>0.66999999999999993</v>
      </c>
      <c r="AY272" s="637">
        <v>0.48</v>
      </c>
      <c r="AZ272" s="302" t="s">
        <v>674</v>
      </c>
      <c r="BA272" s="302" t="s">
        <v>675</v>
      </c>
      <c r="BB272" s="637">
        <v>0.27</v>
      </c>
      <c r="BC272" s="302" t="s">
        <v>508</v>
      </c>
      <c r="BD272" s="302" t="s">
        <v>508</v>
      </c>
      <c r="BE272" s="637">
        <v>0</v>
      </c>
      <c r="BF272" s="434">
        <f t="shared" si="368"/>
        <v>0.75</v>
      </c>
      <c r="BG272" s="587">
        <v>0.64</v>
      </c>
      <c r="BH272" s="302" t="s">
        <v>674</v>
      </c>
      <c r="BI272" s="302" t="s">
        <v>675</v>
      </c>
      <c r="BJ272" s="434">
        <v>0.36</v>
      </c>
      <c r="BK272" s="302" t="s">
        <v>508</v>
      </c>
      <c r="BL272" s="302" t="s">
        <v>508</v>
      </c>
      <c r="BM272" s="434">
        <v>0</v>
      </c>
      <c r="BN272" s="645">
        <f t="shared" si="369"/>
        <v>1</v>
      </c>
      <c r="BO272" s="434"/>
      <c r="BP272" s="434">
        <v>0.3</v>
      </c>
      <c r="BQ272" s="302" t="s">
        <v>674</v>
      </c>
      <c r="BR272" s="302" t="s">
        <v>675</v>
      </c>
      <c r="BS272" s="434">
        <v>0.37</v>
      </c>
      <c r="BT272" s="302" t="s">
        <v>508</v>
      </c>
      <c r="BU272" s="302" t="s">
        <v>508</v>
      </c>
      <c r="BV272" s="434">
        <v>0</v>
      </c>
      <c r="BW272" s="645">
        <f t="shared" si="370"/>
        <v>0.66999999999999993</v>
      </c>
      <c r="BX272" s="434">
        <v>0.3</v>
      </c>
      <c r="BY272" s="302" t="s">
        <v>674</v>
      </c>
      <c r="BZ272" s="302" t="s">
        <v>675</v>
      </c>
      <c r="CA272" s="434">
        <v>0.2</v>
      </c>
      <c r="CB272" s="302" t="s">
        <v>508</v>
      </c>
      <c r="CC272" s="302" t="s">
        <v>508</v>
      </c>
      <c r="CD272" s="434">
        <v>0</v>
      </c>
      <c r="CE272" s="434">
        <f t="shared" si="371"/>
        <v>0.5</v>
      </c>
      <c r="CF272" s="1620" t="s">
        <v>862</v>
      </c>
      <c r="CG272" s="1620" t="s">
        <v>1166</v>
      </c>
      <c r="CH272" s="1620" t="s">
        <v>1166</v>
      </c>
      <c r="CI272" s="408" t="s">
        <v>862</v>
      </c>
      <c r="CJ272" s="642">
        <v>0.76100000000000001</v>
      </c>
      <c r="CK272" s="591" t="s">
        <v>922</v>
      </c>
      <c r="CL272" s="302" t="s">
        <v>674</v>
      </c>
      <c r="CM272" s="302" t="s">
        <v>675</v>
      </c>
      <c r="CN272" s="637">
        <v>0.2</v>
      </c>
      <c r="CO272" s="302" t="s">
        <v>508</v>
      </c>
      <c r="CP272" s="302" t="s">
        <v>508</v>
      </c>
      <c r="CQ272" s="637">
        <v>0</v>
      </c>
    </row>
    <row r="273" spans="1:98" ht="15" x14ac:dyDescent="0.2">
      <c r="A273" s="661" t="s">
        <v>432</v>
      </c>
      <c r="B273" s="440" t="s">
        <v>538</v>
      </c>
      <c r="C273" s="637">
        <v>0.49</v>
      </c>
      <c r="D273" s="440" t="s">
        <v>508</v>
      </c>
      <c r="E273" s="440" t="s">
        <v>509</v>
      </c>
      <c r="F273" s="637">
        <v>0</v>
      </c>
      <c r="G273" s="440" t="s">
        <v>536</v>
      </c>
      <c r="H273" s="440" t="s">
        <v>537</v>
      </c>
      <c r="I273" s="637">
        <v>0.01</v>
      </c>
      <c r="J273" s="662">
        <f t="shared" si="356"/>
        <v>0.5</v>
      </c>
      <c r="K273" s="637">
        <v>0.49</v>
      </c>
      <c r="L273" s="440" t="s">
        <v>508</v>
      </c>
      <c r="M273" s="440" t="s">
        <v>509</v>
      </c>
      <c r="N273" s="637">
        <v>0</v>
      </c>
      <c r="O273" s="440" t="s">
        <v>536</v>
      </c>
      <c r="P273" s="440" t="s">
        <v>537</v>
      </c>
      <c r="Q273" s="637">
        <v>0.01</v>
      </c>
      <c r="R273" s="662">
        <f t="shared" si="319"/>
        <v>0.5</v>
      </c>
      <c r="S273" s="637">
        <v>0.49</v>
      </c>
      <c r="T273" s="302" t="s">
        <v>508</v>
      </c>
      <c r="U273" s="302" t="s">
        <v>509</v>
      </c>
      <c r="V273" s="637">
        <v>0</v>
      </c>
      <c r="W273" s="302" t="s">
        <v>536</v>
      </c>
      <c r="X273" s="302" t="s">
        <v>537</v>
      </c>
      <c r="Y273" s="637">
        <v>0.01</v>
      </c>
      <c r="Z273" s="645">
        <f t="shared" si="330"/>
        <v>0.5</v>
      </c>
      <c r="AA273" s="637">
        <v>0.49</v>
      </c>
      <c r="AB273" s="302" t="s">
        <v>508</v>
      </c>
      <c r="AC273" s="302" t="s">
        <v>509</v>
      </c>
      <c r="AD273" s="637">
        <v>0</v>
      </c>
      <c r="AE273" s="302" t="s">
        <v>536</v>
      </c>
      <c r="AF273" s="302" t="s">
        <v>537</v>
      </c>
      <c r="AG273" s="637">
        <v>0.01</v>
      </c>
      <c r="AH273" s="645">
        <f t="shared" si="324"/>
        <v>0.5</v>
      </c>
      <c r="AI273" s="637">
        <v>0.49</v>
      </c>
      <c r="AJ273" s="302" t="s">
        <v>508</v>
      </c>
      <c r="AK273" s="302" t="s">
        <v>509</v>
      </c>
      <c r="AL273" s="637">
        <v>0</v>
      </c>
      <c r="AM273" s="302" t="s">
        <v>536</v>
      </c>
      <c r="AN273" s="302" t="s">
        <v>537</v>
      </c>
      <c r="AO273" s="637">
        <v>0.01</v>
      </c>
      <c r="AP273" s="645">
        <f t="shared" si="311"/>
        <v>0.5</v>
      </c>
      <c r="AQ273" s="637">
        <v>0.49</v>
      </c>
      <c r="AR273" s="302" t="s">
        <v>508</v>
      </c>
      <c r="AS273" s="302" t="s">
        <v>509</v>
      </c>
      <c r="AT273" s="637">
        <v>0</v>
      </c>
      <c r="AU273" s="302" t="s">
        <v>536</v>
      </c>
      <c r="AV273" s="302" t="s">
        <v>537</v>
      </c>
      <c r="AW273" s="637">
        <v>0.01</v>
      </c>
      <c r="AX273" s="645">
        <f t="shared" si="367"/>
        <v>0.5</v>
      </c>
      <c r="AY273" s="637">
        <v>0.49</v>
      </c>
      <c r="AZ273" s="302" t="s">
        <v>508</v>
      </c>
      <c r="BA273" s="302" t="s">
        <v>509</v>
      </c>
      <c r="BB273" s="637">
        <v>0</v>
      </c>
      <c r="BC273" s="302" t="s">
        <v>536</v>
      </c>
      <c r="BD273" s="302" t="s">
        <v>537</v>
      </c>
      <c r="BE273" s="637">
        <v>0.01</v>
      </c>
      <c r="BF273" s="434">
        <f t="shared" si="368"/>
        <v>0.5</v>
      </c>
      <c r="BG273" s="587">
        <v>0.49</v>
      </c>
      <c r="BH273" s="302" t="s">
        <v>508</v>
      </c>
      <c r="BI273" s="302" t="s">
        <v>509</v>
      </c>
      <c r="BJ273" s="434">
        <v>0</v>
      </c>
      <c r="BK273" s="302" t="s">
        <v>536</v>
      </c>
      <c r="BL273" s="302" t="s">
        <v>537</v>
      </c>
      <c r="BM273" s="434">
        <v>0.01</v>
      </c>
      <c r="BN273" s="645">
        <f t="shared" si="369"/>
        <v>0.5</v>
      </c>
      <c r="BO273" s="434"/>
      <c r="BP273" s="434">
        <v>0.49</v>
      </c>
      <c r="BQ273" s="302" t="s">
        <v>508</v>
      </c>
      <c r="BR273" s="302" t="s">
        <v>509</v>
      </c>
      <c r="BS273" s="434">
        <v>0</v>
      </c>
      <c r="BT273" s="302" t="s">
        <v>536</v>
      </c>
      <c r="BU273" s="302" t="s">
        <v>537</v>
      </c>
      <c r="BV273" s="434">
        <v>0.01</v>
      </c>
      <c r="BW273" s="645">
        <f t="shared" si="370"/>
        <v>0.5</v>
      </c>
      <c r="BX273" s="434">
        <v>0.49</v>
      </c>
      <c r="BY273" s="302" t="s">
        <v>508</v>
      </c>
      <c r="BZ273" s="302" t="s">
        <v>509</v>
      </c>
      <c r="CA273" s="434">
        <v>0</v>
      </c>
      <c r="CB273" s="302" t="s">
        <v>536</v>
      </c>
      <c r="CC273" s="302" t="s">
        <v>537</v>
      </c>
      <c r="CD273" s="434">
        <v>0.01</v>
      </c>
      <c r="CE273" s="434">
        <f t="shared" si="371"/>
        <v>0.5</v>
      </c>
      <c r="CF273" s="1620" t="s">
        <v>862</v>
      </c>
      <c r="CG273" s="1620" t="s">
        <v>1166</v>
      </c>
      <c r="CH273" s="1620" t="s">
        <v>1166</v>
      </c>
      <c r="CI273" s="408" t="s">
        <v>862</v>
      </c>
      <c r="CJ273" s="642">
        <v>0.69499999999999995</v>
      </c>
      <c r="CK273" s="591" t="s">
        <v>922</v>
      </c>
      <c r="CL273" s="302" t="s">
        <v>508</v>
      </c>
      <c r="CM273" s="302" t="s">
        <v>509</v>
      </c>
      <c r="CN273" s="637">
        <v>0</v>
      </c>
      <c r="CO273" s="302" t="s">
        <v>536</v>
      </c>
      <c r="CP273" s="302" t="s">
        <v>537</v>
      </c>
      <c r="CQ273" s="637">
        <v>0.01</v>
      </c>
    </row>
    <row r="274" spans="1:98" ht="15.75" customHeight="1" x14ac:dyDescent="0.2">
      <c r="A274" s="661" t="s">
        <v>434</v>
      </c>
      <c r="B274" s="440" t="s">
        <v>433</v>
      </c>
      <c r="C274" s="637">
        <v>0.4</v>
      </c>
      <c r="D274" s="440" t="s">
        <v>652</v>
      </c>
      <c r="E274" s="440" t="s">
        <v>653</v>
      </c>
      <c r="F274" s="637">
        <v>0.1</v>
      </c>
      <c r="G274" s="440" t="s">
        <v>508</v>
      </c>
      <c r="H274" s="440" t="s">
        <v>546</v>
      </c>
      <c r="I274" s="637">
        <v>0</v>
      </c>
      <c r="J274" s="662">
        <f t="shared" si="356"/>
        <v>0.5</v>
      </c>
      <c r="K274" s="637">
        <v>0.4</v>
      </c>
      <c r="L274" s="440" t="s">
        <v>652</v>
      </c>
      <c r="M274" s="440" t="s">
        <v>653</v>
      </c>
      <c r="N274" s="637">
        <v>0.1</v>
      </c>
      <c r="O274" s="440" t="s">
        <v>508</v>
      </c>
      <c r="P274" s="440" t="s">
        <v>546</v>
      </c>
      <c r="Q274" s="637">
        <v>0</v>
      </c>
      <c r="R274" s="662">
        <f t="shared" si="319"/>
        <v>0.5</v>
      </c>
      <c r="S274" s="637">
        <v>0.4</v>
      </c>
      <c r="T274" s="302" t="s">
        <v>652</v>
      </c>
      <c r="U274" s="302" t="s">
        <v>653</v>
      </c>
      <c r="V274" s="637">
        <v>0.1</v>
      </c>
      <c r="W274" s="302" t="s">
        <v>508</v>
      </c>
      <c r="X274" s="302" t="s">
        <v>546</v>
      </c>
      <c r="Y274" s="637">
        <v>0</v>
      </c>
      <c r="Z274" s="645">
        <f t="shared" si="330"/>
        <v>0.5</v>
      </c>
      <c r="AA274" s="637">
        <v>0.4</v>
      </c>
      <c r="AB274" s="302" t="s">
        <v>652</v>
      </c>
      <c r="AC274" s="302" t="s">
        <v>653</v>
      </c>
      <c r="AD274" s="637">
        <v>0.1</v>
      </c>
      <c r="AE274" s="302" t="s">
        <v>508</v>
      </c>
      <c r="AF274" s="302" t="s">
        <v>546</v>
      </c>
      <c r="AG274" s="637">
        <v>0</v>
      </c>
      <c r="AH274" s="645">
        <f t="shared" si="324"/>
        <v>0.5</v>
      </c>
      <c r="AI274" s="637">
        <v>0.4</v>
      </c>
      <c r="AJ274" s="302" t="s">
        <v>652</v>
      </c>
      <c r="AK274" s="302" t="s">
        <v>653</v>
      </c>
      <c r="AL274" s="637">
        <v>0.1</v>
      </c>
      <c r="AM274" s="302" t="s">
        <v>508</v>
      </c>
      <c r="AN274" s="302" t="s">
        <v>546</v>
      </c>
      <c r="AO274" s="637">
        <v>0</v>
      </c>
      <c r="AP274" s="645">
        <f t="shared" si="311"/>
        <v>0.5</v>
      </c>
      <c r="AQ274" s="637">
        <v>0.4</v>
      </c>
      <c r="AR274" s="302" t="s">
        <v>652</v>
      </c>
      <c r="AS274" s="302" t="s">
        <v>653</v>
      </c>
      <c r="AT274" s="637">
        <v>0.1</v>
      </c>
      <c r="AU274" s="302" t="s">
        <v>508</v>
      </c>
      <c r="AV274" s="302" t="s">
        <v>546</v>
      </c>
      <c r="AW274" s="637">
        <v>0</v>
      </c>
      <c r="AX274" s="645">
        <f t="shared" si="367"/>
        <v>0.5</v>
      </c>
      <c r="AY274" s="637">
        <v>0.4</v>
      </c>
      <c r="AZ274" s="302" t="s">
        <v>652</v>
      </c>
      <c r="BA274" s="302" t="s">
        <v>653</v>
      </c>
      <c r="BB274" s="637">
        <v>0.1</v>
      </c>
      <c r="BC274" s="302" t="s">
        <v>508</v>
      </c>
      <c r="BD274" s="302" t="s">
        <v>546</v>
      </c>
      <c r="BE274" s="637">
        <v>0</v>
      </c>
      <c r="BF274" s="434">
        <f t="shared" si="368"/>
        <v>0.5</v>
      </c>
      <c r="BG274" s="587">
        <v>0.4</v>
      </c>
      <c r="BH274" s="302" t="s">
        <v>652</v>
      </c>
      <c r="BI274" s="302" t="s">
        <v>653</v>
      </c>
      <c r="BJ274" s="434">
        <v>0.1</v>
      </c>
      <c r="BK274" s="302" t="s">
        <v>508</v>
      </c>
      <c r="BL274" s="302" t="s">
        <v>546</v>
      </c>
      <c r="BM274" s="434">
        <v>0</v>
      </c>
      <c r="BN274" s="645">
        <f t="shared" si="369"/>
        <v>0.5</v>
      </c>
      <c r="BO274" s="434"/>
      <c r="BP274" s="434">
        <v>0.4</v>
      </c>
      <c r="BQ274" s="302" t="s">
        <v>652</v>
      </c>
      <c r="BR274" s="302" t="s">
        <v>653</v>
      </c>
      <c r="BS274" s="434">
        <v>0.1</v>
      </c>
      <c r="BT274" s="302" t="s">
        <v>508</v>
      </c>
      <c r="BU274" s="302" t="s">
        <v>546</v>
      </c>
      <c r="BV274" s="434">
        <v>0</v>
      </c>
      <c r="BW274" s="645">
        <f t="shared" si="370"/>
        <v>0.5</v>
      </c>
      <c r="BX274" s="434">
        <v>0.4</v>
      </c>
      <c r="BY274" s="302" t="s">
        <v>652</v>
      </c>
      <c r="BZ274" s="302" t="s">
        <v>653</v>
      </c>
      <c r="CA274" s="434">
        <v>0.1</v>
      </c>
      <c r="CB274" s="302" t="s">
        <v>508</v>
      </c>
      <c r="CC274" s="302" t="s">
        <v>546</v>
      </c>
      <c r="CD274" s="434">
        <v>0</v>
      </c>
      <c r="CE274" s="434">
        <f t="shared" si="371"/>
        <v>0.5</v>
      </c>
      <c r="CF274" s="1620" t="s">
        <v>862</v>
      </c>
      <c r="CG274" s="1620" t="s">
        <v>1166</v>
      </c>
      <c r="CH274" s="1620" t="s">
        <v>862</v>
      </c>
      <c r="CI274" s="406"/>
      <c r="CJ274" s="642">
        <v>0.7</v>
      </c>
      <c r="CK274" s="591" t="s">
        <v>922</v>
      </c>
      <c r="CL274" s="302" t="s">
        <v>652</v>
      </c>
      <c r="CM274" s="302" t="s">
        <v>653</v>
      </c>
      <c r="CN274" s="637">
        <v>0.6</v>
      </c>
      <c r="CO274" s="302" t="s">
        <v>508</v>
      </c>
      <c r="CP274" s="302" t="s">
        <v>546</v>
      </c>
      <c r="CQ274" s="637">
        <v>0</v>
      </c>
    </row>
    <row r="275" spans="1:98" ht="15.75" customHeight="1" x14ac:dyDescent="0.2">
      <c r="A275" s="661" t="s">
        <v>436</v>
      </c>
      <c r="B275" s="440" t="s">
        <v>435</v>
      </c>
      <c r="C275" s="637">
        <v>0.4</v>
      </c>
      <c r="D275" s="440" t="s">
        <v>590</v>
      </c>
      <c r="E275" s="440" t="s">
        <v>591</v>
      </c>
      <c r="F275" s="637">
        <v>0.1</v>
      </c>
      <c r="G275" s="440" t="s">
        <v>508</v>
      </c>
      <c r="H275" s="440" t="s">
        <v>546</v>
      </c>
      <c r="I275" s="637">
        <v>0</v>
      </c>
      <c r="J275" s="662">
        <f t="shared" si="356"/>
        <v>0.5</v>
      </c>
      <c r="K275" s="637">
        <v>0.4</v>
      </c>
      <c r="L275" s="440" t="s">
        <v>590</v>
      </c>
      <c r="M275" s="440" t="s">
        <v>591</v>
      </c>
      <c r="N275" s="637">
        <v>0.1</v>
      </c>
      <c r="O275" s="440" t="s">
        <v>508</v>
      </c>
      <c r="P275" s="440" t="s">
        <v>546</v>
      </c>
      <c r="Q275" s="637">
        <v>0</v>
      </c>
      <c r="R275" s="662">
        <f t="shared" si="319"/>
        <v>0.5</v>
      </c>
      <c r="S275" s="637">
        <v>0.4</v>
      </c>
      <c r="T275" s="302" t="s">
        <v>590</v>
      </c>
      <c r="U275" s="302" t="s">
        <v>591</v>
      </c>
      <c r="V275" s="637">
        <v>0.1</v>
      </c>
      <c r="W275" s="302" t="s">
        <v>508</v>
      </c>
      <c r="X275" s="302" t="s">
        <v>546</v>
      </c>
      <c r="Y275" s="637">
        <v>0</v>
      </c>
      <c r="Z275" s="645">
        <f t="shared" si="330"/>
        <v>0.5</v>
      </c>
      <c r="AA275" s="637">
        <v>0.4</v>
      </c>
      <c r="AB275" s="302" t="s">
        <v>590</v>
      </c>
      <c r="AC275" s="302" t="s">
        <v>591</v>
      </c>
      <c r="AD275" s="637">
        <v>0.1</v>
      </c>
      <c r="AE275" s="302" t="s">
        <v>508</v>
      </c>
      <c r="AF275" s="302" t="s">
        <v>546</v>
      </c>
      <c r="AG275" s="637">
        <v>0</v>
      </c>
      <c r="AH275" s="645">
        <f t="shared" si="324"/>
        <v>0.5</v>
      </c>
      <c r="AI275" s="637">
        <v>0.4</v>
      </c>
      <c r="AJ275" s="302" t="s">
        <v>590</v>
      </c>
      <c r="AK275" s="302" t="s">
        <v>591</v>
      </c>
      <c r="AL275" s="637">
        <v>0.1</v>
      </c>
      <c r="AM275" s="302" t="s">
        <v>508</v>
      </c>
      <c r="AN275" s="302" t="s">
        <v>546</v>
      </c>
      <c r="AO275" s="637">
        <v>0</v>
      </c>
      <c r="AP275" s="645">
        <f t="shared" si="311"/>
        <v>0.5</v>
      </c>
      <c r="AQ275" s="637">
        <v>0.4</v>
      </c>
      <c r="AR275" s="302" t="s">
        <v>590</v>
      </c>
      <c r="AS275" s="302" t="s">
        <v>591</v>
      </c>
      <c r="AT275" s="637">
        <v>0.1</v>
      </c>
      <c r="AU275" s="302" t="s">
        <v>508</v>
      </c>
      <c r="AV275" s="302" t="s">
        <v>546</v>
      </c>
      <c r="AW275" s="637">
        <v>0</v>
      </c>
      <c r="AX275" s="645">
        <f t="shared" ref="AX275:AX278" si="372">+AQ275+AT275+AW275</f>
        <v>0.5</v>
      </c>
      <c r="AY275" s="637">
        <v>0.35</v>
      </c>
      <c r="AZ275" s="302" t="s">
        <v>590</v>
      </c>
      <c r="BA275" s="302" t="s">
        <v>591</v>
      </c>
      <c r="BB275" s="637">
        <v>0.4</v>
      </c>
      <c r="BC275" s="302" t="s">
        <v>508</v>
      </c>
      <c r="BD275" s="302" t="s">
        <v>546</v>
      </c>
      <c r="BE275" s="637">
        <v>0</v>
      </c>
      <c r="BF275" s="434">
        <f t="shared" ref="BF275:BF278" si="373">+AY275+BB275+BE275</f>
        <v>0.75</v>
      </c>
      <c r="BG275" s="587">
        <v>0.4</v>
      </c>
      <c r="BH275" s="302" t="s">
        <v>590</v>
      </c>
      <c r="BI275" s="302" t="s">
        <v>591</v>
      </c>
      <c r="BJ275" s="434">
        <v>0.1</v>
      </c>
      <c r="BK275" s="302" t="s">
        <v>508</v>
      </c>
      <c r="BL275" s="302" t="s">
        <v>546</v>
      </c>
      <c r="BM275" s="434">
        <v>0</v>
      </c>
      <c r="BN275" s="645">
        <f t="shared" ref="BN275:BN278" si="374">+BG275+BJ275+BM275</f>
        <v>0.5</v>
      </c>
      <c r="BO275" s="434"/>
      <c r="BP275" s="434">
        <v>0.4</v>
      </c>
      <c r="BQ275" s="302" t="s">
        <v>590</v>
      </c>
      <c r="BR275" s="302" t="s">
        <v>591</v>
      </c>
      <c r="BS275" s="434">
        <v>0.1</v>
      </c>
      <c r="BT275" s="302" t="s">
        <v>508</v>
      </c>
      <c r="BU275" s="302" t="s">
        <v>546</v>
      </c>
      <c r="BV275" s="434">
        <v>0</v>
      </c>
      <c r="BW275" s="645">
        <f t="shared" ref="BW275:BW278" si="375">+BP275+BS275+BV275</f>
        <v>0.5</v>
      </c>
      <c r="BX275" s="434">
        <v>0.4</v>
      </c>
      <c r="BY275" s="302" t="s">
        <v>590</v>
      </c>
      <c r="BZ275" s="302" t="s">
        <v>591</v>
      </c>
      <c r="CA275" s="434">
        <v>0.1</v>
      </c>
      <c r="CB275" s="302" t="s">
        <v>508</v>
      </c>
      <c r="CC275" s="302" t="s">
        <v>546</v>
      </c>
      <c r="CD275" s="434">
        <v>0</v>
      </c>
      <c r="CE275" s="434">
        <f t="shared" ref="CE275:CE278" si="376">+BX275+CA275+CD275</f>
        <v>0.5</v>
      </c>
      <c r="CF275" s="1620" t="s">
        <v>1166</v>
      </c>
      <c r="CG275" s="1620" t="s">
        <v>1166</v>
      </c>
      <c r="CH275" s="1620" t="s">
        <v>1166</v>
      </c>
      <c r="CI275" s="406"/>
      <c r="CJ275" s="642">
        <v>0.72699999999999998</v>
      </c>
      <c r="CK275" s="591" t="s">
        <v>922</v>
      </c>
      <c r="CL275" s="302" t="s">
        <v>590</v>
      </c>
      <c r="CM275" s="302" t="s">
        <v>591</v>
      </c>
      <c r="CN275" s="637">
        <v>0.6</v>
      </c>
      <c r="CO275" s="302" t="s">
        <v>508</v>
      </c>
      <c r="CP275" s="302" t="s">
        <v>546</v>
      </c>
      <c r="CQ275" s="637">
        <v>0</v>
      </c>
    </row>
    <row r="276" spans="1:98" ht="15.75" customHeight="1" x14ac:dyDescent="0.2">
      <c r="A276" s="661" t="s">
        <v>438</v>
      </c>
      <c r="B276" s="440" t="s">
        <v>437</v>
      </c>
      <c r="C276" s="637">
        <v>0.4</v>
      </c>
      <c r="D276" s="440" t="s">
        <v>649</v>
      </c>
      <c r="E276" s="440" t="s">
        <v>650</v>
      </c>
      <c r="F276" s="637">
        <v>0.1</v>
      </c>
      <c r="G276" s="440" t="s">
        <v>508</v>
      </c>
      <c r="H276" s="440" t="s">
        <v>546</v>
      </c>
      <c r="I276" s="637">
        <v>0</v>
      </c>
      <c r="J276" s="662">
        <f t="shared" si="356"/>
        <v>0.5</v>
      </c>
      <c r="K276" s="637">
        <v>0.4</v>
      </c>
      <c r="L276" s="440" t="s">
        <v>649</v>
      </c>
      <c r="M276" s="440" t="s">
        <v>650</v>
      </c>
      <c r="N276" s="637">
        <v>0.1</v>
      </c>
      <c r="O276" s="440" t="s">
        <v>508</v>
      </c>
      <c r="P276" s="440" t="s">
        <v>546</v>
      </c>
      <c r="Q276" s="637">
        <v>0</v>
      </c>
      <c r="R276" s="662">
        <f t="shared" si="319"/>
        <v>0.5</v>
      </c>
      <c r="S276" s="637">
        <v>0.4</v>
      </c>
      <c r="T276" s="302" t="s">
        <v>649</v>
      </c>
      <c r="U276" s="302" t="s">
        <v>650</v>
      </c>
      <c r="V276" s="637">
        <v>0.1</v>
      </c>
      <c r="W276" s="302" t="s">
        <v>508</v>
      </c>
      <c r="X276" s="302" t="s">
        <v>546</v>
      </c>
      <c r="Y276" s="637">
        <v>0</v>
      </c>
      <c r="Z276" s="645">
        <f t="shared" si="330"/>
        <v>0.5</v>
      </c>
      <c r="AA276" s="637">
        <v>0.4</v>
      </c>
      <c r="AB276" s="302" t="s">
        <v>649</v>
      </c>
      <c r="AC276" s="302" t="s">
        <v>650</v>
      </c>
      <c r="AD276" s="637">
        <v>0.1</v>
      </c>
      <c r="AE276" s="302" t="s">
        <v>508</v>
      </c>
      <c r="AF276" s="302" t="s">
        <v>546</v>
      </c>
      <c r="AG276" s="637">
        <v>0</v>
      </c>
      <c r="AH276" s="645">
        <f t="shared" si="324"/>
        <v>0.5</v>
      </c>
      <c r="AI276" s="637">
        <v>0.4</v>
      </c>
      <c r="AJ276" s="302" t="s">
        <v>649</v>
      </c>
      <c r="AK276" s="302" t="s">
        <v>650</v>
      </c>
      <c r="AL276" s="637">
        <v>0.1</v>
      </c>
      <c r="AM276" s="302" t="s">
        <v>508</v>
      </c>
      <c r="AN276" s="302" t="s">
        <v>546</v>
      </c>
      <c r="AO276" s="637">
        <v>0</v>
      </c>
      <c r="AP276" s="645">
        <f t="shared" si="311"/>
        <v>0.5</v>
      </c>
      <c r="AQ276" s="637">
        <v>0.4</v>
      </c>
      <c r="AR276" s="302" t="s">
        <v>649</v>
      </c>
      <c r="AS276" s="302" t="s">
        <v>650</v>
      </c>
      <c r="AT276" s="637">
        <v>0.1</v>
      </c>
      <c r="AU276" s="302" t="s">
        <v>508</v>
      </c>
      <c r="AV276" s="302" t="s">
        <v>546</v>
      </c>
      <c r="AW276" s="637">
        <v>0</v>
      </c>
      <c r="AX276" s="645">
        <f t="shared" si="372"/>
        <v>0.5</v>
      </c>
      <c r="AY276" s="637">
        <v>0.4</v>
      </c>
      <c r="AZ276" s="302" t="s">
        <v>649</v>
      </c>
      <c r="BA276" s="302" t="s">
        <v>650</v>
      </c>
      <c r="BB276" s="637">
        <v>0.1</v>
      </c>
      <c r="BC276" s="302" t="s">
        <v>508</v>
      </c>
      <c r="BD276" s="302" t="s">
        <v>546</v>
      </c>
      <c r="BE276" s="637">
        <v>0</v>
      </c>
      <c r="BF276" s="434">
        <f t="shared" si="373"/>
        <v>0.5</v>
      </c>
      <c r="BG276" s="587">
        <v>0.3</v>
      </c>
      <c r="BH276" s="302" t="s">
        <v>649</v>
      </c>
      <c r="BI276" s="302" t="s">
        <v>650</v>
      </c>
      <c r="BJ276" s="434">
        <v>0.7</v>
      </c>
      <c r="BK276" s="302" t="s">
        <v>508</v>
      </c>
      <c r="BL276" s="302" t="s">
        <v>546</v>
      </c>
      <c r="BM276" s="434">
        <v>0</v>
      </c>
      <c r="BN276" s="645">
        <f t="shared" si="374"/>
        <v>1</v>
      </c>
      <c r="BO276" s="434"/>
      <c r="BP276" s="434">
        <v>0.4</v>
      </c>
      <c r="BQ276" s="302" t="s">
        <v>649</v>
      </c>
      <c r="BR276" s="302" t="s">
        <v>650</v>
      </c>
      <c r="BS276" s="434">
        <v>0.1</v>
      </c>
      <c r="BT276" s="302" t="s">
        <v>508</v>
      </c>
      <c r="BU276" s="302" t="s">
        <v>546</v>
      </c>
      <c r="BV276" s="434">
        <v>0</v>
      </c>
      <c r="BW276" s="645">
        <f t="shared" si="375"/>
        <v>0.5</v>
      </c>
      <c r="BX276" s="434">
        <v>0.4</v>
      </c>
      <c r="BY276" s="302" t="s">
        <v>649</v>
      </c>
      <c r="BZ276" s="302" t="s">
        <v>650</v>
      </c>
      <c r="CA276" s="434">
        <v>0.1</v>
      </c>
      <c r="CB276" s="302" t="s">
        <v>508</v>
      </c>
      <c r="CC276" s="302" t="s">
        <v>546</v>
      </c>
      <c r="CD276" s="434">
        <v>0</v>
      </c>
      <c r="CE276" s="434">
        <f t="shared" si="376"/>
        <v>0.5</v>
      </c>
      <c r="CF276" s="1620" t="s">
        <v>1166</v>
      </c>
      <c r="CG276" s="1620" t="s">
        <v>1166</v>
      </c>
      <c r="CH276" s="1620" t="s">
        <v>1166</v>
      </c>
      <c r="CI276" s="406"/>
      <c r="CJ276" s="642">
        <v>0.72399999999999998</v>
      </c>
      <c r="CK276" s="591" t="s">
        <v>922</v>
      </c>
      <c r="CL276" s="302" t="s">
        <v>649</v>
      </c>
      <c r="CM276" s="302" t="s">
        <v>650</v>
      </c>
      <c r="CN276" s="637">
        <v>0.6</v>
      </c>
      <c r="CO276" s="302" t="s">
        <v>508</v>
      </c>
      <c r="CP276" s="302" t="s">
        <v>546</v>
      </c>
      <c r="CQ276" s="637">
        <v>0</v>
      </c>
    </row>
    <row r="277" spans="1:98" ht="15.75" customHeight="1" x14ac:dyDescent="0.2">
      <c r="A277" s="661" t="s">
        <v>440</v>
      </c>
      <c r="B277" s="440" t="s">
        <v>439</v>
      </c>
      <c r="C277" s="637">
        <v>0.4</v>
      </c>
      <c r="D277" s="440" t="s">
        <v>569</v>
      </c>
      <c r="E277" s="440" t="s">
        <v>570</v>
      </c>
      <c r="F277" s="637">
        <v>0.09</v>
      </c>
      <c r="G277" s="440" t="s">
        <v>567</v>
      </c>
      <c r="H277" s="440" t="s">
        <v>568</v>
      </c>
      <c r="I277" s="637">
        <v>0.01</v>
      </c>
      <c r="J277" s="662">
        <f t="shared" si="356"/>
        <v>0.5</v>
      </c>
      <c r="K277" s="637">
        <v>0.4</v>
      </c>
      <c r="L277" s="440" t="s">
        <v>569</v>
      </c>
      <c r="M277" s="440" t="s">
        <v>570</v>
      </c>
      <c r="N277" s="637">
        <v>0.09</v>
      </c>
      <c r="O277" s="440" t="s">
        <v>567</v>
      </c>
      <c r="P277" s="440" t="s">
        <v>568</v>
      </c>
      <c r="Q277" s="637">
        <v>0.01</v>
      </c>
      <c r="R277" s="662">
        <f t="shared" si="319"/>
        <v>0.5</v>
      </c>
      <c r="S277" s="637">
        <v>0.4</v>
      </c>
      <c r="T277" s="302" t="s">
        <v>569</v>
      </c>
      <c r="U277" s="302" t="s">
        <v>570</v>
      </c>
      <c r="V277" s="637">
        <v>0.09</v>
      </c>
      <c r="W277" s="302" t="s">
        <v>567</v>
      </c>
      <c r="X277" s="302" t="s">
        <v>568</v>
      </c>
      <c r="Y277" s="637">
        <v>0.01</v>
      </c>
      <c r="Z277" s="645">
        <f t="shared" si="330"/>
        <v>0.5</v>
      </c>
      <c r="AA277" s="637">
        <v>0.4</v>
      </c>
      <c r="AB277" s="302" t="s">
        <v>569</v>
      </c>
      <c r="AC277" s="302" t="s">
        <v>570</v>
      </c>
      <c r="AD277" s="637">
        <v>0.09</v>
      </c>
      <c r="AE277" s="302" t="s">
        <v>567</v>
      </c>
      <c r="AF277" s="302" t="s">
        <v>568</v>
      </c>
      <c r="AG277" s="637">
        <v>0.01</v>
      </c>
      <c r="AH277" s="645">
        <f t="shared" si="324"/>
        <v>0.5</v>
      </c>
      <c r="AI277" s="637">
        <v>0.4</v>
      </c>
      <c r="AJ277" s="302" t="s">
        <v>569</v>
      </c>
      <c r="AK277" s="302" t="s">
        <v>570</v>
      </c>
      <c r="AL277" s="637">
        <v>0.09</v>
      </c>
      <c r="AM277" s="302" t="s">
        <v>567</v>
      </c>
      <c r="AN277" s="302" t="s">
        <v>568</v>
      </c>
      <c r="AO277" s="637">
        <v>0.01</v>
      </c>
      <c r="AP277" s="645">
        <f t="shared" si="311"/>
        <v>0.5</v>
      </c>
      <c r="AQ277" s="637">
        <v>0.4</v>
      </c>
      <c r="AR277" s="302" t="s">
        <v>569</v>
      </c>
      <c r="AS277" s="302" t="s">
        <v>570</v>
      </c>
      <c r="AT277" s="637">
        <v>0.09</v>
      </c>
      <c r="AU277" s="302" t="s">
        <v>567</v>
      </c>
      <c r="AV277" s="302" t="s">
        <v>568</v>
      </c>
      <c r="AW277" s="637">
        <v>0.01</v>
      </c>
      <c r="AX277" s="645">
        <f t="shared" si="372"/>
        <v>0.5</v>
      </c>
      <c r="AY277" s="637">
        <v>0.44</v>
      </c>
      <c r="AZ277" s="302" t="s">
        <v>569</v>
      </c>
      <c r="BA277" s="302" t="s">
        <v>570</v>
      </c>
      <c r="BB277" s="637">
        <v>0.26</v>
      </c>
      <c r="BC277" s="302" t="s">
        <v>567</v>
      </c>
      <c r="BD277" s="302" t="s">
        <v>568</v>
      </c>
      <c r="BE277" s="637">
        <v>0.05</v>
      </c>
      <c r="BF277" s="434">
        <f t="shared" si="373"/>
        <v>0.75</v>
      </c>
      <c r="BG277" s="587">
        <v>0.4</v>
      </c>
      <c r="BH277" s="302" t="s">
        <v>569</v>
      </c>
      <c r="BI277" s="302" t="s">
        <v>570</v>
      </c>
      <c r="BJ277" s="434">
        <v>0.09</v>
      </c>
      <c r="BK277" s="302" t="s">
        <v>567</v>
      </c>
      <c r="BL277" s="302" t="s">
        <v>568</v>
      </c>
      <c r="BM277" s="434">
        <v>0.01</v>
      </c>
      <c r="BN277" s="645">
        <f t="shared" si="374"/>
        <v>0.5</v>
      </c>
      <c r="BO277" s="434"/>
      <c r="BP277" s="434">
        <v>0.4</v>
      </c>
      <c r="BQ277" s="302" t="s">
        <v>569</v>
      </c>
      <c r="BR277" s="302" t="s">
        <v>570</v>
      </c>
      <c r="BS277" s="434">
        <v>0.09</v>
      </c>
      <c r="BT277" s="302" t="s">
        <v>567</v>
      </c>
      <c r="BU277" s="302" t="s">
        <v>568</v>
      </c>
      <c r="BV277" s="434">
        <v>0.01</v>
      </c>
      <c r="BW277" s="645">
        <f t="shared" si="375"/>
        <v>0.5</v>
      </c>
      <c r="BX277" s="434">
        <v>0.4</v>
      </c>
      <c r="BY277" s="302" t="s">
        <v>569</v>
      </c>
      <c r="BZ277" s="302" t="s">
        <v>570</v>
      </c>
      <c r="CA277" s="434">
        <v>0.09</v>
      </c>
      <c r="CB277" s="302" t="s">
        <v>567</v>
      </c>
      <c r="CC277" s="302" t="s">
        <v>568</v>
      </c>
      <c r="CD277" s="434">
        <v>0.01</v>
      </c>
      <c r="CE277" s="434">
        <f t="shared" si="376"/>
        <v>0.5</v>
      </c>
      <c r="CF277" s="1620" t="s">
        <v>1166</v>
      </c>
      <c r="CG277" s="1620" t="s">
        <v>1166</v>
      </c>
      <c r="CH277" s="1620" t="s">
        <v>1166</v>
      </c>
      <c r="CI277" s="406"/>
      <c r="CJ277" s="642">
        <v>0.68200000000000005</v>
      </c>
      <c r="CK277" s="591" t="s">
        <v>922</v>
      </c>
      <c r="CL277" s="302" t="s">
        <v>569</v>
      </c>
      <c r="CM277" s="302" t="s">
        <v>570</v>
      </c>
      <c r="CN277" s="637">
        <v>0.59</v>
      </c>
      <c r="CO277" s="302" t="s">
        <v>567</v>
      </c>
      <c r="CP277" s="302" t="s">
        <v>568</v>
      </c>
      <c r="CQ277" s="637">
        <v>0.01</v>
      </c>
    </row>
    <row r="278" spans="1:98" ht="15.75" customHeight="1" x14ac:dyDescent="0.2">
      <c r="A278" s="661" t="s">
        <v>442</v>
      </c>
      <c r="B278" s="440" t="s">
        <v>441</v>
      </c>
      <c r="C278" s="637">
        <v>0.4</v>
      </c>
      <c r="D278" s="440" t="s">
        <v>590</v>
      </c>
      <c r="E278" s="440" t="s">
        <v>591</v>
      </c>
      <c r="F278" s="637">
        <v>0.1</v>
      </c>
      <c r="G278" s="440" t="s">
        <v>508</v>
      </c>
      <c r="H278" s="440" t="s">
        <v>546</v>
      </c>
      <c r="I278" s="637">
        <v>0</v>
      </c>
      <c r="J278" s="662">
        <f t="shared" si="356"/>
        <v>0.5</v>
      </c>
      <c r="K278" s="637">
        <v>0.4</v>
      </c>
      <c r="L278" s="440" t="s">
        <v>590</v>
      </c>
      <c r="M278" s="440" t="s">
        <v>591</v>
      </c>
      <c r="N278" s="637">
        <v>0.1</v>
      </c>
      <c r="O278" s="440" t="s">
        <v>508</v>
      </c>
      <c r="P278" s="440" t="s">
        <v>546</v>
      </c>
      <c r="Q278" s="637">
        <v>0</v>
      </c>
      <c r="R278" s="662">
        <f t="shared" si="319"/>
        <v>0.5</v>
      </c>
      <c r="S278" s="637">
        <v>0.4</v>
      </c>
      <c r="T278" s="302" t="s">
        <v>590</v>
      </c>
      <c r="U278" s="302" t="s">
        <v>591</v>
      </c>
      <c r="V278" s="637">
        <v>0.1</v>
      </c>
      <c r="W278" s="302" t="s">
        <v>508</v>
      </c>
      <c r="X278" s="302" t="s">
        <v>546</v>
      </c>
      <c r="Y278" s="637">
        <v>0</v>
      </c>
      <c r="Z278" s="645">
        <f t="shared" si="330"/>
        <v>0.5</v>
      </c>
      <c r="AA278" s="637">
        <v>0.4</v>
      </c>
      <c r="AB278" s="302" t="s">
        <v>590</v>
      </c>
      <c r="AC278" s="302" t="s">
        <v>591</v>
      </c>
      <c r="AD278" s="637">
        <v>0.1</v>
      </c>
      <c r="AE278" s="302" t="s">
        <v>508</v>
      </c>
      <c r="AF278" s="302" t="s">
        <v>546</v>
      </c>
      <c r="AG278" s="637">
        <v>0</v>
      </c>
      <c r="AH278" s="645">
        <f t="shared" si="324"/>
        <v>0.5</v>
      </c>
      <c r="AI278" s="637">
        <v>0.4</v>
      </c>
      <c r="AJ278" s="302" t="s">
        <v>590</v>
      </c>
      <c r="AK278" s="302" t="s">
        <v>591</v>
      </c>
      <c r="AL278" s="637">
        <v>0.1</v>
      </c>
      <c r="AM278" s="302" t="s">
        <v>508</v>
      </c>
      <c r="AN278" s="302" t="s">
        <v>546</v>
      </c>
      <c r="AO278" s="637">
        <v>0</v>
      </c>
      <c r="AP278" s="645">
        <f t="shared" si="311"/>
        <v>0.5</v>
      </c>
      <c r="AQ278" s="637">
        <v>0.4</v>
      </c>
      <c r="AR278" s="302" t="s">
        <v>590</v>
      </c>
      <c r="AS278" s="302" t="s">
        <v>591</v>
      </c>
      <c r="AT278" s="637">
        <v>0.1</v>
      </c>
      <c r="AU278" s="302" t="s">
        <v>508</v>
      </c>
      <c r="AV278" s="302" t="s">
        <v>546</v>
      </c>
      <c r="AW278" s="637">
        <v>0</v>
      </c>
      <c r="AX278" s="645">
        <f t="shared" si="372"/>
        <v>0.5</v>
      </c>
      <c r="AY278" s="637">
        <v>0.35</v>
      </c>
      <c r="AZ278" s="302" t="s">
        <v>590</v>
      </c>
      <c r="BA278" s="302" t="s">
        <v>591</v>
      </c>
      <c r="BB278" s="637">
        <v>0.4</v>
      </c>
      <c r="BC278" s="302" t="s">
        <v>508</v>
      </c>
      <c r="BD278" s="302" t="s">
        <v>546</v>
      </c>
      <c r="BE278" s="637">
        <v>0</v>
      </c>
      <c r="BF278" s="434">
        <f t="shared" si="373"/>
        <v>0.75</v>
      </c>
      <c r="BG278" s="587">
        <v>0.4</v>
      </c>
      <c r="BH278" s="302" t="s">
        <v>590</v>
      </c>
      <c r="BI278" s="302" t="s">
        <v>591</v>
      </c>
      <c r="BJ278" s="434">
        <v>0.1</v>
      </c>
      <c r="BK278" s="302" t="s">
        <v>508</v>
      </c>
      <c r="BL278" s="302" t="s">
        <v>546</v>
      </c>
      <c r="BM278" s="434">
        <v>0</v>
      </c>
      <c r="BN278" s="645">
        <f t="shared" si="374"/>
        <v>0.5</v>
      </c>
      <c r="BO278" s="434"/>
      <c r="BP278" s="434">
        <v>0.4</v>
      </c>
      <c r="BQ278" s="302" t="s">
        <v>590</v>
      </c>
      <c r="BR278" s="302" t="s">
        <v>591</v>
      </c>
      <c r="BS278" s="434">
        <v>0.1</v>
      </c>
      <c r="BT278" s="302" t="s">
        <v>508</v>
      </c>
      <c r="BU278" s="302" t="s">
        <v>546</v>
      </c>
      <c r="BV278" s="434">
        <v>0</v>
      </c>
      <c r="BW278" s="645">
        <f t="shared" si="375"/>
        <v>0.5</v>
      </c>
      <c r="BX278" s="434">
        <v>0.4</v>
      </c>
      <c r="BY278" s="302" t="s">
        <v>590</v>
      </c>
      <c r="BZ278" s="302" t="s">
        <v>591</v>
      </c>
      <c r="CA278" s="434">
        <v>0.1</v>
      </c>
      <c r="CB278" s="302" t="s">
        <v>508</v>
      </c>
      <c r="CC278" s="302" t="s">
        <v>546</v>
      </c>
      <c r="CD278" s="434">
        <v>0</v>
      </c>
      <c r="CE278" s="434">
        <f t="shared" si="376"/>
        <v>0.5</v>
      </c>
      <c r="CF278" s="1620" t="s">
        <v>1166</v>
      </c>
      <c r="CG278" s="1620" t="s">
        <v>1166</v>
      </c>
      <c r="CH278" s="1620" t="s">
        <v>1166</v>
      </c>
      <c r="CI278" s="406"/>
      <c r="CJ278" s="642">
        <v>0.72299999999999998</v>
      </c>
      <c r="CK278" s="591" t="s">
        <v>922</v>
      </c>
      <c r="CL278" s="302" t="s">
        <v>590</v>
      </c>
      <c r="CM278" s="302" t="s">
        <v>591</v>
      </c>
      <c r="CN278" s="637">
        <v>0.6</v>
      </c>
      <c r="CO278" s="302" t="s">
        <v>508</v>
      </c>
      <c r="CP278" s="302" t="s">
        <v>546</v>
      </c>
      <c r="CQ278" s="637">
        <v>0</v>
      </c>
    </row>
    <row r="279" spans="1:98" ht="15.75" customHeight="1" x14ac:dyDescent="0.2">
      <c r="A279" s="661" t="s">
        <v>444</v>
      </c>
      <c r="B279" s="440" t="s">
        <v>521</v>
      </c>
      <c r="C279" s="637">
        <v>0.49</v>
      </c>
      <c r="D279" s="440" t="s">
        <v>508</v>
      </c>
      <c r="E279" s="440" t="s">
        <v>509</v>
      </c>
      <c r="F279" s="637">
        <v>0</v>
      </c>
      <c r="G279" s="440" t="s">
        <v>519</v>
      </c>
      <c r="H279" s="440" t="s">
        <v>520</v>
      </c>
      <c r="I279" s="637">
        <v>0.01</v>
      </c>
      <c r="J279" s="662">
        <f t="shared" si="356"/>
        <v>0.5</v>
      </c>
      <c r="K279" s="637">
        <v>0.49</v>
      </c>
      <c r="L279" s="440" t="s">
        <v>508</v>
      </c>
      <c r="M279" s="440" t="s">
        <v>509</v>
      </c>
      <c r="N279" s="637">
        <v>0</v>
      </c>
      <c r="O279" s="440" t="s">
        <v>519</v>
      </c>
      <c r="P279" s="440" t="s">
        <v>520</v>
      </c>
      <c r="Q279" s="637">
        <v>0.01</v>
      </c>
      <c r="R279" s="662">
        <f t="shared" si="319"/>
        <v>0.5</v>
      </c>
      <c r="S279" s="637">
        <v>0.49</v>
      </c>
      <c r="T279" s="302" t="s">
        <v>508</v>
      </c>
      <c r="U279" s="302" t="s">
        <v>509</v>
      </c>
      <c r="V279" s="637">
        <v>0</v>
      </c>
      <c r="W279" s="302" t="s">
        <v>519</v>
      </c>
      <c r="X279" s="302" t="s">
        <v>520</v>
      </c>
      <c r="Y279" s="637">
        <v>0.01</v>
      </c>
      <c r="Z279" s="645">
        <f t="shared" si="330"/>
        <v>0.5</v>
      </c>
      <c r="AA279" s="637">
        <v>0.49</v>
      </c>
      <c r="AB279" s="302" t="s">
        <v>508</v>
      </c>
      <c r="AC279" s="302" t="s">
        <v>509</v>
      </c>
      <c r="AD279" s="637">
        <v>0</v>
      </c>
      <c r="AE279" s="302" t="s">
        <v>519</v>
      </c>
      <c r="AF279" s="302" t="s">
        <v>520</v>
      </c>
      <c r="AG279" s="637">
        <v>0.01</v>
      </c>
      <c r="AH279" s="645">
        <f t="shared" si="324"/>
        <v>0.5</v>
      </c>
      <c r="AI279" s="637">
        <v>0.49</v>
      </c>
      <c r="AJ279" s="302" t="s">
        <v>508</v>
      </c>
      <c r="AK279" s="302" t="s">
        <v>509</v>
      </c>
      <c r="AL279" s="637">
        <v>0</v>
      </c>
      <c r="AM279" s="302" t="s">
        <v>519</v>
      </c>
      <c r="AN279" s="302" t="s">
        <v>520</v>
      </c>
      <c r="AO279" s="637">
        <v>0.01</v>
      </c>
      <c r="AP279" s="645">
        <f t="shared" si="311"/>
        <v>0.5</v>
      </c>
      <c r="AQ279" s="637">
        <v>0.49</v>
      </c>
      <c r="AR279" s="302" t="s">
        <v>508</v>
      </c>
      <c r="AS279" s="302" t="s">
        <v>509</v>
      </c>
      <c r="AT279" s="637">
        <v>0</v>
      </c>
      <c r="AU279" s="302" t="s">
        <v>519</v>
      </c>
      <c r="AV279" s="302" t="s">
        <v>520</v>
      </c>
      <c r="AW279" s="637">
        <v>0.01</v>
      </c>
      <c r="AX279" s="645">
        <f t="shared" ref="AX279:AX282" si="377">+AQ279+AT279+AW279</f>
        <v>0.5</v>
      </c>
      <c r="AY279" s="637">
        <v>0.74</v>
      </c>
      <c r="AZ279" s="302" t="s">
        <v>508</v>
      </c>
      <c r="BA279" s="302" t="s">
        <v>509</v>
      </c>
      <c r="BB279" s="637">
        <v>0</v>
      </c>
      <c r="BC279" s="302" t="s">
        <v>519</v>
      </c>
      <c r="BD279" s="302" t="s">
        <v>520</v>
      </c>
      <c r="BE279" s="637">
        <v>0.01</v>
      </c>
      <c r="BF279" s="434">
        <f t="shared" ref="BF279:BF282" si="378">+AY279+BB279+BE279</f>
        <v>0.75</v>
      </c>
      <c r="BG279" s="587">
        <v>0.99</v>
      </c>
      <c r="BH279" s="302" t="s">
        <v>508</v>
      </c>
      <c r="BI279" s="302" t="s">
        <v>509</v>
      </c>
      <c r="BJ279" s="434">
        <v>0</v>
      </c>
      <c r="BK279" s="302" t="s">
        <v>519</v>
      </c>
      <c r="BL279" s="302" t="s">
        <v>520</v>
      </c>
      <c r="BM279" s="434">
        <v>0.01</v>
      </c>
      <c r="BN279" s="645">
        <f t="shared" ref="BN279:BN282" si="379">+BG279+BJ279+BM279</f>
        <v>1</v>
      </c>
      <c r="BO279" s="434"/>
      <c r="BP279" s="434">
        <v>0.49</v>
      </c>
      <c r="BQ279" s="302" t="s">
        <v>508</v>
      </c>
      <c r="BR279" s="302" t="s">
        <v>509</v>
      </c>
      <c r="BS279" s="434">
        <v>0</v>
      </c>
      <c r="BT279" s="302" t="s">
        <v>519</v>
      </c>
      <c r="BU279" s="302" t="s">
        <v>520</v>
      </c>
      <c r="BV279" s="434">
        <v>0.01</v>
      </c>
      <c r="BW279" s="645">
        <f t="shared" ref="BW279:BW282" si="380">+BP279+BS279+BV279</f>
        <v>0.5</v>
      </c>
      <c r="BX279" s="434">
        <v>0.49</v>
      </c>
      <c r="BY279" s="302" t="s">
        <v>508</v>
      </c>
      <c r="BZ279" s="302" t="s">
        <v>509</v>
      </c>
      <c r="CA279" s="434">
        <v>0</v>
      </c>
      <c r="CB279" s="302" t="s">
        <v>519</v>
      </c>
      <c r="CC279" s="302" t="s">
        <v>520</v>
      </c>
      <c r="CD279" s="434">
        <v>0.01</v>
      </c>
      <c r="CE279" s="434">
        <f t="shared" ref="CE279:CE282" si="381">+BX279+CA279+CD279</f>
        <v>0.5</v>
      </c>
      <c r="CF279" s="1620" t="s">
        <v>1166</v>
      </c>
      <c r="CG279" s="1620" t="s">
        <v>1166</v>
      </c>
      <c r="CH279" s="1620" t="s">
        <v>1166</v>
      </c>
      <c r="CI279" s="408" t="s">
        <v>862</v>
      </c>
      <c r="CJ279" s="642">
        <v>0.72499999999999998</v>
      </c>
      <c r="CK279" s="591" t="s">
        <v>922</v>
      </c>
      <c r="CL279" s="302" t="s">
        <v>508</v>
      </c>
      <c r="CM279" s="302" t="s">
        <v>509</v>
      </c>
      <c r="CN279" s="637">
        <v>0</v>
      </c>
      <c r="CO279" s="302" t="s">
        <v>519</v>
      </c>
      <c r="CP279" s="302" t="s">
        <v>520</v>
      </c>
      <c r="CQ279" s="637">
        <v>0.01</v>
      </c>
    </row>
    <row r="280" spans="1:98" ht="15.75" customHeight="1" x14ac:dyDescent="0.2">
      <c r="A280" s="661" t="s">
        <v>446</v>
      </c>
      <c r="B280" s="440" t="s">
        <v>445</v>
      </c>
      <c r="C280" s="637">
        <v>0.4</v>
      </c>
      <c r="D280" s="440" t="s">
        <v>557</v>
      </c>
      <c r="E280" s="440" t="s">
        <v>558</v>
      </c>
      <c r="F280" s="637">
        <v>0.09</v>
      </c>
      <c r="G280" s="440" t="s">
        <v>554</v>
      </c>
      <c r="H280" s="440" t="s">
        <v>555</v>
      </c>
      <c r="I280" s="637">
        <v>0.01</v>
      </c>
      <c r="J280" s="662">
        <f t="shared" si="356"/>
        <v>0.5</v>
      </c>
      <c r="K280" s="637">
        <v>0.4</v>
      </c>
      <c r="L280" s="440" t="s">
        <v>557</v>
      </c>
      <c r="M280" s="440" t="s">
        <v>558</v>
      </c>
      <c r="N280" s="637">
        <v>0.09</v>
      </c>
      <c r="O280" s="440" t="s">
        <v>554</v>
      </c>
      <c r="P280" s="440" t="s">
        <v>555</v>
      </c>
      <c r="Q280" s="637">
        <v>0.01</v>
      </c>
      <c r="R280" s="662">
        <f t="shared" si="319"/>
        <v>0.5</v>
      </c>
      <c r="S280" s="637">
        <v>0.4</v>
      </c>
      <c r="T280" s="302" t="s">
        <v>557</v>
      </c>
      <c r="U280" s="302" t="s">
        <v>558</v>
      </c>
      <c r="V280" s="637">
        <v>0.09</v>
      </c>
      <c r="W280" s="302" t="s">
        <v>554</v>
      </c>
      <c r="X280" s="302" t="s">
        <v>555</v>
      </c>
      <c r="Y280" s="637">
        <v>0.01</v>
      </c>
      <c r="Z280" s="645">
        <f t="shared" si="330"/>
        <v>0.5</v>
      </c>
      <c r="AA280" s="637">
        <v>0.4</v>
      </c>
      <c r="AB280" s="302" t="s">
        <v>557</v>
      </c>
      <c r="AC280" s="302" t="s">
        <v>558</v>
      </c>
      <c r="AD280" s="637">
        <v>0.09</v>
      </c>
      <c r="AE280" s="302" t="s">
        <v>554</v>
      </c>
      <c r="AF280" s="302" t="s">
        <v>555</v>
      </c>
      <c r="AG280" s="637">
        <v>0.01</v>
      </c>
      <c r="AH280" s="645">
        <f t="shared" si="324"/>
        <v>0.5</v>
      </c>
      <c r="AI280" s="637">
        <v>0.4</v>
      </c>
      <c r="AJ280" s="302" t="s">
        <v>557</v>
      </c>
      <c r="AK280" s="302" t="s">
        <v>558</v>
      </c>
      <c r="AL280" s="637">
        <v>0.09</v>
      </c>
      <c r="AM280" s="302" t="s">
        <v>554</v>
      </c>
      <c r="AN280" s="302" t="s">
        <v>555</v>
      </c>
      <c r="AO280" s="637">
        <v>0.01</v>
      </c>
      <c r="AP280" s="645">
        <f t="shared" si="311"/>
        <v>0.5</v>
      </c>
      <c r="AQ280" s="637">
        <v>0.4</v>
      </c>
      <c r="AR280" s="302" t="s">
        <v>557</v>
      </c>
      <c r="AS280" s="302" t="s">
        <v>558</v>
      </c>
      <c r="AT280" s="637">
        <v>0.09</v>
      </c>
      <c r="AU280" s="302" t="s">
        <v>554</v>
      </c>
      <c r="AV280" s="302" t="s">
        <v>555</v>
      </c>
      <c r="AW280" s="637">
        <v>0.01</v>
      </c>
      <c r="AX280" s="645">
        <f t="shared" si="377"/>
        <v>0.5</v>
      </c>
      <c r="AY280" s="637">
        <v>0.4</v>
      </c>
      <c r="AZ280" s="302" t="s">
        <v>557</v>
      </c>
      <c r="BA280" s="302" t="s">
        <v>558</v>
      </c>
      <c r="BB280" s="637">
        <v>0.09</v>
      </c>
      <c r="BC280" s="302" t="s">
        <v>554</v>
      </c>
      <c r="BD280" s="302" t="s">
        <v>555</v>
      </c>
      <c r="BE280" s="637">
        <v>0.01</v>
      </c>
      <c r="BF280" s="434">
        <f t="shared" si="378"/>
        <v>0.5</v>
      </c>
      <c r="BG280" s="587">
        <v>0.4</v>
      </c>
      <c r="BH280" s="302" t="s">
        <v>557</v>
      </c>
      <c r="BI280" s="302" t="s">
        <v>558</v>
      </c>
      <c r="BJ280" s="434">
        <v>0.59</v>
      </c>
      <c r="BK280" s="302" t="s">
        <v>554</v>
      </c>
      <c r="BL280" s="302" t="s">
        <v>555</v>
      </c>
      <c r="BM280" s="434">
        <v>0.01</v>
      </c>
      <c r="BN280" s="645">
        <f t="shared" si="379"/>
        <v>1</v>
      </c>
      <c r="BO280" s="434"/>
      <c r="BP280" s="434">
        <v>0.4</v>
      </c>
      <c r="BQ280" s="302" t="s">
        <v>557</v>
      </c>
      <c r="BR280" s="302" t="s">
        <v>558</v>
      </c>
      <c r="BS280" s="434">
        <v>0.09</v>
      </c>
      <c r="BT280" s="302" t="s">
        <v>554</v>
      </c>
      <c r="BU280" s="302" t="s">
        <v>555</v>
      </c>
      <c r="BV280" s="434">
        <v>0.01</v>
      </c>
      <c r="BW280" s="645">
        <f t="shared" si="380"/>
        <v>0.5</v>
      </c>
      <c r="BX280" s="434">
        <v>0.4</v>
      </c>
      <c r="BY280" s="302" t="s">
        <v>557</v>
      </c>
      <c r="BZ280" s="302" t="s">
        <v>558</v>
      </c>
      <c r="CA280" s="434">
        <v>0.09</v>
      </c>
      <c r="CB280" s="302" t="s">
        <v>554</v>
      </c>
      <c r="CC280" s="302" t="s">
        <v>555</v>
      </c>
      <c r="CD280" s="434">
        <v>0.01</v>
      </c>
      <c r="CE280" s="434">
        <f t="shared" si="381"/>
        <v>0.5</v>
      </c>
      <c r="CF280" s="1620" t="s">
        <v>1166</v>
      </c>
      <c r="CG280" s="1620" t="s">
        <v>1166</v>
      </c>
      <c r="CH280" s="1620" t="s">
        <v>1166</v>
      </c>
      <c r="CI280" s="406"/>
      <c r="CJ280" s="642">
        <v>0.66800000000000004</v>
      </c>
      <c r="CK280" s="591" t="s">
        <v>922</v>
      </c>
      <c r="CL280" s="302" t="s">
        <v>557</v>
      </c>
      <c r="CM280" s="302" t="s">
        <v>558</v>
      </c>
      <c r="CN280" s="637">
        <v>0.59</v>
      </c>
      <c r="CO280" s="302" t="s">
        <v>554</v>
      </c>
      <c r="CP280" s="302" t="s">
        <v>555</v>
      </c>
      <c r="CQ280" s="637">
        <v>0.01</v>
      </c>
    </row>
    <row r="281" spans="1:98" ht="15.75" customHeight="1" x14ac:dyDescent="0.2">
      <c r="A281" s="661" t="s">
        <v>448</v>
      </c>
      <c r="B281" s="440" t="s">
        <v>447</v>
      </c>
      <c r="C281" s="637">
        <v>0.4</v>
      </c>
      <c r="D281" s="440" t="s">
        <v>609</v>
      </c>
      <c r="E281" s="440" t="s">
        <v>610</v>
      </c>
      <c r="F281" s="637">
        <v>0.09</v>
      </c>
      <c r="G281" s="440" t="s">
        <v>606</v>
      </c>
      <c r="H281" s="440" t="s">
        <v>607</v>
      </c>
      <c r="I281" s="637">
        <v>0.01</v>
      </c>
      <c r="J281" s="662">
        <f t="shared" si="356"/>
        <v>0.5</v>
      </c>
      <c r="K281" s="637">
        <v>0.4</v>
      </c>
      <c r="L281" s="440" t="s">
        <v>609</v>
      </c>
      <c r="M281" s="440" t="s">
        <v>610</v>
      </c>
      <c r="N281" s="637">
        <v>0.09</v>
      </c>
      <c r="O281" s="440" t="s">
        <v>606</v>
      </c>
      <c r="P281" s="440" t="s">
        <v>607</v>
      </c>
      <c r="Q281" s="637">
        <v>0.01</v>
      </c>
      <c r="R281" s="662">
        <f t="shared" si="319"/>
        <v>0.5</v>
      </c>
      <c r="S281" s="637">
        <v>0.4</v>
      </c>
      <c r="T281" s="302" t="s">
        <v>609</v>
      </c>
      <c r="U281" s="302" t="s">
        <v>610</v>
      </c>
      <c r="V281" s="637">
        <v>0.09</v>
      </c>
      <c r="W281" s="302" t="s">
        <v>606</v>
      </c>
      <c r="X281" s="302" t="s">
        <v>607</v>
      </c>
      <c r="Y281" s="637">
        <v>0.01</v>
      </c>
      <c r="Z281" s="645">
        <f t="shared" si="330"/>
        <v>0.5</v>
      </c>
      <c r="AA281" s="637">
        <v>0.4</v>
      </c>
      <c r="AB281" s="302" t="s">
        <v>609</v>
      </c>
      <c r="AC281" s="302" t="s">
        <v>610</v>
      </c>
      <c r="AD281" s="637">
        <v>0.09</v>
      </c>
      <c r="AE281" s="302" t="s">
        <v>606</v>
      </c>
      <c r="AF281" s="302" t="s">
        <v>607</v>
      </c>
      <c r="AG281" s="637">
        <v>0.01</v>
      </c>
      <c r="AH281" s="645">
        <f t="shared" si="324"/>
        <v>0.5</v>
      </c>
      <c r="AI281" s="637">
        <v>0.4</v>
      </c>
      <c r="AJ281" s="302" t="s">
        <v>609</v>
      </c>
      <c r="AK281" s="302" t="s">
        <v>610</v>
      </c>
      <c r="AL281" s="637">
        <v>0.09</v>
      </c>
      <c r="AM281" s="302" t="s">
        <v>606</v>
      </c>
      <c r="AN281" s="302" t="s">
        <v>607</v>
      </c>
      <c r="AO281" s="637">
        <v>0.01</v>
      </c>
      <c r="AP281" s="645">
        <f t="shared" si="311"/>
        <v>0.5</v>
      </c>
      <c r="AQ281" s="637">
        <v>0.4</v>
      </c>
      <c r="AR281" s="302" t="s">
        <v>609</v>
      </c>
      <c r="AS281" s="302" t="s">
        <v>610</v>
      </c>
      <c r="AT281" s="637">
        <v>0.09</v>
      </c>
      <c r="AU281" s="302" t="s">
        <v>606</v>
      </c>
      <c r="AV281" s="302" t="s">
        <v>607</v>
      </c>
      <c r="AW281" s="637">
        <v>0.01</v>
      </c>
      <c r="AX281" s="645">
        <f t="shared" si="377"/>
        <v>0.5</v>
      </c>
      <c r="AY281" s="637">
        <v>0.56000000000000005</v>
      </c>
      <c r="AZ281" s="302" t="s">
        <v>609</v>
      </c>
      <c r="BA281" s="302" t="s">
        <v>610</v>
      </c>
      <c r="BB281" s="637">
        <v>0.17499999999999999</v>
      </c>
      <c r="BC281" s="302" t="s">
        <v>606</v>
      </c>
      <c r="BD281" s="302" t="s">
        <v>607</v>
      </c>
      <c r="BE281" s="637">
        <v>1.4999999999999999E-2</v>
      </c>
      <c r="BF281" s="434">
        <f t="shared" si="378"/>
        <v>0.75000000000000011</v>
      </c>
      <c r="BG281" s="587">
        <v>0.4</v>
      </c>
      <c r="BH281" s="302" t="s">
        <v>609</v>
      </c>
      <c r="BI281" s="302" t="s">
        <v>610</v>
      </c>
      <c r="BJ281" s="434">
        <v>0.09</v>
      </c>
      <c r="BK281" s="302" t="s">
        <v>606</v>
      </c>
      <c r="BL281" s="302" t="s">
        <v>607</v>
      </c>
      <c r="BM281" s="434">
        <v>0.01</v>
      </c>
      <c r="BN281" s="645">
        <f t="shared" si="379"/>
        <v>0.5</v>
      </c>
      <c r="BO281" s="434"/>
      <c r="BP281" s="434">
        <v>0.4</v>
      </c>
      <c r="BQ281" s="302" t="s">
        <v>609</v>
      </c>
      <c r="BR281" s="302" t="s">
        <v>610</v>
      </c>
      <c r="BS281" s="434">
        <v>0.09</v>
      </c>
      <c r="BT281" s="302" t="s">
        <v>606</v>
      </c>
      <c r="BU281" s="302" t="s">
        <v>607</v>
      </c>
      <c r="BV281" s="434">
        <v>0.01</v>
      </c>
      <c r="BW281" s="645">
        <f t="shared" si="380"/>
        <v>0.5</v>
      </c>
      <c r="BX281" s="434">
        <v>0.4</v>
      </c>
      <c r="BY281" s="302" t="s">
        <v>609</v>
      </c>
      <c r="BZ281" s="302" t="s">
        <v>610</v>
      </c>
      <c r="CA281" s="434">
        <v>0.09</v>
      </c>
      <c r="CB281" s="302" t="s">
        <v>606</v>
      </c>
      <c r="CC281" s="302" t="s">
        <v>607</v>
      </c>
      <c r="CD281" s="434">
        <v>0.01</v>
      </c>
      <c r="CE281" s="434">
        <f t="shared" si="381"/>
        <v>0.5</v>
      </c>
      <c r="CF281" s="1620" t="s">
        <v>1166</v>
      </c>
      <c r="CG281" s="1620" t="s">
        <v>1166</v>
      </c>
      <c r="CH281" s="1620" t="s">
        <v>1166</v>
      </c>
      <c r="CI281" s="406"/>
      <c r="CJ281" s="642">
        <v>0.68300000000000005</v>
      </c>
      <c r="CK281" s="591" t="s">
        <v>862</v>
      </c>
      <c r="CL281" s="302" t="s">
        <v>609</v>
      </c>
      <c r="CM281" s="302" t="s">
        <v>610</v>
      </c>
      <c r="CN281" s="637">
        <v>0.59</v>
      </c>
      <c r="CO281" s="302" t="s">
        <v>606</v>
      </c>
      <c r="CP281" s="302" t="s">
        <v>607</v>
      </c>
      <c r="CQ281" s="637">
        <v>0.01</v>
      </c>
    </row>
    <row r="282" spans="1:98" ht="15.75" customHeight="1" x14ac:dyDescent="0.2">
      <c r="A282" s="661" t="s">
        <v>450</v>
      </c>
      <c r="B282" s="440" t="s">
        <v>449</v>
      </c>
      <c r="C282" s="637">
        <v>0.4</v>
      </c>
      <c r="D282" s="440" t="s">
        <v>619</v>
      </c>
      <c r="E282" s="440" t="s">
        <v>620</v>
      </c>
      <c r="F282" s="637">
        <v>0.1</v>
      </c>
      <c r="G282" s="440" t="s">
        <v>508</v>
      </c>
      <c r="H282" s="440" t="s">
        <v>546</v>
      </c>
      <c r="I282" s="637">
        <v>0</v>
      </c>
      <c r="J282" s="662">
        <f t="shared" si="356"/>
        <v>0.5</v>
      </c>
      <c r="K282" s="637">
        <v>0.4</v>
      </c>
      <c r="L282" s="440" t="s">
        <v>619</v>
      </c>
      <c r="M282" s="440" t="s">
        <v>620</v>
      </c>
      <c r="N282" s="637">
        <v>0.1</v>
      </c>
      <c r="O282" s="440" t="s">
        <v>508</v>
      </c>
      <c r="P282" s="440" t="s">
        <v>546</v>
      </c>
      <c r="Q282" s="637">
        <v>0</v>
      </c>
      <c r="R282" s="662">
        <f t="shared" si="319"/>
        <v>0.5</v>
      </c>
      <c r="S282" s="637">
        <v>0.4</v>
      </c>
      <c r="T282" s="302" t="s">
        <v>619</v>
      </c>
      <c r="U282" s="302" t="s">
        <v>620</v>
      </c>
      <c r="V282" s="637">
        <v>0.1</v>
      </c>
      <c r="W282" s="302" t="s">
        <v>508</v>
      </c>
      <c r="X282" s="302" t="s">
        <v>546</v>
      </c>
      <c r="Y282" s="637">
        <v>0</v>
      </c>
      <c r="Z282" s="645">
        <f t="shared" si="330"/>
        <v>0.5</v>
      </c>
      <c r="AA282" s="637">
        <v>0.4</v>
      </c>
      <c r="AB282" s="302" t="s">
        <v>619</v>
      </c>
      <c r="AC282" s="302" t="s">
        <v>620</v>
      </c>
      <c r="AD282" s="637">
        <v>0.1</v>
      </c>
      <c r="AE282" s="302" t="s">
        <v>508</v>
      </c>
      <c r="AF282" s="302" t="s">
        <v>546</v>
      </c>
      <c r="AG282" s="637">
        <v>0</v>
      </c>
      <c r="AH282" s="645">
        <f t="shared" si="324"/>
        <v>0.5</v>
      </c>
      <c r="AI282" s="637">
        <v>0.4</v>
      </c>
      <c r="AJ282" s="302" t="s">
        <v>619</v>
      </c>
      <c r="AK282" s="302" t="s">
        <v>620</v>
      </c>
      <c r="AL282" s="637">
        <v>0.1</v>
      </c>
      <c r="AM282" s="302" t="s">
        <v>508</v>
      </c>
      <c r="AN282" s="302" t="s">
        <v>546</v>
      </c>
      <c r="AO282" s="637">
        <v>0</v>
      </c>
      <c r="AP282" s="645">
        <f t="shared" si="311"/>
        <v>0.5</v>
      </c>
      <c r="AQ282" s="637">
        <v>0.4</v>
      </c>
      <c r="AR282" s="302" t="s">
        <v>619</v>
      </c>
      <c r="AS282" s="302" t="s">
        <v>620</v>
      </c>
      <c r="AT282" s="637">
        <v>0.1</v>
      </c>
      <c r="AU282" s="302" t="s">
        <v>508</v>
      </c>
      <c r="AV282" s="302" t="s">
        <v>546</v>
      </c>
      <c r="AW282" s="637">
        <v>0</v>
      </c>
      <c r="AX282" s="645">
        <f t="shared" si="377"/>
        <v>0.5</v>
      </c>
      <c r="AY282" s="637">
        <v>0.4</v>
      </c>
      <c r="AZ282" s="302" t="s">
        <v>619</v>
      </c>
      <c r="BA282" s="302" t="s">
        <v>620</v>
      </c>
      <c r="BB282" s="637">
        <v>0.1</v>
      </c>
      <c r="BC282" s="302" t="s">
        <v>508</v>
      </c>
      <c r="BD282" s="302" t="s">
        <v>546</v>
      </c>
      <c r="BE282" s="637">
        <v>0</v>
      </c>
      <c r="BF282" s="434">
        <f t="shared" si="378"/>
        <v>0.5</v>
      </c>
      <c r="BG282" s="587">
        <v>0.6</v>
      </c>
      <c r="BH282" s="302" t="s">
        <v>619</v>
      </c>
      <c r="BI282" s="302" t="s">
        <v>620</v>
      </c>
      <c r="BJ282" s="434">
        <v>0.4</v>
      </c>
      <c r="BK282" s="302" t="s">
        <v>508</v>
      </c>
      <c r="BL282" s="302" t="s">
        <v>546</v>
      </c>
      <c r="BM282" s="434">
        <v>0</v>
      </c>
      <c r="BN282" s="645">
        <f t="shared" si="379"/>
        <v>1</v>
      </c>
      <c r="BO282" s="434"/>
      <c r="BP282" s="434">
        <v>0.4</v>
      </c>
      <c r="BQ282" s="302" t="s">
        <v>619</v>
      </c>
      <c r="BR282" s="302" t="s">
        <v>620</v>
      </c>
      <c r="BS282" s="434">
        <v>0.1</v>
      </c>
      <c r="BT282" s="302" t="s">
        <v>508</v>
      </c>
      <c r="BU282" s="302" t="s">
        <v>546</v>
      </c>
      <c r="BV282" s="434">
        <v>0</v>
      </c>
      <c r="BW282" s="645">
        <f t="shared" si="380"/>
        <v>0.5</v>
      </c>
      <c r="BX282" s="434">
        <v>0.4</v>
      </c>
      <c r="BY282" s="302" t="s">
        <v>619</v>
      </c>
      <c r="BZ282" s="302" t="s">
        <v>620</v>
      </c>
      <c r="CA282" s="434">
        <v>0.1</v>
      </c>
      <c r="CB282" s="302" t="s">
        <v>508</v>
      </c>
      <c r="CC282" s="302" t="s">
        <v>546</v>
      </c>
      <c r="CD282" s="434">
        <v>0</v>
      </c>
      <c r="CE282" s="434">
        <f t="shared" si="381"/>
        <v>0.5</v>
      </c>
      <c r="CF282" s="1620" t="s">
        <v>1166</v>
      </c>
      <c r="CG282" s="1620" t="s">
        <v>1166</v>
      </c>
      <c r="CH282" s="1620" t="s">
        <v>1166</v>
      </c>
      <c r="CI282" s="406"/>
      <c r="CJ282" s="642">
        <v>0.64800000000000002</v>
      </c>
      <c r="CK282" s="591" t="s">
        <v>922</v>
      </c>
      <c r="CL282" s="302" t="s">
        <v>619</v>
      </c>
      <c r="CM282" s="302" t="s">
        <v>620</v>
      </c>
      <c r="CN282" s="637">
        <v>0.6</v>
      </c>
      <c r="CO282" s="302" t="s">
        <v>508</v>
      </c>
      <c r="CP282" s="302" t="s">
        <v>546</v>
      </c>
      <c r="CQ282" s="637">
        <v>0</v>
      </c>
    </row>
    <row r="283" spans="1:98" ht="15" x14ac:dyDescent="0.2">
      <c r="A283" s="440" t="s">
        <v>1314</v>
      </c>
      <c r="B283" s="440" t="s">
        <v>1289</v>
      </c>
      <c r="C283" s="637">
        <v>0.49</v>
      </c>
      <c r="D283" s="440" t="s">
        <v>508</v>
      </c>
      <c r="E283" s="440" t="s">
        <v>509</v>
      </c>
      <c r="F283" s="637">
        <v>0</v>
      </c>
      <c r="G283" s="440" t="s">
        <v>2258</v>
      </c>
      <c r="H283" s="440" t="s">
        <v>1186</v>
      </c>
      <c r="I283" s="637">
        <v>0.01</v>
      </c>
      <c r="J283" s="662">
        <f t="shared" si="356"/>
        <v>0.5</v>
      </c>
      <c r="K283" s="637">
        <v>0.49</v>
      </c>
      <c r="L283" s="440" t="s">
        <v>508</v>
      </c>
      <c r="M283" s="440" t="s">
        <v>509</v>
      </c>
      <c r="N283" s="637">
        <v>0</v>
      </c>
      <c r="O283" s="440" t="s">
        <v>2258</v>
      </c>
      <c r="P283" s="440" t="s">
        <v>1186</v>
      </c>
      <c r="Q283" s="637">
        <v>0.01</v>
      </c>
      <c r="R283" s="662">
        <f t="shared" si="319"/>
        <v>0.5</v>
      </c>
      <c r="S283" s="637">
        <v>0.49</v>
      </c>
      <c r="T283" s="440" t="s">
        <v>508</v>
      </c>
      <c r="U283" s="440" t="s">
        <v>509</v>
      </c>
      <c r="V283" s="637">
        <v>0</v>
      </c>
      <c r="W283" s="440" t="s">
        <v>2258</v>
      </c>
      <c r="X283" s="440" t="s">
        <v>1186</v>
      </c>
      <c r="Y283" s="637">
        <v>0.01</v>
      </c>
      <c r="Z283" s="662">
        <f t="shared" si="330"/>
        <v>0.5</v>
      </c>
      <c r="AA283" s="637">
        <v>0.49</v>
      </c>
      <c r="AB283" s="440" t="s">
        <v>508</v>
      </c>
      <c r="AC283" s="440" t="s">
        <v>509</v>
      </c>
      <c r="AD283" s="637">
        <v>0</v>
      </c>
      <c r="AE283" s="440" t="s">
        <v>2258</v>
      </c>
      <c r="AF283" s="440" t="s">
        <v>1186</v>
      </c>
      <c r="AG283" s="637">
        <v>0.01</v>
      </c>
      <c r="AH283" s="662">
        <f t="shared" si="324"/>
        <v>0.5</v>
      </c>
      <c r="AI283" s="637">
        <v>0.49</v>
      </c>
      <c r="AJ283" s="440" t="s">
        <v>508</v>
      </c>
      <c r="AK283" s="440" t="s">
        <v>509</v>
      </c>
      <c r="AL283" s="637">
        <v>0</v>
      </c>
      <c r="AM283" s="440" t="s">
        <v>2258</v>
      </c>
      <c r="AN283" s="440" t="s">
        <v>1186</v>
      </c>
      <c r="AO283" s="637">
        <v>0.01</v>
      </c>
      <c r="AP283" s="662">
        <f t="shared" si="311"/>
        <v>0.5</v>
      </c>
      <c r="AQ283" s="637">
        <v>0.49</v>
      </c>
      <c r="AR283" s="440" t="s">
        <v>508</v>
      </c>
      <c r="AS283" s="440" t="s">
        <v>509</v>
      </c>
      <c r="AT283" s="637">
        <v>0</v>
      </c>
      <c r="AU283" s="440" t="s">
        <v>1187</v>
      </c>
      <c r="AV283" s="440" t="s">
        <v>1186</v>
      </c>
      <c r="AW283" s="637">
        <v>0.01</v>
      </c>
      <c r="AX283" s="662">
        <f>+AQ283+AT283+AW283</f>
        <v>0.5</v>
      </c>
      <c r="AY283" s="637">
        <v>0.74</v>
      </c>
      <c r="AZ283" s="440" t="s">
        <v>508</v>
      </c>
      <c r="BA283" s="440" t="s">
        <v>509</v>
      </c>
      <c r="BB283" s="637">
        <v>0</v>
      </c>
      <c r="BC283" s="440" t="s">
        <v>1187</v>
      </c>
      <c r="BD283" s="440" t="s">
        <v>1186</v>
      </c>
      <c r="BE283" s="637">
        <v>0.01</v>
      </c>
      <c r="BF283" s="662">
        <f>+AY283+BB283+BE283</f>
        <v>0.75</v>
      </c>
      <c r="BG283" s="637">
        <v>0.49</v>
      </c>
      <c r="BH283" s="440" t="s">
        <v>508</v>
      </c>
      <c r="BI283" s="440" t="s">
        <v>509</v>
      </c>
      <c r="BJ283" s="637">
        <v>0</v>
      </c>
      <c r="BK283" s="440" t="s">
        <v>1187</v>
      </c>
      <c r="BL283" s="440" t="s">
        <v>1186</v>
      </c>
      <c r="BM283" s="637">
        <v>0.01</v>
      </c>
      <c r="BN283" s="662">
        <f>+BG283+BJ283+BM283</f>
        <v>0.5</v>
      </c>
      <c r="BO283" s="637"/>
      <c r="BP283" s="637">
        <v>0.49</v>
      </c>
      <c r="BQ283" s="440" t="s">
        <v>508</v>
      </c>
      <c r="BR283" s="440" t="s">
        <v>509</v>
      </c>
      <c r="BS283" s="637">
        <v>0</v>
      </c>
      <c r="BT283" s="440" t="s">
        <v>1187</v>
      </c>
      <c r="BU283" s="440" t="s">
        <v>1186</v>
      </c>
      <c r="BV283" s="637">
        <v>0.01</v>
      </c>
      <c r="BW283" s="662">
        <f>+BP283+BS283+BV283</f>
        <v>0.5</v>
      </c>
      <c r="BX283" s="637">
        <v>0.49</v>
      </c>
      <c r="BY283" s="440" t="s">
        <v>508</v>
      </c>
      <c r="BZ283" s="440" t="s">
        <v>509</v>
      </c>
      <c r="CA283" s="637">
        <v>0</v>
      </c>
      <c r="CB283" s="440" t="s">
        <v>1187</v>
      </c>
      <c r="CC283" s="440" t="s">
        <v>1186</v>
      </c>
      <c r="CD283" s="637">
        <v>0.01</v>
      </c>
      <c r="CE283" s="662">
        <f>+BX283+CA283+CD283</f>
        <v>0.5</v>
      </c>
      <c r="CF283" s="1620" t="s">
        <v>862</v>
      </c>
      <c r="CG283" s="1620" t="s">
        <v>1166</v>
      </c>
      <c r="CH283" s="1620" t="s">
        <v>1166</v>
      </c>
      <c r="CI283" s="774" t="s">
        <v>862</v>
      </c>
      <c r="CJ283" s="642">
        <v>0.68600000000000005</v>
      </c>
      <c r="CK283" s="665" t="s">
        <v>922</v>
      </c>
      <c r="CL283" s="440" t="s">
        <v>628</v>
      </c>
      <c r="CM283" s="440" t="s">
        <v>629</v>
      </c>
      <c r="CN283" s="637">
        <v>0.59</v>
      </c>
      <c r="CO283" s="440" t="s">
        <v>1187</v>
      </c>
      <c r="CP283" s="440" t="s">
        <v>1186</v>
      </c>
      <c r="CQ283" s="637">
        <v>0.01</v>
      </c>
    </row>
    <row r="284" spans="1:98" ht="15.75" customHeight="1" x14ac:dyDescent="0.2">
      <c r="A284" s="661" t="s">
        <v>452</v>
      </c>
      <c r="B284" s="440" t="s">
        <v>451</v>
      </c>
      <c r="C284" s="637">
        <v>0.4</v>
      </c>
      <c r="D284" s="440" t="s">
        <v>636</v>
      </c>
      <c r="E284" s="440" t="s">
        <v>637</v>
      </c>
      <c r="F284" s="637">
        <v>0.1</v>
      </c>
      <c r="G284" s="440" t="s">
        <v>508</v>
      </c>
      <c r="H284" s="440" t="s">
        <v>546</v>
      </c>
      <c r="I284" s="637">
        <v>0</v>
      </c>
      <c r="J284" s="662">
        <f t="shared" si="356"/>
        <v>0.5</v>
      </c>
      <c r="K284" s="637">
        <v>0.4</v>
      </c>
      <c r="L284" s="440" t="s">
        <v>636</v>
      </c>
      <c r="M284" s="440" t="s">
        <v>637</v>
      </c>
      <c r="N284" s="637">
        <v>0.1</v>
      </c>
      <c r="O284" s="440" t="s">
        <v>508</v>
      </c>
      <c r="P284" s="440" t="s">
        <v>546</v>
      </c>
      <c r="Q284" s="637">
        <v>0</v>
      </c>
      <c r="R284" s="662">
        <f t="shared" si="319"/>
        <v>0.5</v>
      </c>
      <c r="S284" s="637">
        <v>0.4</v>
      </c>
      <c r="T284" s="302" t="s">
        <v>636</v>
      </c>
      <c r="U284" s="302" t="s">
        <v>637</v>
      </c>
      <c r="V284" s="637">
        <v>0.1</v>
      </c>
      <c r="W284" s="302" t="s">
        <v>508</v>
      </c>
      <c r="X284" s="302" t="s">
        <v>546</v>
      </c>
      <c r="Y284" s="637">
        <v>0</v>
      </c>
      <c r="Z284" s="645">
        <f t="shared" si="330"/>
        <v>0.5</v>
      </c>
      <c r="AA284" s="637">
        <v>0.4</v>
      </c>
      <c r="AB284" s="302" t="s">
        <v>636</v>
      </c>
      <c r="AC284" s="302" t="s">
        <v>637</v>
      </c>
      <c r="AD284" s="637">
        <v>0.1</v>
      </c>
      <c r="AE284" s="302" t="s">
        <v>508</v>
      </c>
      <c r="AF284" s="302" t="s">
        <v>546</v>
      </c>
      <c r="AG284" s="637">
        <v>0</v>
      </c>
      <c r="AH284" s="645">
        <f t="shared" si="324"/>
        <v>0.5</v>
      </c>
      <c r="AI284" s="637">
        <v>0.4</v>
      </c>
      <c r="AJ284" s="302" t="s">
        <v>636</v>
      </c>
      <c r="AK284" s="302" t="s">
        <v>637</v>
      </c>
      <c r="AL284" s="637">
        <v>0.1</v>
      </c>
      <c r="AM284" s="302" t="s">
        <v>508</v>
      </c>
      <c r="AN284" s="302" t="s">
        <v>546</v>
      </c>
      <c r="AO284" s="637">
        <v>0</v>
      </c>
      <c r="AP284" s="645">
        <f t="shared" ref="AP284:AP289" si="382">+AI284+AL284+AO284</f>
        <v>0.5</v>
      </c>
      <c r="AQ284" s="637">
        <v>0.4</v>
      </c>
      <c r="AR284" s="302" t="s">
        <v>636</v>
      </c>
      <c r="AS284" s="302" t="s">
        <v>637</v>
      </c>
      <c r="AT284" s="637">
        <v>0.1</v>
      </c>
      <c r="AU284" s="302" t="s">
        <v>508</v>
      </c>
      <c r="AV284" s="302" t="s">
        <v>546</v>
      </c>
      <c r="AW284" s="637">
        <v>0</v>
      </c>
      <c r="AX284" s="645">
        <f t="shared" ref="AX284:AX285" si="383">+AQ284+AT284+AW284</f>
        <v>0.5</v>
      </c>
      <c r="AY284" s="637">
        <v>0.4</v>
      </c>
      <c r="AZ284" s="302" t="s">
        <v>636</v>
      </c>
      <c r="BA284" s="302" t="s">
        <v>637</v>
      </c>
      <c r="BB284" s="637">
        <v>0.1</v>
      </c>
      <c r="BC284" s="302" t="s">
        <v>508</v>
      </c>
      <c r="BD284" s="302" t="s">
        <v>546</v>
      </c>
      <c r="BE284" s="637">
        <v>0</v>
      </c>
      <c r="BF284" s="434">
        <f t="shared" ref="BF284:BF285" si="384">+AY284+BB284+BE284</f>
        <v>0.5</v>
      </c>
      <c r="BG284" s="587">
        <v>0.4</v>
      </c>
      <c r="BH284" s="302" t="s">
        <v>636</v>
      </c>
      <c r="BI284" s="302" t="s">
        <v>637</v>
      </c>
      <c r="BJ284" s="434">
        <v>0.1</v>
      </c>
      <c r="BK284" s="302" t="s">
        <v>508</v>
      </c>
      <c r="BL284" s="302" t="s">
        <v>546</v>
      </c>
      <c r="BM284" s="434">
        <v>0</v>
      </c>
      <c r="BN284" s="645">
        <f t="shared" ref="BN284:BN285" si="385">+BG284+BJ284+BM284</f>
        <v>0.5</v>
      </c>
      <c r="BO284" s="434"/>
      <c r="BP284" s="434">
        <v>0.4</v>
      </c>
      <c r="BQ284" s="302" t="s">
        <v>636</v>
      </c>
      <c r="BR284" s="302" t="s">
        <v>637</v>
      </c>
      <c r="BS284" s="434">
        <v>0.1</v>
      </c>
      <c r="BT284" s="302" t="s">
        <v>508</v>
      </c>
      <c r="BU284" s="302" t="s">
        <v>546</v>
      </c>
      <c r="BV284" s="434">
        <v>0</v>
      </c>
      <c r="BW284" s="645">
        <f t="shared" ref="BW284:BW285" si="386">+BP284+BS284+BV284</f>
        <v>0.5</v>
      </c>
      <c r="BX284" s="434">
        <v>0.4</v>
      </c>
      <c r="BY284" s="302" t="s">
        <v>636</v>
      </c>
      <c r="BZ284" s="302" t="s">
        <v>637</v>
      </c>
      <c r="CA284" s="434">
        <v>0.1</v>
      </c>
      <c r="CB284" s="302" t="s">
        <v>508</v>
      </c>
      <c r="CC284" s="302" t="s">
        <v>546</v>
      </c>
      <c r="CD284" s="434">
        <v>0</v>
      </c>
      <c r="CE284" s="434">
        <f t="shared" ref="CE284:CE285" si="387">+BX284+CA284+CD284</f>
        <v>0.5</v>
      </c>
      <c r="CF284" s="1621" t="s">
        <v>1166</v>
      </c>
      <c r="CG284" s="1621" t="s">
        <v>1166</v>
      </c>
      <c r="CH284" s="1621" t="s">
        <v>1166</v>
      </c>
      <c r="CI284" s="406"/>
      <c r="CJ284" s="642">
        <v>0.7</v>
      </c>
      <c r="CK284" s="591" t="s">
        <v>922</v>
      </c>
      <c r="CL284" s="302" t="s">
        <v>636</v>
      </c>
      <c r="CM284" s="302" t="s">
        <v>637</v>
      </c>
      <c r="CN284" s="637">
        <v>0.6</v>
      </c>
      <c r="CO284" s="302" t="s">
        <v>508</v>
      </c>
      <c r="CP284" s="302" t="s">
        <v>546</v>
      </c>
      <c r="CQ284" s="637">
        <v>0</v>
      </c>
    </row>
    <row r="285" spans="1:98" s="509" customFormat="1" ht="15.75" customHeight="1" x14ac:dyDescent="0.2">
      <c r="A285" s="661" t="s">
        <v>1184</v>
      </c>
      <c r="B285" s="440" t="s">
        <v>1183</v>
      </c>
      <c r="C285" s="637">
        <v>0.4</v>
      </c>
      <c r="D285" s="440" t="s">
        <v>647</v>
      </c>
      <c r="E285" s="440" t="s">
        <v>648</v>
      </c>
      <c r="F285" s="637">
        <v>0.1</v>
      </c>
      <c r="G285" s="440" t="s">
        <v>508</v>
      </c>
      <c r="H285" s="440" t="s">
        <v>546</v>
      </c>
      <c r="I285" s="637">
        <v>0</v>
      </c>
      <c r="J285" s="662">
        <f t="shared" si="356"/>
        <v>0.5</v>
      </c>
      <c r="K285" s="637">
        <v>0.4</v>
      </c>
      <c r="L285" s="440" t="s">
        <v>647</v>
      </c>
      <c r="M285" s="440" t="s">
        <v>648</v>
      </c>
      <c r="N285" s="637">
        <v>0.1</v>
      </c>
      <c r="O285" s="440" t="s">
        <v>508</v>
      </c>
      <c r="P285" s="440" t="s">
        <v>546</v>
      </c>
      <c r="Q285" s="637">
        <v>0</v>
      </c>
      <c r="R285" s="662">
        <f t="shared" si="319"/>
        <v>0.5</v>
      </c>
      <c r="S285" s="637">
        <v>0.4</v>
      </c>
      <c r="T285" s="440" t="s">
        <v>647</v>
      </c>
      <c r="U285" s="440" t="s">
        <v>648</v>
      </c>
      <c r="V285" s="637">
        <v>0.1</v>
      </c>
      <c r="W285" s="440" t="s">
        <v>508</v>
      </c>
      <c r="X285" s="440" t="s">
        <v>546</v>
      </c>
      <c r="Y285" s="637">
        <v>0</v>
      </c>
      <c r="Z285" s="662">
        <f t="shared" si="330"/>
        <v>0.5</v>
      </c>
      <c r="AA285" s="637">
        <v>0.4</v>
      </c>
      <c r="AB285" s="440" t="s">
        <v>647</v>
      </c>
      <c r="AC285" s="440" t="s">
        <v>648</v>
      </c>
      <c r="AD285" s="637">
        <v>0.1</v>
      </c>
      <c r="AE285" s="440" t="s">
        <v>508</v>
      </c>
      <c r="AF285" s="440" t="s">
        <v>546</v>
      </c>
      <c r="AG285" s="637">
        <v>0</v>
      </c>
      <c r="AH285" s="662">
        <f t="shared" si="324"/>
        <v>0.5</v>
      </c>
      <c r="AI285" s="637">
        <v>0.4</v>
      </c>
      <c r="AJ285" s="440" t="s">
        <v>647</v>
      </c>
      <c r="AK285" s="440" t="s">
        <v>648</v>
      </c>
      <c r="AL285" s="637">
        <v>0.1</v>
      </c>
      <c r="AM285" s="440" t="s">
        <v>508</v>
      </c>
      <c r="AN285" s="440" t="s">
        <v>546</v>
      </c>
      <c r="AO285" s="637">
        <v>0</v>
      </c>
      <c r="AP285" s="662">
        <f t="shared" si="382"/>
        <v>0.5</v>
      </c>
      <c r="AQ285" s="637">
        <v>0.4</v>
      </c>
      <c r="AR285" s="440" t="s">
        <v>647</v>
      </c>
      <c r="AS285" s="440" t="s">
        <v>648</v>
      </c>
      <c r="AT285" s="637">
        <v>0.1</v>
      </c>
      <c r="AU285" s="440" t="s">
        <v>508</v>
      </c>
      <c r="AV285" s="440" t="s">
        <v>546</v>
      </c>
      <c r="AW285" s="637">
        <v>0</v>
      </c>
      <c r="AX285" s="662">
        <f t="shared" si="383"/>
        <v>0.5</v>
      </c>
      <c r="AY285" s="637">
        <v>0.4</v>
      </c>
      <c r="AZ285" s="440" t="s">
        <v>647</v>
      </c>
      <c r="BA285" s="440" t="s">
        <v>648</v>
      </c>
      <c r="BB285" s="637">
        <v>0.1</v>
      </c>
      <c r="BC285" s="440" t="s">
        <v>508</v>
      </c>
      <c r="BD285" s="440" t="s">
        <v>546</v>
      </c>
      <c r="BE285" s="637">
        <v>0</v>
      </c>
      <c r="BF285" s="637">
        <f t="shared" si="384"/>
        <v>0.5</v>
      </c>
      <c r="BG285" s="663">
        <v>0.8</v>
      </c>
      <c r="BH285" s="440" t="s">
        <v>647</v>
      </c>
      <c r="BI285" s="440" t="s">
        <v>648</v>
      </c>
      <c r="BJ285" s="637">
        <v>0.2</v>
      </c>
      <c r="BK285" s="440" t="s">
        <v>508</v>
      </c>
      <c r="BL285" s="440" t="s">
        <v>546</v>
      </c>
      <c r="BM285" s="637">
        <v>0</v>
      </c>
      <c r="BN285" s="662">
        <f t="shared" si="385"/>
        <v>1</v>
      </c>
      <c r="BO285" s="637"/>
      <c r="BP285" s="637">
        <v>0.4</v>
      </c>
      <c r="BQ285" s="440" t="s">
        <v>647</v>
      </c>
      <c r="BR285" s="440" t="s">
        <v>648</v>
      </c>
      <c r="BS285" s="637">
        <v>0.1</v>
      </c>
      <c r="BT285" s="440" t="s">
        <v>508</v>
      </c>
      <c r="BU285" s="440" t="s">
        <v>546</v>
      </c>
      <c r="BV285" s="637">
        <v>0</v>
      </c>
      <c r="BW285" s="662">
        <f t="shared" si="386"/>
        <v>0.5</v>
      </c>
      <c r="BX285" s="637">
        <v>0.4</v>
      </c>
      <c r="BY285" s="440" t="s">
        <v>647</v>
      </c>
      <c r="BZ285" s="440" t="s">
        <v>648</v>
      </c>
      <c r="CA285" s="637">
        <v>0.1</v>
      </c>
      <c r="CB285" s="440" t="s">
        <v>508</v>
      </c>
      <c r="CC285" s="440" t="s">
        <v>546</v>
      </c>
      <c r="CD285" s="637">
        <v>0</v>
      </c>
      <c r="CE285" s="637">
        <f t="shared" si="387"/>
        <v>0.5</v>
      </c>
      <c r="CF285" s="1621" t="s">
        <v>862</v>
      </c>
      <c r="CG285" s="1621" t="s">
        <v>1166</v>
      </c>
      <c r="CH285" s="1621" t="s">
        <v>1166</v>
      </c>
      <c r="CI285" s="666"/>
      <c r="CJ285" s="642">
        <v>0.70899999999999996</v>
      </c>
      <c r="CK285" s="665" t="s">
        <v>922</v>
      </c>
      <c r="CL285" s="440" t="s">
        <v>647</v>
      </c>
      <c r="CM285" s="440" t="s">
        <v>648</v>
      </c>
      <c r="CN285" s="637">
        <v>0.6</v>
      </c>
      <c r="CO285" s="440" t="s">
        <v>508</v>
      </c>
      <c r="CP285" s="440" t="s">
        <v>546</v>
      </c>
      <c r="CQ285" s="637">
        <v>0</v>
      </c>
      <c r="CS285" s="428"/>
      <c r="CT285" s="428"/>
    </row>
    <row r="286" spans="1:98" ht="15.75" customHeight="1" x14ac:dyDescent="0.2">
      <c r="A286" s="661" t="s">
        <v>454</v>
      </c>
      <c r="B286" s="440" t="s">
        <v>453</v>
      </c>
      <c r="C286" s="637">
        <v>0.3</v>
      </c>
      <c r="D286" s="440" t="s">
        <v>674</v>
      </c>
      <c r="E286" s="440" t="s">
        <v>675</v>
      </c>
      <c r="F286" s="637">
        <v>0.37</v>
      </c>
      <c r="G286" s="440" t="s">
        <v>508</v>
      </c>
      <c r="H286" s="440" t="s">
        <v>508</v>
      </c>
      <c r="I286" s="637">
        <v>0</v>
      </c>
      <c r="J286" s="662">
        <f t="shared" si="356"/>
        <v>0.66999999999999993</v>
      </c>
      <c r="K286" s="637">
        <v>0.3</v>
      </c>
      <c r="L286" s="440" t="s">
        <v>674</v>
      </c>
      <c r="M286" s="440" t="s">
        <v>675</v>
      </c>
      <c r="N286" s="637">
        <v>0.37</v>
      </c>
      <c r="O286" s="440" t="s">
        <v>508</v>
      </c>
      <c r="P286" s="440" t="s">
        <v>508</v>
      </c>
      <c r="Q286" s="637">
        <v>0</v>
      </c>
      <c r="R286" s="662">
        <f t="shared" si="319"/>
        <v>0.66999999999999993</v>
      </c>
      <c r="S286" s="637">
        <v>0.3</v>
      </c>
      <c r="T286" s="302" t="s">
        <v>674</v>
      </c>
      <c r="U286" s="302" t="s">
        <v>675</v>
      </c>
      <c r="V286" s="637">
        <v>0.37</v>
      </c>
      <c r="W286" s="302" t="s">
        <v>508</v>
      </c>
      <c r="X286" s="302" t="s">
        <v>508</v>
      </c>
      <c r="Y286" s="637">
        <v>0</v>
      </c>
      <c r="Z286" s="645">
        <f t="shared" si="330"/>
        <v>0.66999999999999993</v>
      </c>
      <c r="AA286" s="637">
        <v>0.3</v>
      </c>
      <c r="AB286" s="302" t="s">
        <v>674</v>
      </c>
      <c r="AC286" s="302" t="s">
        <v>675</v>
      </c>
      <c r="AD286" s="637">
        <v>0.37</v>
      </c>
      <c r="AE286" s="302" t="s">
        <v>508</v>
      </c>
      <c r="AF286" s="302" t="s">
        <v>508</v>
      </c>
      <c r="AG286" s="637">
        <v>0</v>
      </c>
      <c r="AH286" s="645">
        <f t="shared" si="324"/>
        <v>0.66999999999999993</v>
      </c>
      <c r="AI286" s="637">
        <v>0.3</v>
      </c>
      <c r="AJ286" s="302" t="s">
        <v>674</v>
      </c>
      <c r="AK286" s="302" t="s">
        <v>675</v>
      </c>
      <c r="AL286" s="637">
        <v>0.37</v>
      </c>
      <c r="AM286" s="302" t="s">
        <v>508</v>
      </c>
      <c r="AN286" s="302" t="s">
        <v>508</v>
      </c>
      <c r="AO286" s="637">
        <v>0</v>
      </c>
      <c r="AP286" s="645">
        <f t="shared" si="382"/>
        <v>0.66999999999999993</v>
      </c>
      <c r="AQ286" s="637">
        <v>0.3</v>
      </c>
      <c r="AR286" s="302" t="s">
        <v>674</v>
      </c>
      <c r="AS286" s="302" t="s">
        <v>675</v>
      </c>
      <c r="AT286" s="637">
        <v>0.37</v>
      </c>
      <c r="AU286" s="302" t="s">
        <v>508</v>
      </c>
      <c r="AV286" s="302" t="s">
        <v>508</v>
      </c>
      <c r="AW286" s="637">
        <v>0</v>
      </c>
      <c r="AX286" s="645">
        <f t="shared" ref="AX286:AX289" si="388">+AQ286+AT286+AW286</f>
        <v>0.66999999999999993</v>
      </c>
      <c r="AY286" s="637">
        <v>0.48</v>
      </c>
      <c r="AZ286" s="302" t="s">
        <v>674</v>
      </c>
      <c r="BA286" s="302" t="s">
        <v>675</v>
      </c>
      <c r="BB286" s="637">
        <v>0.27</v>
      </c>
      <c r="BC286" s="302" t="s">
        <v>508</v>
      </c>
      <c r="BD286" s="302" t="s">
        <v>508</v>
      </c>
      <c r="BE286" s="637">
        <v>0</v>
      </c>
      <c r="BF286" s="434">
        <f t="shared" ref="BF286:BF289" si="389">+AY286+BB286+BE286</f>
        <v>0.75</v>
      </c>
      <c r="BG286" s="587">
        <v>0.64</v>
      </c>
      <c r="BH286" s="302" t="s">
        <v>674</v>
      </c>
      <c r="BI286" s="302" t="s">
        <v>675</v>
      </c>
      <c r="BJ286" s="434">
        <v>0.36</v>
      </c>
      <c r="BK286" s="302" t="s">
        <v>508</v>
      </c>
      <c r="BL286" s="302" t="s">
        <v>508</v>
      </c>
      <c r="BM286" s="434">
        <v>0</v>
      </c>
      <c r="BN286" s="645">
        <f t="shared" ref="BN286:BN289" si="390">+BG286+BJ286+BM286</f>
        <v>1</v>
      </c>
      <c r="BO286" s="434"/>
      <c r="BP286" s="434">
        <v>0.3</v>
      </c>
      <c r="BQ286" s="302" t="s">
        <v>674</v>
      </c>
      <c r="BR286" s="302" t="s">
        <v>675</v>
      </c>
      <c r="BS286" s="434">
        <v>0.37</v>
      </c>
      <c r="BT286" s="302" t="s">
        <v>508</v>
      </c>
      <c r="BU286" s="302" t="s">
        <v>508</v>
      </c>
      <c r="BV286" s="434">
        <v>0</v>
      </c>
      <c r="BW286" s="645">
        <f t="shared" ref="BW286:BW289" si="391">+BP286+BS286+BV286</f>
        <v>0.66999999999999993</v>
      </c>
      <c r="BX286" s="434">
        <v>0.3</v>
      </c>
      <c r="BY286" s="302" t="s">
        <v>674</v>
      </c>
      <c r="BZ286" s="302" t="s">
        <v>675</v>
      </c>
      <c r="CA286" s="434">
        <v>0.2</v>
      </c>
      <c r="CB286" s="302" t="s">
        <v>508</v>
      </c>
      <c r="CC286" s="302" t="s">
        <v>508</v>
      </c>
      <c r="CD286" s="434">
        <v>0</v>
      </c>
      <c r="CE286" s="434">
        <f t="shared" ref="CE286:CE289" si="392">+BX286+CA286+CD286</f>
        <v>0.5</v>
      </c>
      <c r="CF286" s="1620" t="s">
        <v>1166</v>
      </c>
      <c r="CG286" s="1620" t="s">
        <v>1166</v>
      </c>
      <c r="CH286" s="1620" t="s">
        <v>1166</v>
      </c>
      <c r="CI286" s="408" t="s">
        <v>862</v>
      </c>
      <c r="CJ286" s="642">
        <v>0.73599999999999999</v>
      </c>
      <c r="CK286" s="591" t="s">
        <v>922</v>
      </c>
      <c r="CL286" s="302" t="s">
        <v>674</v>
      </c>
      <c r="CM286" s="302" t="s">
        <v>675</v>
      </c>
      <c r="CN286" s="637">
        <v>0.2</v>
      </c>
      <c r="CO286" s="302" t="s">
        <v>508</v>
      </c>
      <c r="CP286" s="302" t="s">
        <v>508</v>
      </c>
      <c r="CQ286" s="637">
        <v>0</v>
      </c>
    </row>
    <row r="287" spans="1:98" ht="15.75" customHeight="1" x14ac:dyDescent="0.2">
      <c r="A287" s="661" t="s">
        <v>2336</v>
      </c>
      <c r="B287" s="440" t="s">
        <v>2337</v>
      </c>
      <c r="C287" s="637">
        <v>0.49</v>
      </c>
      <c r="D287" s="440" t="s">
        <v>508</v>
      </c>
      <c r="E287" s="440" t="s">
        <v>509</v>
      </c>
      <c r="F287" s="637">
        <v>0</v>
      </c>
      <c r="G287" s="440" t="s">
        <v>2673</v>
      </c>
      <c r="H287" s="440" t="s">
        <v>2683</v>
      </c>
      <c r="I287" s="637">
        <v>0.01</v>
      </c>
      <c r="J287" s="662">
        <f t="shared" si="356"/>
        <v>0.5</v>
      </c>
      <c r="K287" s="637">
        <v>0.49</v>
      </c>
      <c r="L287" s="440" t="s">
        <v>508</v>
      </c>
      <c r="M287" s="440" t="s">
        <v>509</v>
      </c>
      <c r="N287" s="637">
        <v>0</v>
      </c>
      <c r="O287" s="440" t="s">
        <v>2673</v>
      </c>
      <c r="P287" s="440" t="s">
        <v>2683</v>
      </c>
      <c r="Q287" s="637">
        <v>0.01</v>
      </c>
      <c r="R287" s="662">
        <f t="shared" si="319"/>
        <v>0.5</v>
      </c>
      <c r="S287" s="711">
        <v>0.49</v>
      </c>
      <c r="T287" s="712" t="s">
        <v>508</v>
      </c>
      <c r="U287" s="712" t="s">
        <v>509</v>
      </c>
      <c r="V287" s="711">
        <v>0</v>
      </c>
      <c r="W287" s="712" t="s">
        <v>2673</v>
      </c>
      <c r="X287" s="712" t="s">
        <v>2683</v>
      </c>
      <c r="Y287" s="711">
        <v>0.01</v>
      </c>
      <c r="Z287" s="713">
        <f t="shared" si="330"/>
        <v>0.5</v>
      </c>
      <c r="AA287" s="711">
        <v>0.5</v>
      </c>
      <c r="AB287" s="712" t="s">
        <v>509</v>
      </c>
      <c r="AC287" s="712" t="s">
        <v>508</v>
      </c>
      <c r="AD287" s="711">
        <v>0</v>
      </c>
      <c r="AE287" s="712" t="s">
        <v>508</v>
      </c>
      <c r="AF287" s="712" t="s">
        <v>546</v>
      </c>
      <c r="AG287" s="711">
        <v>0</v>
      </c>
      <c r="AH287" s="713">
        <f t="shared" si="324"/>
        <v>0.5</v>
      </c>
      <c r="AI287" s="711">
        <v>0.5</v>
      </c>
      <c r="AJ287" s="712" t="s">
        <v>509</v>
      </c>
      <c r="AK287" s="712" t="s">
        <v>508</v>
      </c>
      <c r="AL287" s="711">
        <v>0</v>
      </c>
      <c r="AM287" s="712" t="s">
        <v>508</v>
      </c>
      <c r="AN287" s="712" t="s">
        <v>546</v>
      </c>
      <c r="AO287" s="711">
        <v>0</v>
      </c>
      <c r="AP287" s="713">
        <f t="shared" si="382"/>
        <v>0.5</v>
      </c>
      <c r="AQ287" s="711">
        <v>0.5</v>
      </c>
      <c r="AR287" s="712" t="s">
        <v>509</v>
      </c>
      <c r="AS287" s="712" t="s">
        <v>508</v>
      </c>
      <c r="AT287" s="711">
        <v>0</v>
      </c>
      <c r="AU287" s="712" t="s">
        <v>508</v>
      </c>
      <c r="AV287" s="712" t="s">
        <v>546</v>
      </c>
      <c r="AW287" s="711">
        <v>0</v>
      </c>
      <c r="AX287" s="713">
        <f t="shared" si="388"/>
        <v>0.5</v>
      </c>
      <c r="AY287" s="711">
        <v>0.5</v>
      </c>
      <c r="AZ287" s="712" t="s">
        <v>509</v>
      </c>
      <c r="BA287" s="712" t="s">
        <v>508</v>
      </c>
      <c r="BB287" s="711">
        <v>0</v>
      </c>
      <c r="BC287" s="712" t="s">
        <v>508</v>
      </c>
      <c r="BD287" s="712" t="s">
        <v>546</v>
      </c>
      <c r="BE287" s="711">
        <v>0</v>
      </c>
      <c r="BF287" s="713">
        <f t="shared" si="389"/>
        <v>0.5</v>
      </c>
      <c r="BG287" s="711">
        <v>0.5</v>
      </c>
      <c r="BH287" s="712" t="s">
        <v>509</v>
      </c>
      <c r="BI287" s="712" t="s">
        <v>508</v>
      </c>
      <c r="BJ287" s="711">
        <v>0</v>
      </c>
      <c r="BK287" s="712" t="s">
        <v>508</v>
      </c>
      <c r="BL287" s="712" t="s">
        <v>546</v>
      </c>
      <c r="BM287" s="711">
        <v>0</v>
      </c>
      <c r="BN287" s="713">
        <f t="shared" si="390"/>
        <v>0.5</v>
      </c>
      <c r="BO287" s="434"/>
      <c r="BP287" s="711">
        <v>0.5</v>
      </c>
      <c r="BQ287" s="712" t="s">
        <v>509</v>
      </c>
      <c r="BR287" s="712" t="s">
        <v>508</v>
      </c>
      <c r="BS287" s="711">
        <v>0</v>
      </c>
      <c r="BT287" s="712" t="s">
        <v>508</v>
      </c>
      <c r="BU287" s="712" t="s">
        <v>546</v>
      </c>
      <c r="BV287" s="711">
        <v>0</v>
      </c>
      <c r="BW287" s="713">
        <f t="shared" si="391"/>
        <v>0.5</v>
      </c>
      <c r="BX287" s="711">
        <v>0.5</v>
      </c>
      <c r="BY287" s="712" t="s">
        <v>509</v>
      </c>
      <c r="BZ287" s="712" t="s">
        <v>508</v>
      </c>
      <c r="CA287" s="711">
        <v>0</v>
      </c>
      <c r="CB287" s="712" t="s">
        <v>508</v>
      </c>
      <c r="CC287" s="712" t="s">
        <v>546</v>
      </c>
      <c r="CD287" s="711">
        <v>0</v>
      </c>
      <c r="CE287" s="713">
        <f t="shared" si="392"/>
        <v>0.5</v>
      </c>
      <c r="CF287" s="1620" t="s">
        <v>1166</v>
      </c>
      <c r="CG287" s="1620" t="s">
        <v>1166</v>
      </c>
      <c r="CH287" s="1620" t="s">
        <v>1166</v>
      </c>
      <c r="CI287" s="408" t="s">
        <v>862</v>
      </c>
      <c r="CJ287" s="642">
        <v>0.64</v>
      </c>
      <c r="CK287" s="591" t="s">
        <v>922</v>
      </c>
      <c r="CL287" s="302" t="s">
        <v>508</v>
      </c>
      <c r="CM287" s="302" t="s">
        <v>509</v>
      </c>
      <c r="CN287" s="637">
        <v>0</v>
      </c>
      <c r="CO287" s="302" t="s">
        <v>508</v>
      </c>
      <c r="CP287" s="302" t="s">
        <v>546</v>
      </c>
      <c r="CQ287" s="637">
        <v>0</v>
      </c>
    </row>
    <row r="288" spans="1:98" ht="15.75" customHeight="1" x14ac:dyDescent="0.2">
      <c r="A288" s="661" t="s">
        <v>456</v>
      </c>
      <c r="B288" s="440" t="s">
        <v>455</v>
      </c>
      <c r="C288" s="637">
        <v>0.99</v>
      </c>
      <c r="D288" s="440" t="s">
        <v>508</v>
      </c>
      <c r="E288" s="440" t="s">
        <v>660</v>
      </c>
      <c r="F288" s="637">
        <v>0</v>
      </c>
      <c r="G288" s="440" t="s">
        <v>1281</v>
      </c>
      <c r="H288" s="440" t="s">
        <v>1199</v>
      </c>
      <c r="I288" s="637">
        <v>0.01</v>
      </c>
      <c r="J288" s="662">
        <f t="shared" si="356"/>
        <v>1</v>
      </c>
      <c r="K288" s="637">
        <v>0.99</v>
      </c>
      <c r="L288" s="440" t="s">
        <v>508</v>
      </c>
      <c r="M288" s="440" t="s">
        <v>660</v>
      </c>
      <c r="N288" s="637">
        <v>0</v>
      </c>
      <c r="O288" s="440" t="s">
        <v>1281</v>
      </c>
      <c r="P288" s="440" t="s">
        <v>1199</v>
      </c>
      <c r="Q288" s="637">
        <v>0.01</v>
      </c>
      <c r="R288" s="662">
        <f t="shared" si="319"/>
        <v>1</v>
      </c>
      <c r="S288" s="637">
        <v>0.99</v>
      </c>
      <c r="T288" s="302" t="s">
        <v>508</v>
      </c>
      <c r="U288" s="302" t="s">
        <v>660</v>
      </c>
      <c r="V288" s="637">
        <v>0</v>
      </c>
      <c r="W288" s="302" t="s">
        <v>1281</v>
      </c>
      <c r="X288" s="302" t="s">
        <v>1199</v>
      </c>
      <c r="Y288" s="637">
        <v>0.01</v>
      </c>
      <c r="Z288" s="645">
        <f t="shared" si="330"/>
        <v>1</v>
      </c>
      <c r="AA288" s="637">
        <v>0.99</v>
      </c>
      <c r="AB288" s="302" t="s">
        <v>508</v>
      </c>
      <c r="AC288" s="302" t="s">
        <v>660</v>
      </c>
      <c r="AD288" s="637">
        <v>0</v>
      </c>
      <c r="AE288" s="302" t="s">
        <v>1281</v>
      </c>
      <c r="AF288" s="302" t="s">
        <v>1199</v>
      </c>
      <c r="AG288" s="637">
        <v>0.01</v>
      </c>
      <c r="AH288" s="645">
        <f t="shared" si="324"/>
        <v>1</v>
      </c>
      <c r="AI288" s="637">
        <v>0.99</v>
      </c>
      <c r="AJ288" s="302" t="s">
        <v>508</v>
      </c>
      <c r="AK288" s="302" t="s">
        <v>660</v>
      </c>
      <c r="AL288" s="637">
        <v>0</v>
      </c>
      <c r="AM288" s="302" t="s">
        <v>1281</v>
      </c>
      <c r="AN288" s="302" t="s">
        <v>1199</v>
      </c>
      <c r="AO288" s="637">
        <v>0.01</v>
      </c>
      <c r="AP288" s="645">
        <f t="shared" si="382"/>
        <v>1</v>
      </c>
      <c r="AQ288" s="637">
        <v>0.99</v>
      </c>
      <c r="AR288" s="302" t="s">
        <v>508</v>
      </c>
      <c r="AS288" s="302" t="s">
        <v>660</v>
      </c>
      <c r="AT288" s="637">
        <v>0</v>
      </c>
      <c r="AU288" s="302" t="s">
        <v>1281</v>
      </c>
      <c r="AV288" s="302" t="s">
        <v>1199</v>
      </c>
      <c r="AW288" s="637">
        <v>0.01</v>
      </c>
      <c r="AX288" s="645">
        <f t="shared" si="388"/>
        <v>1</v>
      </c>
      <c r="AY288" s="637">
        <v>0.99</v>
      </c>
      <c r="AZ288" s="302" t="s">
        <v>508</v>
      </c>
      <c r="BA288" s="302" t="s">
        <v>660</v>
      </c>
      <c r="BB288" s="637">
        <v>0</v>
      </c>
      <c r="BC288" s="302" t="s">
        <v>661</v>
      </c>
      <c r="BD288" s="302" t="s">
        <v>1199</v>
      </c>
      <c r="BE288" s="637">
        <v>0.01</v>
      </c>
      <c r="BF288" s="434">
        <f t="shared" si="389"/>
        <v>1</v>
      </c>
      <c r="BG288" s="587">
        <v>0.99</v>
      </c>
      <c r="BH288" s="302" t="s">
        <v>508</v>
      </c>
      <c r="BI288" s="302" t="s">
        <v>660</v>
      </c>
      <c r="BJ288" s="434">
        <v>0</v>
      </c>
      <c r="BK288" s="302" t="s">
        <v>661</v>
      </c>
      <c r="BL288" s="302" t="s">
        <v>662</v>
      </c>
      <c r="BM288" s="434">
        <v>0.01</v>
      </c>
      <c r="BN288" s="645">
        <f t="shared" si="390"/>
        <v>1</v>
      </c>
      <c r="BO288" s="434"/>
      <c r="BP288" s="434">
        <v>0.99</v>
      </c>
      <c r="BQ288" s="302" t="s">
        <v>508</v>
      </c>
      <c r="BR288" s="302" t="s">
        <v>660</v>
      </c>
      <c r="BS288" s="434">
        <v>0</v>
      </c>
      <c r="BT288" s="302" t="s">
        <v>661</v>
      </c>
      <c r="BU288" s="302" t="s">
        <v>662</v>
      </c>
      <c r="BV288" s="434">
        <v>0.01</v>
      </c>
      <c r="BW288" s="645">
        <f t="shared" si="391"/>
        <v>1</v>
      </c>
      <c r="BX288" s="434">
        <v>0.49</v>
      </c>
      <c r="BY288" s="302" t="s">
        <v>508</v>
      </c>
      <c r="BZ288" s="302" t="s">
        <v>660</v>
      </c>
      <c r="CA288" s="434">
        <v>0</v>
      </c>
      <c r="CB288" s="302" t="s">
        <v>661</v>
      </c>
      <c r="CC288" s="302" t="s">
        <v>662</v>
      </c>
      <c r="CD288" s="434">
        <v>0.01</v>
      </c>
      <c r="CE288" s="434">
        <f t="shared" si="392"/>
        <v>0.5</v>
      </c>
      <c r="CF288" s="1620" t="s">
        <v>1166</v>
      </c>
      <c r="CG288" s="1620" t="s">
        <v>1166</v>
      </c>
      <c r="CH288" s="1620" t="s">
        <v>1166</v>
      </c>
      <c r="CI288" s="408" t="s">
        <v>862</v>
      </c>
      <c r="CJ288" s="642">
        <v>0.66500000000000004</v>
      </c>
      <c r="CK288" s="591" t="s">
        <v>922</v>
      </c>
      <c r="CL288" s="302" t="s">
        <v>508</v>
      </c>
      <c r="CM288" s="302" t="s">
        <v>660</v>
      </c>
      <c r="CN288" s="637">
        <v>0</v>
      </c>
      <c r="CO288" s="302" t="s">
        <v>661</v>
      </c>
      <c r="CP288" s="302" t="s">
        <v>662</v>
      </c>
      <c r="CQ288" s="637">
        <v>0.01</v>
      </c>
    </row>
    <row r="289" spans="1:95" ht="15.75" customHeight="1" x14ac:dyDescent="0.2">
      <c r="A289" s="661" t="s">
        <v>458</v>
      </c>
      <c r="B289" s="440" t="s">
        <v>457</v>
      </c>
      <c r="C289" s="637">
        <v>0.49</v>
      </c>
      <c r="D289" s="440" t="s">
        <v>508</v>
      </c>
      <c r="E289" s="440" t="s">
        <v>509</v>
      </c>
      <c r="F289" s="637">
        <v>0</v>
      </c>
      <c r="G289" s="440" t="s">
        <v>1282</v>
      </c>
      <c r="H289" s="440" t="s">
        <v>1283</v>
      </c>
      <c r="I289" s="637">
        <v>0.01</v>
      </c>
      <c r="J289" s="662">
        <f t="shared" si="356"/>
        <v>0.5</v>
      </c>
      <c r="K289" s="637">
        <v>0.49</v>
      </c>
      <c r="L289" s="440" t="s">
        <v>508</v>
      </c>
      <c r="M289" s="440" t="s">
        <v>509</v>
      </c>
      <c r="N289" s="637">
        <v>0</v>
      </c>
      <c r="O289" s="440" t="s">
        <v>1282</v>
      </c>
      <c r="P289" s="440" t="s">
        <v>1283</v>
      </c>
      <c r="Q289" s="637">
        <v>0.01</v>
      </c>
      <c r="R289" s="662">
        <f t="shared" si="319"/>
        <v>0.5</v>
      </c>
      <c r="S289" s="637">
        <v>0.49</v>
      </c>
      <c r="T289" s="302" t="s">
        <v>508</v>
      </c>
      <c r="U289" s="302" t="s">
        <v>509</v>
      </c>
      <c r="V289" s="637">
        <v>0</v>
      </c>
      <c r="W289" s="302" t="s">
        <v>1282</v>
      </c>
      <c r="X289" s="302" t="s">
        <v>1283</v>
      </c>
      <c r="Y289" s="637">
        <v>0.01</v>
      </c>
      <c r="Z289" s="645">
        <f t="shared" si="330"/>
        <v>0.5</v>
      </c>
      <c r="AA289" s="637">
        <v>0.49</v>
      </c>
      <c r="AB289" s="302" t="s">
        <v>508</v>
      </c>
      <c r="AC289" s="302" t="s">
        <v>509</v>
      </c>
      <c r="AD289" s="637">
        <v>0</v>
      </c>
      <c r="AE289" s="302" t="s">
        <v>1282</v>
      </c>
      <c r="AF289" s="302" t="s">
        <v>1283</v>
      </c>
      <c r="AG289" s="637">
        <v>0.01</v>
      </c>
      <c r="AH289" s="645">
        <f t="shared" si="324"/>
        <v>0.5</v>
      </c>
      <c r="AI289" s="637">
        <v>0.49</v>
      </c>
      <c r="AJ289" s="302" t="s">
        <v>508</v>
      </c>
      <c r="AK289" s="302" t="s">
        <v>509</v>
      </c>
      <c r="AL289" s="637">
        <v>0</v>
      </c>
      <c r="AM289" s="302" t="s">
        <v>1282</v>
      </c>
      <c r="AN289" s="302" t="s">
        <v>1283</v>
      </c>
      <c r="AO289" s="637">
        <v>0.01</v>
      </c>
      <c r="AP289" s="645">
        <f t="shared" si="382"/>
        <v>0.5</v>
      </c>
      <c r="AQ289" s="637">
        <v>0.49</v>
      </c>
      <c r="AR289" s="302" t="s">
        <v>508</v>
      </c>
      <c r="AS289" s="302" t="s">
        <v>509</v>
      </c>
      <c r="AT289" s="637">
        <v>0</v>
      </c>
      <c r="AU289" s="302" t="s">
        <v>1282</v>
      </c>
      <c r="AV289" s="302" t="s">
        <v>1283</v>
      </c>
      <c r="AW289" s="637">
        <v>0.01</v>
      </c>
      <c r="AX289" s="645">
        <f t="shared" si="388"/>
        <v>0.5</v>
      </c>
      <c r="AY289" s="637">
        <v>0.49</v>
      </c>
      <c r="AZ289" s="302" t="s">
        <v>508</v>
      </c>
      <c r="BA289" s="302" t="s">
        <v>509</v>
      </c>
      <c r="BB289" s="637">
        <v>0</v>
      </c>
      <c r="BC289" s="302" t="s">
        <v>658</v>
      </c>
      <c r="BD289" s="302" t="s">
        <v>659</v>
      </c>
      <c r="BE289" s="637">
        <v>0.01</v>
      </c>
      <c r="BF289" s="434">
        <f t="shared" si="389"/>
        <v>0.5</v>
      </c>
      <c r="BG289" s="587">
        <v>0.49</v>
      </c>
      <c r="BH289" s="302" t="s">
        <v>508</v>
      </c>
      <c r="BI289" s="302" t="s">
        <v>509</v>
      </c>
      <c r="BJ289" s="434">
        <v>0</v>
      </c>
      <c r="BK289" s="302" t="s">
        <v>658</v>
      </c>
      <c r="BL289" s="302" t="s">
        <v>659</v>
      </c>
      <c r="BM289" s="434">
        <v>0.01</v>
      </c>
      <c r="BN289" s="645">
        <f t="shared" si="390"/>
        <v>0.5</v>
      </c>
      <c r="BO289" s="434"/>
      <c r="BP289" s="434">
        <v>0.49</v>
      </c>
      <c r="BQ289" s="302" t="s">
        <v>508</v>
      </c>
      <c r="BR289" s="302" t="s">
        <v>509</v>
      </c>
      <c r="BS289" s="434">
        <v>0</v>
      </c>
      <c r="BT289" s="302" t="s">
        <v>658</v>
      </c>
      <c r="BU289" s="302" t="s">
        <v>659</v>
      </c>
      <c r="BV289" s="434">
        <v>0.01</v>
      </c>
      <c r="BW289" s="645">
        <f t="shared" si="391"/>
        <v>0.5</v>
      </c>
      <c r="BX289" s="434">
        <v>0.49</v>
      </c>
      <c r="BY289" s="302" t="s">
        <v>508</v>
      </c>
      <c r="BZ289" s="302" t="s">
        <v>509</v>
      </c>
      <c r="CA289" s="434">
        <v>0</v>
      </c>
      <c r="CB289" s="302" t="s">
        <v>658</v>
      </c>
      <c r="CC289" s="302" t="s">
        <v>659</v>
      </c>
      <c r="CD289" s="434">
        <v>0.01</v>
      </c>
      <c r="CE289" s="434">
        <f t="shared" si="392"/>
        <v>0.5</v>
      </c>
      <c r="CF289" s="1620" t="s">
        <v>1166</v>
      </c>
      <c r="CG289" s="1620" t="s">
        <v>1166</v>
      </c>
      <c r="CH289" s="1620" t="s">
        <v>1166</v>
      </c>
      <c r="CI289" s="408" t="s">
        <v>862</v>
      </c>
      <c r="CJ289" s="642">
        <v>0.68500000000000005</v>
      </c>
      <c r="CK289" s="591" t="s">
        <v>922</v>
      </c>
      <c r="CL289" s="302" t="s">
        <v>508</v>
      </c>
      <c r="CM289" s="302" t="s">
        <v>509</v>
      </c>
      <c r="CN289" s="637">
        <v>0</v>
      </c>
      <c r="CO289" s="302" t="s">
        <v>658</v>
      </c>
      <c r="CP289" s="302" t="s">
        <v>659</v>
      </c>
      <c r="CQ289" s="637">
        <v>0.01</v>
      </c>
    </row>
    <row r="290" spans="1:95" ht="15.75" customHeight="1" x14ac:dyDescent="0.2">
      <c r="A290" s="661" t="s">
        <v>460</v>
      </c>
      <c r="B290" s="440" t="s">
        <v>459</v>
      </c>
      <c r="C290" s="637">
        <v>0.4</v>
      </c>
      <c r="D290" s="440" t="s">
        <v>583</v>
      </c>
      <c r="E290" s="440" t="s">
        <v>584</v>
      </c>
      <c r="F290" s="637">
        <v>0.09</v>
      </c>
      <c r="G290" s="440" t="s">
        <v>2218</v>
      </c>
      <c r="H290" s="440" t="s">
        <v>2219</v>
      </c>
      <c r="I290" s="637">
        <v>0.01</v>
      </c>
      <c r="J290" s="662">
        <f t="shared" si="356"/>
        <v>0.5</v>
      </c>
      <c r="K290" s="637">
        <v>0.4</v>
      </c>
      <c r="L290" s="440" t="s">
        <v>583</v>
      </c>
      <c r="M290" s="440" t="s">
        <v>584</v>
      </c>
      <c r="N290" s="637">
        <v>0.09</v>
      </c>
      <c r="O290" s="440" t="s">
        <v>2218</v>
      </c>
      <c r="P290" s="440" t="s">
        <v>2219</v>
      </c>
      <c r="Q290" s="637">
        <v>0.01</v>
      </c>
      <c r="R290" s="662">
        <f t="shared" si="319"/>
        <v>0.5</v>
      </c>
      <c r="S290" s="637">
        <v>0.4</v>
      </c>
      <c r="T290" s="302" t="s">
        <v>583</v>
      </c>
      <c r="U290" s="302" t="s">
        <v>584</v>
      </c>
      <c r="V290" s="637">
        <v>0.09</v>
      </c>
      <c r="W290" s="302" t="s">
        <v>2218</v>
      </c>
      <c r="X290" s="302" t="s">
        <v>2219</v>
      </c>
      <c r="Y290" s="637">
        <v>0.01</v>
      </c>
      <c r="Z290" s="645">
        <f t="shared" si="330"/>
        <v>0.5</v>
      </c>
      <c r="AA290" s="637">
        <v>0.4</v>
      </c>
      <c r="AB290" s="302" t="s">
        <v>583</v>
      </c>
      <c r="AC290" s="302" t="s">
        <v>584</v>
      </c>
      <c r="AD290" s="637">
        <v>0.09</v>
      </c>
      <c r="AE290" s="302" t="s">
        <v>2218</v>
      </c>
      <c r="AF290" s="302" t="s">
        <v>2219</v>
      </c>
      <c r="AG290" s="637">
        <v>0.01</v>
      </c>
      <c r="AH290" s="645">
        <f t="shared" si="324"/>
        <v>0.5</v>
      </c>
      <c r="AI290" s="637">
        <v>0.4</v>
      </c>
      <c r="AJ290" s="302" t="s">
        <v>583</v>
      </c>
      <c r="AK290" s="302" t="s">
        <v>584</v>
      </c>
      <c r="AL290" s="637">
        <v>0.09</v>
      </c>
      <c r="AM290" s="302" t="s">
        <v>2218</v>
      </c>
      <c r="AN290" s="302" t="s">
        <v>2219</v>
      </c>
      <c r="AO290" s="637">
        <v>0.01</v>
      </c>
      <c r="AP290" s="645">
        <f t="shared" ref="AP290:AP295" si="393">+AI290+AL290+AO290</f>
        <v>0.5</v>
      </c>
      <c r="AQ290" s="637">
        <v>0.4</v>
      </c>
      <c r="AR290" s="302" t="s">
        <v>583</v>
      </c>
      <c r="AS290" s="302" t="s">
        <v>584</v>
      </c>
      <c r="AT290" s="637">
        <v>0.09</v>
      </c>
      <c r="AU290" s="302" t="s">
        <v>580</v>
      </c>
      <c r="AV290" s="302" t="s">
        <v>1293</v>
      </c>
      <c r="AW290" s="637">
        <v>0.01</v>
      </c>
      <c r="AX290" s="645">
        <f t="shared" ref="AX290:AX293" si="394">+AQ290+AT290+AW290</f>
        <v>0.5</v>
      </c>
      <c r="AY290" s="637">
        <v>0.4</v>
      </c>
      <c r="AZ290" s="302" t="s">
        <v>583</v>
      </c>
      <c r="BA290" s="302" t="s">
        <v>584</v>
      </c>
      <c r="BB290" s="637">
        <v>0.09</v>
      </c>
      <c r="BC290" s="302" t="s">
        <v>580</v>
      </c>
      <c r="BD290" s="302" t="s">
        <v>581</v>
      </c>
      <c r="BE290" s="637">
        <v>0.01</v>
      </c>
      <c r="BF290" s="434">
        <f t="shared" ref="BF290:BF293" si="395">+AY290+BB290+BE290</f>
        <v>0.5</v>
      </c>
      <c r="BG290" s="587">
        <v>0.4</v>
      </c>
      <c r="BH290" s="302" t="s">
        <v>583</v>
      </c>
      <c r="BI290" s="302" t="s">
        <v>584</v>
      </c>
      <c r="BJ290" s="434">
        <v>0.09</v>
      </c>
      <c r="BK290" s="302" t="s">
        <v>580</v>
      </c>
      <c r="BL290" s="302" t="s">
        <v>581</v>
      </c>
      <c r="BM290" s="434">
        <v>0.01</v>
      </c>
      <c r="BN290" s="645">
        <f t="shared" ref="BN290:BN293" si="396">+BG290+BJ290+BM290</f>
        <v>0.5</v>
      </c>
      <c r="BO290" s="434"/>
      <c r="BP290" s="434">
        <v>0.4</v>
      </c>
      <c r="BQ290" s="302" t="s">
        <v>583</v>
      </c>
      <c r="BR290" s="302" t="s">
        <v>584</v>
      </c>
      <c r="BS290" s="434">
        <v>0.09</v>
      </c>
      <c r="BT290" s="302" t="s">
        <v>580</v>
      </c>
      <c r="BU290" s="302" t="s">
        <v>581</v>
      </c>
      <c r="BV290" s="434">
        <v>0.01</v>
      </c>
      <c r="BW290" s="645">
        <f t="shared" ref="BW290:BW293" si="397">+BP290+BS290+BV290</f>
        <v>0.5</v>
      </c>
      <c r="BX290" s="434">
        <v>0.4</v>
      </c>
      <c r="BY290" s="302" t="s">
        <v>583</v>
      </c>
      <c r="BZ290" s="302" t="s">
        <v>584</v>
      </c>
      <c r="CA290" s="434">
        <v>0.09</v>
      </c>
      <c r="CB290" s="302" t="s">
        <v>580</v>
      </c>
      <c r="CC290" s="302" t="s">
        <v>581</v>
      </c>
      <c r="CD290" s="434">
        <v>0.01</v>
      </c>
      <c r="CE290" s="434">
        <f t="shared" ref="CE290:CE293" si="398">+BX290+CA290+CD290</f>
        <v>0.5</v>
      </c>
      <c r="CF290" s="1620" t="s">
        <v>1166</v>
      </c>
      <c r="CG290" s="1620" t="s">
        <v>1166</v>
      </c>
      <c r="CH290" s="1620" t="s">
        <v>1166</v>
      </c>
      <c r="CI290" s="406"/>
      <c r="CJ290" s="642">
        <v>0.70699999999999996</v>
      </c>
      <c r="CK290" s="591" t="s">
        <v>922</v>
      </c>
      <c r="CL290" s="302" t="s">
        <v>583</v>
      </c>
      <c r="CM290" s="302" t="s">
        <v>584</v>
      </c>
      <c r="CN290" s="637">
        <v>0.59</v>
      </c>
      <c r="CO290" s="302" t="s">
        <v>580</v>
      </c>
      <c r="CP290" s="302" t="s">
        <v>581</v>
      </c>
      <c r="CQ290" s="637">
        <v>0.01</v>
      </c>
    </row>
    <row r="291" spans="1:95" ht="15.75" customHeight="1" x14ac:dyDescent="0.2">
      <c r="A291" s="661" t="s">
        <v>462</v>
      </c>
      <c r="B291" s="440" t="s">
        <v>524</v>
      </c>
      <c r="C291" s="637">
        <v>0.49</v>
      </c>
      <c r="D291" s="440" t="s">
        <v>508</v>
      </c>
      <c r="E291" s="440" t="s">
        <v>509</v>
      </c>
      <c r="F291" s="637">
        <v>0</v>
      </c>
      <c r="G291" s="440" t="s">
        <v>519</v>
      </c>
      <c r="H291" s="440" t="s">
        <v>520</v>
      </c>
      <c r="I291" s="637">
        <v>0.01</v>
      </c>
      <c r="J291" s="662">
        <f t="shared" si="356"/>
        <v>0.5</v>
      </c>
      <c r="K291" s="637">
        <v>0.49</v>
      </c>
      <c r="L291" s="440" t="s">
        <v>508</v>
      </c>
      <c r="M291" s="440" t="s">
        <v>509</v>
      </c>
      <c r="N291" s="637">
        <v>0</v>
      </c>
      <c r="O291" s="440" t="s">
        <v>519</v>
      </c>
      <c r="P291" s="440" t="s">
        <v>520</v>
      </c>
      <c r="Q291" s="637">
        <v>0.01</v>
      </c>
      <c r="R291" s="662">
        <f t="shared" si="319"/>
        <v>0.5</v>
      </c>
      <c r="S291" s="637">
        <v>0.49</v>
      </c>
      <c r="T291" s="302" t="s">
        <v>508</v>
      </c>
      <c r="U291" s="302" t="s">
        <v>509</v>
      </c>
      <c r="V291" s="637">
        <v>0</v>
      </c>
      <c r="W291" s="302" t="s">
        <v>519</v>
      </c>
      <c r="X291" s="302" t="s">
        <v>520</v>
      </c>
      <c r="Y291" s="637">
        <v>0.01</v>
      </c>
      <c r="Z291" s="645">
        <f t="shared" si="330"/>
        <v>0.5</v>
      </c>
      <c r="AA291" s="637">
        <v>0.49</v>
      </c>
      <c r="AB291" s="302" t="s">
        <v>508</v>
      </c>
      <c r="AC291" s="302" t="s">
        <v>509</v>
      </c>
      <c r="AD291" s="637">
        <v>0</v>
      </c>
      <c r="AE291" s="302" t="s">
        <v>519</v>
      </c>
      <c r="AF291" s="302" t="s">
        <v>520</v>
      </c>
      <c r="AG291" s="637">
        <v>0.01</v>
      </c>
      <c r="AH291" s="645">
        <f t="shared" si="324"/>
        <v>0.5</v>
      </c>
      <c r="AI291" s="637">
        <v>0.49</v>
      </c>
      <c r="AJ291" s="302" t="s">
        <v>508</v>
      </c>
      <c r="AK291" s="302" t="s">
        <v>509</v>
      </c>
      <c r="AL291" s="637">
        <v>0</v>
      </c>
      <c r="AM291" s="302" t="s">
        <v>519</v>
      </c>
      <c r="AN291" s="302" t="s">
        <v>520</v>
      </c>
      <c r="AO291" s="637">
        <v>0.01</v>
      </c>
      <c r="AP291" s="645">
        <f t="shared" si="393"/>
        <v>0.5</v>
      </c>
      <c r="AQ291" s="637">
        <v>0.49</v>
      </c>
      <c r="AR291" s="302" t="s">
        <v>508</v>
      </c>
      <c r="AS291" s="302" t="s">
        <v>509</v>
      </c>
      <c r="AT291" s="637">
        <v>0</v>
      </c>
      <c r="AU291" s="302" t="s">
        <v>519</v>
      </c>
      <c r="AV291" s="302" t="s">
        <v>520</v>
      </c>
      <c r="AW291" s="637">
        <v>0.01</v>
      </c>
      <c r="AX291" s="645">
        <f t="shared" si="394"/>
        <v>0.5</v>
      </c>
      <c r="AY291" s="637">
        <v>0.74</v>
      </c>
      <c r="AZ291" s="302" t="s">
        <v>508</v>
      </c>
      <c r="BA291" s="302" t="s">
        <v>509</v>
      </c>
      <c r="BB291" s="637">
        <v>0</v>
      </c>
      <c r="BC291" s="302" t="s">
        <v>519</v>
      </c>
      <c r="BD291" s="302" t="s">
        <v>520</v>
      </c>
      <c r="BE291" s="637">
        <v>0.01</v>
      </c>
      <c r="BF291" s="434">
        <f t="shared" si="395"/>
        <v>0.75</v>
      </c>
      <c r="BG291" s="587">
        <v>0.99</v>
      </c>
      <c r="BH291" s="302" t="s">
        <v>508</v>
      </c>
      <c r="BI291" s="302" t="s">
        <v>509</v>
      </c>
      <c r="BJ291" s="434">
        <v>0</v>
      </c>
      <c r="BK291" s="302" t="s">
        <v>519</v>
      </c>
      <c r="BL291" s="302" t="s">
        <v>520</v>
      </c>
      <c r="BM291" s="434">
        <v>0.01</v>
      </c>
      <c r="BN291" s="645">
        <f t="shared" si="396"/>
        <v>1</v>
      </c>
      <c r="BO291" s="434"/>
      <c r="BP291" s="434">
        <v>0.49</v>
      </c>
      <c r="BQ291" s="302" t="s">
        <v>508</v>
      </c>
      <c r="BR291" s="302" t="s">
        <v>509</v>
      </c>
      <c r="BS291" s="434">
        <v>0</v>
      </c>
      <c r="BT291" s="302" t="s">
        <v>519</v>
      </c>
      <c r="BU291" s="302" t="s">
        <v>520</v>
      </c>
      <c r="BV291" s="434">
        <v>0.01</v>
      </c>
      <c r="BW291" s="645">
        <f t="shared" si="397"/>
        <v>0.5</v>
      </c>
      <c r="BX291" s="434">
        <v>0.49</v>
      </c>
      <c r="BY291" s="302" t="s">
        <v>508</v>
      </c>
      <c r="BZ291" s="302" t="s">
        <v>509</v>
      </c>
      <c r="CA291" s="434">
        <v>0</v>
      </c>
      <c r="CB291" s="302" t="s">
        <v>519</v>
      </c>
      <c r="CC291" s="302" t="s">
        <v>520</v>
      </c>
      <c r="CD291" s="434">
        <v>0.01</v>
      </c>
      <c r="CE291" s="434">
        <f t="shared" si="398"/>
        <v>0.5</v>
      </c>
      <c r="CF291" s="1620" t="s">
        <v>1166</v>
      </c>
      <c r="CG291" s="1620" t="s">
        <v>1166</v>
      </c>
      <c r="CH291" s="1620" t="s">
        <v>1166</v>
      </c>
      <c r="CI291" s="408" t="s">
        <v>862</v>
      </c>
      <c r="CJ291" s="642">
        <v>0.73899999999999999</v>
      </c>
      <c r="CK291" s="591" t="s">
        <v>922</v>
      </c>
      <c r="CL291" s="302" t="s">
        <v>508</v>
      </c>
      <c r="CM291" s="302" t="s">
        <v>509</v>
      </c>
      <c r="CN291" s="637">
        <v>0</v>
      </c>
      <c r="CO291" s="302" t="s">
        <v>519</v>
      </c>
      <c r="CP291" s="302" t="s">
        <v>520</v>
      </c>
      <c r="CQ291" s="637">
        <v>0.01</v>
      </c>
    </row>
    <row r="292" spans="1:95" ht="15" x14ac:dyDescent="0.2">
      <c r="A292" s="661" t="s">
        <v>464</v>
      </c>
      <c r="B292" s="440" t="s">
        <v>463</v>
      </c>
      <c r="C292" s="637">
        <v>0.99</v>
      </c>
      <c r="D292" s="440" t="s">
        <v>508</v>
      </c>
      <c r="E292" s="440" t="s">
        <v>660</v>
      </c>
      <c r="F292" s="637">
        <v>0</v>
      </c>
      <c r="G292" s="440" t="s">
        <v>663</v>
      </c>
      <c r="H292" s="440" t="s">
        <v>664</v>
      </c>
      <c r="I292" s="637">
        <v>0.01</v>
      </c>
      <c r="J292" s="662">
        <f t="shared" si="356"/>
        <v>1</v>
      </c>
      <c r="K292" s="637">
        <v>0.99</v>
      </c>
      <c r="L292" s="440" t="s">
        <v>508</v>
      </c>
      <c r="M292" s="440" t="s">
        <v>660</v>
      </c>
      <c r="N292" s="637">
        <v>0</v>
      </c>
      <c r="O292" s="440" t="s">
        <v>663</v>
      </c>
      <c r="P292" s="440" t="s">
        <v>664</v>
      </c>
      <c r="Q292" s="637">
        <v>0.01</v>
      </c>
      <c r="R292" s="662">
        <f t="shared" si="319"/>
        <v>1</v>
      </c>
      <c r="S292" s="637">
        <v>0.99</v>
      </c>
      <c r="T292" s="302" t="s">
        <v>508</v>
      </c>
      <c r="U292" s="302" t="s">
        <v>660</v>
      </c>
      <c r="V292" s="637">
        <v>0</v>
      </c>
      <c r="W292" s="302" t="s">
        <v>663</v>
      </c>
      <c r="X292" s="302" t="s">
        <v>664</v>
      </c>
      <c r="Y292" s="637">
        <v>0.01</v>
      </c>
      <c r="Z292" s="645">
        <f t="shared" si="330"/>
        <v>1</v>
      </c>
      <c r="AA292" s="637">
        <v>0.99</v>
      </c>
      <c r="AB292" s="302" t="s">
        <v>508</v>
      </c>
      <c r="AC292" s="302" t="s">
        <v>660</v>
      </c>
      <c r="AD292" s="637">
        <v>0</v>
      </c>
      <c r="AE292" s="302" t="s">
        <v>663</v>
      </c>
      <c r="AF292" s="302" t="s">
        <v>664</v>
      </c>
      <c r="AG292" s="637">
        <v>0.01</v>
      </c>
      <c r="AH292" s="645">
        <f t="shared" si="324"/>
        <v>1</v>
      </c>
      <c r="AI292" s="637">
        <v>0.99</v>
      </c>
      <c r="AJ292" s="302" t="s">
        <v>508</v>
      </c>
      <c r="AK292" s="302" t="s">
        <v>660</v>
      </c>
      <c r="AL292" s="637">
        <v>0</v>
      </c>
      <c r="AM292" s="302" t="s">
        <v>663</v>
      </c>
      <c r="AN292" s="302" t="s">
        <v>664</v>
      </c>
      <c r="AO292" s="637">
        <v>0.01</v>
      </c>
      <c r="AP292" s="645">
        <f t="shared" si="393"/>
        <v>1</v>
      </c>
      <c r="AQ292" s="637">
        <v>0.99</v>
      </c>
      <c r="AR292" s="302" t="s">
        <v>508</v>
      </c>
      <c r="AS292" s="302" t="s">
        <v>660</v>
      </c>
      <c r="AT292" s="637">
        <v>0</v>
      </c>
      <c r="AU292" s="302" t="s">
        <v>663</v>
      </c>
      <c r="AV292" s="302" t="s">
        <v>664</v>
      </c>
      <c r="AW292" s="637">
        <v>0.01</v>
      </c>
      <c r="AX292" s="645">
        <f t="shared" si="394"/>
        <v>1</v>
      </c>
      <c r="AY292" s="637">
        <v>0.99</v>
      </c>
      <c r="AZ292" s="302" t="s">
        <v>508</v>
      </c>
      <c r="BA292" s="302" t="s">
        <v>660</v>
      </c>
      <c r="BB292" s="637">
        <v>0</v>
      </c>
      <c r="BC292" s="302" t="s">
        <v>663</v>
      </c>
      <c r="BD292" s="302" t="s">
        <v>664</v>
      </c>
      <c r="BE292" s="637">
        <v>0.01</v>
      </c>
      <c r="BF292" s="434">
        <f t="shared" si="395"/>
        <v>1</v>
      </c>
      <c r="BG292" s="587">
        <v>0.99</v>
      </c>
      <c r="BH292" s="302" t="s">
        <v>508</v>
      </c>
      <c r="BI292" s="302" t="s">
        <v>660</v>
      </c>
      <c r="BJ292" s="434">
        <v>0</v>
      </c>
      <c r="BK292" s="302" t="s">
        <v>663</v>
      </c>
      <c r="BL292" s="302" t="s">
        <v>664</v>
      </c>
      <c r="BM292" s="434">
        <v>0.01</v>
      </c>
      <c r="BN292" s="645">
        <f t="shared" si="396"/>
        <v>1</v>
      </c>
      <c r="BO292" s="434"/>
      <c r="BP292" s="434">
        <v>0.99</v>
      </c>
      <c r="BQ292" s="302" t="s">
        <v>508</v>
      </c>
      <c r="BR292" s="302" t="s">
        <v>660</v>
      </c>
      <c r="BS292" s="434">
        <v>0</v>
      </c>
      <c r="BT292" s="302" t="s">
        <v>663</v>
      </c>
      <c r="BU292" s="302" t="s">
        <v>664</v>
      </c>
      <c r="BV292" s="434">
        <v>0.01</v>
      </c>
      <c r="BW292" s="645">
        <f t="shared" si="397"/>
        <v>1</v>
      </c>
      <c r="BX292" s="434">
        <v>0.49</v>
      </c>
      <c r="BY292" s="302" t="s">
        <v>508</v>
      </c>
      <c r="BZ292" s="302" t="s">
        <v>660</v>
      </c>
      <c r="CA292" s="434">
        <v>0</v>
      </c>
      <c r="CB292" s="302" t="s">
        <v>663</v>
      </c>
      <c r="CC292" s="302" t="s">
        <v>664</v>
      </c>
      <c r="CD292" s="434">
        <v>0.01</v>
      </c>
      <c r="CE292" s="434">
        <f t="shared" si="398"/>
        <v>0.5</v>
      </c>
      <c r="CF292" s="1620" t="s">
        <v>862</v>
      </c>
      <c r="CG292" s="1620" t="s">
        <v>862</v>
      </c>
      <c r="CH292" s="1620" t="s">
        <v>1166</v>
      </c>
      <c r="CI292" s="408" t="s">
        <v>862</v>
      </c>
      <c r="CJ292" s="642">
        <v>0.66600000000000004</v>
      </c>
      <c r="CK292" s="591" t="s">
        <v>922</v>
      </c>
      <c r="CL292" s="302" t="s">
        <v>508</v>
      </c>
      <c r="CM292" s="302" t="s">
        <v>660</v>
      </c>
      <c r="CN292" s="637">
        <v>0</v>
      </c>
      <c r="CO292" s="302" t="s">
        <v>663</v>
      </c>
      <c r="CP292" s="302" t="s">
        <v>664</v>
      </c>
      <c r="CQ292" s="637">
        <v>0.01</v>
      </c>
    </row>
    <row r="293" spans="1:95" ht="15.75" customHeight="1" x14ac:dyDescent="0.2">
      <c r="A293" s="661" t="s">
        <v>466</v>
      </c>
      <c r="B293" s="440" t="s">
        <v>465</v>
      </c>
      <c r="C293" s="637">
        <v>0.4</v>
      </c>
      <c r="D293" s="440" t="s">
        <v>649</v>
      </c>
      <c r="E293" s="440" t="s">
        <v>650</v>
      </c>
      <c r="F293" s="637">
        <v>0.1</v>
      </c>
      <c r="G293" s="440" t="s">
        <v>508</v>
      </c>
      <c r="H293" s="440" t="s">
        <v>546</v>
      </c>
      <c r="I293" s="637">
        <v>0</v>
      </c>
      <c r="J293" s="662">
        <f t="shared" si="356"/>
        <v>0.5</v>
      </c>
      <c r="K293" s="637">
        <v>0.4</v>
      </c>
      <c r="L293" s="440" t="s">
        <v>649</v>
      </c>
      <c r="M293" s="440" t="s">
        <v>650</v>
      </c>
      <c r="N293" s="637">
        <v>0.1</v>
      </c>
      <c r="O293" s="440" t="s">
        <v>508</v>
      </c>
      <c r="P293" s="440" t="s">
        <v>546</v>
      </c>
      <c r="Q293" s="637">
        <v>0</v>
      </c>
      <c r="R293" s="662">
        <f t="shared" si="319"/>
        <v>0.5</v>
      </c>
      <c r="S293" s="637">
        <v>0.4</v>
      </c>
      <c r="T293" s="302" t="s">
        <v>649</v>
      </c>
      <c r="U293" s="302" t="s">
        <v>650</v>
      </c>
      <c r="V293" s="637">
        <v>0.1</v>
      </c>
      <c r="W293" s="302" t="s">
        <v>508</v>
      </c>
      <c r="X293" s="302" t="s">
        <v>546</v>
      </c>
      <c r="Y293" s="637">
        <v>0</v>
      </c>
      <c r="Z293" s="645">
        <f t="shared" si="330"/>
        <v>0.5</v>
      </c>
      <c r="AA293" s="637">
        <v>0.4</v>
      </c>
      <c r="AB293" s="302" t="s">
        <v>649</v>
      </c>
      <c r="AC293" s="302" t="s">
        <v>650</v>
      </c>
      <c r="AD293" s="637">
        <v>0.1</v>
      </c>
      <c r="AE293" s="302" t="s">
        <v>508</v>
      </c>
      <c r="AF293" s="302" t="s">
        <v>546</v>
      </c>
      <c r="AG293" s="637">
        <v>0</v>
      </c>
      <c r="AH293" s="645">
        <f t="shared" si="324"/>
        <v>0.5</v>
      </c>
      <c r="AI293" s="637">
        <v>0.4</v>
      </c>
      <c r="AJ293" s="302" t="s">
        <v>649</v>
      </c>
      <c r="AK293" s="302" t="s">
        <v>650</v>
      </c>
      <c r="AL293" s="637">
        <v>0.1</v>
      </c>
      <c r="AM293" s="302" t="s">
        <v>508</v>
      </c>
      <c r="AN293" s="302" t="s">
        <v>546</v>
      </c>
      <c r="AO293" s="637">
        <v>0</v>
      </c>
      <c r="AP293" s="645">
        <f t="shared" si="393"/>
        <v>0.5</v>
      </c>
      <c r="AQ293" s="637">
        <v>0.4</v>
      </c>
      <c r="AR293" s="302" t="s">
        <v>649</v>
      </c>
      <c r="AS293" s="302" t="s">
        <v>650</v>
      </c>
      <c r="AT293" s="637">
        <v>0.1</v>
      </c>
      <c r="AU293" s="302" t="s">
        <v>508</v>
      </c>
      <c r="AV293" s="302" t="s">
        <v>546</v>
      </c>
      <c r="AW293" s="637">
        <v>0</v>
      </c>
      <c r="AX293" s="645">
        <f t="shared" si="394"/>
        <v>0.5</v>
      </c>
      <c r="AY293" s="637">
        <v>0.4</v>
      </c>
      <c r="AZ293" s="302" t="s">
        <v>649</v>
      </c>
      <c r="BA293" s="302" t="s">
        <v>650</v>
      </c>
      <c r="BB293" s="637">
        <v>0.1</v>
      </c>
      <c r="BC293" s="302" t="s">
        <v>508</v>
      </c>
      <c r="BD293" s="302" t="s">
        <v>546</v>
      </c>
      <c r="BE293" s="637">
        <v>0</v>
      </c>
      <c r="BF293" s="434">
        <f t="shared" si="395"/>
        <v>0.5</v>
      </c>
      <c r="BG293" s="587">
        <v>0.3</v>
      </c>
      <c r="BH293" s="302" t="s">
        <v>649</v>
      </c>
      <c r="BI293" s="302" t="s">
        <v>650</v>
      </c>
      <c r="BJ293" s="434">
        <v>0.7</v>
      </c>
      <c r="BK293" s="302" t="s">
        <v>508</v>
      </c>
      <c r="BL293" s="302" t="s">
        <v>546</v>
      </c>
      <c r="BM293" s="434">
        <v>0</v>
      </c>
      <c r="BN293" s="645">
        <f t="shared" si="396"/>
        <v>1</v>
      </c>
      <c r="BO293" s="434"/>
      <c r="BP293" s="434">
        <v>0.4</v>
      </c>
      <c r="BQ293" s="302" t="s">
        <v>649</v>
      </c>
      <c r="BR293" s="302" t="s">
        <v>650</v>
      </c>
      <c r="BS293" s="434">
        <v>0.1</v>
      </c>
      <c r="BT293" s="302" t="s">
        <v>508</v>
      </c>
      <c r="BU293" s="302" t="s">
        <v>546</v>
      </c>
      <c r="BV293" s="434">
        <v>0</v>
      </c>
      <c r="BW293" s="645">
        <f t="shared" si="397"/>
        <v>0.5</v>
      </c>
      <c r="BX293" s="434">
        <v>0.4</v>
      </c>
      <c r="BY293" s="302" t="s">
        <v>649</v>
      </c>
      <c r="BZ293" s="302" t="s">
        <v>650</v>
      </c>
      <c r="CA293" s="434">
        <v>0.1</v>
      </c>
      <c r="CB293" s="302" t="s">
        <v>508</v>
      </c>
      <c r="CC293" s="302" t="s">
        <v>546</v>
      </c>
      <c r="CD293" s="434">
        <v>0</v>
      </c>
      <c r="CE293" s="434">
        <f t="shared" si="398"/>
        <v>0.5</v>
      </c>
      <c r="CF293" s="1620" t="s">
        <v>1166</v>
      </c>
      <c r="CG293" s="1620" t="s">
        <v>1166</v>
      </c>
      <c r="CH293" s="1620" t="s">
        <v>1166</v>
      </c>
      <c r="CI293" s="406"/>
      <c r="CJ293" s="642">
        <v>0.73799999999999999</v>
      </c>
      <c r="CK293" s="591" t="s">
        <v>922</v>
      </c>
      <c r="CL293" s="302" t="s">
        <v>649</v>
      </c>
      <c r="CM293" s="302" t="s">
        <v>650</v>
      </c>
      <c r="CN293" s="637">
        <v>0.6</v>
      </c>
      <c r="CO293" s="302" t="s">
        <v>508</v>
      </c>
      <c r="CP293" s="302" t="s">
        <v>546</v>
      </c>
      <c r="CQ293" s="637">
        <v>0</v>
      </c>
    </row>
    <row r="294" spans="1:95" ht="15.75" customHeight="1" x14ac:dyDescent="0.2">
      <c r="A294" s="661" t="s">
        <v>468</v>
      </c>
      <c r="B294" s="440" t="s">
        <v>525</v>
      </c>
      <c r="C294" s="637">
        <v>0.49</v>
      </c>
      <c r="D294" s="440" t="s">
        <v>508</v>
      </c>
      <c r="E294" s="440" t="s">
        <v>509</v>
      </c>
      <c r="F294" s="637">
        <v>0</v>
      </c>
      <c r="G294" s="440" t="s">
        <v>519</v>
      </c>
      <c r="H294" s="440" t="s">
        <v>520</v>
      </c>
      <c r="I294" s="637">
        <v>0.01</v>
      </c>
      <c r="J294" s="662">
        <f t="shared" si="356"/>
        <v>0.5</v>
      </c>
      <c r="K294" s="637">
        <v>0.49</v>
      </c>
      <c r="L294" s="440" t="s">
        <v>508</v>
      </c>
      <c r="M294" s="440" t="s">
        <v>509</v>
      </c>
      <c r="N294" s="637">
        <v>0</v>
      </c>
      <c r="O294" s="440" t="s">
        <v>519</v>
      </c>
      <c r="P294" s="440" t="s">
        <v>520</v>
      </c>
      <c r="Q294" s="637">
        <v>0.01</v>
      </c>
      <c r="R294" s="662">
        <f t="shared" si="319"/>
        <v>0.5</v>
      </c>
      <c r="S294" s="637">
        <v>0.49</v>
      </c>
      <c r="T294" s="302" t="s">
        <v>508</v>
      </c>
      <c r="U294" s="302" t="s">
        <v>509</v>
      </c>
      <c r="V294" s="637">
        <v>0</v>
      </c>
      <c r="W294" s="302" t="s">
        <v>519</v>
      </c>
      <c r="X294" s="302" t="s">
        <v>520</v>
      </c>
      <c r="Y294" s="637">
        <v>0.01</v>
      </c>
      <c r="Z294" s="645">
        <f t="shared" si="330"/>
        <v>0.5</v>
      </c>
      <c r="AA294" s="637">
        <v>0.49</v>
      </c>
      <c r="AB294" s="302" t="s">
        <v>508</v>
      </c>
      <c r="AC294" s="302" t="s">
        <v>509</v>
      </c>
      <c r="AD294" s="637">
        <v>0</v>
      </c>
      <c r="AE294" s="302" t="s">
        <v>519</v>
      </c>
      <c r="AF294" s="302" t="s">
        <v>520</v>
      </c>
      <c r="AG294" s="637">
        <v>0.01</v>
      </c>
      <c r="AH294" s="645">
        <f t="shared" si="324"/>
        <v>0.5</v>
      </c>
      <c r="AI294" s="637">
        <v>0.49</v>
      </c>
      <c r="AJ294" s="302" t="s">
        <v>508</v>
      </c>
      <c r="AK294" s="302" t="s">
        <v>509</v>
      </c>
      <c r="AL294" s="637">
        <v>0</v>
      </c>
      <c r="AM294" s="302" t="s">
        <v>519</v>
      </c>
      <c r="AN294" s="302" t="s">
        <v>520</v>
      </c>
      <c r="AO294" s="637">
        <v>0.01</v>
      </c>
      <c r="AP294" s="645">
        <f t="shared" si="393"/>
        <v>0.5</v>
      </c>
      <c r="AQ294" s="637">
        <v>0.49</v>
      </c>
      <c r="AR294" s="302" t="s">
        <v>508</v>
      </c>
      <c r="AS294" s="302" t="s">
        <v>509</v>
      </c>
      <c r="AT294" s="637">
        <v>0</v>
      </c>
      <c r="AU294" s="302" t="s">
        <v>519</v>
      </c>
      <c r="AV294" s="302" t="s">
        <v>520</v>
      </c>
      <c r="AW294" s="637">
        <v>0.01</v>
      </c>
      <c r="AX294" s="645">
        <f t="shared" ref="AX294:AX297" si="399">+AQ294+AT294+AW294</f>
        <v>0.5</v>
      </c>
      <c r="AY294" s="637">
        <v>0.74</v>
      </c>
      <c r="AZ294" s="302" t="s">
        <v>508</v>
      </c>
      <c r="BA294" s="302" t="s">
        <v>509</v>
      </c>
      <c r="BB294" s="637">
        <v>0</v>
      </c>
      <c r="BC294" s="302" t="s">
        <v>519</v>
      </c>
      <c r="BD294" s="302" t="s">
        <v>520</v>
      </c>
      <c r="BE294" s="637">
        <v>0.01</v>
      </c>
      <c r="BF294" s="434">
        <f t="shared" ref="BF294:BF297" si="400">+AY294+BB294+BE294</f>
        <v>0.75</v>
      </c>
      <c r="BG294" s="587">
        <v>0.99</v>
      </c>
      <c r="BH294" s="302" t="s">
        <v>508</v>
      </c>
      <c r="BI294" s="302" t="s">
        <v>509</v>
      </c>
      <c r="BJ294" s="434">
        <v>0</v>
      </c>
      <c r="BK294" s="302" t="s">
        <v>519</v>
      </c>
      <c r="BL294" s="302" t="s">
        <v>520</v>
      </c>
      <c r="BM294" s="434">
        <v>0.01</v>
      </c>
      <c r="BN294" s="645">
        <f t="shared" ref="BN294:BN297" si="401">+BG294+BJ294+BM294</f>
        <v>1</v>
      </c>
      <c r="BO294" s="434"/>
      <c r="BP294" s="434">
        <v>0.49</v>
      </c>
      <c r="BQ294" s="302" t="s">
        <v>508</v>
      </c>
      <c r="BR294" s="302" t="s">
        <v>509</v>
      </c>
      <c r="BS294" s="434">
        <v>0</v>
      </c>
      <c r="BT294" s="302" t="s">
        <v>519</v>
      </c>
      <c r="BU294" s="302" t="s">
        <v>520</v>
      </c>
      <c r="BV294" s="434">
        <v>0.01</v>
      </c>
      <c r="BW294" s="645">
        <f t="shared" ref="BW294:BW297" si="402">+BP294+BS294+BV294</f>
        <v>0.5</v>
      </c>
      <c r="BX294" s="434">
        <v>0.49</v>
      </c>
      <c r="BY294" s="302" t="s">
        <v>508</v>
      </c>
      <c r="BZ294" s="302" t="s">
        <v>509</v>
      </c>
      <c r="CA294" s="434">
        <v>0</v>
      </c>
      <c r="CB294" s="302" t="s">
        <v>519</v>
      </c>
      <c r="CC294" s="302" t="s">
        <v>520</v>
      </c>
      <c r="CD294" s="434">
        <v>0.01</v>
      </c>
      <c r="CE294" s="434">
        <f t="shared" ref="CE294:CE297" si="403">+BX294+CA294+CD294</f>
        <v>0.5</v>
      </c>
      <c r="CF294" s="1620" t="s">
        <v>1166</v>
      </c>
      <c r="CG294" s="1620" t="s">
        <v>1166</v>
      </c>
      <c r="CH294" s="1620" t="s">
        <v>1166</v>
      </c>
      <c r="CI294" s="408" t="s">
        <v>862</v>
      </c>
      <c r="CJ294" s="642">
        <v>0.70799999999999996</v>
      </c>
      <c r="CK294" s="591" t="s">
        <v>922</v>
      </c>
      <c r="CL294" s="302" t="s">
        <v>508</v>
      </c>
      <c r="CM294" s="302" t="s">
        <v>509</v>
      </c>
      <c r="CN294" s="637">
        <v>0</v>
      </c>
      <c r="CO294" s="302" t="s">
        <v>519</v>
      </c>
      <c r="CP294" s="302" t="s">
        <v>520</v>
      </c>
      <c r="CQ294" s="637">
        <v>0.01</v>
      </c>
    </row>
    <row r="295" spans="1:95" ht="15" x14ac:dyDescent="0.2">
      <c r="A295" s="661" t="s">
        <v>470</v>
      </c>
      <c r="B295" s="440" t="s">
        <v>469</v>
      </c>
      <c r="C295" s="637">
        <v>0.99</v>
      </c>
      <c r="D295" s="440" t="s">
        <v>508</v>
      </c>
      <c r="E295" s="440" t="s">
        <v>660</v>
      </c>
      <c r="F295" s="637">
        <v>0</v>
      </c>
      <c r="G295" s="440" t="s">
        <v>669</v>
      </c>
      <c r="H295" s="440" t="s">
        <v>670</v>
      </c>
      <c r="I295" s="637">
        <v>0.01</v>
      </c>
      <c r="J295" s="662">
        <f t="shared" si="356"/>
        <v>1</v>
      </c>
      <c r="K295" s="637">
        <v>0.99</v>
      </c>
      <c r="L295" s="440" t="s">
        <v>508</v>
      </c>
      <c r="M295" s="440" t="s">
        <v>660</v>
      </c>
      <c r="N295" s="637">
        <v>0</v>
      </c>
      <c r="O295" s="440" t="s">
        <v>669</v>
      </c>
      <c r="P295" s="440" t="s">
        <v>670</v>
      </c>
      <c r="Q295" s="637">
        <v>0.01</v>
      </c>
      <c r="R295" s="662">
        <f t="shared" si="319"/>
        <v>1</v>
      </c>
      <c r="S295" s="637">
        <v>0.99</v>
      </c>
      <c r="T295" s="302" t="s">
        <v>508</v>
      </c>
      <c r="U295" s="302" t="s">
        <v>660</v>
      </c>
      <c r="V295" s="637">
        <v>0</v>
      </c>
      <c r="W295" s="302" t="s">
        <v>669</v>
      </c>
      <c r="X295" s="302" t="s">
        <v>670</v>
      </c>
      <c r="Y295" s="637">
        <v>0.01</v>
      </c>
      <c r="Z295" s="645">
        <f t="shared" si="330"/>
        <v>1</v>
      </c>
      <c r="AA295" s="637">
        <v>0.99</v>
      </c>
      <c r="AB295" s="302" t="s">
        <v>508</v>
      </c>
      <c r="AC295" s="302" t="s">
        <v>660</v>
      </c>
      <c r="AD295" s="637">
        <v>0</v>
      </c>
      <c r="AE295" s="302" t="s">
        <v>669</v>
      </c>
      <c r="AF295" s="302" t="s">
        <v>670</v>
      </c>
      <c r="AG295" s="637">
        <v>0.01</v>
      </c>
      <c r="AH295" s="645">
        <f t="shared" si="324"/>
        <v>1</v>
      </c>
      <c r="AI295" s="637">
        <v>0.99</v>
      </c>
      <c r="AJ295" s="302" t="s">
        <v>508</v>
      </c>
      <c r="AK295" s="302" t="s">
        <v>660</v>
      </c>
      <c r="AL295" s="637">
        <v>0</v>
      </c>
      <c r="AM295" s="302" t="s">
        <v>669</v>
      </c>
      <c r="AN295" s="302" t="s">
        <v>670</v>
      </c>
      <c r="AO295" s="637">
        <v>0.01</v>
      </c>
      <c r="AP295" s="645">
        <f t="shared" si="393"/>
        <v>1</v>
      </c>
      <c r="AQ295" s="637">
        <v>0.99</v>
      </c>
      <c r="AR295" s="302" t="s">
        <v>508</v>
      </c>
      <c r="AS295" s="302" t="s">
        <v>660</v>
      </c>
      <c r="AT295" s="637">
        <v>0</v>
      </c>
      <c r="AU295" s="302" t="s">
        <v>669</v>
      </c>
      <c r="AV295" s="302" t="s">
        <v>670</v>
      </c>
      <c r="AW295" s="637">
        <v>0.01</v>
      </c>
      <c r="AX295" s="645">
        <f t="shared" si="399"/>
        <v>1</v>
      </c>
      <c r="AY295" s="637">
        <v>0.99</v>
      </c>
      <c r="AZ295" s="302" t="s">
        <v>508</v>
      </c>
      <c r="BA295" s="302" t="s">
        <v>660</v>
      </c>
      <c r="BB295" s="637">
        <v>0</v>
      </c>
      <c r="BC295" s="302" t="s">
        <v>669</v>
      </c>
      <c r="BD295" s="302" t="s">
        <v>670</v>
      </c>
      <c r="BE295" s="637">
        <v>0.01</v>
      </c>
      <c r="BF295" s="434">
        <f t="shared" si="400"/>
        <v>1</v>
      </c>
      <c r="BG295" s="587">
        <v>0.99</v>
      </c>
      <c r="BH295" s="302" t="s">
        <v>508</v>
      </c>
      <c r="BI295" s="302" t="s">
        <v>660</v>
      </c>
      <c r="BJ295" s="434">
        <v>0</v>
      </c>
      <c r="BK295" s="302" t="s">
        <v>669</v>
      </c>
      <c r="BL295" s="302" t="s">
        <v>670</v>
      </c>
      <c r="BM295" s="434">
        <v>0.01</v>
      </c>
      <c r="BN295" s="645">
        <f t="shared" si="401"/>
        <v>1</v>
      </c>
      <c r="BO295" s="434"/>
      <c r="BP295" s="434">
        <v>0.99</v>
      </c>
      <c r="BQ295" s="302" t="s">
        <v>508</v>
      </c>
      <c r="BR295" s="302" t="s">
        <v>660</v>
      </c>
      <c r="BS295" s="434">
        <v>0</v>
      </c>
      <c r="BT295" s="302" t="s">
        <v>669</v>
      </c>
      <c r="BU295" s="302" t="s">
        <v>670</v>
      </c>
      <c r="BV295" s="434">
        <v>0.01</v>
      </c>
      <c r="BW295" s="645">
        <f t="shared" si="402"/>
        <v>1</v>
      </c>
      <c r="BX295" s="434">
        <v>0.49</v>
      </c>
      <c r="BY295" s="302" t="s">
        <v>508</v>
      </c>
      <c r="BZ295" s="302" t="s">
        <v>660</v>
      </c>
      <c r="CA295" s="434">
        <v>0</v>
      </c>
      <c r="CB295" s="302" t="s">
        <v>669</v>
      </c>
      <c r="CC295" s="302" t="s">
        <v>670</v>
      </c>
      <c r="CD295" s="434">
        <v>0.01</v>
      </c>
      <c r="CE295" s="434">
        <f t="shared" si="403"/>
        <v>0.5</v>
      </c>
      <c r="CF295" s="1620" t="s">
        <v>862</v>
      </c>
      <c r="CG295" s="1620" t="s">
        <v>1166</v>
      </c>
      <c r="CH295" s="1620" t="s">
        <v>1166</v>
      </c>
      <c r="CI295" s="408" t="s">
        <v>862</v>
      </c>
      <c r="CJ295" s="642">
        <v>0.67800000000000005</v>
      </c>
      <c r="CK295" s="591" t="s">
        <v>922</v>
      </c>
      <c r="CL295" s="302" t="s">
        <v>508</v>
      </c>
      <c r="CM295" s="302" t="s">
        <v>660</v>
      </c>
      <c r="CN295" s="637">
        <v>0</v>
      </c>
      <c r="CO295" s="302" t="s">
        <v>669</v>
      </c>
      <c r="CP295" s="302" t="s">
        <v>670</v>
      </c>
      <c r="CQ295" s="637">
        <v>0.01</v>
      </c>
    </row>
    <row r="296" spans="1:95" ht="15.75" customHeight="1" x14ac:dyDescent="0.2">
      <c r="A296" s="661" t="s">
        <v>472</v>
      </c>
      <c r="B296" s="440" t="s">
        <v>471</v>
      </c>
      <c r="C296" s="637">
        <v>0.4</v>
      </c>
      <c r="D296" s="440" t="s">
        <v>588</v>
      </c>
      <c r="E296" s="440" t="s">
        <v>589</v>
      </c>
      <c r="F296" s="637">
        <v>0.09</v>
      </c>
      <c r="G296" s="440" t="s">
        <v>586</v>
      </c>
      <c r="H296" s="440" t="s">
        <v>587</v>
      </c>
      <c r="I296" s="637">
        <v>0.01</v>
      </c>
      <c r="J296" s="662">
        <f t="shared" si="356"/>
        <v>0.5</v>
      </c>
      <c r="K296" s="637">
        <v>0.4</v>
      </c>
      <c r="L296" s="440" t="s">
        <v>588</v>
      </c>
      <c r="M296" s="440" t="s">
        <v>589</v>
      </c>
      <c r="N296" s="637">
        <v>0.09</v>
      </c>
      <c r="O296" s="440" t="s">
        <v>586</v>
      </c>
      <c r="P296" s="440" t="s">
        <v>587</v>
      </c>
      <c r="Q296" s="637">
        <v>0.01</v>
      </c>
      <c r="R296" s="662">
        <f t="shared" si="319"/>
        <v>0.5</v>
      </c>
      <c r="S296" s="637">
        <v>0.4</v>
      </c>
      <c r="T296" s="302" t="s">
        <v>588</v>
      </c>
      <c r="U296" s="302" t="s">
        <v>589</v>
      </c>
      <c r="V296" s="637">
        <v>0.09</v>
      </c>
      <c r="W296" s="302" t="s">
        <v>586</v>
      </c>
      <c r="X296" s="302" t="s">
        <v>587</v>
      </c>
      <c r="Y296" s="637">
        <v>0.01</v>
      </c>
      <c r="Z296" s="645">
        <f t="shared" si="330"/>
        <v>0.5</v>
      </c>
      <c r="AA296" s="637">
        <v>0.4</v>
      </c>
      <c r="AB296" s="302" t="s">
        <v>588</v>
      </c>
      <c r="AC296" s="302" t="s">
        <v>589</v>
      </c>
      <c r="AD296" s="637">
        <v>0.09</v>
      </c>
      <c r="AE296" s="302" t="s">
        <v>586</v>
      </c>
      <c r="AF296" s="302" t="s">
        <v>587</v>
      </c>
      <c r="AG296" s="637">
        <v>0.01</v>
      </c>
      <c r="AH296" s="645">
        <f t="shared" si="324"/>
        <v>0.5</v>
      </c>
      <c r="AI296" s="637">
        <v>0.4</v>
      </c>
      <c r="AJ296" s="302" t="s">
        <v>588</v>
      </c>
      <c r="AK296" s="302" t="s">
        <v>589</v>
      </c>
      <c r="AL296" s="637">
        <v>0.09</v>
      </c>
      <c r="AM296" s="302" t="s">
        <v>586</v>
      </c>
      <c r="AN296" s="302" t="s">
        <v>587</v>
      </c>
      <c r="AO296" s="637">
        <v>0.01</v>
      </c>
      <c r="AP296" s="645">
        <f t="shared" ref="AP296:AP301" si="404">+AI296+AL296+AO296</f>
        <v>0.5</v>
      </c>
      <c r="AQ296" s="637">
        <v>0.4</v>
      </c>
      <c r="AR296" s="302" t="s">
        <v>588</v>
      </c>
      <c r="AS296" s="302" t="s">
        <v>589</v>
      </c>
      <c r="AT296" s="637">
        <v>0.09</v>
      </c>
      <c r="AU296" s="302" t="s">
        <v>586</v>
      </c>
      <c r="AV296" s="302" t="s">
        <v>587</v>
      </c>
      <c r="AW296" s="637">
        <v>0.01</v>
      </c>
      <c r="AX296" s="645">
        <f t="shared" si="399"/>
        <v>0.5</v>
      </c>
      <c r="AY296" s="637">
        <v>0</v>
      </c>
      <c r="AZ296" s="302" t="s">
        <v>588</v>
      </c>
      <c r="BA296" s="302" t="s">
        <v>589</v>
      </c>
      <c r="BB296" s="637">
        <v>0.74</v>
      </c>
      <c r="BC296" s="302" t="s">
        <v>586</v>
      </c>
      <c r="BD296" s="302" t="s">
        <v>587</v>
      </c>
      <c r="BE296" s="637">
        <v>0.01</v>
      </c>
      <c r="BF296" s="434">
        <f t="shared" si="400"/>
        <v>0.75</v>
      </c>
      <c r="BG296" s="587">
        <v>0.4</v>
      </c>
      <c r="BH296" s="302" t="s">
        <v>588</v>
      </c>
      <c r="BI296" s="302" t="s">
        <v>589</v>
      </c>
      <c r="BJ296" s="434">
        <v>0.09</v>
      </c>
      <c r="BK296" s="302" t="s">
        <v>586</v>
      </c>
      <c r="BL296" s="302" t="s">
        <v>587</v>
      </c>
      <c r="BM296" s="434">
        <v>0.01</v>
      </c>
      <c r="BN296" s="645">
        <f t="shared" si="401"/>
        <v>0.5</v>
      </c>
      <c r="BO296" s="434"/>
      <c r="BP296" s="434">
        <v>0.4</v>
      </c>
      <c r="BQ296" s="302" t="s">
        <v>588</v>
      </c>
      <c r="BR296" s="302" t="s">
        <v>589</v>
      </c>
      <c r="BS296" s="434">
        <v>0.09</v>
      </c>
      <c r="BT296" s="302" t="s">
        <v>586</v>
      </c>
      <c r="BU296" s="302" t="s">
        <v>587</v>
      </c>
      <c r="BV296" s="434">
        <v>0.01</v>
      </c>
      <c r="BW296" s="645">
        <f t="shared" si="402"/>
        <v>0.5</v>
      </c>
      <c r="BX296" s="434">
        <v>0.4</v>
      </c>
      <c r="BY296" s="302" t="s">
        <v>588</v>
      </c>
      <c r="BZ296" s="302" t="s">
        <v>589</v>
      </c>
      <c r="CA296" s="434">
        <v>0.09</v>
      </c>
      <c r="CB296" s="302" t="s">
        <v>586</v>
      </c>
      <c r="CC296" s="302" t="s">
        <v>587</v>
      </c>
      <c r="CD296" s="434">
        <v>0.01</v>
      </c>
      <c r="CE296" s="434">
        <f t="shared" si="403"/>
        <v>0.5</v>
      </c>
      <c r="CF296" s="1620" t="s">
        <v>1166</v>
      </c>
      <c r="CG296" s="1620" t="s">
        <v>1166</v>
      </c>
      <c r="CH296" s="1620" t="s">
        <v>1166</v>
      </c>
      <c r="CI296" s="406"/>
      <c r="CJ296" s="642">
        <v>0.70599999999999996</v>
      </c>
      <c r="CK296" s="591" t="s">
        <v>922</v>
      </c>
      <c r="CL296" s="302" t="s">
        <v>588</v>
      </c>
      <c r="CM296" s="302" t="s">
        <v>589</v>
      </c>
      <c r="CN296" s="637">
        <v>0.59</v>
      </c>
      <c r="CO296" s="302" t="s">
        <v>586</v>
      </c>
      <c r="CP296" s="302" t="s">
        <v>587</v>
      </c>
      <c r="CQ296" s="637">
        <v>0.01</v>
      </c>
    </row>
    <row r="297" spans="1:95" ht="15.75" customHeight="1" x14ac:dyDescent="0.2">
      <c r="A297" s="661" t="s">
        <v>474</v>
      </c>
      <c r="B297" s="440" t="s">
        <v>473</v>
      </c>
      <c r="C297" s="637">
        <v>0.4</v>
      </c>
      <c r="D297" s="440" t="s">
        <v>655</v>
      </c>
      <c r="E297" s="440" t="s">
        <v>656</v>
      </c>
      <c r="F297" s="637">
        <v>0.1</v>
      </c>
      <c r="G297" s="440" t="s">
        <v>508</v>
      </c>
      <c r="H297" s="440" t="s">
        <v>546</v>
      </c>
      <c r="I297" s="637">
        <v>0</v>
      </c>
      <c r="J297" s="662">
        <f t="shared" si="356"/>
        <v>0.5</v>
      </c>
      <c r="K297" s="637">
        <v>0.4</v>
      </c>
      <c r="L297" s="440" t="s">
        <v>655</v>
      </c>
      <c r="M297" s="440" t="s">
        <v>656</v>
      </c>
      <c r="N297" s="637">
        <v>0.1</v>
      </c>
      <c r="O297" s="440" t="s">
        <v>508</v>
      </c>
      <c r="P297" s="440" t="s">
        <v>546</v>
      </c>
      <c r="Q297" s="637">
        <v>0</v>
      </c>
      <c r="R297" s="662">
        <f t="shared" si="319"/>
        <v>0.5</v>
      </c>
      <c r="S297" s="637">
        <v>0.4</v>
      </c>
      <c r="T297" s="302" t="s">
        <v>655</v>
      </c>
      <c r="U297" s="302" t="s">
        <v>656</v>
      </c>
      <c r="V297" s="637">
        <v>0.1</v>
      </c>
      <c r="W297" s="302" t="s">
        <v>508</v>
      </c>
      <c r="X297" s="302" t="s">
        <v>546</v>
      </c>
      <c r="Y297" s="637">
        <v>0</v>
      </c>
      <c r="Z297" s="645">
        <f t="shared" si="330"/>
        <v>0.5</v>
      </c>
      <c r="AA297" s="637">
        <v>0.4</v>
      </c>
      <c r="AB297" s="302" t="s">
        <v>655</v>
      </c>
      <c r="AC297" s="302" t="s">
        <v>656</v>
      </c>
      <c r="AD297" s="637">
        <v>0.1</v>
      </c>
      <c r="AE297" s="302" t="s">
        <v>508</v>
      </c>
      <c r="AF297" s="302" t="s">
        <v>546</v>
      </c>
      <c r="AG297" s="637">
        <v>0</v>
      </c>
      <c r="AH297" s="645">
        <f t="shared" si="324"/>
        <v>0.5</v>
      </c>
      <c r="AI297" s="637">
        <v>0.4</v>
      </c>
      <c r="AJ297" s="302" t="s">
        <v>655</v>
      </c>
      <c r="AK297" s="302" t="s">
        <v>656</v>
      </c>
      <c r="AL297" s="637">
        <v>0.1</v>
      </c>
      <c r="AM297" s="302" t="s">
        <v>508</v>
      </c>
      <c r="AN297" s="302" t="s">
        <v>546</v>
      </c>
      <c r="AO297" s="637">
        <v>0</v>
      </c>
      <c r="AP297" s="645">
        <f t="shared" si="404"/>
        <v>0.5</v>
      </c>
      <c r="AQ297" s="637">
        <v>0.4</v>
      </c>
      <c r="AR297" s="302" t="s">
        <v>655</v>
      </c>
      <c r="AS297" s="302" t="s">
        <v>656</v>
      </c>
      <c r="AT297" s="637">
        <v>0.1</v>
      </c>
      <c r="AU297" s="302" t="s">
        <v>508</v>
      </c>
      <c r="AV297" s="302" t="s">
        <v>546</v>
      </c>
      <c r="AW297" s="637">
        <v>0</v>
      </c>
      <c r="AX297" s="645">
        <f t="shared" si="399"/>
        <v>0.5</v>
      </c>
      <c r="AY297" s="637">
        <v>0.2</v>
      </c>
      <c r="AZ297" s="302" t="s">
        <v>655</v>
      </c>
      <c r="BA297" s="302" t="s">
        <v>656</v>
      </c>
      <c r="BB297" s="637">
        <v>0.55000000000000004</v>
      </c>
      <c r="BC297" s="302" t="s">
        <v>508</v>
      </c>
      <c r="BD297" s="302" t="s">
        <v>546</v>
      </c>
      <c r="BE297" s="637">
        <v>0</v>
      </c>
      <c r="BF297" s="434">
        <f t="shared" si="400"/>
        <v>0.75</v>
      </c>
      <c r="BG297" s="587">
        <v>0.4</v>
      </c>
      <c r="BH297" s="302" t="s">
        <v>655</v>
      </c>
      <c r="BI297" s="302" t="s">
        <v>656</v>
      </c>
      <c r="BJ297" s="434">
        <v>0.1</v>
      </c>
      <c r="BK297" s="302" t="s">
        <v>508</v>
      </c>
      <c r="BL297" s="302" t="s">
        <v>546</v>
      </c>
      <c r="BM297" s="434">
        <v>0</v>
      </c>
      <c r="BN297" s="645">
        <f t="shared" si="401"/>
        <v>0.5</v>
      </c>
      <c r="BO297" s="434"/>
      <c r="BP297" s="434">
        <v>0.4</v>
      </c>
      <c r="BQ297" s="302" t="s">
        <v>655</v>
      </c>
      <c r="BR297" s="302" t="s">
        <v>656</v>
      </c>
      <c r="BS297" s="434">
        <v>0.1</v>
      </c>
      <c r="BT297" s="302" t="s">
        <v>508</v>
      </c>
      <c r="BU297" s="302" t="s">
        <v>546</v>
      </c>
      <c r="BV297" s="434">
        <v>0</v>
      </c>
      <c r="BW297" s="645">
        <f t="shared" si="402"/>
        <v>0.5</v>
      </c>
      <c r="BX297" s="434">
        <v>0.4</v>
      </c>
      <c r="BY297" s="302" t="s">
        <v>655</v>
      </c>
      <c r="BZ297" s="302" t="s">
        <v>656</v>
      </c>
      <c r="CA297" s="434">
        <v>0.1</v>
      </c>
      <c r="CB297" s="302" t="s">
        <v>508</v>
      </c>
      <c r="CC297" s="302" t="s">
        <v>546</v>
      </c>
      <c r="CD297" s="434">
        <v>0</v>
      </c>
      <c r="CE297" s="434">
        <f t="shared" si="403"/>
        <v>0.5</v>
      </c>
      <c r="CF297" s="1620" t="s">
        <v>1166</v>
      </c>
      <c r="CG297" s="1620" t="s">
        <v>1166</v>
      </c>
      <c r="CH297" s="1620" t="s">
        <v>1166</v>
      </c>
      <c r="CI297" s="406"/>
      <c r="CJ297" s="642">
        <v>0.68899999999999995</v>
      </c>
      <c r="CK297" s="591" t="s">
        <v>922</v>
      </c>
      <c r="CL297" s="302" t="s">
        <v>655</v>
      </c>
      <c r="CM297" s="302" t="s">
        <v>656</v>
      </c>
      <c r="CN297" s="637">
        <v>0.6</v>
      </c>
      <c r="CO297" s="302" t="s">
        <v>508</v>
      </c>
      <c r="CP297" s="302" t="s">
        <v>546</v>
      </c>
      <c r="CQ297" s="637">
        <v>0</v>
      </c>
    </row>
    <row r="298" spans="1:95" ht="15.75" customHeight="1" x14ac:dyDescent="0.2">
      <c r="A298" s="661" t="s">
        <v>476</v>
      </c>
      <c r="B298" s="440" t="s">
        <v>475</v>
      </c>
      <c r="C298" s="637">
        <v>0.4</v>
      </c>
      <c r="D298" s="440" t="s">
        <v>588</v>
      </c>
      <c r="E298" s="440" t="s">
        <v>589</v>
      </c>
      <c r="F298" s="637">
        <v>0.09</v>
      </c>
      <c r="G298" s="440" t="s">
        <v>586</v>
      </c>
      <c r="H298" s="440" t="s">
        <v>587</v>
      </c>
      <c r="I298" s="637">
        <v>0.01</v>
      </c>
      <c r="J298" s="662">
        <f t="shared" si="356"/>
        <v>0.5</v>
      </c>
      <c r="K298" s="637">
        <v>0.4</v>
      </c>
      <c r="L298" s="440" t="s">
        <v>588</v>
      </c>
      <c r="M298" s="440" t="s">
        <v>589</v>
      </c>
      <c r="N298" s="637">
        <v>0.09</v>
      </c>
      <c r="O298" s="440" t="s">
        <v>586</v>
      </c>
      <c r="P298" s="440" t="s">
        <v>587</v>
      </c>
      <c r="Q298" s="637">
        <v>0.01</v>
      </c>
      <c r="R298" s="662">
        <f t="shared" si="319"/>
        <v>0.5</v>
      </c>
      <c r="S298" s="637">
        <v>0.4</v>
      </c>
      <c r="T298" s="302" t="s">
        <v>588</v>
      </c>
      <c r="U298" s="302" t="s">
        <v>589</v>
      </c>
      <c r="V298" s="637">
        <v>0.09</v>
      </c>
      <c r="W298" s="302" t="s">
        <v>586</v>
      </c>
      <c r="X298" s="302" t="s">
        <v>587</v>
      </c>
      <c r="Y298" s="637">
        <v>0.01</v>
      </c>
      <c r="Z298" s="645">
        <f t="shared" si="330"/>
        <v>0.5</v>
      </c>
      <c r="AA298" s="637">
        <v>0.4</v>
      </c>
      <c r="AB298" s="302" t="s">
        <v>588</v>
      </c>
      <c r="AC298" s="302" t="s">
        <v>589</v>
      </c>
      <c r="AD298" s="637">
        <v>0.09</v>
      </c>
      <c r="AE298" s="302" t="s">
        <v>586</v>
      </c>
      <c r="AF298" s="302" t="s">
        <v>587</v>
      </c>
      <c r="AG298" s="637">
        <v>0.01</v>
      </c>
      <c r="AH298" s="645">
        <f t="shared" si="324"/>
        <v>0.5</v>
      </c>
      <c r="AI298" s="637">
        <v>0.4</v>
      </c>
      <c r="AJ298" s="302" t="s">
        <v>588</v>
      </c>
      <c r="AK298" s="302" t="s">
        <v>589</v>
      </c>
      <c r="AL298" s="637">
        <v>0.09</v>
      </c>
      <c r="AM298" s="302" t="s">
        <v>586</v>
      </c>
      <c r="AN298" s="302" t="s">
        <v>587</v>
      </c>
      <c r="AO298" s="637">
        <v>0.01</v>
      </c>
      <c r="AP298" s="645">
        <f t="shared" si="404"/>
        <v>0.5</v>
      </c>
      <c r="AQ298" s="637">
        <v>0.4</v>
      </c>
      <c r="AR298" s="302" t="s">
        <v>588</v>
      </c>
      <c r="AS298" s="302" t="s">
        <v>589</v>
      </c>
      <c r="AT298" s="637">
        <v>0.09</v>
      </c>
      <c r="AU298" s="302" t="s">
        <v>586</v>
      </c>
      <c r="AV298" s="302" t="s">
        <v>587</v>
      </c>
      <c r="AW298" s="637">
        <v>0.01</v>
      </c>
      <c r="AX298" s="645">
        <f t="shared" ref="AX298:AX301" si="405">+AQ298+AT298+AW298</f>
        <v>0.5</v>
      </c>
      <c r="AY298" s="637">
        <v>0</v>
      </c>
      <c r="AZ298" s="302" t="s">
        <v>588</v>
      </c>
      <c r="BA298" s="302" t="s">
        <v>589</v>
      </c>
      <c r="BB298" s="637">
        <v>0.74</v>
      </c>
      <c r="BC298" s="302" t="s">
        <v>586</v>
      </c>
      <c r="BD298" s="302" t="s">
        <v>587</v>
      </c>
      <c r="BE298" s="637">
        <v>0.01</v>
      </c>
      <c r="BF298" s="434">
        <f t="shared" ref="BF298:BF301" si="406">+AY298+BB298+BE298</f>
        <v>0.75</v>
      </c>
      <c r="BG298" s="587">
        <v>0.4</v>
      </c>
      <c r="BH298" s="302" t="s">
        <v>588</v>
      </c>
      <c r="BI298" s="302" t="s">
        <v>589</v>
      </c>
      <c r="BJ298" s="434">
        <v>0.09</v>
      </c>
      <c r="BK298" s="302" t="s">
        <v>586</v>
      </c>
      <c r="BL298" s="302" t="s">
        <v>587</v>
      </c>
      <c r="BM298" s="434">
        <v>0.01</v>
      </c>
      <c r="BN298" s="645">
        <f t="shared" ref="BN298:BN301" si="407">+BG298+BJ298+BM298</f>
        <v>0.5</v>
      </c>
      <c r="BO298" s="434"/>
      <c r="BP298" s="434">
        <v>0.4</v>
      </c>
      <c r="BQ298" s="302" t="s">
        <v>588</v>
      </c>
      <c r="BR298" s="302" t="s">
        <v>589</v>
      </c>
      <c r="BS298" s="434">
        <v>0.09</v>
      </c>
      <c r="BT298" s="302" t="s">
        <v>586</v>
      </c>
      <c r="BU298" s="302" t="s">
        <v>587</v>
      </c>
      <c r="BV298" s="434">
        <v>0.01</v>
      </c>
      <c r="BW298" s="645">
        <f t="shared" ref="BW298:BW301" si="408">+BP298+BS298+BV298</f>
        <v>0.5</v>
      </c>
      <c r="BX298" s="434">
        <v>0.4</v>
      </c>
      <c r="BY298" s="302" t="s">
        <v>588</v>
      </c>
      <c r="BZ298" s="302" t="s">
        <v>589</v>
      </c>
      <c r="CA298" s="434">
        <v>0.09</v>
      </c>
      <c r="CB298" s="302" t="s">
        <v>586</v>
      </c>
      <c r="CC298" s="302" t="s">
        <v>587</v>
      </c>
      <c r="CD298" s="434">
        <v>0.01</v>
      </c>
      <c r="CE298" s="434">
        <f t="shared" ref="CE298:CE301" si="409">+BX298+CA298+CD298</f>
        <v>0.5</v>
      </c>
      <c r="CF298" s="1620" t="s">
        <v>1166</v>
      </c>
      <c r="CG298" s="1620" t="s">
        <v>1166</v>
      </c>
      <c r="CH298" s="1620" t="s">
        <v>1166</v>
      </c>
      <c r="CI298" s="406"/>
      <c r="CJ298" s="642">
        <v>0.66500000000000004</v>
      </c>
      <c r="CK298" s="591" t="s">
        <v>922</v>
      </c>
      <c r="CL298" s="302" t="s">
        <v>588</v>
      </c>
      <c r="CM298" s="302" t="s">
        <v>589</v>
      </c>
      <c r="CN298" s="637">
        <v>0.59</v>
      </c>
      <c r="CO298" s="302" t="s">
        <v>586</v>
      </c>
      <c r="CP298" s="302" t="s">
        <v>587</v>
      </c>
      <c r="CQ298" s="637">
        <v>0.01</v>
      </c>
    </row>
    <row r="299" spans="1:95" ht="13.5" customHeight="1" x14ac:dyDescent="0.2">
      <c r="A299" s="661" t="s">
        <v>478</v>
      </c>
      <c r="B299" s="440" t="s">
        <v>477</v>
      </c>
      <c r="C299" s="637">
        <v>0.4</v>
      </c>
      <c r="D299" s="440" t="s">
        <v>609</v>
      </c>
      <c r="E299" s="440" t="s">
        <v>610</v>
      </c>
      <c r="F299" s="637">
        <v>0.09</v>
      </c>
      <c r="G299" s="440" t="s">
        <v>606</v>
      </c>
      <c r="H299" s="440" t="s">
        <v>607</v>
      </c>
      <c r="I299" s="637">
        <v>0.01</v>
      </c>
      <c r="J299" s="662">
        <f t="shared" si="356"/>
        <v>0.5</v>
      </c>
      <c r="K299" s="637">
        <v>0.4</v>
      </c>
      <c r="L299" s="440" t="s">
        <v>609</v>
      </c>
      <c r="M299" s="440" t="s">
        <v>610</v>
      </c>
      <c r="N299" s="637">
        <v>0.09</v>
      </c>
      <c r="O299" s="440" t="s">
        <v>606</v>
      </c>
      <c r="P299" s="440" t="s">
        <v>607</v>
      </c>
      <c r="Q299" s="637">
        <v>0.01</v>
      </c>
      <c r="R299" s="662">
        <f t="shared" si="319"/>
        <v>0.5</v>
      </c>
      <c r="S299" s="637">
        <v>0.4</v>
      </c>
      <c r="T299" s="302" t="s">
        <v>609</v>
      </c>
      <c r="U299" s="302" t="s">
        <v>610</v>
      </c>
      <c r="V299" s="637">
        <v>0.09</v>
      </c>
      <c r="W299" s="302" t="s">
        <v>606</v>
      </c>
      <c r="X299" s="302" t="s">
        <v>607</v>
      </c>
      <c r="Y299" s="637">
        <v>0.01</v>
      </c>
      <c r="Z299" s="645">
        <f t="shared" si="330"/>
        <v>0.5</v>
      </c>
      <c r="AA299" s="637">
        <v>0.4</v>
      </c>
      <c r="AB299" s="302" t="s">
        <v>609</v>
      </c>
      <c r="AC299" s="302" t="s">
        <v>610</v>
      </c>
      <c r="AD299" s="637">
        <v>0.09</v>
      </c>
      <c r="AE299" s="302" t="s">
        <v>606</v>
      </c>
      <c r="AF299" s="302" t="s">
        <v>607</v>
      </c>
      <c r="AG299" s="637">
        <v>0.01</v>
      </c>
      <c r="AH299" s="645">
        <f t="shared" si="324"/>
        <v>0.5</v>
      </c>
      <c r="AI299" s="637">
        <v>0.4</v>
      </c>
      <c r="AJ299" s="302" t="s">
        <v>609</v>
      </c>
      <c r="AK299" s="302" t="s">
        <v>610</v>
      </c>
      <c r="AL299" s="637">
        <v>0.09</v>
      </c>
      <c r="AM299" s="302" t="s">
        <v>606</v>
      </c>
      <c r="AN299" s="302" t="s">
        <v>607</v>
      </c>
      <c r="AO299" s="637">
        <v>0.01</v>
      </c>
      <c r="AP299" s="645">
        <f t="shared" si="404"/>
        <v>0.5</v>
      </c>
      <c r="AQ299" s="637">
        <v>0.4</v>
      </c>
      <c r="AR299" s="302" t="s">
        <v>609</v>
      </c>
      <c r="AS299" s="302" t="s">
        <v>610</v>
      </c>
      <c r="AT299" s="637">
        <v>0.09</v>
      </c>
      <c r="AU299" s="302" t="s">
        <v>606</v>
      </c>
      <c r="AV299" s="302" t="s">
        <v>607</v>
      </c>
      <c r="AW299" s="637">
        <v>0.01</v>
      </c>
      <c r="AX299" s="645">
        <f t="shared" si="405"/>
        <v>0.5</v>
      </c>
      <c r="AY299" s="637">
        <v>0.56000000000000005</v>
      </c>
      <c r="AZ299" s="302" t="s">
        <v>609</v>
      </c>
      <c r="BA299" s="302" t="s">
        <v>610</v>
      </c>
      <c r="BB299" s="637">
        <v>0.17499999999999999</v>
      </c>
      <c r="BC299" s="302" t="s">
        <v>606</v>
      </c>
      <c r="BD299" s="302" t="s">
        <v>607</v>
      </c>
      <c r="BE299" s="637">
        <v>1.4999999999999999E-2</v>
      </c>
      <c r="BF299" s="434">
        <f t="shared" si="406"/>
        <v>0.75000000000000011</v>
      </c>
      <c r="BG299" s="587">
        <v>0.4</v>
      </c>
      <c r="BH299" s="302" t="s">
        <v>609</v>
      </c>
      <c r="BI299" s="302" t="s">
        <v>610</v>
      </c>
      <c r="BJ299" s="434">
        <v>0.09</v>
      </c>
      <c r="BK299" s="302" t="s">
        <v>606</v>
      </c>
      <c r="BL299" s="302" t="s">
        <v>607</v>
      </c>
      <c r="BM299" s="434">
        <v>0.01</v>
      </c>
      <c r="BN299" s="645">
        <f t="shared" si="407"/>
        <v>0.5</v>
      </c>
      <c r="BO299" s="434"/>
      <c r="BP299" s="434">
        <v>0.4</v>
      </c>
      <c r="BQ299" s="302" t="s">
        <v>609</v>
      </c>
      <c r="BR299" s="302" t="s">
        <v>610</v>
      </c>
      <c r="BS299" s="434">
        <v>0.09</v>
      </c>
      <c r="BT299" s="302" t="s">
        <v>606</v>
      </c>
      <c r="BU299" s="302" t="s">
        <v>607</v>
      </c>
      <c r="BV299" s="434">
        <v>0.01</v>
      </c>
      <c r="BW299" s="645">
        <f t="shared" si="408"/>
        <v>0.5</v>
      </c>
      <c r="BX299" s="434">
        <v>0.4</v>
      </c>
      <c r="BY299" s="302" t="s">
        <v>609</v>
      </c>
      <c r="BZ299" s="302" t="s">
        <v>610</v>
      </c>
      <c r="CA299" s="434">
        <v>0.09</v>
      </c>
      <c r="CB299" s="302" t="s">
        <v>606</v>
      </c>
      <c r="CC299" s="302" t="s">
        <v>607</v>
      </c>
      <c r="CD299" s="434">
        <v>0.01</v>
      </c>
      <c r="CE299" s="434">
        <f t="shared" si="409"/>
        <v>0.5</v>
      </c>
      <c r="CF299" s="1620" t="s">
        <v>862</v>
      </c>
      <c r="CG299" s="1620" t="s">
        <v>1166</v>
      </c>
      <c r="CH299" s="1620" t="s">
        <v>1166</v>
      </c>
      <c r="CI299" s="406"/>
      <c r="CJ299" s="642">
        <v>0.66</v>
      </c>
      <c r="CK299" s="591" t="s">
        <v>862</v>
      </c>
      <c r="CL299" s="302" t="s">
        <v>609</v>
      </c>
      <c r="CM299" s="302" t="s">
        <v>610</v>
      </c>
      <c r="CN299" s="637">
        <v>0.59</v>
      </c>
      <c r="CO299" s="302" t="s">
        <v>606</v>
      </c>
      <c r="CP299" s="302" t="s">
        <v>607</v>
      </c>
      <c r="CQ299" s="637">
        <v>0.01</v>
      </c>
    </row>
    <row r="300" spans="1:95" ht="15.75" customHeight="1" x14ac:dyDescent="0.2">
      <c r="A300" s="661" t="s">
        <v>480</v>
      </c>
      <c r="B300" s="440" t="s">
        <v>479</v>
      </c>
      <c r="C300" s="637">
        <v>0.4</v>
      </c>
      <c r="D300" s="440" t="s">
        <v>588</v>
      </c>
      <c r="E300" s="440" t="s">
        <v>589</v>
      </c>
      <c r="F300" s="637">
        <v>0.09</v>
      </c>
      <c r="G300" s="440" t="s">
        <v>586</v>
      </c>
      <c r="H300" s="440" t="s">
        <v>587</v>
      </c>
      <c r="I300" s="637">
        <v>0.01</v>
      </c>
      <c r="J300" s="662">
        <f t="shared" si="356"/>
        <v>0.5</v>
      </c>
      <c r="K300" s="637">
        <v>0.4</v>
      </c>
      <c r="L300" s="440" t="s">
        <v>588</v>
      </c>
      <c r="M300" s="440" t="s">
        <v>589</v>
      </c>
      <c r="N300" s="637">
        <v>0.09</v>
      </c>
      <c r="O300" s="440" t="s">
        <v>586</v>
      </c>
      <c r="P300" s="440" t="s">
        <v>587</v>
      </c>
      <c r="Q300" s="637">
        <v>0.01</v>
      </c>
      <c r="R300" s="662">
        <f t="shared" ref="R300:R301" si="410">+K300+N300+Q300</f>
        <v>0.5</v>
      </c>
      <c r="S300" s="637">
        <v>0.4</v>
      </c>
      <c r="T300" s="302" t="s">
        <v>588</v>
      </c>
      <c r="U300" s="302" t="s">
        <v>589</v>
      </c>
      <c r="V300" s="637">
        <v>0.09</v>
      </c>
      <c r="W300" s="302" t="s">
        <v>586</v>
      </c>
      <c r="X300" s="302" t="s">
        <v>587</v>
      </c>
      <c r="Y300" s="637">
        <v>0.01</v>
      </c>
      <c r="Z300" s="645">
        <f t="shared" si="330"/>
        <v>0.5</v>
      </c>
      <c r="AA300" s="637">
        <v>0.4</v>
      </c>
      <c r="AB300" s="302" t="s">
        <v>588</v>
      </c>
      <c r="AC300" s="302" t="s">
        <v>589</v>
      </c>
      <c r="AD300" s="637">
        <v>0.09</v>
      </c>
      <c r="AE300" s="302" t="s">
        <v>586</v>
      </c>
      <c r="AF300" s="302" t="s">
        <v>587</v>
      </c>
      <c r="AG300" s="637">
        <v>0.01</v>
      </c>
      <c r="AH300" s="645">
        <f t="shared" si="324"/>
        <v>0.5</v>
      </c>
      <c r="AI300" s="637">
        <v>0.4</v>
      </c>
      <c r="AJ300" s="302" t="s">
        <v>588</v>
      </c>
      <c r="AK300" s="302" t="s">
        <v>589</v>
      </c>
      <c r="AL300" s="637">
        <v>0.09</v>
      </c>
      <c r="AM300" s="302" t="s">
        <v>586</v>
      </c>
      <c r="AN300" s="302" t="s">
        <v>587</v>
      </c>
      <c r="AO300" s="637">
        <v>0.01</v>
      </c>
      <c r="AP300" s="645">
        <f t="shared" si="404"/>
        <v>0.5</v>
      </c>
      <c r="AQ300" s="637">
        <v>0.4</v>
      </c>
      <c r="AR300" s="302" t="s">
        <v>588</v>
      </c>
      <c r="AS300" s="302" t="s">
        <v>589</v>
      </c>
      <c r="AT300" s="637">
        <v>0.09</v>
      </c>
      <c r="AU300" s="302" t="s">
        <v>586</v>
      </c>
      <c r="AV300" s="302" t="s">
        <v>587</v>
      </c>
      <c r="AW300" s="637">
        <v>0.01</v>
      </c>
      <c r="AX300" s="645">
        <f t="shared" si="405"/>
        <v>0.5</v>
      </c>
      <c r="AY300" s="637">
        <v>0</v>
      </c>
      <c r="AZ300" s="302" t="s">
        <v>588</v>
      </c>
      <c r="BA300" s="302" t="s">
        <v>589</v>
      </c>
      <c r="BB300" s="637">
        <v>0.74</v>
      </c>
      <c r="BC300" s="302" t="s">
        <v>586</v>
      </c>
      <c r="BD300" s="302" t="s">
        <v>587</v>
      </c>
      <c r="BE300" s="637">
        <v>0.01</v>
      </c>
      <c r="BF300" s="434">
        <f t="shared" si="406"/>
        <v>0.75</v>
      </c>
      <c r="BG300" s="587">
        <v>0.4</v>
      </c>
      <c r="BH300" s="302" t="s">
        <v>588</v>
      </c>
      <c r="BI300" s="302" t="s">
        <v>589</v>
      </c>
      <c r="BJ300" s="434">
        <v>0.09</v>
      </c>
      <c r="BK300" s="302" t="s">
        <v>586</v>
      </c>
      <c r="BL300" s="302" t="s">
        <v>587</v>
      </c>
      <c r="BM300" s="434">
        <v>0.01</v>
      </c>
      <c r="BN300" s="645">
        <f t="shared" si="407"/>
        <v>0.5</v>
      </c>
      <c r="BO300" s="434"/>
      <c r="BP300" s="434">
        <v>0.4</v>
      </c>
      <c r="BQ300" s="302" t="s">
        <v>588</v>
      </c>
      <c r="BR300" s="302" t="s">
        <v>589</v>
      </c>
      <c r="BS300" s="434">
        <v>0.09</v>
      </c>
      <c r="BT300" s="302" t="s">
        <v>586</v>
      </c>
      <c r="BU300" s="302" t="s">
        <v>587</v>
      </c>
      <c r="BV300" s="434">
        <v>0.01</v>
      </c>
      <c r="BW300" s="645">
        <f t="shared" si="408"/>
        <v>0.5</v>
      </c>
      <c r="BX300" s="434">
        <v>0.4</v>
      </c>
      <c r="BY300" s="302" t="s">
        <v>588</v>
      </c>
      <c r="BZ300" s="302" t="s">
        <v>589</v>
      </c>
      <c r="CA300" s="434">
        <v>0.09</v>
      </c>
      <c r="CB300" s="302" t="s">
        <v>586</v>
      </c>
      <c r="CC300" s="302" t="s">
        <v>587</v>
      </c>
      <c r="CD300" s="434">
        <v>0.01</v>
      </c>
      <c r="CE300" s="434">
        <f t="shared" si="409"/>
        <v>0.5</v>
      </c>
      <c r="CF300" s="1620" t="s">
        <v>1166</v>
      </c>
      <c r="CG300" s="1620" t="s">
        <v>1166</v>
      </c>
      <c r="CH300" s="1620" t="s">
        <v>1166</v>
      </c>
      <c r="CI300" s="406"/>
      <c r="CJ300" s="642">
        <v>0.66800000000000004</v>
      </c>
      <c r="CK300" s="591" t="s">
        <v>922</v>
      </c>
      <c r="CL300" s="302" t="s">
        <v>588</v>
      </c>
      <c r="CM300" s="302" t="s">
        <v>589</v>
      </c>
      <c r="CN300" s="637">
        <v>0.59</v>
      </c>
      <c r="CO300" s="302" t="s">
        <v>586</v>
      </c>
      <c r="CP300" s="302" t="s">
        <v>587</v>
      </c>
      <c r="CQ300" s="637">
        <v>0.01</v>
      </c>
    </row>
    <row r="301" spans="1:95" ht="15.75" customHeight="1" x14ac:dyDescent="0.2">
      <c r="A301" s="1277" t="s">
        <v>482</v>
      </c>
      <c r="B301" s="1276" t="s">
        <v>624</v>
      </c>
      <c r="C301" s="1278">
        <v>0.49</v>
      </c>
      <c r="D301" s="1276" t="s">
        <v>508</v>
      </c>
      <c r="E301" s="1276" t="s">
        <v>509</v>
      </c>
      <c r="F301" s="1278">
        <v>0</v>
      </c>
      <c r="G301" s="1276" t="s">
        <v>5865</v>
      </c>
      <c r="H301" s="1276" t="s">
        <v>5449</v>
      </c>
      <c r="I301" s="1278">
        <v>0.01</v>
      </c>
      <c r="J301" s="1279">
        <f t="shared" si="356"/>
        <v>0.5</v>
      </c>
      <c r="K301" s="637">
        <v>0.49</v>
      </c>
      <c r="L301" s="440" t="s">
        <v>508</v>
      </c>
      <c r="M301" s="440" t="s">
        <v>509</v>
      </c>
      <c r="N301" s="637">
        <v>0</v>
      </c>
      <c r="O301" s="440" t="s">
        <v>625</v>
      </c>
      <c r="P301" s="440" t="s">
        <v>626</v>
      </c>
      <c r="Q301" s="637">
        <v>0.01</v>
      </c>
      <c r="R301" s="662">
        <f t="shared" si="410"/>
        <v>0.5</v>
      </c>
      <c r="S301" s="637">
        <v>0.49</v>
      </c>
      <c r="T301" s="302" t="s">
        <v>508</v>
      </c>
      <c r="U301" s="302" t="s">
        <v>509</v>
      </c>
      <c r="V301" s="637">
        <v>0</v>
      </c>
      <c r="W301" s="302" t="s">
        <v>625</v>
      </c>
      <c r="X301" s="302" t="s">
        <v>626</v>
      </c>
      <c r="Y301" s="637">
        <v>0.01</v>
      </c>
      <c r="Z301" s="645">
        <f t="shared" si="330"/>
        <v>0.5</v>
      </c>
      <c r="AA301" s="637">
        <v>0.49</v>
      </c>
      <c r="AB301" s="302" t="s">
        <v>508</v>
      </c>
      <c r="AC301" s="302" t="s">
        <v>509</v>
      </c>
      <c r="AD301" s="637">
        <v>0</v>
      </c>
      <c r="AE301" s="302" t="s">
        <v>625</v>
      </c>
      <c r="AF301" s="302" t="s">
        <v>626</v>
      </c>
      <c r="AG301" s="637">
        <v>0.01</v>
      </c>
      <c r="AH301" s="645">
        <f t="shared" si="324"/>
        <v>0.5</v>
      </c>
      <c r="AI301" s="637">
        <v>0.49</v>
      </c>
      <c r="AJ301" s="302" t="s">
        <v>508</v>
      </c>
      <c r="AK301" s="302" t="s">
        <v>509</v>
      </c>
      <c r="AL301" s="637">
        <v>0</v>
      </c>
      <c r="AM301" s="302" t="s">
        <v>625</v>
      </c>
      <c r="AN301" s="302" t="s">
        <v>626</v>
      </c>
      <c r="AO301" s="637">
        <v>0.01</v>
      </c>
      <c r="AP301" s="645">
        <f t="shared" si="404"/>
        <v>0.5</v>
      </c>
      <c r="AQ301" s="637">
        <v>0.49</v>
      </c>
      <c r="AR301" s="302" t="s">
        <v>508</v>
      </c>
      <c r="AS301" s="302" t="s">
        <v>509</v>
      </c>
      <c r="AT301" s="637">
        <v>0</v>
      </c>
      <c r="AU301" s="302" t="s">
        <v>625</v>
      </c>
      <c r="AV301" s="302" t="s">
        <v>626</v>
      </c>
      <c r="AW301" s="637">
        <v>0.01</v>
      </c>
      <c r="AX301" s="645">
        <f t="shared" si="405"/>
        <v>0.5</v>
      </c>
      <c r="AY301" s="637">
        <v>0.74</v>
      </c>
      <c r="AZ301" s="302" t="s">
        <v>508</v>
      </c>
      <c r="BA301" s="302" t="s">
        <v>509</v>
      </c>
      <c r="BB301" s="637">
        <v>0</v>
      </c>
      <c r="BC301" s="302" t="s">
        <v>625</v>
      </c>
      <c r="BD301" s="302" t="s">
        <v>626</v>
      </c>
      <c r="BE301" s="637">
        <v>0.01</v>
      </c>
      <c r="BF301" s="434">
        <f t="shared" si="406"/>
        <v>0.75</v>
      </c>
      <c r="BG301" s="587">
        <v>0.99</v>
      </c>
      <c r="BH301" s="302" t="s">
        <v>508</v>
      </c>
      <c r="BI301" s="302" t="s">
        <v>509</v>
      </c>
      <c r="BJ301" s="434">
        <v>0</v>
      </c>
      <c r="BK301" s="302" t="s">
        <v>625</v>
      </c>
      <c r="BL301" s="302" t="s">
        <v>626</v>
      </c>
      <c r="BM301" s="434">
        <v>0.01</v>
      </c>
      <c r="BN301" s="645">
        <f t="shared" si="407"/>
        <v>1</v>
      </c>
      <c r="BO301" s="434"/>
      <c r="BP301" s="434">
        <v>0.49</v>
      </c>
      <c r="BQ301" s="302" t="s">
        <v>508</v>
      </c>
      <c r="BR301" s="302" t="s">
        <v>509</v>
      </c>
      <c r="BS301" s="434">
        <v>0</v>
      </c>
      <c r="BT301" s="302" t="s">
        <v>625</v>
      </c>
      <c r="BU301" s="302" t="s">
        <v>626</v>
      </c>
      <c r="BV301" s="434">
        <v>0.01</v>
      </c>
      <c r="BW301" s="645">
        <f t="shared" si="408"/>
        <v>0.5</v>
      </c>
      <c r="BX301" s="434">
        <v>0.49</v>
      </c>
      <c r="BY301" s="302" t="s">
        <v>508</v>
      </c>
      <c r="BZ301" s="302" t="s">
        <v>509</v>
      </c>
      <c r="CA301" s="434">
        <v>0</v>
      </c>
      <c r="CB301" s="302" t="s">
        <v>625</v>
      </c>
      <c r="CC301" s="302" t="s">
        <v>626</v>
      </c>
      <c r="CD301" s="434">
        <v>0.01</v>
      </c>
      <c r="CE301" s="434">
        <f t="shared" si="409"/>
        <v>0.5</v>
      </c>
      <c r="CF301" s="1620" t="s">
        <v>862</v>
      </c>
      <c r="CG301" s="1620" t="s">
        <v>1166</v>
      </c>
      <c r="CH301" s="1620" t="s">
        <v>1166</v>
      </c>
      <c r="CI301" s="408" t="s">
        <v>862</v>
      </c>
      <c r="CJ301" s="642">
        <v>0.71699999999999997</v>
      </c>
      <c r="CK301" s="591" t="s">
        <v>922</v>
      </c>
      <c r="CL301" s="302" t="s">
        <v>508</v>
      </c>
      <c r="CM301" s="302" t="s">
        <v>509</v>
      </c>
      <c r="CN301" s="637">
        <v>0</v>
      </c>
      <c r="CO301" s="302" t="s">
        <v>625</v>
      </c>
      <c r="CP301" s="302" t="s">
        <v>626</v>
      </c>
      <c r="CQ301" s="637">
        <v>0.01</v>
      </c>
    </row>
    <row r="302" spans="1:95" ht="16.5" customHeight="1" thickBot="1" x14ac:dyDescent="0.25">
      <c r="A302" s="891" t="s">
        <v>484</v>
      </c>
      <c r="B302" s="437" t="s">
        <v>913</v>
      </c>
      <c r="C302" s="437"/>
      <c r="D302" s="437"/>
      <c r="E302" s="437"/>
      <c r="F302" s="437"/>
      <c r="G302" s="437"/>
      <c r="H302" s="437"/>
      <c r="I302" s="437"/>
      <c r="J302" s="437"/>
      <c r="K302" s="437"/>
      <c r="L302" s="437"/>
      <c r="M302" s="437"/>
      <c r="N302" s="437"/>
      <c r="O302" s="437"/>
      <c r="P302" s="437"/>
      <c r="Q302" s="437"/>
      <c r="R302" s="437"/>
      <c r="S302" s="397"/>
      <c r="T302" s="397"/>
      <c r="U302" s="397"/>
      <c r="V302" s="397"/>
      <c r="W302" s="397"/>
      <c r="X302" s="397"/>
      <c r="Y302" s="397"/>
      <c r="Z302" s="397"/>
      <c r="AA302" s="397"/>
      <c r="AB302" s="397"/>
      <c r="AC302" s="397"/>
      <c r="AD302" s="397"/>
      <c r="AE302" s="397"/>
      <c r="AF302" s="397"/>
      <c r="AG302" s="397"/>
      <c r="AH302" s="397"/>
      <c r="AI302" s="397"/>
      <c r="AJ302" s="397"/>
      <c r="AK302" s="397"/>
      <c r="AL302" s="397"/>
      <c r="AM302" s="397"/>
      <c r="AN302" s="397"/>
      <c r="AO302" s="397"/>
      <c r="AP302" s="397"/>
      <c r="AQ302" s="397"/>
      <c r="AR302" s="397"/>
      <c r="AS302" s="397"/>
      <c r="AT302" s="397"/>
      <c r="AU302" s="397"/>
      <c r="AV302" s="397"/>
      <c r="AW302" s="397"/>
      <c r="AX302" s="397"/>
      <c r="AY302" s="397"/>
      <c r="AZ302" s="397"/>
      <c r="BA302" s="397"/>
      <c r="BB302" s="397"/>
      <c r="BC302" s="397"/>
      <c r="BD302" s="397"/>
      <c r="BE302" s="397"/>
      <c r="BF302" s="397"/>
      <c r="BG302" s="397"/>
      <c r="BH302" s="397"/>
      <c r="BI302" s="397"/>
      <c r="BJ302" s="397"/>
      <c r="BK302" s="397"/>
      <c r="BL302" s="397"/>
      <c r="BM302" s="397"/>
      <c r="BN302" s="397"/>
      <c r="BO302" s="397"/>
      <c r="BP302" s="436"/>
      <c r="BQ302" s="397"/>
      <c r="BR302" s="397"/>
      <c r="BS302" s="436"/>
      <c r="BT302" s="397"/>
      <c r="BU302" s="397"/>
      <c r="BV302" s="436"/>
      <c r="BW302" s="436"/>
      <c r="BX302" s="436"/>
      <c r="BY302" s="436"/>
      <c r="BZ302" s="436"/>
      <c r="CA302" s="436"/>
      <c r="CB302" s="436"/>
      <c r="CC302" s="436"/>
      <c r="CD302" s="436"/>
      <c r="CE302" s="437"/>
      <c r="CF302" s="419"/>
      <c r="CG302" s="419" t="s">
        <v>862</v>
      </c>
      <c r="CH302" s="419"/>
      <c r="CI302" s="410"/>
      <c r="CJ302" s="642">
        <v>0.75</v>
      </c>
      <c r="CK302" s="591"/>
    </row>
    <row r="303" spans="1:95" x14ac:dyDescent="0.2">
      <c r="BW303" s="439"/>
      <c r="BX303" s="439"/>
      <c r="BY303" s="439"/>
      <c r="BZ303" s="439"/>
      <c r="CA303" s="439"/>
      <c r="CB303" s="439"/>
      <c r="CC303" s="439"/>
      <c r="CD303" s="439"/>
      <c r="CF303" s="420"/>
      <c r="CG303" s="420"/>
      <c r="CH303" s="420"/>
    </row>
    <row r="304" spans="1:95" x14ac:dyDescent="0.2">
      <c r="A304" s="428"/>
      <c r="B304" s="428"/>
      <c r="C304" s="428"/>
      <c r="D304" s="428"/>
      <c r="E304" s="428"/>
      <c r="F304" s="428"/>
      <c r="G304" s="428"/>
      <c r="H304" s="428"/>
      <c r="I304" s="428"/>
      <c r="J304" s="428"/>
      <c r="K304" s="428"/>
      <c r="L304" s="428"/>
      <c r="M304" s="428"/>
      <c r="N304" s="428"/>
      <c r="O304" s="428"/>
      <c r="P304" s="428"/>
      <c r="Q304" s="428"/>
      <c r="R304" s="428"/>
      <c r="S304" s="428"/>
      <c r="T304" s="428"/>
      <c r="U304" s="428"/>
      <c r="V304" s="428"/>
      <c r="W304" s="428"/>
      <c r="X304" s="428"/>
      <c r="Y304" s="428"/>
      <c r="Z304" s="428"/>
      <c r="AA304" s="428"/>
      <c r="AB304" s="428"/>
      <c r="AC304" s="428"/>
      <c r="AD304" s="428"/>
      <c r="AE304" s="428"/>
      <c r="AF304" s="428"/>
      <c r="AG304" s="428"/>
      <c r="AH304" s="428"/>
      <c r="AI304" s="428"/>
      <c r="AJ304" s="428"/>
      <c r="AK304" s="428"/>
      <c r="AL304" s="428"/>
      <c r="AM304" s="428"/>
      <c r="AN304" s="428"/>
      <c r="AO304" s="428"/>
      <c r="AP304" s="428"/>
      <c r="AQ304" s="428"/>
      <c r="AR304" s="428"/>
      <c r="AS304" s="428"/>
      <c r="AT304" s="428"/>
      <c r="AU304" s="428"/>
      <c r="AV304" s="428"/>
      <c r="AW304" s="428"/>
      <c r="AX304" s="428"/>
      <c r="AY304" s="428"/>
      <c r="AZ304" s="428"/>
      <c r="BA304" s="428"/>
      <c r="BB304" s="428"/>
      <c r="BC304" s="428"/>
      <c r="BD304" s="428"/>
      <c r="BE304" s="428"/>
      <c r="BF304" s="428"/>
      <c r="BG304" s="428"/>
      <c r="BH304" s="428"/>
      <c r="BI304" s="428"/>
      <c r="BJ304" s="428"/>
      <c r="BK304" s="428"/>
      <c r="BL304" s="428"/>
      <c r="BM304" s="428"/>
      <c r="BN304" s="428"/>
      <c r="BO304" s="428"/>
      <c r="BP304" s="428"/>
      <c r="BQ304" s="428"/>
      <c r="BR304" s="428"/>
      <c r="BS304" s="428"/>
      <c r="BT304" s="428"/>
      <c r="BU304" s="428"/>
      <c r="BV304" s="428"/>
      <c r="BW304" s="439"/>
      <c r="BX304" s="439"/>
      <c r="BY304" s="439"/>
      <c r="BZ304" s="439"/>
      <c r="CA304" s="439"/>
      <c r="CB304" s="439"/>
      <c r="CC304" s="439"/>
      <c r="CD304" s="439"/>
      <c r="CF304" s="420"/>
      <c r="CG304" s="420"/>
      <c r="CH304" s="420"/>
      <c r="CI304" s="428"/>
    </row>
    <row r="305" spans="75:86" s="428" customFormat="1" x14ac:dyDescent="0.2">
      <c r="BW305" s="439"/>
      <c r="BX305" s="439"/>
      <c r="BY305" s="439"/>
      <c r="BZ305" s="439"/>
      <c r="CA305" s="439"/>
      <c r="CB305" s="439"/>
      <c r="CC305" s="439"/>
      <c r="CD305" s="439"/>
      <c r="CE305" s="440"/>
      <c r="CF305" s="420"/>
      <c r="CG305" s="420"/>
      <c r="CH305" s="420"/>
    </row>
    <row r="306" spans="75:86" s="428" customFormat="1" x14ac:dyDescent="0.2">
      <c r="BW306" s="439"/>
      <c r="BX306" s="439"/>
      <c r="BY306" s="439"/>
      <c r="BZ306" s="439"/>
      <c r="CA306" s="439"/>
      <c r="CB306" s="439"/>
      <c r="CC306" s="439"/>
      <c r="CD306" s="439"/>
      <c r="CE306" s="440"/>
      <c r="CF306" s="420"/>
      <c r="CG306" s="420"/>
      <c r="CH306" s="420"/>
    </row>
    <row r="307" spans="75:86" s="428" customFormat="1" x14ac:dyDescent="0.2">
      <c r="BW307" s="439"/>
      <c r="BX307" s="439"/>
      <c r="BY307" s="439"/>
      <c r="BZ307" s="439"/>
      <c r="CA307" s="439"/>
      <c r="CB307" s="439"/>
      <c r="CC307" s="439"/>
      <c r="CD307" s="439"/>
      <c r="CE307" s="440"/>
      <c r="CF307" s="420"/>
      <c r="CG307" s="420"/>
      <c r="CH307" s="420"/>
    </row>
    <row r="308" spans="75:86" s="428" customFormat="1" x14ac:dyDescent="0.2">
      <c r="BW308" s="439"/>
      <c r="BX308" s="439"/>
      <c r="BY308" s="439"/>
      <c r="BZ308" s="439"/>
      <c r="CA308" s="439"/>
      <c r="CB308" s="439"/>
      <c r="CC308" s="439"/>
      <c r="CD308" s="439"/>
      <c r="CE308" s="440"/>
      <c r="CF308" s="420"/>
      <c r="CG308" s="420"/>
      <c r="CH308" s="420"/>
    </row>
    <row r="309" spans="75:86" s="428" customFormat="1" x14ac:dyDescent="0.2">
      <c r="BW309" s="439"/>
      <c r="BX309" s="439"/>
      <c r="BY309" s="439"/>
      <c r="BZ309" s="439"/>
      <c r="CA309" s="439"/>
      <c r="CB309" s="439"/>
      <c r="CC309" s="439"/>
      <c r="CD309" s="439"/>
      <c r="CE309" s="440"/>
      <c r="CF309" s="420"/>
      <c r="CG309" s="420"/>
      <c r="CH309" s="420"/>
    </row>
    <row r="310" spans="75:86" s="428" customFormat="1" x14ac:dyDescent="0.2">
      <c r="BW310" s="439"/>
      <c r="BX310" s="439"/>
      <c r="BY310" s="439"/>
      <c r="BZ310" s="439"/>
      <c r="CA310" s="439"/>
      <c r="CB310" s="439"/>
      <c r="CC310" s="439"/>
      <c r="CD310" s="439"/>
      <c r="CE310" s="440"/>
      <c r="CF310" s="420"/>
      <c r="CG310" s="420"/>
      <c r="CH310" s="420"/>
    </row>
    <row r="311" spans="75:86" s="428" customFormat="1" x14ac:dyDescent="0.2">
      <c r="BW311" s="439"/>
      <c r="BX311" s="439"/>
      <c r="BY311" s="439"/>
      <c r="BZ311" s="439"/>
      <c r="CA311" s="439"/>
      <c r="CB311" s="439"/>
      <c r="CC311" s="439"/>
      <c r="CD311" s="439"/>
      <c r="CE311" s="440"/>
      <c r="CF311" s="420"/>
      <c r="CG311" s="420"/>
      <c r="CH311" s="420"/>
    </row>
    <row r="312" spans="75:86" s="428" customFormat="1" x14ac:dyDescent="0.2">
      <c r="BW312" s="439"/>
      <c r="BX312" s="439"/>
      <c r="BY312" s="439"/>
      <c r="BZ312" s="439"/>
      <c r="CA312" s="439"/>
      <c r="CB312" s="439"/>
      <c r="CC312" s="439"/>
      <c r="CD312" s="439"/>
      <c r="CE312" s="440"/>
      <c r="CF312" s="420"/>
      <c r="CG312" s="420"/>
      <c r="CH312" s="420"/>
    </row>
    <row r="313" spans="75:86" s="428" customFormat="1" x14ac:dyDescent="0.2">
      <c r="BW313" s="439"/>
      <c r="BX313" s="439"/>
      <c r="BY313" s="439"/>
      <c r="BZ313" s="439"/>
      <c r="CA313" s="439"/>
      <c r="CB313" s="439"/>
      <c r="CC313" s="439"/>
      <c r="CD313" s="439"/>
      <c r="CE313" s="440"/>
      <c r="CF313" s="420"/>
      <c r="CG313" s="420"/>
      <c r="CH313" s="420"/>
    </row>
    <row r="314" spans="75:86" s="428" customFormat="1" x14ac:dyDescent="0.2">
      <c r="BW314" s="439"/>
      <c r="BX314" s="439"/>
      <c r="BY314" s="439"/>
      <c r="BZ314" s="439"/>
      <c r="CA314" s="439"/>
      <c r="CB314" s="439"/>
      <c r="CC314" s="439"/>
      <c r="CD314" s="439"/>
      <c r="CE314" s="440"/>
      <c r="CF314" s="420"/>
      <c r="CG314" s="420"/>
      <c r="CH314" s="420"/>
    </row>
    <row r="315" spans="75:86" s="428" customFormat="1" x14ac:dyDescent="0.2">
      <c r="BW315" s="439"/>
      <c r="BX315" s="439"/>
      <c r="BY315" s="439"/>
      <c r="BZ315" s="439"/>
      <c r="CA315" s="439"/>
      <c r="CB315" s="439"/>
      <c r="CC315" s="439"/>
      <c r="CD315" s="439"/>
      <c r="CE315" s="440"/>
      <c r="CF315" s="420"/>
      <c r="CG315" s="420"/>
      <c r="CH315" s="420"/>
    </row>
    <row r="316" spans="75:86" s="428" customFormat="1" x14ac:dyDescent="0.2">
      <c r="BW316" s="439"/>
      <c r="BX316" s="439"/>
      <c r="BY316" s="439"/>
      <c r="BZ316" s="439"/>
      <c r="CA316" s="439"/>
      <c r="CB316" s="439"/>
      <c r="CC316" s="439"/>
      <c r="CD316" s="439"/>
      <c r="CE316" s="440"/>
      <c r="CF316" s="420"/>
      <c r="CG316" s="420"/>
      <c r="CH316" s="420"/>
    </row>
    <row r="317" spans="75:86" s="428" customFormat="1" x14ac:dyDescent="0.2">
      <c r="BW317" s="439"/>
      <c r="BX317" s="439"/>
      <c r="BY317" s="439"/>
      <c r="BZ317" s="439"/>
      <c r="CA317" s="439"/>
      <c r="CB317" s="439"/>
      <c r="CC317" s="439"/>
      <c r="CD317" s="439"/>
      <c r="CE317" s="440"/>
      <c r="CF317" s="420"/>
      <c r="CG317" s="420"/>
      <c r="CH317" s="420"/>
    </row>
    <row r="318" spans="75:86" s="428" customFormat="1" x14ac:dyDescent="0.2">
      <c r="BW318" s="439"/>
      <c r="BX318" s="439"/>
      <c r="BY318" s="439"/>
      <c r="BZ318" s="439"/>
      <c r="CA318" s="439"/>
      <c r="CB318" s="439"/>
      <c r="CC318" s="439"/>
      <c r="CD318" s="439"/>
      <c r="CE318" s="440"/>
      <c r="CF318" s="420"/>
      <c r="CG318" s="420"/>
      <c r="CH318" s="420"/>
    </row>
    <row r="319" spans="75:86" s="428" customFormat="1" x14ac:dyDescent="0.2">
      <c r="BW319" s="439"/>
      <c r="BX319" s="439"/>
      <c r="BY319" s="439"/>
      <c r="BZ319" s="439"/>
      <c r="CA319" s="439"/>
      <c r="CB319" s="439"/>
      <c r="CC319" s="439"/>
      <c r="CD319" s="439"/>
      <c r="CE319" s="440"/>
      <c r="CF319" s="420"/>
      <c r="CG319" s="420"/>
      <c r="CH319" s="420"/>
    </row>
    <row r="320" spans="75:86" s="428" customFormat="1" x14ac:dyDescent="0.2">
      <c r="BW320" s="439"/>
      <c r="BX320" s="439"/>
      <c r="BY320" s="439"/>
      <c r="BZ320" s="439"/>
      <c r="CA320" s="439"/>
      <c r="CB320" s="439"/>
      <c r="CC320" s="439"/>
      <c r="CD320" s="439"/>
      <c r="CE320" s="440"/>
      <c r="CF320" s="420"/>
      <c r="CG320" s="420"/>
      <c r="CH320" s="420"/>
    </row>
    <row r="321" spans="75:86" s="428" customFormat="1" x14ac:dyDescent="0.2">
      <c r="BW321" s="439"/>
      <c r="BX321" s="439"/>
      <c r="BY321" s="439"/>
      <c r="BZ321" s="439"/>
      <c r="CA321" s="439"/>
      <c r="CB321" s="439"/>
      <c r="CC321" s="439"/>
      <c r="CD321" s="439"/>
      <c r="CE321" s="440"/>
      <c r="CF321" s="420"/>
      <c r="CG321" s="420"/>
      <c r="CH321" s="420"/>
    </row>
    <row r="322" spans="75:86" s="428" customFormat="1" x14ac:dyDescent="0.2">
      <c r="BW322" s="439"/>
      <c r="BX322" s="439"/>
      <c r="BY322" s="439"/>
      <c r="BZ322" s="439"/>
      <c r="CA322" s="439"/>
      <c r="CB322" s="439"/>
      <c r="CC322" s="439"/>
      <c r="CD322" s="439"/>
      <c r="CE322" s="440"/>
      <c r="CF322" s="420"/>
      <c r="CG322" s="420"/>
      <c r="CH322" s="420"/>
    </row>
    <row r="323" spans="75:86" s="428" customFormat="1" x14ac:dyDescent="0.2">
      <c r="BW323" s="439"/>
      <c r="BX323" s="439"/>
      <c r="BY323" s="439"/>
      <c r="BZ323" s="439"/>
      <c r="CA323" s="439"/>
      <c r="CB323" s="439"/>
      <c r="CC323" s="439"/>
      <c r="CD323" s="439"/>
      <c r="CE323" s="440"/>
      <c r="CF323" s="420"/>
      <c r="CG323" s="420"/>
      <c r="CH323" s="420"/>
    </row>
    <row r="324" spans="75:86" s="428" customFormat="1" x14ac:dyDescent="0.2">
      <c r="BW324" s="439"/>
      <c r="BX324" s="439"/>
      <c r="BY324" s="439"/>
      <c r="BZ324" s="439"/>
      <c r="CA324" s="439"/>
      <c r="CB324" s="439"/>
      <c r="CC324" s="439"/>
      <c r="CD324" s="439"/>
      <c r="CE324" s="440"/>
      <c r="CF324" s="420"/>
      <c r="CG324" s="420"/>
      <c r="CH324" s="420"/>
    </row>
    <row r="325" spans="75:86" s="428" customFormat="1" x14ac:dyDescent="0.2">
      <c r="BW325" s="439"/>
      <c r="BX325" s="439"/>
      <c r="BY325" s="439"/>
      <c r="BZ325" s="439"/>
      <c r="CA325" s="439"/>
      <c r="CB325" s="439"/>
      <c r="CC325" s="439"/>
      <c r="CD325" s="439"/>
      <c r="CE325" s="440"/>
      <c r="CF325" s="420"/>
      <c r="CG325" s="420"/>
      <c r="CH325" s="420"/>
    </row>
    <row r="326" spans="75:86" s="428" customFormat="1" x14ac:dyDescent="0.2">
      <c r="BW326" s="439"/>
      <c r="BX326" s="439"/>
      <c r="BY326" s="439"/>
      <c r="BZ326" s="439"/>
      <c r="CA326" s="439"/>
      <c r="CB326" s="439"/>
      <c r="CC326" s="439"/>
      <c r="CD326" s="439"/>
      <c r="CE326" s="440"/>
      <c r="CF326" s="420"/>
      <c r="CG326" s="420"/>
      <c r="CH326" s="420"/>
    </row>
    <row r="327" spans="75:86" s="428" customFormat="1" x14ac:dyDescent="0.2">
      <c r="BW327" s="439"/>
      <c r="BX327" s="439"/>
      <c r="BY327" s="439"/>
      <c r="BZ327" s="439"/>
      <c r="CA327" s="439"/>
      <c r="CB327" s="439"/>
      <c r="CC327" s="439"/>
      <c r="CD327" s="439"/>
      <c r="CE327" s="440"/>
      <c r="CF327" s="420"/>
      <c r="CG327" s="420"/>
      <c r="CH327" s="420"/>
    </row>
    <row r="328" spans="75:86" s="428" customFormat="1" x14ac:dyDescent="0.2">
      <c r="BW328" s="439"/>
      <c r="BX328" s="439"/>
      <c r="BY328" s="439"/>
      <c r="BZ328" s="439"/>
      <c r="CA328" s="439"/>
      <c r="CB328" s="439"/>
      <c r="CC328" s="439"/>
      <c r="CD328" s="439"/>
      <c r="CE328" s="440"/>
      <c r="CF328" s="420"/>
      <c r="CG328" s="420"/>
      <c r="CH328" s="420"/>
    </row>
    <row r="329" spans="75:86" s="428" customFormat="1" x14ac:dyDescent="0.2">
      <c r="BW329" s="439"/>
      <c r="BX329" s="439"/>
      <c r="BY329" s="439"/>
      <c r="BZ329" s="439"/>
      <c r="CA329" s="439"/>
      <c r="CB329" s="439"/>
      <c r="CC329" s="439"/>
      <c r="CD329" s="439"/>
      <c r="CE329" s="440"/>
      <c r="CF329" s="420"/>
      <c r="CG329" s="420"/>
      <c r="CH329" s="420"/>
    </row>
    <row r="330" spans="75:86" s="428" customFormat="1" x14ac:dyDescent="0.2">
      <c r="BW330" s="439"/>
      <c r="BX330" s="439"/>
      <c r="BY330" s="439"/>
      <c r="BZ330" s="439"/>
      <c r="CA330" s="439"/>
      <c r="CB330" s="439"/>
      <c r="CC330" s="439"/>
      <c r="CD330" s="439"/>
      <c r="CE330" s="440"/>
      <c r="CF330" s="420"/>
      <c r="CG330" s="420"/>
      <c r="CH330" s="420"/>
    </row>
    <row r="331" spans="75:86" s="428" customFormat="1" x14ac:dyDescent="0.2">
      <c r="BW331" s="439"/>
      <c r="BX331" s="439"/>
      <c r="BY331" s="439"/>
      <c r="BZ331" s="439"/>
      <c r="CA331" s="439"/>
      <c r="CB331" s="439"/>
      <c r="CC331" s="439"/>
      <c r="CD331" s="439"/>
      <c r="CE331" s="440"/>
      <c r="CF331" s="420"/>
      <c r="CG331" s="420"/>
      <c r="CH331" s="420"/>
    </row>
    <row r="332" spans="75:86" s="428" customFormat="1" x14ac:dyDescent="0.2">
      <c r="BW332" s="439"/>
      <c r="BX332" s="439"/>
      <c r="BY332" s="439"/>
      <c r="BZ332" s="439"/>
      <c r="CA332" s="439"/>
      <c r="CB332" s="439"/>
      <c r="CC332" s="439"/>
      <c r="CD332" s="439"/>
      <c r="CE332" s="440"/>
      <c r="CF332" s="420"/>
      <c r="CG332" s="420"/>
      <c r="CH332" s="420"/>
    </row>
    <row r="333" spans="75:86" s="428" customFormat="1" x14ac:dyDescent="0.2">
      <c r="BW333" s="439"/>
      <c r="BX333" s="439"/>
      <c r="BY333" s="439"/>
      <c r="BZ333" s="439"/>
      <c r="CA333" s="439"/>
      <c r="CB333" s="439"/>
      <c r="CC333" s="439"/>
      <c r="CD333" s="439"/>
      <c r="CE333" s="440"/>
      <c r="CF333" s="420"/>
      <c r="CG333" s="420"/>
      <c r="CH333" s="420"/>
    </row>
    <row r="334" spans="75:86" s="428" customFormat="1" x14ac:dyDescent="0.2">
      <c r="BW334" s="439"/>
      <c r="BX334" s="439"/>
      <c r="BY334" s="439"/>
      <c r="BZ334" s="439"/>
      <c r="CA334" s="439"/>
      <c r="CB334" s="439"/>
      <c r="CC334" s="439"/>
      <c r="CD334" s="439"/>
      <c r="CE334" s="440"/>
      <c r="CF334" s="420"/>
      <c r="CG334" s="420"/>
      <c r="CH334" s="420"/>
    </row>
    <row r="335" spans="75:86" s="428" customFormat="1" x14ac:dyDescent="0.2">
      <c r="BW335" s="439"/>
      <c r="BX335" s="439"/>
      <c r="BY335" s="439"/>
      <c r="BZ335" s="439"/>
      <c r="CA335" s="439"/>
      <c r="CB335" s="439"/>
      <c r="CC335" s="439"/>
      <c r="CD335" s="439"/>
      <c r="CE335" s="440"/>
      <c r="CF335" s="420"/>
      <c r="CG335" s="420"/>
      <c r="CH335" s="420"/>
    </row>
    <row r="336" spans="75:86" s="428" customFormat="1" x14ac:dyDescent="0.2">
      <c r="BW336" s="439"/>
      <c r="BX336" s="439"/>
      <c r="BY336" s="439"/>
      <c r="BZ336" s="439"/>
      <c r="CA336" s="439"/>
      <c r="CB336" s="439"/>
      <c r="CC336" s="439"/>
      <c r="CD336" s="439"/>
      <c r="CE336" s="440"/>
      <c r="CF336" s="420"/>
      <c r="CG336" s="420"/>
      <c r="CH336" s="420"/>
    </row>
    <row r="337" spans="75:86" s="428" customFormat="1" x14ac:dyDescent="0.2">
      <c r="BW337" s="439"/>
      <c r="BX337" s="439"/>
      <c r="BY337" s="439"/>
      <c r="BZ337" s="439"/>
      <c r="CA337" s="439"/>
      <c r="CB337" s="439"/>
      <c r="CC337" s="439"/>
      <c r="CD337" s="439"/>
      <c r="CE337" s="440"/>
      <c r="CF337" s="420"/>
      <c r="CG337" s="420"/>
      <c r="CH337" s="420"/>
    </row>
    <row r="338" spans="75:86" s="428" customFormat="1" x14ac:dyDescent="0.2">
      <c r="BW338" s="439"/>
      <c r="BX338" s="439"/>
      <c r="BY338" s="439"/>
      <c r="BZ338" s="439"/>
      <c r="CA338" s="439"/>
      <c r="CB338" s="439"/>
      <c r="CC338" s="439"/>
      <c r="CD338" s="439"/>
      <c r="CE338" s="440"/>
      <c r="CF338" s="420"/>
      <c r="CG338" s="420"/>
      <c r="CH338" s="420"/>
    </row>
    <row r="339" spans="75:86" s="428" customFormat="1" x14ac:dyDescent="0.2">
      <c r="BW339" s="439"/>
      <c r="BX339" s="439"/>
      <c r="BY339" s="439"/>
      <c r="BZ339" s="439"/>
      <c r="CA339" s="439"/>
      <c r="CB339" s="439"/>
      <c r="CC339" s="439"/>
      <c r="CD339" s="439"/>
      <c r="CE339" s="440"/>
      <c r="CF339" s="420"/>
      <c r="CG339" s="420"/>
      <c r="CH339" s="420"/>
    </row>
    <row r="340" spans="75:86" s="428" customFormat="1" x14ac:dyDescent="0.2">
      <c r="BW340" s="439"/>
      <c r="BX340" s="439"/>
      <c r="BY340" s="439"/>
      <c r="BZ340" s="439"/>
      <c r="CA340" s="439"/>
      <c r="CB340" s="439"/>
      <c r="CC340" s="439"/>
      <c r="CD340" s="439"/>
      <c r="CE340" s="440"/>
      <c r="CF340" s="420"/>
      <c r="CG340" s="420"/>
      <c r="CH340" s="420"/>
    </row>
    <row r="341" spans="75:86" s="428" customFormat="1" x14ac:dyDescent="0.2">
      <c r="BW341" s="439"/>
      <c r="BX341" s="439"/>
      <c r="BY341" s="439"/>
      <c r="BZ341" s="439"/>
      <c r="CA341" s="439"/>
      <c r="CB341" s="439"/>
      <c r="CC341" s="439"/>
      <c r="CD341" s="439"/>
      <c r="CE341" s="440"/>
      <c r="CF341" s="420"/>
      <c r="CG341" s="420"/>
      <c r="CH341" s="420"/>
    </row>
    <row r="342" spans="75:86" s="428" customFormat="1" x14ac:dyDescent="0.2">
      <c r="BW342" s="439"/>
      <c r="BX342" s="439"/>
      <c r="BY342" s="439"/>
      <c r="BZ342" s="439"/>
      <c r="CA342" s="439"/>
      <c r="CB342" s="439"/>
      <c r="CC342" s="439"/>
      <c r="CD342" s="439"/>
      <c r="CE342" s="440"/>
      <c r="CF342" s="420"/>
      <c r="CG342" s="420"/>
      <c r="CH342" s="420"/>
    </row>
    <row r="343" spans="75:86" s="428" customFormat="1" x14ac:dyDescent="0.2">
      <c r="BW343" s="439"/>
      <c r="BX343" s="439"/>
      <c r="BY343" s="439"/>
      <c r="BZ343" s="439"/>
      <c r="CA343" s="439"/>
      <c r="CB343" s="439"/>
      <c r="CC343" s="439"/>
      <c r="CD343" s="439"/>
      <c r="CE343" s="440"/>
      <c r="CF343" s="420"/>
      <c r="CG343" s="420"/>
      <c r="CH343" s="420"/>
    </row>
    <row r="344" spans="75:86" s="428" customFormat="1" x14ac:dyDescent="0.2">
      <c r="BW344" s="439"/>
      <c r="BX344" s="439"/>
      <c r="BY344" s="439"/>
      <c r="BZ344" s="439"/>
      <c r="CA344" s="439"/>
      <c r="CB344" s="439"/>
      <c r="CC344" s="439"/>
      <c r="CD344" s="439"/>
      <c r="CE344" s="440"/>
      <c r="CF344" s="420"/>
      <c r="CG344" s="420"/>
      <c r="CH344" s="420"/>
    </row>
    <row r="345" spans="75:86" s="428" customFormat="1" x14ac:dyDescent="0.2">
      <c r="BW345" s="439"/>
      <c r="BX345" s="439"/>
      <c r="BY345" s="439"/>
      <c r="BZ345" s="439"/>
      <c r="CA345" s="439"/>
      <c r="CB345" s="439"/>
      <c r="CC345" s="439"/>
      <c r="CD345" s="439"/>
      <c r="CE345" s="440"/>
      <c r="CF345" s="420"/>
      <c r="CG345" s="420"/>
      <c r="CH345" s="420"/>
    </row>
    <row r="346" spans="75:86" s="428" customFormat="1" x14ac:dyDescent="0.2">
      <c r="BW346" s="439"/>
      <c r="BX346" s="439"/>
      <c r="BY346" s="439"/>
      <c r="BZ346" s="439"/>
      <c r="CA346" s="439"/>
      <c r="CB346" s="439"/>
      <c r="CC346" s="439"/>
      <c r="CD346" s="439"/>
      <c r="CE346" s="440"/>
      <c r="CF346" s="420"/>
      <c r="CG346" s="420"/>
      <c r="CH346" s="420"/>
    </row>
    <row r="347" spans="75:86" s="428" customFormat="1" x14ac:dyDescent="0.2">
      <c r="BW347" s="439"/>
      <c r="BX347" s="439"/>
      <c r="BY347" s="439"/>
      <c r="BZ347" s="439"/>
      <c r="CA347" s="439"/>
      <c r="CB347" s="439"/>
      <c r="CC347" s="439"/>
      <c r="CD347" s="439"/>
      <c r="CE347" s="440"/>
      <c r="CF347" s="420"/>
      <c r="CG347" s="420"/>
      <c r="CH347" s="420"/>
    </row>
    <row r="348" spans="75:86" s="428" customFormat="1" x14ac:dyDescent="0.2">
      <c r="BW348" s="439"/>
      <c r="BX348" s="439"/>
      <c r="BY348" s="439"/>
      <c r="BZ348" s="439"/>
      <c r="CA348" s="439"/>
      <c r="CB348" s="439"/>
      <c r="CC348" s="439"/>
      <c r="CD348" s="439"/>
      <c r="CE348" s="440"/>
      <c r="CF348" s="420"/>
      <c r="CG348" s="420"/>
      <c r="CH348" s="420"/>
    </row>
    <row r="349" spans="75:86" s="428" customFormat="1" x14ac:dyDescent="0.2">
      <c r="BW349" s="439"/>
      <c r="BX349" s="439"/>
      <c r="BY349" s="439"/>
      <c r="BZ349" s="439"/>
      <c r="CA349" s="439"/>
      <c r="CB349" s="439"/>
      <c r="CC349" s="439"/>
      <c r="CD349" s="439"/>
      <c r="CE349" s="440"/>
      <c r="CF349" s="420"/>
      <c r="CG349" s="420"/>
      <c r="CH349" s="420"/>
    </row>
    <row r="350" spans="75:86" s="428" customFormat="1" x14ac:dyDescent="0.2">
      <c r="BW350" s="439"/>
      <c r="BX350" s="439"/>
      <c r="BY350" s="439"/>
      <c r="BZ350" s="439"/>
      <c r="CA350" s="439"/>
      <c r="CB350" s="439"/>
      <c r="CC350" s="439"/>
      <c r="CD350" s="439"/>
      <c r="CE350" s="440"/>
      <c r="CF350" s="420"/>
      <c r="CG350" s="420"/>
      <c r="CH350" s="420"/>
    </row>
    <row r="351" spans="75:86" s="428" customFormat="1" x14ac:dyDescent="0.2">
      <c r="BW351" s="439"/>
      <c r="BX351" s="439"/>
      <c r="BY351" s="439"/>
      <c r="BZ351" s="439"/>
      <c r="CA351" s="439"/>
      <c r="CB351" s="439"/>
      <c r="CC351" s="439"/>
      <c r="CD351" s="439"/>
      <c r="CE351" s="440"/>
      <c r="CF351" s="420"/>
      <c r="CG351" s="420"/>
      <c r="CH351" s="420"/>
    </row>
    <row r="352" spans="75:86" s="428" customFormat="1" x14ac:dyDescent="0.2">
      <c r="BW352" s="439"/>
      <c r="BX352" s="439"/>
      <c r="BY352" s="439"/>
      <c r="BZ352" s="439"/>
      <c r="CA352" s="439"/>
      <c r="CB352" s="439"/>
      <c r="CC352" s="439"/>
      <c r="CD352" s="439"/>
      <c r="CE352" s="440"/>
      <c r="CF352" s="420"/>
      <c r="CG352" s="420"/>
      <c r="CH352" s="420"/>
    </row>
    <row r="353" spans="75:86" s="428" customFormat="1" x14ac:dyDescent="0.2">
      <c r="BW353" s="439"/>
      <c r="BX353" s="439"/>
      <c r="BY353" s="439"/>
      <c r="BZ353" s="439"/>
      <c r="CA353" s="439"/>
      <c r="CB353" s="439"/>
      <c r="CC353" s="439"/>
      <c r="CD353" s="439"/>
      <c r="CE353" s="440"/>
      <c r="CF353" s="420"/>
      <c r="CG353" s="420"/>
      <c r="CH353" s="420"/>
    </row>
    <row r="354" spans="75:86" s="428" customFormat="1" x14ac:dyDescent="0.2">
      <c r="BW354" s="439"/>
      <c r="BX354" s="439"/>
      <c r="BY354" s="439"/>
      <c r="BZ354" s="439"/>
      <c r="CA354" s="439"/>
      <c r="CB354" s="439"/>
      <c r="CC354" s="439"/>
      <c r="CD354" s="439"/>
      <c r="CE354" s="440"/>
      <c r="CF354" s="420"/>
      <c r="CG354" s="420"/>
      <c r="CH354" s="420"/>
    </row>
    <row r="355" spans="75:86" s="428" customFormat="1" x14ac:dyDescent="0.2">
      <c r="BW355" s="439"/>
      <c r="BX355" s="439"/>
      <c r="BY355" s="439"/>
      <c r="BZ355" s="439"/>
      <c r="CA355" s="439"/>
      <c r="CB355" s="439"/>
      <c r="CC355" s="439"/>
      <c r="CD355" s="439"/>
      <c r="CE355" s="440"/>
      <c r="CF355" s="420"/>
      <c r="CG355" s="420"/>
      <c r="CH355" s="420"/>
    </row>
    <row r="356" spans="75:86" s="428" customFormat="1" x14ac:dyDescent="0.2">
      <c r="BW356" s="439"/>
      <c r="BX356" s="439"/>
      <c r="BY356" s="439"/>
      <c r="BZ356" s="439"/>
      <c r="CA356" s="439"/>
      <c r="CB356" s="439"/>
      <c r="CC356" s="439"/>
      <c r="CD356" s="439"/>
      <c r="CE356" s="440"/>
      <c r="CF356" s="420"/>
      <c r="CG356" s="420"/>
      <c r="CH356" s="420"/>
    </row>
    <row r="357" spans="75:86" s="428" customFormat="1" x14ac:dyDescent="0.2">
      <c r="BW357" s="439"/>
      <c r="BX357" s="439"/>
      <c r="BY357" s="439"/>
      <c r="BZ357" s="439"/>
      <c r="CA357" s="439"/>
      <c r="CB357" s="439"/>
      <c r="CC357" s="439"/>
      <c r="CD357" s="439"/>
      <c r="CE357" s="440"/>
      <c r="CF357" s="420"/>
      <c r="CG357" s="420"/>
      <c r="CH357" s="420"/>
    </row>
    <row r="358" spans="75:86" s="428" customFormat="1" x14ac:dyDescent="0.2">
      <c r="BW358" s="439"/>
      <c r="BX358" s="439"/>
      <c r="BY358" s="439"/>
      <c r="BZ358" s="439"/>
      <c r="CA358" s="439"/>
      <c r="CB358" s="439"/>
      <c r="CC358" s="439"/>
      <c r="CD358" s="439"/>
      <c r="CE358" s="440"/>
      <c r="CF358" s="420"/>
      <c r="CG358" s="420"/>
      <c r="CH358" s="420"/>
    </row>
    <row r="359" spans="75:86" s="428" customFormat="1" x14ac:dyDescent="0.2">
      <c r="BW359" s="439"/>
      <c r="BX359" s="439"/>
      <c r="BY359" s="439"/>
      <c r="BZ359" s="439"/>
      <c r="CA359" s="439"/>
      <c r="CB359" s="439"/>
      <c r="CC359" s="439"/>
      <c r="CD359" s="439"/>
      <c r="CE359" s="440"/>
      <c r="CF359" s="420"/>
      <c r="CG359" s="420"/>
      <c r="CH359" s="420"/>
    </row>
    <row r="360" spans="75:86" s="428" customFormat="1" x14ac:dyDescent="0.2">
      <c r="BW360" s="439"/>
      <c r="BX360" s="439"/>
      <c r="BY360" s="439"/>
      <c r="BZ360" s="439"/>
      <c r="CA360" s="439"/>
      <c r="CB360" s="439"/>
      <c r="CC360" s="439"/>
      <c r="CD360" s="439"/>
      <c r="CE360" s="440"/>
      <c r="CF360" s="420"/>
      <c r="CG360" s="420"/>
      <c r="CH360" s="420"/>
    </row>
    <row r="361" spans="75:86" s="428" customFormat="1" x14ac:dyDescent="0.2">
      <c r="BW361" s="439"/>
      <c r="BX361" s="439"/>
      <c r="BY361" s="439"/>
      <c r="BZ361" s="439"/>
      <c r="CA361" s="439"/>
      <c r="CB361" s="439"/>
      <c r="CC361" s="439"/>
      <c r="CD361" s="439"/>
      <c r="CE361" s="440"/>
      <c r="CF361" s="420"/>
      <c r="CG361" s="420"/>
      <c r="CH361" s="420"/>
    </row>
    <row r="362" spans="75:86" s="428" customFormat="1" x14ac:dyDescent="0.2">
      <c r="BW362" s="439"/>
      <c r="BX362" s="439"/>
      <c r="BY362" s="439"/>
      <c r="BZ362" s="439"/>
      <c r="CA362" s="439"/>
      <c r="CB362" s="439"/>
      <c r="CC362" s="439"/>
      <c r="CD362" s="439"/>
      <c r="CE362" s="440"/>
      <c r="CF362" s="420"/>
      <c r="CG362" s="420"/>
      <c r="CH362" s="420"/>
    </row>
    <row r="363" spans="75:86" s="428" customFormat="1" x14ac:dyDescent="0.2">
      <c r="BW363" s="439"/>
      <c r="BX363" s="439"/>
      <c r="BY363" s="439"/>
      <c r="BZ363" s="439"/>
      <c r="CA363" s="439"/>
      <c r="CB363" s="439"/>
      <c r="CC363" s="439"/>
      <c r="CD363" s="439"/>
      <c r="CE363" s="440"/>
      <c r="CF363" s="420"/>
      <c r="CG363" s="420"/>
      <c r="CH363" s="420"/>
    </row>
    <row r="364" spans="75:86" s="428" customFormat="1" x14ac:dyDescent="0.2">
      <c r="BW364" s="439"/>
      <c r="BX364" s="439"/>
      <c r="BY364" s="439"/>
      <c r="BZ364" s="439"/>
      <c r="CA364" s="439"/>
      <c r="CB364" s="439"/>
      <c r="CC364" s="439"/>
      <c r="CD364" s="439"/>
      <c r="CE364" s="440"/>
      <c r="CF364" s="420"/>
      <c r="CG364" s="420"/>
      <c r="CH364" s="420"/>
    </row>
    <row r="365" spans="75:86" s="428" customFormat="1" x14ac:dyDescent="0.2">
      <c r="BW365" s="439"/>
      <c r="BX365" s="439"/>
      <c r="BY365" s="439"/>
      <c r="BZ365" s="439"/>
      <c r="CA365" s="439"/>
      <c r="CB365" s="439"/>
      <c r="CC365" s="439"/>
      <c r="CD365" s="439"/>
      <c r="CE365" s="440"/>
      <c r="CF365" s="420"/>
      <c r="CG365" s="420"/>
      <c r="CH365" s="420"/>
    </row>
    <row r="366" spans="75:86" s="428" customFormat="1" x14ac:dyDescent="0.2">
      <c r="BW366" s="439"/>
      <c r="BX366" s="439"/>
      <c r="BY366" s="439"/>
      <c r="BZ366" s="439"/>
      <c r="CA366" s="439"/>
      <c r="CB366" s="439"/>
      <c r="CC366" s="439"/>
      <c r="CD366" s="439"/>
      <c r="CE366" s="440"/>
      <c r="CF366" s="420"/>
      <c r="CG366" s="420"/>
      <c r="CH366" s="420"/>
    </row>
    <row r="367" spans="75:86" s="428" customFormat="1" x14ac:dyDescent="0.2">
      <c r="BW367" s="439"/>
      <c r="BX367" s="439"/>
      <c r="BY367" s="439"/>
      <c r="BZ367" s="439"/>
      <c r="CA367" s="439"/>
      <c r="CB367" s="439"/>
      <c r="CC367" s="439"/>
      <c r="CD367" s="439"/>
      <c r="CE367" s="440"/>
      <c r="CF367" s="420"/>
      <c r="CG367" s="420"/>
      <c r="CH367" s="420"/>
    </row>
    <row r="368" spans="75:86" s="428" customFormat="1" x14ac:dyDescent="0.2">
      <c r="BW368" s="439"/>
      <c r="BX368" s="439"/>
      <c r="BY368" s="439"/>
      <c r="BZ368" s="439"/>
      <c r="CA368" s="439"/>
      <c r="CB368" s="439"/>
      <c r="CC368" s="439"/>
      <c r="CD368" s="439"/>
      <c r="CE368" s="440"/>
      <c r="CF368" s="420"/>
      <c r="CG368" s="420"/>
      <c r="CH368" s="420"/>
    </row>
    <row r="369" spans="75:86" s="428" customFormat="1" x14ac:dyDescent="0.2">
      <c r="BW369" s="439"/>
      <c r="BX369" s="439"/>
      <c r="BY369" s="439"/>
      <c r="BZ369" s="439"/>
      <c r="CA369" s="439"/>
      <c r="CB369" s="439"/>
      <c r="CC369" s="439"/>
      <c r="CD369" s="439"/>
      <c r="CE369" s="440"/>
      <c r="CF369" s="420"/>
      <c r="CG369" s="420"/>
      <c r="CH369" s="420"/>
    </row>
    <row r="370" spans="75:86" s="428" customFormat="1" x14ac:dyDescent="0.2">
      <c r="BW370" s="439"/>
      <c r="BX370" s="439"/>
      <c r="BY370" s="439"/>
      <c r="BZ370" s="439"/>
      <c r="CA370" s="439"/>
      <c r="CB370" s="439"/>
      <c r="CC370" s="439"/>
      <c r="CD370" s="439"/>
      <c r="CE370" s="440"/>
      <c r="CF370" s="420"/>
      <c r="CG370" s="420"/>
      <c r="CH370" s="420"/>
    </row>
    <row r="371" spans="75:86" s="428" customFormat="1" x14ac:dyDescent="0.2">
      <c r="BW371" s="439"/>
      <c r="BX371" s="439"/>
      <c r="BY371" s="439"/>
      <c r="BZ371" s="439"/>
      <c r="CA371" s="439"/>
      <c r="CB371" s="439"/>
      <c r="CC371" s="439"/>
      <c r="CD371" s="439"/>
      <c r="CE371" s="440"/>
      <c r="CF371" s="420"/>
      <c r="CG371" s="420"/>
      <c r="CH371" s="420"/>
    </row>
    <row r="372" spans="75:86" s="428" customFormat="1" x14ac:dyDescent="0.2">
      <c r="BW372" s="439"/>
      <c r="BX372" s="439"/>
      <c r="BY372" s="439"/>
      <c r="BZ372" s="439"/>
      <c r="CA372" s="439"/>
      <c r="CB372" s="439"/>
      <c r="CC372" s="439"/>
      <c r="CD372" s="439"/>
      <c r="CE372" s="440"/>
      <c r="CF372" s="420"/>
      <c r="CG372" s="420"/>
      <c r="CH372" s="420"/>
    </row>
    <row r="373" spans="75:86" s="428" customFormat="1" x14ac:dyDescent="0.2">
      <c r="BW373" s="439"/>
      <c r="BX373" s="439"/>
      <c r="BY373" s="439"/>
      <c r="BZ373" s="439"/>
      <c r="CA373" s="439"/>
      <c r="CB373" s="439"/>
      <c r="CC373" s="439"/>
      <c r="CD373" s="439"/>
      <c r="CE373" s="440"/>
      <c r="CF373" s="420"/>
      <c r="CG373" s="420"/>
      <c r="CH373" s="420"/>
    </row>
    <row r="374" spans="75:86" s="428" customFormat="1" x14ac:dyDescent="0.2">
      <c r="BW374" s="439"/>
      <c r="BX374" s="439"/>
      <c r="BY374" s="439"/>
      <c r="BZ374" s="439"/>
      <c r="CA374" s="439"/>
      <c r="CB374" s="439"/>
      <c r="CC374" s="439"/>
      <c r="CD374" s="439"/>
      <c r="CE374" s="440"/>
      <c r="CF374" s="420"/>
      <c r="CG374" s="420"/>
      <c r="CH374" s="420"/>
    </row>
    <row r="375" spans="75:86" s="428" customFormat="1" x14ac:dyDescent="0.2">
      <c r="BW375" s="439"/>
      <c r="BX375" s="439"/>
      <c r="BY375" s="439"/>
      <c r="BZ375" s="439"/>
      <c r="CA375" s="439"/>
      <c r="CB375" s="439"/>
      <c r="CC375" s="439"/>
      <c r="CD375" s="439"/>
      <c r="CE375" s="440"/>
      <c r="CF375" s="420"/>
      <c r="CG375" s="420"/>
      <c r="CH375" s="420"/>
    </row>
    <row r="376" spans="75:86" s="428" customFormat="1" x14ac:dyDescent="0.2">
      <c r="BW376" s="439"/>
      <c r="BX376" s="439"/>
      <c r="BY376" s="439"/>
      <c r="BZ376" s="439"/>
      <c r="CA376" s="439"/>
      <c r="CB376" s="439"/>
      <c r="CC376" s="439"/>
      <c r="CD376" s="439"/>
      <c r="CE376" s="440"/>
      <c r="CF376" s="420"/>
      <c r="CG376" s="420"/>
      <c r="CH376" s="420"/>
    </row>
    <row r="377" spans="75:86" s="428" customFormat="1" x14ac:dyDescent="0.2">
      <c r="BW377" s="439"/>
      <c r="BX377" s="439"/>
      <c r="BY377" s="439"/>
      <c r="BZ377" s="439"/>
      <c r="CA377" s="439"/>
      <c r="CB377" s="439"/>
      <c r="CC377" s="439"/>
      <c r="CD377" s="439"/>
      <c r="CE377" s="440"/>
      <c r="CF377" s="420"/>
      <c r="CG377" s="420"/>
      <c r="CH377" s="420"/>
    </row>
    <row r="378" spans="75:86" s="428" customFormat="1" x14ac:dyDescent="0.2">
      <c r="BW378" s="439"/>
      <c r="BX378" s="439"/>
      <c r="BY378" s="439"/>
      <c r="BZ378" s="439"/>
      <c r="CA378" s="439"/>
      <c r="CB378" s="439"/>
      <c r="CC378" s="439"/>
      <c r="CD378" s="439"/>
      <c r="CE378" s="440"/>
      <c r="CF378" s="420"/>
      <c r="CG378" s="420"/>
      <c r="CH378" s="420"/>
    </row>
    <row r="379" spans="75:86" s="428" customFormat="1" x14ac:dyDescent="0.2">
      <c r="BW379" s="439"/>
      <c r="BX379" s="439"/>
      <c r="BY379" s="439"/>
      <c r="BZ379" s="439"/>
      <c r="CA379" s="439"/>
      <c r="CB379" s="439"/>
      <c r="CC379" s="439"/>
      <c r="CD379" s="439"/>
      <c r="CE379" s="440"/>
      <c r="CF379" s="420"/>
      <c r="CG379" s="420"/>
      <c r="CH379" s="420"/>
    </row>
    <row r="380" spans="75:86" s="428" customFormat="1" x14ac:dyDescent="0.2">
      <c r="BW380" s="439"/>
      <c r="BX380" s="439"/>
      <c r="BY380" s="439"/>
      <c r="BZ380" s="439"/>
      <c r="CA380" s="439"/>
      <c r="CB380" s="439"/>
      <c r="CC380" s="439"/>
      <c r="CD380" s="439"/>
      <c r="CE380" s="440"/>
      <c r="CF380" s="420"/>
      <c r="CG380" s="420"/>
      <c r="CH380" s="420"/>
    </row>
    <row r="381" spans="75:86" s="428" customFormat="1" x14ac:dyDescent="0.2">
      <c r="BW381" s="439"/>
      <c r="BX381" s="439"/>
      <c r="BY381" s="439"/>
      <c r="BZ381" s="439"/>
      <c r="CA381" s="439"/>
      <c r="CB381" s="439"/>
      <c r="CC381" s="439"/>
      <c r="CD381" s="439"/>
      <c r="CE381" s="440"/>
      <c r="CF381" s="420"/>
      <c r="CG381" s="420"/>
      <c r="CH381" s="420"/>
    </row>
    <row r="382" spans="75:86" s="428" customFormat="1" x14ac:dyDescent="0.2">
      <c r="BW382" s="439"/>
      <c r="BX382" s="439"/>
      <c r="BY382" s="439"/>
      <c r="BZ382" s="439"/>
      <c r="CA382" s="439"/>
      <c r="CB382" s="439"/>
      <c r="CC382" s="439"/>
      <c r="CD382" s="439"/>
      <c r="CE382" s="440"/>
      <c r="CF382" s="420"/>
      <c r="CG382" s="420"/>
      <c r="CH382" s="420"/>
    </row>
    <row r="383" spans="75:86" s="428" customFormat="1" x14ac:dyDescent="0.2">
      <c r="BW383" s="439"/>
      <c r="BX383" s="439"/>
      <c r="BY383" s="439"/>
      <c r="BZ383" s="439"/>
      <c r="CA383" s="439"/>
      <c r="CB383" s="439"/>
      <c r="CC383" s="439"/>
      <c r="CD383" s="439"/>
      <c r="CE383" s="440"/>
      <c r="CF383" s="420"/>
      <c r="CG383" s="420"/>
      <c r="CH383" s="420"/>
    </row>
    <row r="384" spans="75:86" s="428" customFormat="1" x14ac:dyDescent="0.2">
      <c r="BW384" s="439"/>
      <c r="BX384" s="439"/>
      <c r="BY384" s="439"/>
      <c r="BZ384" s="439"/>
      <c r="CA384" s="439"/>
      <c r="CB384" s="439"/>
      <c r="CC384" s="439"/>
      <c r="CD384" s="439"/>
      <c r="CE384" s="440"/>
      <c r="CF384" s="420"/>
      <c r="CG384" s="420"/>
      <c r="CH384" s="420"/>
    </row>
    <row r="385" spans="75:86" s="428" customFormat="1" x14ac:dyDescent="0.2">
      <c r="BW385" s="439"/>
      <c r="BX385" s="439"/>
      <c r="BY385" s="439"/>
      <c r="BZ385" s="439"/>
      <c r="CA385" s="439"/>
      <c r="CB385" s="439"/>
      <c r="CC385" s="439"/>
      <c r="CD385" s="439"/>
      <c r="CE385" s="440"/>
      <c r="CF385" s="420"/>
      <c r="CG385" s="420"/>
      <c r="CH385" s="420"/>
    </row>
    <row r="386" spans="75:86" s="428" customFormat="1" x14ac:dyDescent="0.2">
      <c r="BW386" s="439"/>
      <c r="BX386" s="439"/>
      <c r="BY386" s="439"/>
      <c r="BZ386" s="439"/>
      <c r="CA386" s="439"/>
      <c r="CB386" s="439"/>
      <c r="CC386" s="439"/>
      <c r="CD386" s="439"/>
      <c r="CE386" s="440"/>
      <c r="CF386" s="420"/>
      <c r="CG386" s="420"/>
      <c r="CH386" s="420"/>
    </row>
    <row r="387" spans="75:86" s="428" customFormat="1" x14ac:dyDescent="0.2">
      <c r="BW387" s="439"/>
      <c r="BX387" s="439"/>
      <c r="BY387" s="439"/>
      <c r="BZ387" s="439"/>
      <c r="CA387" s="439"/>
      <c r="CB387" s="439"/>
      <c r="CC387" s="439"/>
      <c r="CD387" s="439"/>
      <c r="CE387" s="440"/>
      <c r="CF387" s="420"/>
      <c r="CG387" s="420"/>
      <c r="CH387" s="420"/>
    </row>
    <row r="388" spans="75:86" s="428" customFormat="1" x14ac:dyDescent="0.2">
      <c r="BW388" s="439"/>
      <c r="BX388" s="439"/>
      <c r="BY388" s="439"/>
      <c r="BZ388" s="439"/>
      <c r="CA388" s="439"/>
      <c r="CB388" s="439"/>
      <c r="CC388" s="439"/>
      <c r="CD388" s="439"/>
      <c r="CE388" s="440"/>
      <c r="CF388" s="420"/>
      <c r="CG388" s="420"/>
      <c r="CH388" s="420"/>
    </row>
    <row r="389" spans="75:86" s="428" customFormat="1" x14ac:dyDescent="0.2">
      <c r="BW389" s="439"/>
      <c r="BX389" s="439"/>
      <c r="BY389" s="439"/>
      <c r="BZ389" s="439"/>
      <c r="CA389" s="439"/>
      <c r="CB389" s="439"/>
      <c r="CC389" s="439"/>
      <c r="CD389" s="439"/>
      <c r="CE389" s="440"/>
      <c r="CF389" s="420"/>
      <c r="CG389" s="420"/>
      <c r="CH389" s="420"/>
    </row>
    <row r="390" spans="75:86" s="428" customFormat="1" x14ac:dyDescent="0.2">
      <c r="BW390" s="439"/>
      <c r="BX390" s="439"/>
      <c r="BY390" s="439"/>
      <c r="BZ390" s="439"/>
      <c r="CA390" s="439"/>
      <c r="CB390" s="439"/>
      <c r="CC390" s="439"/>
      <c r="CD390" s="439"/>
      <c r="CE390" s="440"/>
      <c r="CF390" s="420"/>
      <c r="CG390" s="420"/>
      <c r="CH390" s="420"/>
    </row>
    <row r="391" spans="75:86" s="428" customFormat="1" x14ac:dyDescent="0.2">
      <c r="BW391" s="439"/>
      <c r="BX391" s="439"/>
      <c r="BY391" s="439"/>
      <c r="BZ391" s="439"/>
      <c r="CA391" s="439"/>
      <c r="CB391" s="439"/>
      <c r="CC391" s="439"/>
      <c r="CD391" s="439"/>
      <c r="CE391" s="440"/>
      <c r="CF391" s="420"/>
      <c r="CG391" s="420"/>
      <c r="CH391" s="420"/>
    </row>
    <row r="392" spans="75:86" s="428" customFormat="1" x14ac:dyDescent="0.2">
      <c r="BW392" s="439"/>
      <c r="BX392" s="439"/>
      <c r="BY392" s="439"/>
      <c r="BZ392" s="439"/>
      <c r="CA392" s="439"/>
      <c r="CB392" s="439"/>
      <c r="CC392" s="439"/>
      <c r="CD392" s="439"/>
      <c r="CE392" s="440"/>
      <c r="CF392" s="420"/>
      <c r="CG392" s="420"/>
      <c r="CH392" s="420"/>
    </row>
    <row r="393" spans="75:86" s="428" customFormat="1" x14ac:dyDescent="0.2">
      <c r="BW393" s="439"/>
      <c r="BX393" s="439"/>
      <c r="BY393" s="439"/>
      <c r="BZ393" s="439"/>
      <c r="CA393" s="439"/>
      <c r="CB393" s="439"/>
      <c r="CC393" s="439"/>
      <c r="CD393" s="439"/>
      <c r="CE393" s="440"/>
      <c r="CF393" s="420"/>
      <c r="CG393" s="420"/>
      <c r="CH393" s="420"/>
    </row>
    <row r="394" spans="75:86" s="428" customFormat="1" x14ac:dyDescent="0.2">
      <c r="BW394" s="439"/>
      <c r="BX394" s="439"/>
      <c r="BY394" s="439"/>
      <c r="BZ394" s="439"/>
      <c r="CA394" s="439"/>
      <c r="CB394" s="439"/>
      <c r="CC394" s="439"/>
      <c r="CD394" s="439"/>
      <c r="CE394" s="440"/>
      <c r="CF394" s="420"/>
      <c r="CG394" s="420"/>
      <c r="CH394" s="420"/>
    </row>
    <row r="395" spans="75:86" s="428" customFormat="1" x14ac:dyDescent="0.2">
      <c r="BW395" s="439"/>
      <c r="BX395" s="439"/>
      <c r="BY395" s="439"/>
      <c r="BZ395" s="439"/>
      <c r="CA395" s="439"/>
      <c r="CB395" s="439"/>
      <c r="CC395" s="439"/>
      <c r="CD395" s="439"/>
      <c r="CE395" s="440"/>
      <c r="CF395" s="420"/>
      <c r="CG395" s="420"/>
      <c r="CH395" s="420"/>
    </row>
    <row r="396" spans="75:86" s="428" customFormat="1" x14ac:dyDescent="0.2">
      <c r="BW396" s="439"/>
      <c r="BX396" s="439"/>
      <c r="BY396" s="439"/>
      <c r="BZ396" s="439"/>
      <c r="CA396" s="439"/>
      <c r="CB396" s="439"/>
      <c r="CC396" s="439"/>
      <c r="CD396" s="439"/>
      <c r="CE396" s="440"/>
      <c r="CF396" s="420"/>
      <c r="CG396" s="420"/>
      <c r="CH396" s="420"/>
    </row>
    <row r="397" spans="75:86" s="428" customFormat="1" x14ac:dyDescent="0.2">
      <c r="BW397" s="439"/>
      <c r="BX397" s="439"/>
      <c r="BY397" s="439"/>
      <c r="BZ397" s="439"/>
      <c r="CA397" s="439"/>
      <c r="CB397" s="439"/>
      <c r="CC397" s="439"/>
      <c r="CD397" s="439"/>
      <c r="CE397" s="440"/>
      <c r="CF397" s="420"/>
      <c r="CG397" s="420"/>
      <c r="CH397" s="420"/>
    </row>
    <row r="398" spans="75:86" s="428" customFormat="1" x14ac:dyDescent="0.2">
      <c r="BW398" s="439"/>
      <c r="BX398" s="439"/>
      <c r="BY398" s="439"/>
      <c r="BZ398" s="439"/>
      <c r="CA398" s="439"/>
      <c r="CB398" s="439"/>
      <c r="CC398" s="439"/>
      <c r="CD398" s="439"/>
      <c r="CE398" s="440"/>
      <c r="CF398" s="420"/>
      <c r="CG398" s="420"/>
      <c r="CH398" s="420"/>
    </row>
    <row r="399" spans="75:86" s="428" customFormat="1" x14ac:dyDescent="0.2">
      <c r="BW399" s="439"/>
      <c r="BX399" s="439"/>
      <c r="BY399" s="439"/>
      <c r="BZ399" s="439"/>
      <c r="CA399" s="439"/>
      <c r="CB399" s="439"/>
      <c r="CC399" s="439"/>
      <c r="CD399" s="439"/>
      <c r="CE399" s="440"/>
      <c r="CF399" s="420"/>
      <c r="CG399" s="420"/>
      <c r="CH399" s="420"/>
    </row>
    <row r="400" spans="75:86" s="428" customFormat="1" x14ac:dyDescent="0.2">
      <c r="BW400" s="439"/>
      <c r="BX400" s="439"/>
      <c r="BY400" s="439"/>
      <c r="BZ400" s="439"/>
      <c r="CA400" s="439"/>
      <c r="CB400" s="439"/>
      <c r="CC400" s="439"/>
      <c r="CD400" s="439"/>
      <c r="CE400" s="440"/>
      <c r="CF400" s="420"/>
      <c r="CG400" s="420"/>
      <c r="CH400" s="420"/>
    </row>
    <row r="401" spans="75:86" s="428" customFormat="1" x14ac:dyDescent="0.2">
      <c r="BW401" s="439"/>
      <c r="BX401" s="439"/>
      <c r="BY401" s="439"/>
      <c r="BZ401" s="439"/>
      <c r="CA401" s="439"/>
      <c r="CB401" s="439"/>
      <c r="CC401" s="439"/>
      <c r="CD401" s="439"/>
      <c r="CE401" s="440"/>
      <c r="CF401" s="420"/>
      <c r="CG401" s="420"/>
      <c r="CH401" s="420"/>
    </row>
    <row r="402" spans="75:86" s="428" customFormat="1" x14ac:dyDescent="0.2">
      <c r="BW402" s="439"/>
      <c r="BX402" s="439"/>
      <c r="BY402" s="439"/>
      <c r="BZ402" s="439"/>
      <c r="CA402" s="439"/>
      <c r="CB402" s="439"/>
      <c r="CC402" s="439"/>
      <c r="CD402" s="439"/>
      <c r="CE402" s="440"/>
      <c r="CF402" s="420"/>
      <c r="CG402" s="420"/>
      <c r="CH402" s="420"/>
    </row>
    <row r="403" spans="75:86" s="428" customFormat="1" x14ac:dyDescent="0.2">
      <c r="BW403" s="439"/>
      <c r="BX403" s="439"/>
      <c r="BY403" s="439"/>
      <c r="BZ403" s="439"/>
      <c r="CA403" s="439"/>
      <c r="CB403" s="439"/>
      <c r="CC403" s="439"/>
      <c r="CD403" s="439"/>
      <c r="CE403" s="440"/>
      <c r="CF403" s="420"/>
      <c r="CG403" s="420"/>
      <c r="CH403" s="420"/>
    </row>
    <row r="404" spans="75:86" s="428" customFormat="1" x14ac:dyDescent="0.2">
      <c r="BW404" s="439"/>
      <c r="BX404" s="439"/>
      <c r="BY404" s="439"/>
      <c r="BZ404" s="439"/>
      <c r="CA404" s="439"/>
      <c r="CB404" s="439"/>
      <c r="CC404" s="439"/>
      <c r="CD404" s="439"/>
      <c r="CE404" s="440"/>
      <c r="CF404" s="420"/>
      <c r="CG404" s="420"/>
      <c r="CH404" s="420"/>
    </row>
    <row r="405" spans="75:86" s="428" customFormat="1" x14ac:dyDescent="0.2">
      <c r="BW405" s="439"/>
      <c r="BX405" s="439"/>
      <c r="BY405" s="439"/>
      <c r="BZ405" s="439"/>
      <c r="CA405" s="439"/>
      <c r="CB405" s="439"/>
      <c r="CC405" s="439"/>
      <c r="CD405" s="439"/>
      <c r="CE405" s="440"/>
      <c r="CF405" s="420"/>
      <c r="CG405" s="420"/>
      <c r="CH405" s="420"/>
    </row>
    <row r="406" spans="75:86" s="428" customFormat="1" x14ac:dyDescent="0.2">
      <c r="BW406" s="439"/>
      <c r="BX406" s="439"/>
      <c r="BY406" s="439"/>
      <c r="BZ406" s="439"/>
      <c r="CA406" s="439"/>
      <c r="CB406" s="439"/>
      <c r="CC406" s="439"/>
      <c r="CD406" s="439"/>
      <c r="CE406" s="440"/>
      <c r="CF406" s="420"/>
      <c r="CG406" s="420"/>
      <c r="CH406" s="420"/>
    </row>
    <row r="407" spans="75:86" s="428" customFormat="1" x14ac:dyDescent="0.2">
      <c r="BW407" s="439"/>
      <c r="BX407" s="439"/>
      <c r="BY407" s="439"/>
      <c r="BZ407" s="439"/>
      <c r="CA407" s="439"/>
      <c r="CB407" s="439"/>
      <c r="CC407" s="439"/>
      <c r="CD407" s="439"/>
      <c r="CE407" s="440"/>
      <c r="CF407" s="420"/>
      <c r="CG407" s="420"/>
      <c r="CH407" s="420"/>
    </row>
    <row r="408" spans="75:86" s="428" customFormat="1" x14ac:dyDescent="0.2">
      <c r="BW408" s="439"/>
      <c r="BX408" s="439"/>
      <c r="BY408" s="439"/>
      <c r="BZ408" s="439"/>
      <c r="CA408" s="439"/>
      <c r="CB408" s="439"/>
      <c r="CC408" s="439"/>
      <c r="CD408" s="439"/>
      <c r="CE408" s="440"/>
      <c r="CF408" s="420"/>
      <c r="CG408" s="420"/>
      <c r="CH408" s="420"/>
    </row>
    <row r="409" spans="75:86" s="428" customFormat="1" x14ac:dyDescent="0.2">
      <c r="BW409" s="439"/>
      <c r="BX409" s="439"/>
      <c r="BY409" s="439"/>
      <c r="BZ409" s="439"/>
      <c r="CA409" s="439"/>
      <c r="CB409" s="439"/>
      <c r="CC409" s="439"/>
      <c r="CD409" s="439"/>
      <c r="CE409" s="440"/>
      <c r="CF409" s="420"/>
      <c r="CG409" s="420"/>
      <c r="CH409" s="420"/>
    </row>
    <row r="410" spans="75:86" s="428" customFormat="1" x14ac:dyDescent="0.2">
      <c r="BW410" s="439"/>
      <c r="BX410" s="439"/>
      <c r="BY410" s="439"/>
      <c r="BZ410" s="439"/>
      <c r="CA410" s="439"/>
      <c r="CB410" s="439"/>
      <c r="CC410" s="439"/>
      <c r="CD410" s="439"/>
      <c r="CE410" s="440"/>
      <c r="CF410" s="420"/>
      <c r="CG410" s="420"/>
      <c r="CH410" s="420"/>
    </row>
    <row r="411" spans="75:86" s="428" customFormat="1" x14ac:dyDescent="0.2">
      <c r="BW411" s="439"/>
      <c r="BX411" s="439"/>
      <c r="BY411" s="439"/>
      <c r="BZ411" s="439"/>
      <c r="CA411" s="439"/>
      <c r="CB411" s="439"/>
      <c r="CC411" s="439"/>
      <c r="CD411" s="439"/>
      <c r="CE411" s="440"/>
      <c r="CF411" s="420"/>
      <c r="CG411" s="420"/>
      <c r="CH411" s="420"/>
    </row>
    <row r="412" spans="75:86" s="428" customFormat="1" x14ac:dyDescent="0.2">
      <c r="BW412" s="439"/>
      <c r="BX412" s="439"/>
      <c r="BY412" s="439"/>
      <c r="BZ412" s="439"/>
      <c r="CA412" s="439"/>
      <c r="CB412" s="439"/>
      <c r="CC412" s="439"/>
      <c r="CD412" s="439"/>
      <c r="CE412" s="440"/>
      <c r="CF412" s="420"/>
      <c r="CG412" s="420"/>
      <c r="CH412" s="420"/>
    </row>
    <row r="413" spans="75:86" s="428" customFormat="1" x14ac:dyDescent="0.2">
      <c r="BW413" s="439"/>
      <c r="BX413" s="439"/>
      <c r="BY413" s="439"/>
      <c r="BZ413" s="439"/>
      <c r="CA413" s="439"/>
      <c r="CB413" s="439"/>
      <c r="CC413" s="439"/>
      <c r="CD413" s="439"/>
      <c r="CE413" s="440"/>
      <c r="CF413" s="420"/>
      <c r="CG413" s="420"/>
      <c r="CH413" s="420"/>
    </row>
    <row r="414" spans="75:86" s="428" customFormat="1" x14ac:dyDescent="0.2">
      <c r="BW414" s="439"/>
      <c r="BX414" s="439"/>
      <c r="BY414" s="439"/>
      <c r="BZ414" s="439"/>
      <c r="CA414" s="439"/>
      <c r="CB414" s="439"/>
      <c r="CC414" s="439"/>
      <c r="CD414" s="439"/>
      <c r="CE414" s="440"/>
      <c r="CF414" s="420"/>
      <c r="CG414" s="420"/>
      <c r="CH414" s="420"/>
    </row>
    <row r="415" spans="75:86" s="428" customFormat="1" x14ac:dyDescent="0.2">
      <c r="BW415" s="439"/>
      <c r="BX415" s="439"/>
      <c r="BY415" s="439"/>
      <c r="BZ415" s="439"/>
      <c r="CA415" s="439"/>
      <c r="CB415" s="439"/>
      <c r="CC415" s="439"/>
      <c r="CD415" s="439"/>
      <c r="CE415" s="440"/>
      <c r="CF415" s="420"/>
      <c r="CG415" s="420"/>
      <c r="CH415" s="420"/>
    </row>
    <row r="416" spans="75:86" s="428" customFormat="1" x14ac:dyDescent="0.2">
      <c r="BW416" s="439"/>
      <c r="BX416" s="439"/>
      <c r="BY416" s="439"/>
      <c r="BZ416" s="439"/>
      <c r="CA416" s="439"/>
      <c r="CB416" s="439"/>
      <c r="CC416" s="439"/>
      <c r="CD416" s="439"/>
      <c r="CE416" s="440"/>
      <c r="CF416" s="420"/>
      <c r="CG416" s="420"/>
      <c r="CH416" s="420"/>
    </row>
    <row r="417" spans="75:86" s="428" customFormat="1" x14ac:dyDescent="0.2">
      <c r="BW417" s="439"/>
      <c r="BX417" s="439"/>
      <c r="BY417" s="439"/>
      <c r="BZ417" s="439"/>
      <c r="CA417" s="439"/>
      <c r="CB417" s="439"/>
      <c r="CC417" s="439"/>
      <c r="CD417" s="439"/>
      <c r="CE417" s="440"/>
      <c r="CF417" s="420"/>
      <c r="CG417" s="420"/>
      <c r="CH417" s="420"/>
    </row>
    <row r="418" spans="75:86" s="428" customFormat="1" x14ac:dyDescent="0.2">
      <c r="BW418" s="439"/>
      <c r="BX418" s="439"/>
      <c r="BY418" s="439"/>
      <c r="BZ418" s="439"/>
      <c r="CA418" s="439"/>
      <c r="CB418" s="439"/>
      <c r="CC418" s="439"/>
      <c r="CD418" s="439"/>
      <c r="CE418" s="440"/>
      <c r="CF418" s="420"/>
      <c r="CG418" s="420"/>
      <c r="CH418" s="420"/>
    </row>
    <row r="419" spans="75:86" s="428" customFormat="1" x14ac:dyDescent="0.2">
      <c r="BW419" s="439"/>
      <c r="BX419" s="439"/>
      <c r="BY419" s="439"/>
      <c r="BZ419" s="439"/>
      <c r="CA419" s="439"/>
      <c r="CB419" s="439"/>
      <c r="CC419" s="439"/>
      <c r="CD419" s="439"/>
      <c r="CE419" s="440"/>
      <c r="CF419" s="420"/>
      <c r="CG419" s="420"/>
      <c r="CH419" s="420"/>
    </row>
    <row r="420" spans="75:86" s="428" customFormat="1" x14ac:dyDescent="0.2">
      <c r="BW420" s="439"/>
      <c r="BX420" s="439"/>
      <c r="BY420" s="439"/>
      <c r="BZ420" s="439"/>
      <c r="CA420" s="439"/>
      <c r="CB420" s="439"/>
      <c r="CC420" s="439"/>
      <c r="CD420" s="439"/>
      <c r="CE420" s="440"/>
      <c r="CF420" s="420"/>
      <c r="CG420" s="420"/>
      <c r="CH420" s="420"/>
    </row>
    <row r="421" spans="75:86" s="428" customFormat="1" x14ac:dyDescent="0.2">
      <c r="BW421" s="439"/>
      <c r="BX421" s="439"/>
      <c r="BY421" s="439"/>
      <c r="BZ421" s="439"/>
      <c r="CA421" s="439"/>
      <c r="CB421" s="439"/>
      <c r="CC421" s="439"/>
      <c r="CD421" s="439"/>
      <c r="CE421" s="440"/>
      <c r="CF421" s="420"/>
      <c r="CG421" s="420"/>
      <c r="CH421" s="420"/>
    </row>
    <row r="422" spans="75:86" s="428" customFormat="1" x14ac:dyDescent="0.2">
      <c r="BW422" s="439"/>
      <c r="BX422" s="439"/>
      <c r="BY422" s="439"/>
      <c r="BZ422" s="439"/>
      <c r="CA422" s="439"/>
      <c r="CB422" s="439"/>
      <c r="CC422" s="439"/>
      <c r="CD422" s="439"/>
      <c r="CE422" s="440"/>
      <c r="CF422" s="420"/>
      <c r="CG422" s="420"/>
      <c r="CH422" s="420"/>
    </row>
    <row r="423" spans="75:86" s="428" customFormat="1" x14ac:dyDescent="0.2">
      <c r="BW423" s="439"/>
      <c r="BX423" s="439"/>
      <c r="BY423" s="439"/>
      <c r="BZ423" s="439"/>
      <c r="CA423" s="439"/>
      <c r="CB423" s="439"/>
      <c r="CC423" s="439"/>
      <c r="CD423" s="439"/>
      <c r="CE423" s="440"/>
      <c r="CF423" s="420"/>
      <c r="CG423" s="420"/>
      <c r="CH423" s="420"/>
    </row>
    <row r="424" spans="75:86" s="428" customFormat="1" x14ac:dyDescent="0.2">
      <c r="BW424" s="439"/>
      <c r="BX424" s="439"/>
      <c r="BY424" s="439"/>
      <c r="BZ424" s="439"/>
      <c r="CA424" s="439"/>
      <c r="CB424" s="439"/>
      <c r="CC424" s="439"/>
      <c r="CD424" s="439"/>
      <c r="CE424" s="440"/>
      <c r="CF424" s="420"/>
      <c r="CG424" s="420"/>
      <c r="CH424" s="420"/>
    </row>
    <row r="425" spans="75:86" s="428" customFormat="1" x14ac:dyDescent="0.2">
      <c r="BW425" s="439"/>
      <c r="BX425" s="439"/>
      <c r="BY425" s="439"/>
      <c r="BZ425" s="439"/>
      <c r="CA425" s="439"/>
      <c r="CB425" s="439"/>
      <c r="CC425" s="439"/>
      <c r="CD425" s="439"/>
      <c r="CE425" s="440"/>
      <c r="CF425" s="420"/>
      <c r="CG425" s="420"/>
      <c r="CH425" s="420"/>
    </row>
    <row r="426" spans="75:86" s="428" customFormat="1" x14ac:dyDescent="0.2">
      <c r="BW426" s="439"/>
      <c r="BX426" s="439"/>
      <c r="BY426" s="439"/>
      <c r="BZ426" s="439"/>
      <c r="CA426" s="439"/>
      <c r="CB426" s="439"/>
      <c r="CC426" s="439"/>
      <c r="CD426" s="439"/>
      <c r="CE426" s="440"/>
      <c r="CF426" s="420"/>
      <c r="CG426" s="420"/>
      <c r="CH426" s="420"/>
    </row>
    <row r="427" spans="75:86" s="428" customFormat="1" x14ac:dyDescent="0.2">
      <c r="BW427" s="439"/>
      <c r="BX427" s="439"/>
      <c r="BY427" s="439"/>
      <c r="BZ427" s="439"/>
      <c r="CA427" s="439"/>
      <c r="CB427" s="439"/>
      <c r="CC427" s="439"/>
      <c r="CD427" s="439"/>
      <c r="CE427" s="440"/>
      <c r="CF427" s="420"/>
      <c r="CG427" s="420"/>
      <c r="CH427" s="420"/>
    </row>
    <row r="428" spans="75:86" s="428" customFormat="1" x14ac:dyDescent="0.2">
      <c r="BW428" s="439"/>
      <c r="BX428" s="439"/>
      <c r="BY428" s="439"/>
      <c r="BZ428" s="439"/>
      <c r="CA428" s="439"/>
      <c r="CB428" s="439"/>
      <c r="CC428" s="439"/>
      <c r="CD428" s="439"/>
      <c r="CE428" s="440"/>
      <c r="CF428" s="420"/>
      <c r="CG428" s="420"/>
      <c r="CH428" s="420"/>
    </row>
    <row r="429" spans="75:86" s="428" customFormat="1" x14ac:dyDescent="0.2">
      <c r="BW429" s="439"/>
      <c r="BX429" s="439"/>
      <c r="BY429" s="439"/>
      <c r="BZ429" s="439"/>
      <c r="CA429" s="439"/>
      <c r="CB429" s="439"/>
      <c r="CC429" s="439"/>
      <c r="CD429" s="439"/>
      <c r="CE429" s="440"/>
      <c r="CF429" s="420"/>
      <c r="CG429" s="420"/>
      <c r="CH429" s="420"/>
    </row>
    <row r="430" spans="75:86" s="428" customFormat="1" x14ac:dyDescent="0.2">
      <c r="BW430" s="439"/>
      <c r="BX430" s="439"/>
      <c r="BY430" s="439"/>
      <c r="BZ430" s="439"/>
      <c r="CA430" s="439"/>
      <c r="CB430" s="439"/>
      <c r="CC430" s="439"/>
      <c r="CD430" s="439"/>
      <c r="CE430" s="440"/>
      <c r="CF430" s="420"/>
      <c r="CG430" s="420"/>
      <c r="CH430" s="420"/>
    </row>
    <row r="431" spans="75:86" s="428" customFormat="1" x14ac:dyDescent="0.2">
      <c r="BW431" s="439"/>
      <c r="BX431" s="439"/>
      <c r="BY431" s="439"/>
      <c r="BZ431" s="439"/>
      <c r="CA431" s="439"/>
      <c r="CB431" s="439"/>
      <c r="CC431" s="439"/>
      <c r="CD431" s="439"/>
      <c r="CE431" s="440"/>
      <c r="CF431" s="420"/>
      <c r="CG431" s="420"/>
      <c r="CH431" s="420"/>
    </row>
    <row r="432" spans="75:86" s="428" customFormat="1" x14ac:dyDescent="0.2">
      <c r="BW432" s="439"/>
      <c r="BX432" s="439"/>
      <c r="BY432" s="439"/>
      <c r="BZ432" s="439"/>
      <c r="CA432" s="439"/>
      <c r="CB432" s="439"/>
      <c r="CC432" s="439"/>
      <c r="CD432" s="439"/>
      <c r="CE432" s="440"/>
      <c r="CF432" s="420"/>
      <c r="CG432" s="420"/>
      <c r="CH432" s="420"/>
    </row>
    <row r="433" spans="75:86" s="428" customFormat="1" x14ac:dyDescent="0.2">
      <c r="BW433" s="439"/>
      <c r="BX433" s="439"/>
      <c r="BY433" s="439"/>
      <c r="BZ433" s="439"/>
      <c r="CA433" s="439"/>
      <c r="CB433" s="439"/>
      <c r="CC433" s="439"/>
      <c r="CD433" s="439"/>
      <c r="CE433" s="440"/>
      <c r="CF433" s="420"/>
      <c r="CG433" s="420"/>
      <c r="CH433" s="420"/>
    </row>
    <row r="434" spans="75:86" s="428" customFormat="1" x14ac:dyDescent="0.2">
      <c r="BW434" s="439"/>
      <c r="BX434" s="439"/>
      <c r="BY434" s="439"/>
      <c r="BZ434" s="439"/>
      <c r="CA434" s="439"/>
      <c r="CB434" s="439"/>
      <c r="CC434" s="439"/>
      <c r="CD434" s="439"/>
      <c r="CE434" s="440"/>
      <c r="CF434" s="420"/>
      <c r="CG434" s="420"/>
      <c r="CH434" s="420"/>
    </row>
    <row r="435" spans="75:86" s="428" customFormat="1" x14ac:dyDescent="0.2">
      <c r="BW435" s="439"/>
      <c r="BX435" s="439"/>
      <c r="BY435" s="439"/>
      <c r="BZ435" s="439"/>
      <c r="CA435" s="439"/>
      <c r="CB435" s="439"/>
      <c r="CC435" s="439"/>
      <c r="CD435" s="439"/>
      <c r="CE435" s="440"/>
      <c r="CF435" s="420"/>
      <c r="CG435" s="420"/>
      <c r="CH435" s="420"/>
    </row>
    <row r="436" spans="75:86" s="428" customFormat="1" x14ac:dyDescent="0.2">
      <c r="BW436" s="439"/>
      <c r="BX436" s="439"/>
      <c r="BY436" s="439"/>
      <c r="BZ436" s="439"/>
      <c r="CA436" s="439"/>
      <c r="CB436" s="439"/>
      <c r="CC436" s="439"/>
      <c r="CD436" s="439"/>
      <c r="CE436" s="440"/>
      <c r="CF436" s="420"/>
      <c r="CG436" s="420"/>
      <c r="CH436" s="420"/>
    </row>
    <row r="437" spans="75:86" s="428" customFormat="1" x14ac:dyDescent="0.2">
      <c r="BW437" s="439"/>
      <c r="BX437" s="439"/>
      <c r="BY437" s="439"/>
      <c r="BZ437" s="439"/>
      <c r="CA437" s="439"/>
      <c r="CB437" s="439"/>
      <c r="CC437" s="439"/>
      <c r="CD437" s="439"/>
      <c r="CE437" s="440"/>
      <c r="CF437" s="420"/>
      <c r="CG437" s="420"/>
      <c r="CH437" s="420"/>
    </row>
    <row r="438" spans="75:86" s="428" customFormat="1" x14ac:dyDescent="0.2">
      <c r="BW438" s="439"/>
      <c r="BX438" s="439"/>
      <c r="BY438" s="439"/>
      <c r="BZ438" s="439"/>
      <c r="CA438" s="439"/>
      <c r="CB438" s="439"/>
      <c r="CC438" s="439"/>
      <c r="CD438" s="439"/>
      <c r="CE438" s="440"/>
      <c r="CF438" s="420"/>
      <c r="CG438" s="420"/>
      <c r="CH438" s="420"/>
    </row>
    <row r="439" spans="75:86" s="428" customFormat="1" x14ac:dyDescent="0.2">
      <c r="BW439" s="439"/>
      <c r="BX439" s="439"/>
      <c r="BY439" s="439"/>
      <c r="BZ439" s="439"/>
      <c r="CA439" s="439"/>
      <c r="CB439" s="439"/>
      <c r="CC439" s="439"/>
      <c r="CD439" s="439"/>
      <c r="CE439" s="440"/>
      <c r="CF439" s="420"/>
      <c r="CG439" s="420"/>
      <c r="CH439" s="420"/>
    </row>
    <row r="440" spans="75:86" s="428" customFormat="1" x14ac:dyDescent="0.2">
      <c r="BW440" s="439"/>
      <c r="BX440" s="439"/>
      <c r="BY440" s="439"/>
      <c r="BZ440" s="439"/>
      <c r="CA440" s="439"/>
      <c r="CB440" s="439"/>
      <c r="CC440" s="439"/>
      <c r="CD440" s="439"/>
      <c r="CE440" s="440"/>
      <c r="CF440" s="420"/>
      <c r="CG440" s="420"/>
      <c r="CH440" s="420"/>
    </row>
    <row r="441" spans="75:86" s="428" customFormat="1" x14ac:dyDescent="0.2">
      <c r="BW441" s="439"/>
      <c r="BX441" s="439"/>
      <c r="BY441" s="439"/>
      <c r="BZ441" s="439"/>
      <c r="CA441" s="439"/>
      <c r="CB441" s="439"/>
      <c r="CC441" s="439"/>
      <c r="CD441" s="439"/>
      <c r="CE441" s="440"/>
      <c r="CF441" s="420"/>
      <c r="CG441" s="420"/>
      <c r="CH441" s="420"/>
    </row>
    <row r="442" spans="75:86" s="428" customFormat="1" x14ac:dyDescent="0.2">
      <c r="BW442" s="439"/>
      <c r="BX442" s="439"/>
      <c r="BY442" s="439"/>
      <c r="BZ442" s="439"/>
      <c r="CA442" s="439"/>
      <c r="CB442" s="439"/>
      <c r="CC442" s="439"/>
      <c r="CD442" s="439"/>
      <c r="CE442" s="440"/>
      <c r="CF442" s="420"/>
      <c r="CG442" s="420"/>
      <c r="CH442" s="420"/>
    </row>
    <row r="443" spans="75:86" s="428" customFormat="1" x14ac:dyDescent="0.2">
      <c r="BW443" s="439"/>
      <c r="BX443" s="439"/>
      <c r="BY443" s="439"/>
      <c r="BZ443" s="439"/>
      <c r="CA443" s="439"/>
      <c r="CB443" s="439"/>
      <c r="CC443" s="439"/>
      <c r="CD443" s="439"/>
      <c r="CE443" s="440"/>
      <c r="CF443" s="420"/>
      <c r="CG443" s="420"/>
      <c r="CH443" s="420"/>
    </row>
    <row r="444" spans="75:86" s="428" customFormat="1" x14ac:dyDescent="0.2">
      <c r="BW444" s="439"/>
      <c r="BX444" s="439"/>
      <c r="BY444" s="439"/>
      <c r="BZ444" s="439"/>
      <c r="CA444" s="439"/>
      <c r="CB444" s="439"/>
      <c r="CC444" s="439"/>
      <c r="CD444" s="439"/>
      <c r="CE444" s="440"/>
      <c r="CF444" s="420"/>
      <c r="CG444" s="420"/>
      <c r="CH444" s="420"/>
    </row>
    <row r="445" spans="75:86" s="428" customFormat="1" x14ac:dyDescent="0.2">
      <c r="BW445" s="439"/>
      <c r="BX445" s="439"/>
      <c r="BY445" s="439"/>
      <c r="BZ445" s="439"/>
      <c r="CA445" s="439"/>
      <c r="CB445" s="439"/>
      <c r="CC445" s="439"/>
      <c r="CD445" s="439"/>
      <c r="CE445" s="440"/>
      <c r="CF445" s="420"/>
      <c r="CG445" s="420"/>
      <c r="CH445" s="420"/>
    </row>
    <row r="446" spans="75:86" s="428" customFormat="1" x14ac:dyDescent="0.2">
      <c r="BW446" s="439"/>
      <c r="BX446" s="439"/>
      <c r="BY446" s="439"/>
      <c r="BZ446" s="439"/>
      <c r="CA446" s="439"/>
      <c r="CB446" s="439"/>
      <c r="CC446" s="439"/>
      <c r="CD446" s="439"/>
      <c r="CE446" s="440"/>
      <c r="CF446" s="420"/>
      <c r="CG446" s="420"/>
      <c r="CH446" s="420"/>
    </row>
    <row r="447" spans="75:86" s="428" customFormat="1" x14ac:dyDescent="0.2">
      <c r="BW447" s="439"/>
      <c r="BX447" s="439"/>
      <c r="BY447" s="439"/>
      <c r="BZ447" s="439"/>
      <c r="CA447" s="439"/>
      <c r="CB447" s="439"/>
      <c r="CC447" s="439"/>
      <c r="CD447" s="439"/>
      <c r="CE447" s="440"/>
      <c r="CF447" s="420"/>
      <c r="CG447" s="420"/>
      <c r="CH447" s="420"/>
    </row>
    <row r="448" spans="75:86" s="428" customFormat="1" x14ac:dyDescent="0.2">
      <c r="BW448" s="439"/>
      <c r="BX448" s="439"/>
      <c r="BY448" s="439"/>
      <c r="BZ448" s="439"/>
      <c r="CA448" s="439"/>
      <c r="CB448" s="439"/>
      <c r="CC448" s="439"/>
      <c r="CD448" s="439"/>
      <c r="CE448" s="440"/>
      <c r="CF448" s="420"/>
      <c r="CG448" s="420"/>
      <c r="CH448" s="420"/>
    </row>
    <row r="449" spans="75:86" s="428" customFormat="1" x14ac:dyDescent="0.2">
      <c r="BW449" s="439"/>
      <c r="BX449" s="439"/>
      <c r="BY449" s="439"/>
      <c r="BZ449" s="439"/>
      <c r="CA449" s="439"/>
      <c r="CB449" s="439"/>
      <c r="CC449" s="439"/>
      <c r="CD449" s="439"/>
      <c r="CE449" s="440"/>
      <c r="CF449" s="420"/>
      <c r="CG449" s="420"/>
      <c r="CH449" s="420"/>
    </row>
    <row r="450" spans="75:86" s="428" customFormat="1" x14ac:dyDescent="0.2">
      <c r="BW450" s="439"/>
      <c r="BX450" s="439"/>
      <c r="BY450" s="439"/>
      <c r="BZ450" s="439"/>
      <c r="CA450" s="439"/>
      <c r="CB450" s="439"/>
      <c r="CC450" s="439"/>
      <c r="CD450" s="439"/>
      <c r="CE450" s="440"/>
      <c r="CF450" s="420"/>
      <c r="CG450" s="420"/>
      <c r="CH450" s="420"/>
    </row>
    <row r="451" spans="75:86" s="428" customFormat="1" x14ac:dyDescent="0.2">
      <c r="BW451" s="439"/>
      <c r="BX451" s="439"/>
      <c r="BY451" s="439"/>
      <c r="BZ451" s="439"/>
      <c r="CA451" s="439"/>
      <c r="CB451" s="439"/>
      <c r="CC451" s="439"/>
      <c r="CD451" s="439"/>
      <c r="CE451" s="440"/>
      <c r="CF451" s="420"/>
      <c r="CG451" s="420"/>
      <c r="CH451" s="420"/>
    </row>
    <row r="452" spans="75:86" s="428" customFormat="1" x14ac:dyDescent="0.2">
      <c r="BW452" s="439"/>
      <c r="BX452" s="439"/>
      <c r="BY452" s="439"/>
      <c r="BZ452" s="439"/>
      <c r="CA452" s="439"/>
      <c r="CB452" s="439"/>
      <c r="CC452" s="439"/>
      <c r="CD452" s="439"/>
      <c r="CE452" s="440"/>
      <c r="CF452" s="420"/>
      <c r="CG452" s="420"/>
      <c r="CH452" s="420"/>
    </row>
    <row r="453" spans="75:86" s="428" customFormat="1" x14ac:dyDescent="0.2">
      <c r="BW453" s="439"/>
      <c r="BX453" s="439"/>
      <c r="BY453" s="439"/>
      <c r="BZ453" s="439"/>
      <c r="CA453" s="439"/>
      <c r="CB453" s="439"/>
      <c r="CC453" s="439"/>
      <c r="CD453" s="439"/>
      <c r="CE453" s="440"/>
      <c r="CF453" s="420"/>
      <c r="CG453" s="420"/>
      <c r="CH453" s="420"/>
    </row>
    <row r="454" spans="75:86" s="428" customFormat="1" x14ac:dyDescent="0.2">
      <c r="BW454" s="439"/>
      <c r="BX454" s="439"/>
      <c r="BY454" s="439"/>
      <c r="BZ454" s="439"/>
      <c r="CA454" s="439"/>
      <c r="CB454" s="439"/>
      <c r="CC454" s="439"/>
      <c r="CD454" s="439"/>
      <c r="CE454" s="440"/>
      <c r="CF454" s="420"/>
      <c r="CG454" s="420"/>
      <c r="CH454" s="420"/>
    </row>
    <row r="455" spans="75:86" s="428" customFormat="1" x14ac:dyDescent="0.2">
      <c r="BW455" s="439"/>
      <c r="BX455" s="439"/>
      <c r="BY455" s="439"/>
      <c r="BZ455" s="439"/>
      <c r="CA455" s="439"/>
      <c r="CB455" s="439"/>
      <c r="CC455" s="439"/>
      <c r="CD455" s="439"/>
      <c r="CE455" s="440"/>
      <c r="CF455" s="420"/>
      <c r="CG455" s="420"/>
      <c r="CH455" s="420"/>
    </row>
    <row r="456" spans="75:86" s="428" customFormat="1" x14ac:dyDescent="0.2">
      <c r="BW456" s="439"/>
      <c r="BX456" s="439"/>
      <c r="BY456" s="439"/>
      <c r="BZ456" s="439"/>
      <c r="CA456" s="439"/>
      <c r="CB456" s="439"/>
      <c r="CC456" s="439"/>
      <c r="CD456" s="439"/>
      <c r="CE456" s="440"/>
      <c r="CF456" s="420"/>
      <c r="CG456" s="420"/>
      <c r="CH456" s="420"/>
    </row>
    <row r="457" spans="75:86" s="428" customFormat="1" x14ac:dyDescent="0.2">
      <c r="BW457" s="439"/>
      <c r="BX457" s="439"/>
      <c r="BY457" s="439"/>
      <c r="BZ457" s="439"/>
      <c r="CA457" s="439"/>
      <c r="CB457" s="439"/>
      <c r="CC457" s="439"/>
      <c r="CD457" s="439"/>
      <c r="CE457" s="440"/>
      <c r="CF457" s="420"/>
      <c r="CG457" s="420"/>
      <c r="CH457" s="420"/>
    </row>
    <row r="458" spans="75:86" s="428" customFormat="1" x14ac:dyDescent="0.2">
      <c r="BW458" s="439"/>
      <c r="BX458" s="439"/>
      <c r="BY458" s="439"/>
      <c r="BZ458" s="439"/>
      <c r="CA458" s="439"/>
      <c r="CB458" s="439"/>
      <c r="CC458" s="439"/>
      <c r="CD458" s="439"/>
      <c r="CE458" s="440"/>
      <c r="CF458" s="420"/>
      <c r="CG458" s="420"/>
      <c r="CH458" s="420"/>
    </row>
    <row r="459" spans="75:86" s="428" customFormat="1" x14ac:dyDescent="0.2">
      <c r="BW459" s="439"/>
      <c r="BX459" s="439"/>
      <c r="BY459" s="439"/>
      <c r="BZ459" s="439"/>
      <c r="CA459" s="439"/>
      <c r="CB459" s="439"/>
      <c r="CC459" s="439"/>
      <c r="CD459" s="439"/>
      <c r="CE459" s="440"/>
      <c r="CF459" s="420"/>
      <c r="CG459" s="420"/>
      <c r="CH459" s="420"/>
    </row>
    <row r="460" spans="75:86" s="428" customFormat="1" x14ac:dyDescent="0.2">
      <c r="BW460" s="439"/>
      <c r="BX460" s="439"/>
      <c r="BY460" s="439"/>
      <c r="BZ460" s="439"/>
      <c r="CA460" s="439"/>
      <c r="CB460" s="439"/>
      <c r="CC460" s="439"/>
      <c r="CD460" s="439"/>
      <c r="CE460" s="440"/>
      <c r="CF460" s="420"/>
      <c r="CG460" s="420"/>
      <c r="CH460" s="420"/>
    </row>
    <row r="461" spans="75:86" s="428" customFormat="1" x14ac:dyDescent="0.2">
      <c r="BW461" s="439"/>
      <c r="BX461" s="439"/>
      <c r="BY461" s="439"/>
      <c r="BZ461" s="439"/>
      <c r="CA461" s="439"/>
      <c r="CB461" s="439"/>
      <c r="CC461" s="439"/>
      <c r="CD461" s="439"/>
      <c r="CE461" s="440"/>
      <c r="CF461" s="420"/>
      <c r="CG461" s="420"/>
      <c r="CH461" s="420"/>
    </row>
    <row r="462" spans="75:86" s="428" customFormat="1" x14ac:dyDescent="0.2">
      <c r="BW462" s="439"/>
      <c r="BX462" s="439"/>
      <c r="BY462" s="439"/>
      <c r="BZ462" s="439"/>
      <c r="CA462" s="439"/>
      <c r="CB462" s="439"/>
      <c r="CC462" s="439"/>
      <c r="CD462" s="439"/>
      <c r="CE462" s="440"/>
      <c r="CF462" s="420"/>
      <c r="CG462" s="420"/>
      <c r="CH462" s="420"/>
    </row>
    <row r="463" spans="75:86" s="428" customFormat="1" x14ac:dyDescent="0.2">
      <c r="BW463" s="439"/>
      <c r="BX463" s="439"/>
      <c r="BY463" s="439"/>
      <c r="BZ463" s="439"/>
      <c r="CA463" s="439"/>
      <c r="CB463" s="439"/>
      <c r="CC463" s="439"/>
      <c r="CD463" s="439"/>
      <c r="CE463" s="440"/>
      <c r="CF463" s="420"/>
      <c r="CG463" s="420"/>
      <c r="CH463" s="420"/>
    </row>
    <row r="464" spans="75:86" s="428" customFormat="1" x14ac:dyDescent="0.2">
      <c r="BW464" s="439"/>
      <c r="BX464" s="439"/>
      <c r="BY464" s="439"/>
      <c r="BZ464" s="439"/>
      <c r="CA464" s="439"/>
      <c r="CB464" s="439"/>
      <c r="CC464" s="439"/>
      <c r="CD464" s="439"/>
      <c r="CE464" s="440"/>
      <c r="CF464" s="420"/>
      <c r="CG464" s="420"/>
      <c r="CH464" s="420"/>
    </row>
    <row r="465" spans="75:86" s="428" customFormat="1" x14ac:dyDescent="0.2">
      <c r="BW465" s="439"/>
      <c r="BX465" s="439"/>
      <c r="BY465" s="439"/>
      <c r="BZ465" s="439"/>
      <c r="CA465" s="439"/>
      <c r="CB465" s="439"/>
      <c r="CC465" s="439"/>
      <c r="CD465" s="439"/>
      <c r="CE465" s="440"/>
      <c r="CF465" s="420"/>
      <c r="CG465" s="420"/>
      <c r="CH465" s="420"/>
    </row>
    <row r="466" spans="75:86" s="428" customFormat="1" x14ac:dyDescent="0.2">
      <c r="BW466" s="439"/>
      <c r="BX466" s="439"/>
      <c r="BY466" s="439"/>
      <c r="BZ466" s="439"/>
      <c r="CA466" s="439"/>
      <c r="CB466" s="439"/>
      <c r="CC466" s="439"/>
      <c r="CD466" s="439"/>
      <c r="CE466" s="440"/>
      <c r="CF466" s="420"/>
      <c r="CG466" s="420"/>
      <c r="CH466" s="420"/>
    </row>
    <row r="467" spans="75:86" s="428" customFormat="1" x14ac:dyDescent="0.2">
      <c r="BW467" s="439"/>
      <c r="BX467" s="439"/>
      <c r="BY467" s="439"/>
      <c r="BZ467" s="439"/>
      <c r="CA467" s="439"/>
      <c r="CB467" s="439"/>
      <c r="CC467" s="439"/>
      <c r="CD467" s="439"/>
      <c r="CE467" s="440"/>
      <c r="CF467" s="420"/>
      <c r="CG467" s="420"/>
      <c r="CH467" s="420"/>
    </row>
    <row r="468" spans="75:86" s="428" customFormat="1" x14ac:dyDescent="0.2">
      <c r="BW468" s="439"/>
      <c r="BX468" s="439"/>
      <c r="BY468" s="439"/>
      <c r="BZ468" s="439"/>
      <c r="CA468" s="439"/>
      <c r="CB468" s="439"/>
      <c r="CC468" s="439"/>
      <c r="CD468" s="439"/>
      <c r="CE468" s="440"/>
      <c r="CF468" s="420"/>
      <c r="CG468" s="420"/>
      <c r="CH468" s="420"/>
    </row>
    <row r="469" spans="75:86" s="428" customFormat="1" x14ac:dyDescent="0.2">
      <c r="BW469" s="439"/>
      <c r="BX469" s="439"/>
      <c r="BY469" s="439"/>
      <c r="BZ469" s="439"/>
      <c r="CA469" s="439"/>
      <c r="CB469" s="439"/>
      <c r="CC469" s="439"/>
      <c r="CD469" s="439"/>
      <c r="CE469" s="440"/>
      <c r="CF469" s="420"/>
      <c r="CG469" s="420"/>
      <c r="CH469" s="420"/>
    </row>
    <row r="470" spans="75:86" s="428" customFormat="1" x14ac:dyDescent="0.2">
      <c r="BW470" s="439"/>
      <c r="BX470" s="439"/>
      <c r="BY470" s="439"/>
      <c r="BZ470" s="439"/>
      <c r="CA470" s="439"/>
      <c r="CB470" s="439"/>
      <c r="CC470" s="439"/>
      <c r="CD470" s="439"/>
      <c r="CE470" s="440"/>
      <c r="CF470" s="420"/>
      <c r="CG470" s="420"/>
      <c r="CH470" s="420"/>
    </row>
    <row r="471" spans="75:86" s="428" customFormat="1" x14ac:dyDescent="0.2">
      <c r="BW471" s="439"/>
      <c r="BX471" s="439"/>
      <c r="BY471" s="439"/>
      <c r="BZ471" s="439"/>
      <c r="CA471" s="439"/>
      <c r="CB471" s="439"/>
      <c r="CC471" s="439"/>
      <c r="CD471" s="439"/>
      <c r="CE471" s="440"/>
      <c r="CF471" s="420"/>
      <c r="CG471" s="420"/>
      <c r="CH471" s="420"/>
    </row>
    <row r="472" spans="75:86" s="428" customFormat="1" x14ac:dyDescent="0.2">
      <c r="BW472" s="439"/>
      <c r="BX472" s="439"/>
      <c r="BY472" s="439"/>
      <c r="BZ472" s="439"/>
      <c r="CA472" s="439"/>
      <c r="CB472" s="439"/>
      <c r="CC472" s="439"/>
      <c r="CD472" s="439"/>
      <c r="CE472" s="440"/>
      <c r="CF472" s="420"/>
      <c r="CG472" s="420"/>
      <c r="CH472" s="420"/>
    </row>
    <row r="473" spans="75:86" s="428" customFormat="1" x14ac:dyDescent="0.2">
      <c r="BW473" s="439"/>
      <c r="BX473" s="439"/>
      <c r="BY473" s="439"/>
      <c r="BZ473" s="439"/>
      <c r="CA473" s="439"/>
      <c r="CB473" s="439"/>
      <c r="CC473" s="439"/>
      <c r="CD473" s="439"/>
      <c r="CE473" s="440"/>
      <c r="CF473" s="420"/>
      <c r="CG473" s="420"/>
      <c r="CH473" s="420"/>
    </row>
    <row r="474" spans="75:86" s="428" customFormat="1" x14ac:dyDescent="0.2">
      <c r="BW474" s="439"/>
      <c r="BX474" s="439"/>
      <c r="BY474" s="439"/>
      <c r="BZ474" s="439"/>
      <c r="CA474" s="439"/>
      <c r="CB474" s="439"/>
      <c r="CC474" s="439"/>
      <c r="CD474" s="439"/>
      <c r="CE474" s="440"/>
      <c r="CF474" s="420"/>
      <c r="CG474" s="420"/>
      <c r="CH474" s="420"/>
    </row>
    <row r="475" spans="75:86" s="428" customFormat="1" x14ac:dyDescent="0.2">
      <c r="BW475" s="439"/>
      <c r="BX475" s="439"/>
      <c r="BY475" s="439"/>
      <c r="BZ475" s="439"/>
      <c r="CA475" s="439"/>
      <c r="CB475" s="439"/>
      <c r="CC475" s="439"/>
      <c r="CD475" s="439"/>
      <c r="CE475" s="440"/>
      <c r="CF475" s="420"/>
      <c r="CG475" s="420"/>
      <c r="CH475" s="420"/>
    </row>
    <row r="476" spans="75:86" s="428" customFormat="1" x14ac:dyDescent="0.2">
      <c r="BW476" s="439"/>
      <c r="BX476" s="439"/>
      <c r="BY476" s="439"/>
      <c r="BZ476" s="439"/>
      <c r="CA476" s="439"/>
      <c r="CB476" s="439"/>
      <c r="CC476" s="439"/>
      <c r="CD476" s="439"/>
      <c r="CE476" s="440"/>
      <c r="CF476" s="420"/>
      <c r="CG476" s="420"/>
      <c r="CH476" s="420"/>
    </row>
    <row r="477" spans="75:86" s="428" customFormat="1" x14ac:dyDescent="0.2">
      <c r="BW477" s="439"/>
      <c r="BX477" s="439"/>
      <c r="BY477" s="439"/>
      <c r="BZ477" s="439"/>
      <c r="CA477" s="439"/>
      <c r="CB477" s="439"/>
      <c r="CC477" s="439"/>
      <c r="CD477" s="439"/>
      <c r="CE477" s="440"/>
      <c r="CF477" s="420"/>
      <c r="CG477" s="420"/>
      <c r="CH477" s="420"/>
    </row>
    <row r="478" spans="75:86" s="428" customFormat="1" x14ac:dyDescent="0.2">
      <c r="BW478" s="439"/>
      <c r="BX478" s="439"/>
      <c r="BY478" s="439"/>
      <c r="BZ478" s="439"/>
      <c r="CA478" s="439"/>
      <c r="CB478" s="439"/>
      <c r="CC478" s="439"/>
      <c r="CD478" s="439"/>
      <c r="CE478" s="440"/>
      <c r="CF478" s="420"/>
      <c r="CG478" s="420"/>
      <c r="CH478" s="420"/>
    </row>
    <row r="479" spans="75:86" s="428" customFormat="1" x14ac:dyDescent="0.2">
      <c r="BW479" s="439"/>
      <c r="BX479" s="439"/>
      <c r="BY479" s="439"/>
      <c r="BZ479" s="439"/>
      <c r="CA479" s="439"/>
      <c r="CB479" s="439"/>
      <c r="CC479" s="439"/>
      <c r="CD479" s="439"/>
      <c r="CE479" s="440"/>
      <c r="CF479" s="420"/>
      <c r="CG479" s="420"/>
      <c r="CH479" s="420"/>
    </row>
    <row r="480" spans="75:86" s="428" customFormat="1" x14ac:dyDescent="0.2">
      <c r="BW480" s="439"/>
      <c r="BX480" s="439"/>
      <c r="BY480" s="439"/>
      <c r="BZ480" s="439"/>
      <c r="CA480" s="439"/>
      <c r="CB480" s="439"/>
      <c r="CC480" s="439"/>
      <c r="CD480" s="439"/>
      <c r="CE480" s="440"/>
      <c r="CF480" s="420"/>
      <c r="CG480" s="420"/>
      <c r="CH480" s="420"/>
    </row>
    <row r="481" spans="75:86" s="428" customFormat="1" x14ac:dyDescent="0.2">
      <c r="BW481" s="439"/>
      <c r="BX481" s="439"/>
      <c r="BY481" s="439"/>
      <c r="BZ481" s="439"/>
      <c r="CA481" s="439"/>
      <c r="CB481" s="439"/>
      <c r="CC481" s="439"/>
      <c r="CD481" s="439"/>
      <c r="CE481" s="440"/>
      <c r="CF481" s="420"/>
      <c r="CG481" s="420"/>
      <c r="CH481" s="420"/>
    </row>
    <row r="482" spans="75:86" s="428" customFormat="1" x14ac:dyDescent="0.2">
      <c r="BW482" s="439"/>
      <c r="BX482" s="439"/>
      <c r="BY482" s="439"/>
      <c r="BZ482" s="439"/>
      <c r="CA482" s="439"/>
      <c r="CB482" s="439"/>
      <c r="CC482" s="439"/>
      <c r="CD482" s="439"/>
      <c r="CE482" s="440"/>
      <c r="CF482" s="420"/>
      <c r="CG482" s="420"/>
      <c r="CH482" s="420"/>
    </row>
    <row r="483" spans="75:86" s="428" customFormat="1" x14ac:dyDescent="0.2">
      <c r="BW483" s="439"/>
      <c r="BX483" s="439"/>
      <c r="BY483" s="439"/>
      <c r="BZ483" s="439"/>
      <c r="CA483" s="439"/>
      <c r="CB483" s="439"/>
      <c r="CC483" s="439"/>
      <c r="CD483" s="439"/>
      <c r="CE483" s="440"/>
      <c r="CF483" s="420"/>
      <c r="CG483" s="420"/>
      <c r="CH483" s="420"/>
    </row>
    <row r="484" spans="75:86" s="428" customFormat="1" x14ac:dyDescent="0.2">
      <c r="BW484" s="439"/>
      <c r="BX484" s="439"/>
      <c r="BY484" s="439"/>
      <c r="BZ484" s="439"/>
      <c r="CA484" s="439"/>
      <c r="CB484" s="439"/>
      <c r="CC484" s="439"/>
      <c r="CD484" s="439"/>
      <c r="CE484" s="440"/>
      <c r="CF484" s="420"/>
      <c r="CG484" s="420"/>
      <c r="CH484" s="420"/>
    </row>
    <row r="485" spans="75:86" s="428" customFormat="1" x14ac:dyDescent="0.2">
      <c r="BW485" s="439"/>
      <c r="BX485" s="439"/>
      <c r="BY485" s="439"/>
      <c r="BZ485" s="439"/>
      <c r="CA485" s="439"/>
      <c r="CB485" s="439"/>
      <c r="CC485" s="439"/>
      <c r="CD485" s="439"/>
      <c r="CE485" s="440"/>
      <c r="CF485" s="420"/>
      <c r="CG485" s="420"/>
      <c r="CH485" s="420"/>
    </row>
    <row r="486" spans="75:86" s="428" customFormat="1" x14ac:dyDescent="0.2">
      <c r="BW486" s="439"/>
      <c r="BX486" s="439"/>
      <c r="BY486" s="439"/>
      <c r="BZ486" s="439"/>
      <c r="CA486" s="439"/>
      <c r="CB486" s="439"/>
      <c r="CC486" s="439"/>
      <c r="CD486" s="439"/>
      <c r="CE486" s="440"/>
      <c r="CF486" s="420"/>
      <c r="CG486" s="420"/>
      <c r="CH486" s="420"/>
    </row>
    <row r="487" spans="75:86" s="428" customFormat="1" x14ac:dyDescent="0.2">
      <c r="BW487" s="439"/>
      <c r="BX487" s="439"/>
      <c r="BY487" s="439"/>
      <c r="BZ487" s="439"/>
      <c r="CA487" s="439"/>
      <c r="CB487" s="439"/>
      <c r="CC487" s="439"/>
      <c r="CD487" s="439"/>
      <c r="CE487" s="440"/>
      <c r="CF487" s="420"/>
      <c r="CG487" s="420"/>
      <c r="CH487" s="420"/>
    </row>
    <row r="488" spans="75:86" s="428" customFormat="1" x14ac:dyDescent="0.2">
      <c r="BW488" s="439"/>
      <c r="BX488" s="439"/>
      <c r="BY488" s="439"/>
      <c r="BZ488" s="439"/>
      <c r="CA488" s="439"/>
      <c r="CB488" s="439"/>
      <c r="CC488" s="439"/>
      <c r="CD488" s="439"/>
      <c r="CE488" s="440"/>
      <c r="CF488" s="420"/>
      <c r="CG488" s="420"/>
      <c r="CH488" s="420"/>
    </row>
    <row r="489" spans="75:86" s="428" customFormat="1" x14ac:dyDescent="0.2">
      <c r="BW489" s="439"/>
      <c r="BX489" s="439"/>
      <c r="BY489" s="439"/>
      <c r="BZ489" s="439"/>
      <c r="CA489" s="439"/>
      <c r="CB489" s="439"/>
      <c r="CC489" s="439"/>
      <c r="CD489" s="439"/>
      <c r="CE489" s="440"/>
      <c r="CF489" s="420"/>
      <c r="CG489" s="420"/>
      <c r="CH489" s="420"/>
    </row>
    <row r="490" spans="75:86" s="428" customFormat="1" x14ac:dyDescent="0.2">
      <c r="BW490" s="439"/>
      <c r="BX490" s="439"/>
      <c r="BY490" s="439"/>
      <c r="BZ490" s="439"/>
      <c r="CA490" s="439"/>
      <c r="CB490" s="439"/>
      <c r="CC490" s="439"/>
      <c r="CD490" s="439"/>
      <c r="CE490" s="440"/>
      <c r="CF490" s="420"/>
      <c r="CG490" s="420"/>
      <c r="CH490" s="420"/>
    </row>
    <row r="491" spans="75:86" s="428" customFormat="1" x14ac:dyDescent="0.2">
      <c r="BW491" s="439"/>
      <c r="BX491" s="439"/>
      <c r="BY491" s="439"/>
      <c r="BZ491" s="439"/>
      <c r="CA491" s="439"/>
      <c r="CB491" s="439"/>
      <c r="CC491" s="439"/>
      <c r="CD491" s="439"/>
      <c r="CE491" s="440"/>
      <c r="CF491" s="420"/>
      <c r="CG491" s="420"/>
      <c r="CH491" s="420"/>
    </row>
    <row r="492" spans="75:86" s="428" customFormat="1" x14ac:dyDescent="0.2">
      <c r="BW492" s="439"/>
      <c r="BX492" s="439"/>
      <c r="BY492" s="439"/>
      <c r="BZ492" s="439"/>
      <c r="CA492" s="439"/>
      <c r="CB492" s="439"/>
      <c r="CC492" s="439"/>
      <c r="CD492" s="439"/>
      <c r="CE492" s="440"/>
      <c r="CF492" s="420"/>
      <c r="CG492" s="420"/>
      <c r="CH492" s="420"/>
    </row>
    <row r="493" spans="75:86" s="428" customFormat="1" x14ac:dyDescent="0.2">
      <c r="BW493" s="439"/>
      <c r="BX493" s="439"/>
      <c r="BY493" s="439"/>
      <c r="BZ493" s="439"/>
      <c r="CA493" s="439"/>
      <c r="CB493" s="439"/>
      <c r="CC493" s="439"/>
      <c r="CD493" s="439"/>
      <c r="CE493" s="440"/>
      <c r="CF493" s="420"/>
      <c r="CG493" s="420"/>
      <c r="CH493" s="420"/>
    </row>
    <row r="494" spans="75:86" s="428" customFormat="1" x14ac:dyDescent="0.2">
      <c r="BW494" s="439"/>
      <c r="BX494" s="439"/>
      <c r="BY494" s="439"/>
      <c r="BZ494" s="439"/>
      <c r="CA494" s="439"/>
      <c r="CB494" s="439"/>
      <c r="CC494" s="439"/>
      <c r="CD494" s="439"/>
      <c r="CE494" s="440"/>
      <c r="CF494" s="420"/>
      <c r="CG494" s="420"/>
      <c r="CH494" s="420"/>
    </row>
    <row r="495" spans="75:86" s="428" customFormat="1" x14ac:dyDescent="0.2">
      <c r="BW495" s="439"/>
      <c r="BX495" s="439"/>
      <c r="BY495" s="439"/>
      <c r="BZ495" s="439"/>
      <c r="CA495" s="439"/>
      <c r="CB495" s="439"/>
      <c r="CC495" s="439"/>
      <c r="CD495" s="439"/>
      <c r="CE495" s="440"/>
      <c r="CF495" s="420"/>
      <c r="CG495" s="420"/>
      <c r="CH495" s="420"/>
    </row>
    <row r="496" spans="75:86" s="428" customFormat="1" x14ac:dyDescent="0.2">
      <c r="BW496" s="439"/>
      <c r="BX496" s="439"/>
      <c r="BY496" s="439"/>
      <c r="BZ496" s="439"/>
      <c r="CA496" s="439"/>
      <c r="CB496" s="439"/>
      <c r="CC496" s="439"/>
      <c r="CD496" s="439"/>
      <c r="CE496" s="440"/>
      <c r="CF496" s="420"/>
      <c r="CG496" s="420"/>
      <c r="CH496" s="420"/>
    </row>
    <row r="497" spans="75:86" s="428" customFormat="1" x14ac:dyDescent="0.2">
      <c r="BW497" s="439"/>
      <c r="BX497" s="439"/>
      <c r="BY497" s="439"/>
      <c r="BZ497" s="439"/>
      <c r="CA497" s="439"/>
      <c r="CB497" s="439"/>
      <c r="CC497" s="439"/>
      <c r="CD497" s="439"/>
      <c r="CE497" s="440"/>
      <c r="CF497" s="420"/>
      <c r="CG497" s="420"/>
      <c r="CH497" s="420"/>
    </row>
    <row r="498" spans="75:86" s="428" customFormat="1" x14ac:dyDescent="0.2">
      <c r="BW498" s="439"/>
      <c r="BX498" s="439"/>
      <c r="BY498" s="439"/>
      <c r="BZ498" s="439"/>
      <c r="CA498" s="439"/>
      <c r="CB498" s="439"/>
      <c r="CC498" s="439"/>
      <c r="CD498" s="439"/>
      <c r="CE498" s="440"/>
      <c r="CF498" s="420"/>
      <c r="CG498" s="420"/>
      <c r="CH498" s="420"/>
    </row>
    <row r="499" spans="75:86" s="428" customFormat="1" x14ac:dyDescent="0.2">
      <c r="BW499" s="439"/>
      <c r="BX499" s="439"/>
      <c r="BY499" s="439"/>
      <c r="BZ499" s="439"/>
      <c r="CA499" s="439"/>
      <c r="CB499" s="439"/>
      <c r="CC499" s="439"/>
      <c r="CD499" s="439"/>
      <c r="CE499" s="440"/>
      <c r="CF499" s="420"/>
      <c r="CG499" s="420"/>
      <c r="CH499" s="420"/>
    </row>
    <row r="500" spans="75:86" s="428" customFormat="1" x14ac:dyDescent="0.2">
      <c r="BW500" s="439"/>
      <c r="BX500" s="439"/>
      <c r="BY500" s="439"/>
      <c r="BZ500" s="439"/>
      <c r="CA500" s="439"/>
      <c r="CB500" s="439"/>
      <c r="CC500" s="439"/>
      <c r="CD500" s="439"/>
      <c r="CE500" s="440"/>
      <c r="CF500" s="420"/>
      <c r="CG500" s="420"/>
      <c r="CH500" s="420"/>
    </row>
    <row r="501" spans="75:86" s="428" customFormat="1" x14ac:dyDescent="0.2">
      <c r="BW501" s="439"/>
      <c r="BX501" s="439"/>
      <c r="BY501" s="439"/>
      <c r="BZ501" s="439"/>
      <c r="CA501" s="439"/>
      <c r="CB501" s="439"/>
      <c r="CC501" s="439"/>
      <c r="CD501" s="439"/>
      <c r="CE501" s="440"/>
      <c r="CF501" s="420"/>
      <c r="CG501" s="420"/>
      <c r="CH501" s="420"/>
    </row>
    <row r="502" spans="75:86" s="428" customFormat="1" x14ac:dyDescent="0.2">
      <c r="BW502" s="439"/>
      <c r="BX502" s="439"/>
      <c r="BY502" s="439"/>
      <c r="BZ502" s="439"/>
      <c r="CA502" s="439"/>
      <c r="CB502" s="439"/>
      <c r="CC502" s="439"/>
      <c r="CD502" s="439"/>
      <c r="CE502" s="440"/>
      <c r="CF502" s="420"/>
      <c r="CG502" s="420"/>
      <c r="CH502" s="420"/>
    </row>
    <row r="503" spans="75:86" s="428" customFormat="1" x14ac:dyDescent="0.2">
      <c r="BW503" s="439"/>
      <c r="BX503" s="439"/>
      <c r="BY503" s="439"/>
      <c r="BZ503" s="439"/>
      <c r="CA503" s="439"/>
      <c r="CB503" s="439"/>
      <c r="CC503" s="439"/>
      <c r="CD503" s="439"/>
      <c r="CE503" s="440"/>
      <c r="CF503" s="420"/>
      <c r="CG503" s="420"/>
      <c r="CH503" s="420"/>
    </row>
    <row r="504" spans="75:86" s="428" customFormat="1" x14ac:dyDescent="0.2">
      <c r="BW504" s="439"/>
      <c r="BX504" s="439"/>
      <c r="BY504" s="439"/>
      <c r="BZ504" s="439"/>
      <c r="CA504" s="439"/>
      <c r="CB504" s="439"/>
      <c r="CC504" s="439"/>
      <c r="CD504" s="439"/>
      <c r="CE504" s="440"/>
      <c r="CF504" s="420"/>
      <c r="CG504" s="420"/>
      <c r="CH504" s="420"/>
    </row>
    <row r="505" spans="75:86" s="428" customFormat="1" x14ac:dyDescent="0.2">
      <c r="BW505" s="439"/>
      <c r="BX505" s="439"/>
      <c r="BY505" s="439"/>
      <c r="BZ505" s="439"/>
      <c r="CA505" s="439"/>
      <c r="CB505" s="439"/>
      <c r="CC505" s="439"/>
      <c r="CD505" s="439"/>
      <c r="CE505" s="440"/>
      <c r="CF505" s="420"/>
      <c r="CG505" s="420"/>
      <c r="CH505" s="420"/>
    </row>
    <row r="506" spans="75:86" s="428" customFormat="1" x14ac:dyDescent="0.2">
      <c r="BW506" s="439"/>
      <c r="BX506" s="439"/>
      <c r="BY506" s="439"/>
      <c r="BZ506" s="439"/>
      <c r="CA506" s="439"/>
      <c r="CB506" s="439"/>
      <c r="CC506" s="439"/>
      <c r="CD506" s="439"/>
      <c r="CE506" s="440"/>
      <c r="CF506" s="420"/>
      <c r="CG506" s="420"/>
      <c r="CH506" s="420"/>
    </row>
    <row r="507" spans="75:86" s="428" customFormat="1" x14ac:dyDescent="0.2">
      <c r="BW507" s="439"/>
      <c r="BX507" s="439"/>
      <c r="BY507" s="439"/>
      <c r="BZ507" s="439"/>
      <c r="CA507" s="439"/>
      <c r="CB507" s="439"/>
      <c r="CC507" s="439"/>
      <c r="CD507" s="439"/>
      <c r="CE507" s="440"/>
      <c r="CF507" s="420"/>
      <c r="CG507" s="420"/>
      <c r="CH507" s="420"/>
    </row>
    <row r="508" spans="75:86" s="428" customFormat="1" x14ac:dyDescent="0.2">
      <c r="BW508" s="439"/>
      <c r="BX508" s="439"/>
      <c r="BY508" s="439"/>
      <c r="BZ508" s="439"/>
      <c r="CA508" s="439"/>
      <c r="CB508" s="439"/>
      <c r="CC508" s="439"/>
      <c r="CD508" s="439"/>
      <c r="CE508" s="440"/>
      <c r="CF508" s="420"/>
      <c r="CG508" s="420"/>
      <c r="CH508" s="420"/>
    </row>
    <row r="509" spans="75:86" s="428" customFormat="1" x14ac:dyDescent="0.2">
      <c r="BW509" s="439"/>
      <c r="BX509" s="439"/>
      <c r="BY509" s="439"/>
      <c r="BZ509" s="439"/>
      <c r="CA509" s="439"/>
      <c r="CB509" s="439"/>
      <c r="CC509" s="439"/>
      <c r="CD509" s="439"/>
      <c r="CE509" s="440"/>
      <c r="CF509" s="420"/>
      <c r="CG509" s="420"/>
      <c r="CH509" s="420"/>
    </row>
    <row r="510" spans="75:86" s="428" customFormat="1" x14ac:dyDescent="0.2">
      <c r="BW510" s="439"/>
      <c r="BX510" s="439"/>
      <c r="BY510" s="439"/>
      <c r="BZ510" s="439"/>
      <c r="CA510" s="439"/>
      <c r="CB510" s="439"/>
      <c r="CC510" s="439"/>
      <c r="CD510" s="439"/>
      <c r="CE510" s="440"/>
      <c r="CF510" s="420"/>
      <c r="CG510" s="420"/>
      <c r="CH510" s="420"/>
    </row>
    <row r="511" spans="75:86" s="428" customFormat="1" x14ac:dyDescent="0.2">
      <c r="BW511" s="439"/>
      <c r="BX511" s="439"/>
      <c r="BY511" s="439"/>
      <c r="BZ511" s="439"/>
      <c r="CA511" s="439"/>
      <c r="CB511" s="439"/>
      <c r="CC511" s="439"/>
      <c r="CD511" s="439"/>
      <c r="CE511" s="440"/>
      <c r="CF511" s="420"/>
      <c r="CG511" s="420"/>
      <c r="CH511" s="420"/>
    </row>
    <row r="512" spans="75:86" s="428" customFormat="1" x14ac:dyDescent="0.2">
      <c r="BW512" s="439"/>
      <c r="BX512" s="439"/>
      <c r="BY512" s="439"/>
      <c r="BZ512" s="439"/>
      <c r="CA512" s="439"/>
      <c r="CB512" s="439"/>
      <c r="CC512" s="439"/>
      <c r="CD512" s="439"/>
      <c r="CE512" s="440"/>
      <c r="CF512" s="420"/>
      <c r="CG512" s="420"/>
      <c r="CH512" s="420"/>
    </row>
    <row r="513" spans="75:86" s="428" customFormat="1" x14ac:dyDescent="0.2">
      <c r="BW513" s="439"/>
      <c r="BX513" s="439"/>
      <c r="BY513" s="439"/>
      <c r="BZ513" s="439"/>
      <c r="CA513" s="439"/>
      <c r="CB513" s="439"/>
      <c r="CC513" s="439"/>
      <c r="CD513" s="439"/>
      <c r="CE513" s="440"/>
      <c r="CF513" s="420"/>
      <c r="CG513" s="420"/>
      <c r="CH513" s="420"/>
    </row>
    <row r="514" spans="75:86" s="428" customFormat="1" x14ac:dyDescent="0.2">
      <c r="BW514" s="439"/>
      <c r="BX514" s="439"/>
      <c r="BY514" s="439"/>
      <c r="BZ514" s="439"/>
      <c r="CA514" s="439"/>
      <c r="CB514" s="439"/>
      <c r="CC514" s="439"/>
      <c r="CD514" s="439"/>
      <c r="CE514" s="440"/>
      <c r="CF514" s="420"/>
      <c r="CG514" s="420"/>
      <c r="CH514" s="420"/>
    </row>
    <row r="515" spans="75:86" s="428" customFormat="1" x14ac:dyDescent="0.2">
      <c r="BW515" s="439"/>
      <c r="BX515" s="439"/>
      <c r="BY515" s="439"/>
      <c r="BZ515" s="439"/>
      <c r="CA515" s="439"/>
      <c r="CB515" s="439"/>
      <c r="CC515" s="439"/>
      <c r="CD515" s="439"/>
      <c r="CE515" s="440"/>
      <c r="CF515" s="420"/>
      <c r="CG515" s="420"/>
      <c r="CH515" s="420"/>
    </row>
    <row r="516" spans="75:86" s="428" customFormat="1" x14ac:dyDescent="0.2">
      <c r="BW516" s="439"/>
      <c r="BX516" s="439"/>
      <c r="BY516" s="439"/>
      <c r="BZ516" s="439"/>
      <c r="CA516" s="439"/>
      <c r="CB516" s="439"/>
      <c r="CC516" s="439"/>
      <c r="CD516" s="439"/>
      <c r="CE516" s="440"/>
      <c r="CF516" s="420"/>
      <c r="CG516" s="420"/>
      <c r="CH516" s="420"/>
    </row>
    <row r="517" spans="75:86" s="428" customFormat="1" x14ac:dyDescent="0.2">
      <c r="BW517" s="439"/>
      <c r="BX517" s="439"/>
      <c r="BY517" s="439"/>
      <c r="BZ517" s="439"/>
      <c r="CA517" s="439"/>
      <c r="CB517" s="439"/>
      <c r="CC517" s="439"/>
      <c r="CD517" s="439"/>
      <c r="CE517" s="440"/>
      <c r="CF517" s="420"/>
      <c r="CG517" s="420"/>
      <c r="CH517" s="420"/>
    </row>
    <row r="518" spans="75:86" s="428" customFormat="1" x14ac:dyDescent="0.2">
      <c r="BW518" s="439"/>
      <c r="BX518" s="439"/>
      <c r="BY518" s="439"/>
      <c r="BZ518" s="439"/>
      <c r="CA518" s="439"/>
      <c r="CB518" s="439"/>
      <c r="CC518" s="439"/>
      <c r="CD518" s="439"/>
      <c r="CE518" s="440"/>
      <c r="CF518" s="420"/>
      <c r="CG518" s="420"/>
      <c r="CH518" s="420"/>
    </row>
    <row r="519" spans="75:86" s="428" customFormat="1" x14ac:dyDescent="0.2">
      <c r="BW519" s="439"/>
      <c r="BX519" s="439"/>
      <c r="BY519" s="439"/>
      <c r="BZ519" s="439"/>
      <c r="CA519" s="439"/>
      <c r="CB519" s="439"/>
      <c r="CC519" s="439"/>
      <c r="CD519" s="439"/>
      <c r="CE519" s="440"/>
      <c r="CF519" s="420"/>
      <c r="CG519" s="420"/>
      <c r="CH519" s="420"/>
    </row>
    <row r="520" spans="75:86" s="428" customFormat="1" x14ac:dyDescent="0.2">
      <c r="BW520" s="439"/>
      <c r="BX520" s="439"/>
      <c r="BY520" s="439"/>
      <c r="BZ520" s="439"/>
      <c r="CA520" s="439"/>
      <c r="CB520" s="439"/>
      <c r="CC520" s="439"/>
      <c r="CD520" s="439"/>
      <c r="CE520" s="440"/>
      <c r="CF520" s="420"/>
      <c r="CG520" s="420"/>
      <c r="CH520" s="420"/>
    </row>
    <row r="521" spans="75:86" s="428" customFormat="1" x14ac:dyDescent="0.2">
      <c r="BW521" s="439"/>
      <c r="BX521" s="439"/>
      <c r="BY521" s="439"/>
      <c r="BZ521" s="439"/>
      <c r="CA521" s="439"/>
      <c r="CB521" s="439"/>
      <c r="CC521" s="439"/>
      <c r="CD521" s="439"/>
      <c r="CE521" s="440"/>
      <c r="CF521" s="420"/>
      <c r="CG521" s="420"/>
      <c r="CH521" s="420"/>
    </row>
    <row r="522" spans="75:86" s="428" customFormat="1" x14ac:dyDescent="0.2">
      <c r="BW522" s="439"/>
      <c r="BX522" s="439"/>
      <c r="BY522" s="439"/>
      <c r="BZ522" s="439"/>
      <c r="CA522" s="439"/>
      <c r="CB522" s="439"/>
      <c r="CC522" s="439"/>
      <c r="CD522" s="439"/>
      <c r="CE522" s="440"/>
      <c r="CF522" s="420"/>
      <c r="CG522" s="420"/>
      <c r="CH522" s="420"/>
    </row>
    <row r="523" spans="75:86" s="428" customFormat="1" x14ac:dyDescent="0.2">
      <c r="BW523" s="439"/>
      <c r="BX523" s="439"/>
      <c r="BY523" s="439"/>
      <c r="BZ523" s="439"/>
      <c r="CA523" s="439"/>
      <c r="CB523" s="439"/>
      <c r="CC523" s="439"/>
      <c r="CD523" s="439"/>
      <c r="CE523" s="440"/>
      <c r="CF523" s="420"/>
      <c r="CG523" s="420"/>
      <c r="CH523" s="420"/>
    </row>
    <row r="524" spans="75:86" s="428" customFormat="1" x14ac:dyDescent="0.2">
      <c r="BW524" s="439"/>
      <c r="BX524" s="439"/>
      <c r="BY524" s="439"/>
      <c r="BZ524" s="439"/>
      <c r="CA524" s="439"/>
      <c r="CB524" s="439"/>
      <c r="CC524" s="439"/>
      <c r="CD524" s="439"/>
      <c r="CE524" s="440"/>
      <c r="CF524" s="420"/>
      <c r="CG524" s="420"/>
      <c r="CH524" s="420"/>
    </row>
    <row r="525" spans="75:86" s="428" customFormat="1" x14ac:dyDescent="0.2">
      <c r="BW525" s="439"/>
      <c r="BX525" s="439"/>
      <c r="BY525" s="439"/>
      <c r="BZ525" s="439"/>
      <c r="CA525" s="439"/>
      <c r="CB525" s="439"/>
      <c r="CC525" s="439"/>
      <c r="CD525" s="439"/>
      <c r="CE525" s="440"/>
      <c r="CF525" s="420"/>
      <c r="CG525" s="420"/>
      <c r="CH525" s="420"/>
    </row>
    <row r="526" spans="75:86" s="428" customFormat="1" x14ac:dyDescent="0.2">
      <c r="BW526" s="439"/>
      <c r="BX526" s="439"/>
      <c r="BY526" s="439"/>
      <c r="BZ526" s="439"/>
      <c r="CA526" s="439"/>
      <c r="CB526" s="439"/>
      <c r="CC526" s="439"/>
      <c r="CD526" s="439"/>
      <c r="CE526" s="440"/>
      <c r="CF526" s="420"/>
      <c r="CG526" s="420"/>
      <c r="CH526" s="420"/>
    </row>
    <row r="527" spans="75:86" s="428" customFormat="1" x14ac:dyDescent="0.2">
      <c r="BW527" s="439"/>
      <c r="BX527" s="439"/>
      <c r="BY527" s="439"/>
      <c r="BZ527" s="439"/>
      <c r="CA527" s="439"/>
      <c r="CB527" s="439"/>
      <c r="CC527" s="439"/>
      <c r="CD527" s="439"/>
      <c r="CE527" s="440"/>
      <c r="CF527" s="420"/>
      <c r="CG527" s="420"/>
      <c r="CH527" s="420"/>
    </row>
    <row r="528" spans="75:86" s="428" customFormat="1" x14ac:dyDescent="0.2">
      <c r="BW528" s="439"/>
      <c r="BX528" s="439"/>
      <c r="BY528" s="439"/>
      <c r="BZ528" s="439"/>
      <c r="CA528" s="439"/>
      <c r="CB528" s="439"/>
      <c r="CC528" s="439"/>
      <c r="CD528" s="439"/>
      <c r="CE528" s="440"/>
      <c r="CF528" s="420"/>
      <c r="CG528" s="420"/>
      <c r="CH528" s="420"/>
    </row>
    <row r="529" spans="75:86" s="428" customFormat="1" x14ac:dyDescent="0.2">
      <c r="BW529" s="439"/>
      <c r="BX529" s="439"/>
      <c r="BY529" s="439"/>
      <c r="BZ529" s="439"/>
      <c r="CA529" s="439"/>
      <c r="CB529" s="439"/>
      <c r="CC529" s="439"/>
      <c r="CD529" s="439"/>
      <c r="CE529" s="440"/>
      <c r="CF529" s="420"/>
      <c r="CG529" s="420"/>
      <c r="CH529" s="420"/>
    </row>
    <row r="530" spans="75:86" s="428" customFormat="1" x14ac:dyDescent="0.2">
      <c r="BW530" s="439"/>
      <c r="BX530" s="439"/>
      <c r="BY530" s="439"/>
      <c r="BZ530" s="439"/>
      <c r="CA530" s="439"/>
      <c r="CB530" s="439"/>
      <c r="CC530" s="439"/>
      <c r="CD530" s="439"/>
      <c r="CE530" s="440"/>
      <c r="CF530" s="420"/>
      <c r="CG530" s="420"/>
      <c r="CH530" s="420"/>
    </row>
    <row r="531" spans="75:86" s="428" customFormat="1" x14ac:dyDescent="0.2">
      <c r="BW531" s="439"/>
      <c r="BX531" s="439"/>
      <c r="BY531" s="439"/>
      <c r="BZ531" s="439"/>
      <c r="CA531" s="439"/>
      <c r="CB531" s="439"/>
      <c r="CC531" s="439"/>
      <c r="CD531" s="439"/>
      <c r="CE531" s="440"/>
      <c r="CF531" s="420"/>
      <c r="CG531" s="420"/>
      <c r="CH531" s="420"/>
    </row>
    <row r="532" spans="75:86" s="428" customFormat="1" x14ac:dyDescent="0.2">
      <c r="BW532" s="439"/>
      <c r="BX532" s="439"/>
      <c r="BY532" s="439"/>
      <c r="BZ532" s="439"/>
      <c r="CA532" s="439"/>
      <c r="CB532" s="439"/>
      <c r="CC532" s="439"/>
      <c r="CD532" s="439"/>
      <c r="CE532" s="440"/>
      <c r="CF532" s="420"/>
      <c r="CG532" s="420"/>
      <c r="CH532" s="420"/>
    </row>
    <row r="533" spans="75:86" s="428" customFormat="1" x14ac:dyDescent="0.2">
      <c r="BW533" s="439"/>
      <c r="BX533" s="439"/>
      <c r="BY533" s="439"/>
      <c r="BZ533" s="439"/>
      <c r="CA533" s="439"/>
      <c r="CB533" s="439"/>
      <c r="CC533" s="439"/>
      <c r="CD533" s="439"/>
      <c r="CE533" s="440"/>
      <c r="CF533" s="420"/>
      <c r="CG533" s="420"/>
      <c r="CH533" s="420"/>
    </row>
    <row r="534" spans="75:86" s="428" customFormat="1" x14ac:dyDescent="0.2">
      <c r="BW534" s="439"/>
      <c r="BX534" s="439"/>
      <c r="BY534" s="439"/>
      <c r="BZ534" s="439"/>
      <c r="CA534" s="439"/>
      <c r="CB534" s="439"/>
      <c r="CC534" s="439"/>
      <c r="CD534" s="439"/>
      <c r="CE534" s="440"/>
      <c r="CF534" s="420"/>
      <c r="CG534" s="420"/>
      <c r="CH534" s="420"/>
    </row>
    <row r="535" spans="75:86" s="428" customFormat="1" x14ac:dyDescent="0.2">
      <c r="BW535" s="439"/>
      <c r="BX535" s="439"/>
      <c r="BY535" s="439"/>
      <c r="BZ535" s="439"/>
      <c r="CA535" s="439"/>
      <c r="CB535" s="439"/>
      <c r="CC535" s="439"/>
      <c r="CD535" s="439"/>
      <c r="CE535" s="440"/>
      <c r="CF535" s="420"/>
      <c r="CG535" s="420"/>
      <c r="CH535" s="420"/>
    </row>
    <row r="536" spans="75:86" s="428" customFormat="1" x14ac:dyDescent="0.2">
      <c r="BW536" s="439"/>
      <c r="BX536" s="439"/>
      <c r="BY536" s="439"/>
      <c r="BZ536" s="439"/>
      <c r="CA536" s="439"/>
      <c r="CB536" s="439"/>
      <c r="CC536" s="439"/>
      <c r="CD536" s="439"/>
      <c r="CE536" s="440"/>
      <c r="CF536" s="420"/>
      <c r="CG536" s="420"/>
      <c r="CH536" s="420"/>
    </row>
    <row r="537" spans="75:86" s="428" customFormat="1" x14ac:dyDescent="0.2">
      <c r="BW537" s="439"/>
      <c r="BX537" s="439"/>
      <c r="BY537" s="439"/>
      <c r="BZ537" s="439"/>
      <c r="CA537" s="439"/>
      <c r="CB537" s="439"/>
      <c r="CC537" s="439"/>
      <c r="CD537" s="439"/>
      <c r="CE537" s="440"/>
      <c r="CF537" s="420"/>
      <c r="CG537" s="420"/>
      <c r="CH537" s="420"/>
    </row>
    <row r="538" spans="75:86" s="428" customFormat="1" x14ac:dyDescent="0.2">
      <c r="BW538" s="439"/>
      <c r="BX538" s="439"/>
      <c r="BY538" s="439"/>
      <c r="BZ538" s="439"/>
      <c r="CA538" s="439"/>
      <c r="CB538" s="439"/>
      <c r="CC538" s="439"/>
      <c r="CD538" s="439"/>
      <c r="CE538" s="440"/>
      <c r="CF538" s="420"/>
      <c r="CG538" s="420"/>
      <c r="CH538" s="420"/>
    </row>
    <row r="539" spans="75:86" s="428" customFormat="1" x14ac:dyDescent="0.2">
      <c r="BW539" s="439"/>
      <c r="BX539" s="439"/>
      <c r="BY539" s="439"/>
      <c r="BZ539" s="439"/>
      <c r="CA539" s="439"/>
      <c r="CB539" s="439"/>
      <c r="CC539" s="439"/>
      <c r="CD539" s="439"/>
      <c r="CE539" s="440"/>
      <c r="CF539" s="420"/>
      <c r="CG539" s="420"/>
      <c r="CH539" s="420"/>
    </row>
    <row r="540" spans="75:86" s="428" customFormat="1" x14ac:dyDescent="0.2">
      <c r="BW540" s="439"/>
      <c r="BX540" s="439"/>
      <c r="BY540" s="439"/>
      <c r="BZ540" s="439"/>
      <c r="CA540" s="439"/>
      <c r="CB540" s="439"/>
      <c r="CC540" s="439"/>
      <c r="CD540" s="439"/>
      <c r="CE540" s="440"/>
      <c r="CF540" s="420"/>
      <c r="CG540" s="420"/>
      <c r="CH540" s="420"/>
    </row>
    <row r="541" spans="75:86" s="428" customFormat="1" x14ac:dyDescent="0.2">
      <c r="BW541" s="439"/>
      <c r="BX541" s="439"/>
      <c r="BY541" s="439"/>
      <c r="BZ541" s="439"/>
      <c r="CA541" s="439"/>
      <c r="CB541" s="439"/>
      <c r="CC541" s="439"/>
      <c r="CD541" s="439"/>
      <c r="CE541" s="440"/>
      <c r="CF541" s="420"/>
      <c r="CG541" s="420"/>
      <c r="CH541" s="420"/>
    </row>
    <row r="542" spans="75:86" s="428" customFormat="1" x14ac:dyDescent="0.2">
      <c r="BW542" s="439"/>
      <c r="BX542" s="439"/>
      <c r="BY542" s="439"/>
      <c r="BZ542" s="439"/>
      <c r="CA542" s="439"/>
      <c r="CB542" s="439"/>
      <c r="CC542" s="439"/>
      <c r="CD542" s="439"/>
      <c r="CE542" s="440"/>
      <c r="CF542" s="420"/>
      <c r="CG542" s="420"/>
      <c r="CH542" s="420"/>
    </row>
    <row r="543" spans="75:86" s="428" customFormat="1" x14ac:dyDescent="0.2">
      <c r="BW543" s="439"/>
      <c r="BX543" s="439"/>
      <c r="BY543" s="439"/>
      <c r="BZ543" s="439"/>
      <c r="CA543" s="439"/>
      <c r="CB543" s="439"/>
      <c r="CC543" s="439"/>
      <c r="CD543" s="439"/>
      <c r="CE543" s="440"/>
      <c r="CF543" s="420"/>
      <c r="CG543" s="420"/>
      <c r="CH543" s="420"/>
    </row>
    <row r="544" spans="75:86" s="428" customFormat="1" x14ac:dyDescent="0.2">
      <c r="BW544" s="439"/>
      <c r="BX544" s="439"/>
      <c r="BY544" s="439"/>
      <c r="BZ544" s="439"/>
      <c r="CA544" s="439"/>
      <c r="CB544" s="439"/>
      <c r="CC544" s="439"/>
      <c r="CD544" s="439"/>
      <c r="CE544" s="440"/>
      <c r="CF544" s="420"/>
      <c r="CG544" s="420"/>
      <c r="CH544" s="420"/>
    </row>
    <row r="545" spans="75:86" s="428" customFormat="1" x14ac:dyDescent="0.2">
      <c r="BW545" s="439"/>
      <c r="BX545" s="439"/>
      <c r="BY545" s="439"/>
      <c r="BZ545" s="439"/>
      <c r="CA545" s="439"/>
      <c r="CB545" s="439"/>
      <c r="CC545" s="439"/>
      <c r="CD545" s="439"/>
      <c r="CE545" s="440"/>
      <c r="CF545" s="420"/>
      <c r="CG545" s="420"/>
      <c r="CH545" s="420"/>
    </row>
    <row r="546" spans="75:86" s="428" customFormat="1" x14ac:dyDescent="0.2">
      <c r="BW546" s="439"/>
      <c r="BX546" s="439"/>
      <c r="BY546" s="439"/>
      <c r="BZ546" s="439"/>
      <c r="CA546" s="439"/>
      <c r="CB546" s="439"/>
      <c r="CC546" s="439"/>
      <c r="CD546" s="439"/>
      <c r="CE546" s="440"/>
      <c r="CF546" s="420"/>
      <c r="CG546" s="420"/>
      <c r="CH546" s="420"/>
    </row>
    <row r="547" spans="75:86" s="428" customFormat="1" x14ac:dyDescent="0.2">
      <c r="BW547" s="439"/>
      <c r="BX547" s="439"/>
      <c r="BY547" s="439"/>
      <c r="BZ547" s="439"/>
      <c r="CA547" s="439"/>
      <c r="CB547" s="439"/>
      <c r="CC547" s="439"/>
      <c r="CD547" s="439"/>
      <c r="CE547" s="440"/>
      <c r="CF547" s="420"/>
      <c r="CG547" s="420"/>
      <c r="CH547" s="420"/>
    </row>
    <row r="548" spans="75:86" s="428" customFormat="1" x14ac:dyDescent="0.2">
      <c r="BW548" s="439"/>
      <c r="BX548" s="439"/>
      <c r="BY548" s="439"/>
      <c r="BZ548" s="439"/>
      <c r="CA548" s="439"/>
      <c r="CB548" s="439"/>
      <c r="CC548" s="439"/>
      <c r="CD548" s="439"/>
      <c r="CE548" s="440"/>
      <c r="CF548" s="420"/>
      <c r="CG548" s="420"/>
      <c r="CH548" s="420"/>
    </row>
    <row r="549" spans="75:86" s="428" customFormat="1" x14ac:dyDescent="0.2">
      <c r="BW549" s="439"/>
      <c r="BX549" s="439"/>
      <c r="BY549" s="439"/>
      <c r="BZ549" s="439"/>
      <c r="CA549" s="439"/>
      <c r="CB549" s="439"/>
      <c r="CC549" s="439"/>
      <c r="CD549" s="439"/>
      <c r="CE549" s="440"/>
      <c r="CF549" s="420"/>
      <c r="CG549" s="420"/>
      <c r="CH549" s="420"/>
    </row>
    <row r="550" spans="75:86" s="428" customFormat="1" x14ac:dyDescent="0.2">
      <c r="BW550" s="439"/>
      <c r="BX550" s="439"/>
      <c r="BY550" s="439"/>
      <c r="BZ550" s="439"/>
      <c r="CA550" s="439"/>
      <c r="CB550" s="439"/>
      <c r="CC550" s="439"/>
      <c r="CD550" s="439"/>
      <c r="CE550" s="440"/>
      <c r="CF550" s="420"/>
      <c r="CG550" s="420"/>
      <c r="CH550" s="420"/>
    </row>
    <row r="551" spans="75:86" s="428" customFormat="1" x14ac:dyDescent="0.2">
      <c r="BW551" s="439"/>
      <c r="BX551" s="439"/>
      <c r="BY551" s="439"/>
      <c r="BZ551" s="439"/>
      <c r="CA551" s="439"/>
      <c r="CB551" s="439"/>
      <c r="CC551" s="439"/>
      <c r="CD551" s="439"/>
      <c r="CE551" s="440"/>
      <c r="CF551" s="420"/>
      <c r="CG551" s="420"/>
      <c r="CH551" s="420"/>
    </row>
    <row r="552" spans="75:86" s="428" customFormat="1" x14ac:dyDescent="0.2">
      <c r="BW552" s="439"/>
      <c r="BX552" s="439"/>
      <c r="BY552" s="439"/>
      <c r="BZ552" s="439"/>
      <c r="CA552" s="439"/>
      <c r="CB552" s="439"/>
      <c r="CC552" s="439"/>
      <c r="CD552" s="439"/>
      <c r="CE552" s="440"/>
      <c r="CF552" s="420"/>
      <c r="CG552" s="420"/>
      <c r="CH552" s="420"/>
    </row>
    <row r="553" spans="75:86" s="428" customFormat="1" x14ac:dyDescent="0.2">
      <c r="BW553" s="439"/>
      <c r="BX553" s="439"/>
      <c r="BY553" s="439"/>
      <c r="BZ553" s="439"/>
      <c r="CA553" s="439"/>
      <c r="CB553" s="439"/>
      <c r="CC553" s="439"/>
      <c r="CD553" s="439"/>
      <c r="CE553" s="440"/>
      <c r="CF553" s="420"/>
      <c r="CG553" s="420"/>
      <c r="CH553" s="420"/>
    </row>
    <row r="554" spans="75:86" s="428" customFormat="1" x14ac:dyDescent="0.2">
      <c r="BW554" s="439"/>
      <c r="BX554" s="439"/>
      <c r="BY554" s="439"/>
      <c r="BZ554" s="439"/>
      <c r="CA554" s="439"/>
      <c r="CB554" s="439"/>
      <c r="CC554" s="439"/>
      <c r="CD554" s="439"/>
      <c r="CE554" s="440"/>
      <c r="CF554" s="420"/>
      <c r="CG554" s="420"/>
      <c r="CH554" s="420"/>
    </row>
    <row r="555" spans="75:86" s="428" customFormat="1" x14ac:dyDescent="0.2">
      <c r="BW555" s="439"/>
      <c r="BX555" s="439"/>
      <c r="BY555" s="439"/>
      <c r="BZ555" s="439"/>
      <c r="CA555" s="439"/>
      <c r="CB555" s="439"/>
      <c r="CC555" s="439"/>
      <c r="CD555" s="439"/>
      <c r="CE555" s="440"/>
      <c r="CF555" s="420"/>
      <c r="CG555" s="420"/>
      <c r="CH555" s="420"/>
    </row>
    <row r="556" spans="75:86" s="428" customFormat="1" x14ac:dyDescent="0.2">
      <c r="BW556" s="439"/>
      <c r="BX556" s="439"/>
      <c r="BY556" s="439"/>
      <c r="BZ556" s="439"/>
      <c r="CA556" s="439"/>
      <c r="CB556" s="439"/>
      <c r="CC556" s="439"/>
      <c r="CD556" s="439"/>
      <c r="CE556" s="440"/>
      <c r="CF556" s="420"/>
      <c r="CG556" s="420"/>
      <c r="CH556" s="420"/>
    </row>
    <row r="557" spans="75:86" s="428" customFormat="1" x14ac:dyDescent="0.2">
      <c r="BW557" s="439"/>
      <c r="BX557" s="439"/>
      <c r="BY557" s="439"/>
      <c r="BZ557" s="439"/>
      <c r="CA557" s="439"/>
      <c r="CB557" s="439"/>
      <c r="CC557" s="439"/>
      <c r="CD557" s="439"/>
      <c r="CE557" s="440"/>
      <c r="CF557" s="420"/>
      <c r="CG557" s="420"/>
      <c r="CH557" s="420"/>
    </row>
    <row r="558" spans="75:86" s="428" customFormat="1" x14ac:dyDescent="0.2">
      <c r="BW558" s="439"/>
      <c r="BX558" s="439"/>
      <c r="BY558" s="439"/>
      <c r="BZ558" s="439"/>
      <c r="CA558" s="439"/>
      <c r="CB558" s="439"/>
      <c r="CC558" s="439"/>
      <c r="CD558" s="439"/>
      <c r="CE558" s="440"/>
      <c r="CF558" s="420"/>
      <c r="CG558" s="420"/>
      <c r="CH558" s="420"/>
    </row>
    <row r="559" spans="75:86" s="428" customFormat="1" x14ac:dyDescent="0.2">
      <c r="BW559" s="439"/>
      <c r="BX559" s="439"/>
      <c r="BY559" s="439"/>
      <c r="BZ559" s="439"/>
      <c r="CA559" s="439"/>
      <c r="CB559" s="439"/>
      <c r="CC559" s="439"/>
      <c r="CD559" s="439"/>
      <c r="CE559" s="440"/>
      <c r="CF559" s="420"/>
      <c r="CG559" s="420"/>
      <c r="CH559" s="420"/>
    </row>
    <row r="560" spans="75:86" s="428" customFormat="1" x14ac:dyDescent="0.2">
      <c r="BW560" s="439"/>
      <c r="BX560" s="439"/>
      <c r="BY560" s="439"/>
      <c r="BZ560" s="439"/>
      <c r="CA560" s="439"/>
      <c r="CB560" s="439"/>
      <c r="CC560" s="439"/>
      <c r="CD560" s="439"/>
      <c r="CE560" s="440"/>
      <c r="CF560" s="420"/>
      <c r="CG560" s="420"/>
      <c r="CH560" s="420"/>
    </row>
    <row r="561" spans="75:86" s="428" customFormat="1" x14ac:dyDescent="0.2">
      <c r="BW561" s="439"/>
      <c r="BX561" s="439"/>
      <c r="BY561" s="439"/>
      <c r="BZ561" s="439"/>
      <c r="CA561" s="439"/>
      <c r="CB561" s="439"/>
      <c r="CC561" s="439"/>
      <c r="CD561" s="439"/>
      <c r="CE561" s="440"/>
      <c r="CF561" s="420"/>
      <c r="CG561" s="420"/>
      <c r="CH561" s="420"/>
    </row>
    <row r="562" spans="75:86" s="428" customFormat="1" x14ac:dyDescent="0.2">
      <c r="BW562" s="439"/>
      <c r="BX562" s="439"/>
      <c r="BY562" s="439"/>
      <c r="BZ562" s="439"/>
      <c r="CA562" s="439"/>
      <c r="CB562" s="439"/>
      <c r="CC562" s="439"/>
      <c r="CD562" s="439"/>
      <c r="CE562" s="440"/>
      <c r="CF562" s="420"/>
      <c r="CG562" s="420"/>
      <c r="CH562" s="420"/>
    </row>
    <row r="563" spans="75:86" s="428" customFormat="1" x14ac:dyDescent="0.2">
      <c r="BW563" s="439"/>
      <c r="BX563" s="439"/>
      <c r="BY563" s="439"/>
      <c r="BZ563" s="439"/>
      <c r="CA563" s="439"/>
      <c r="CB563" s="439"/>
      <c r="CC563" s="439"/>
      <c r="CD563" s="439"/>
      <c r="CE563" s="440"/>
      <c r="CF563" s="420"/>
      <c r="CG563" s="420"/>
      <c r="CH563" s="420"/>
    </row>
    <row r="564" spans="75:86" s="428" customFormat="1" x14ac:dyDescent="0.2">
      <c r="BW564" s="439"/>
      <c r="BX564" s="439"/>
      <c r="BY564" s="439"/>
      <c r="BZ564" s="439"/>
      <c r="CA564" s="439"/>
      <c r="CB564" s="439"/>
      <c r="CC564" s="439"/>
      <c r="CD564" s="439"/>
      <c r="CE564" s="440"/>
      <c r="CF564" s="420"/>
      <c r="CG564" s="420"/>
      <c r="CH564" s="420"/>
    </row>
    <row r="565" spans="75:86" s="428" customFormat="1" x14ac:dyDescent="0.2">
      <c r="BW565" s="439"/>
      <c r="BX565" s="439"/>
      <c r="BY565" s="439"/>
      <c r="BZ565" s="439"/>
      <c r="CA565" s="439"/>
      <c r="CB565" s="439"/>
      <c r="CC565" s="439"/>
      <c r="CD565" s="439"/>
      <c r="CE565" s="440"/>
      <c r="CF565" s="420"/>
      <c r="CG565" s="420"/>
      <c r="CH565" s="420"/>
    </row>
    <row r="566" spans="75:86" s="428" customFormat="1" x14ac:dyDescent="0.2">
      <c r="BW566" s="439"/>
      <c r="BX566" s="439"/>
      <c r="BY566" s="439"/>
      <c r="BZ566" s="439"/>
      <c r="CA566" s="439"/>
      <c r="CB566" s="439"/>
      <c r="CC566" s="439"/>
      <c r="CD566" s="439"/>
      <c r="CE566" s="440"/>
      <c r="CF566" s="420"/>
      <c r="CG566" s="420"/>
      <c r="CH566" s="420"/>
    </row>
    <row r="567" spans="75:86" s="428" customFormat="1" x14ac:dyDescent="0.2">
      <c r="BW567" s="439"/>
      <c r="BX567" s="439"/>
      <c r="BY567" s="439"/>
      <c r="BZ567" s="439"/>
      <c r="CA567" s="439"/>
      <c r="CB567" s="439"/>
      <c r="CC567" s="439"/>
      <c r="CD567" s="439"/>
      <c r="CE567" s="440"/>
      <c r="CF567" s="420"/>
      <c r="CG567" s="420"/>
      <c r="CH567" s="420"/>
    </row>
    <row r="568" spans="75:86" s="428" customFormat="1" x14ac:dyDescent="0.2">
      <c r="BW568" s="439"/>
      <c r="BX568" s="439"/>
      <c r="BY568" s="439"/>
      <c r="BZ568" s="439"/>
      <c r="CA568" s="439"/>
      <c r="CB568" s="439"/>
      <c r="CC568" s="439"/>
      <c r="CD568" s="439"/>
      <c r="CE568" s="440"/>
      <c r="CF568" s="420"/>
      <c r="CG568" s="420"/>
      <c r="CH568" s="420"/>
    </row>
    <row r="569" spans="75:86" s="428" customFormat="1" x14ac:dyDescent="0.2">
      <c r="BW569" s="439"/>
      <c r="BX569" s="439"/>
      <c r="BY569" s="439"/>
      <c r="BZ569" s="439"/>
      <c r="CA569" s="439"/>
      <c r="CB569" s="439"/>
      <c r="CC569" s="439"/>
      <c r="CD569" s="439"/>
      <c r="CE569" s="440"/>
      <c r="CF569" s="420"/>
      <c r="CG569" s="420"/>
      <c r="CH569" s="420"/>
    </row>
    <row r="570" spans="75:86" s="428" customFormat="1" x14ac:dyDescent="0.2">
      <c r="BW570" s="439"/>
      <c r="BX570" s="439"/>
      <c r="BY570" s="439"/>
      <c r="BZ570" s="439"/>
      <c r="CA570" s="439"/>
      <c r="CB570" s="439"/>
      <c r="CC570" s="439"/>
      <c r="CD570" s="439"/>
      <c r="CE570" s="440"/>
      <c r="CF570" s="420"/>
      <c r="CG570" s="420"/>
      <c r="CH570" s="420"/>
    </row>
    <row r="571" spans="75:86" s="428" customFormat="1" x14ac:dyDescent="0.2">
      <c r="BW571" s="439"/>
      <c r="BX571" s="439"/>
      <c r="BY571" s="439"/>
      <c r="BZ571" s="439"/>
      <c r="CA571" s="439"/>
      <c r="CB571" s="439"/>
      <c r="CC571" s="439"/>
      <c r="CD571" s="439"/>
      <c r="CE571" s="440"/>
      <c r="CF571" s="420"/>
      <c r="CG571" s="420"/>
      <c r="CH571" s="420"/>
    </row>
    <row r="572" spans="75:86" s="428" customFormat="1" x14ac:dyDescent="0.2">
      <c r="BW572" s="439"/>
      <c r="BX572" s="439"/>
      <c r="BY572" s="439"/>
      <c r="BZ572" s="439"/>
      <c r="CA572" s="439"/>
      <c r="CB572" s="439"/>
      <c r="CC572" s="439"/>
      <c r="CD572" s="439"/>
      <c r="CE572" s="440"/>
      <c r="CF572" s="420"/>
      <c r="CG572" s="420"/>
      <c r="CH572" s="420"/>
    </row>
    <row r="573" spans="75:86" s="428" customFormat="1" x14ac:dyDescent="0.2">
      <c r="BW573" s="439"/>
      <c r="BX573" s="439"/>
      <c r="BY573" s="439"/>
      <c r="BZ573" s="439"/>
      <c r="CA573" s="439"/>
      <c r="CB573" s="439"/>
      <c r="CC573" s="439"/>
      <c r="CD573" s="439"/>
      <c r="CE573" s="440"/>
      <c r="CF573" s="420"/>
      <c r="CG573" s="420"/>
      <c r="CH573" s="420"/>
    </row>
    <row r="574" spans="75:86" s="428" customFormat="1" x14ac:dyDescent="0.2">
      <c r="BW574" s="439"/>
      <c r="BX574" s="439"/>
      <c r="BY574" s="439"/>
      <c r="BZ574" s="439"/>
      <c r="CA574" s="439"/>
      <c r="CB574" s="439"/>
      <c r="CC574" s="439"/>
      <c r="CD574" s="439"/>
      <c r="CE574" s="440"/>
      <c r="CF574" s="420"/>
      <c r="CG574" s="420"/>
      <c r="CH574" s="420"/>
    </row>
    <row r="575" spans="75:86" s="428" customFormat="1" x14ac:dyDescent="0.2">
      <c r="BW575" s="439"/>
      <c r="BX575" s="439"/>
      <c r="BY575" s="439"/>
      <c r="BZ575" s="439"/>
      <c r="CA575" s="439"/>
      <c r="CB575" s="439"/>
      <c r="CC575" s="439"/>
      <c r="CD575" s="439"/>
      <c r="CE575" s="440"/>
      <c r="CF575" s="420"/>
      <c r="CG575" s="420"/>
      <c r="CH575" s="420"/>
    </row>
    <row r="576" spans="75:86" s="428" customFormat="1" x14ac:dyDescent="0.2">
      <c r="BW576" s="439"/>
      <c r="BX576" s="439"/>
      <c r="BY576" s="439"/>
      <c r="BZ576" s="439"/>
      <c r="CA576" s="439"/>
      <c r="CB576" s="439"/>
      <c r="CC576" s="439"/>
      <c r="CD576" s="439"/>
      <c r="CE576" s="440"/>
      <c r="CF576" s="420"/>
      <c r="CG576" s="420"/>
      <c r="CH576" s="420"/>
    </row>
    <row r="577" spans="75:86" s="428" customFormat="1" x14ac:dyDescent="0.2">
      <c r="BW577" s="439"/>
      <c r="BX577" s="439"/>
      <c r="BY577" s="439"/>
      <c r="BZ577" s="439"/>
      <c r="CA577" s="439"/>
      <c r="CB577" s="439"/>
      <c r="CC577" s="439"/>
      <c r="CD577" s="439"/>
      <c r="CE577" s="440"/>
      <c r="CF577" s="420"/>
      <c r="CG577" s="420"/>
      <c r="CH577" s="420"/>
    </row>
    <row r="578" spans="75:86" s="428" customFormat="1" x14ac:dyDescent="0.2">
      <c r="BW578" s="439"/>
      <c r="BX578" s="439"/>
      <c r="BY578" s="439"/>
      <c r="BZ578" s="439"/>
      <c r="CA578" s="439"/>
      <c r="CB578" s="439"/>
      <c r="CC578" s="439"/>
      <c r="CD578" s="439"/>
      <c r="CE578" s="440"/>
      <c r="CF578" s="420"/>
      <c r="CG578" s="420"/>
      <c r="CH578" s="420"/>
    </row>
    <row r="579" spans="75:86" s="428" customFormat="1" x14ac:dyDescent="0.2">
      <c r="BW579" s="439"/>
      <c r="BX579" s="439"/>
      <c r="BY579" s="439"/>
      <c r="BZ579" s="439"/>
      <c r="CA579" s="439"/>
      <c r="CB579" s="439"/>
      <c r="CC579" s="439"/>
      <c r="CD579" s="439"/>
      <c r="CE579" s="440"/>
      <c r="CF579" s="420"/>
      <c r="CG579" s="420"/>
      <c r="CH579" s="420"/>
    </row>
    <row r="580" spans="75:86" s="428" customFormat="1" x14ac:dyDescent="0.2">
      <c r="BW580" s="439"/>
      <c r="BX580" s="439"/>
      <c r="BY580" s="439"/>
      <c r="BZ580" s="439"/>
      <c r="CA580" s="439"/>
      <c r="CB580" s="439"/>
      <c r="CC580" s="439"/>
      <c r="CD580" s="439"/>
      <c r="CE580" s="440"/>
      <c r="CF580" s="420"/>
      <c r="CG580" s="420"/>
      <c r="CH580" s="420"/>
    </row>
    <row r="581" spans="75:86" s="428" customFormat="1" x14ac:dyDescent="0.2">
      <c r="BW581" s="439"/>
      <c r="BX581" s="439"/>
      <c r="BY581" s="439"/>
      <c r="BZ581" s="439"/>
      <c r="CA581" s="439"/>
      <c r="CB581" s="439"/>
      <c r="CC581" s="439"/>
      <c r="CD581" s="439"/>
      <c r="CE581" s="440"/>
      <c r="CF581" s="420"/>
      <c r="CG581" s="420"/>
      <c r="CH581" s="420"/>
    </row>
    <row r="582" spans="75:86" s="428" customFormat="1" x14ac:dyDescent="0.2">
      <c r="BW582" s="439"/>
      <c r="BX582" s="439"/>
      <c r="BY582" s="439"/>
      <c r="BZ582" s="439"/>
      <c r="CA582" s="439"/>
      <c r="CB582" s="439"/>
      <c r="CC582" s="439"/>
      <c r="CD582" s="439"/>
      <c r="CE582" s="440"/>
      <c r="CF582" s="420"/>
      <c r="CG582" s="420"/>
      <c r="CH582" s="420"/>
    </row>
    <row r="583" spans="75:86" s="428" customFormat="1" x14ac:dyDescent="0.2">
      <c r="BW583" s="439"/>
      <c r="BX583" s="439"/>
      <c r="BY583" s="439"/>
      <c r="BZ583" s="439"/>
      <c r="CA583" s="439"/>
      <c r="CB583" s="439"/>
      <c r="CC583" s="439"/>
      <c r="CD583" s="439"/>
      <c r="CE583" s="440"/>
      <c r="CF583" s="420"/>
      <c r="CG583" s="420"/>
      <c r="CH583" s="420"/>
    </row>
    <row r="584" spans="75:86" s="428" customFormat="1" x14ac:dyDescent="0.2">
      <c r="BW584" s="439"/>
      <c r="BX584" s="439"/>
      <c r="BY584" s="439"/>
      <c r="BZ584" s="439"/>
      <c r="CA584" s="439"/>
      <c r="CB584" s="439"/>
      <c r="CC584" s="439"/>
      <c r="CD584" s="439"/>
      <c r="CE584" s="440"/>
      <c r="CF584" s="420"/>
      <c r="CG584" s="420"/>
      <c r="CH584" s="420"/>
    </row>
    <row r="585" spans="75:86" s="428" customFormat="1" x14ac:dyDescent="0.2">
      <c r="BW585" s="439"/>
      <c r="BX585" s="439"/>
      <c r="BY585" s="439"/>
      <c r="BZ585" s="439"/>
      <c r="CA585" s="439"/>
      <c r="CB585" s="439"/>
      <c r="CC585" s="439"/>
      <c r="CD585" s="439"/>
      <c r="CE585" s="440"/>
      <c r="CF585" s="420"/>
      <c r="CG585" s="420"/>
      <c r="CH585" s="420"/>
    </row>
    <row r="586" spans="75:86" s="428" customFormat="1" x14ac:dyDescent="0.2">
      <c r="BW586" s="439"/>
      <c r="BX586" s="439"/>
      <c r="BY586" s="439"/>
      <c r="BZ586" s="439"/>
      <c r="CA586" s="439"/>
      <c r="CB586" s="439"/>
      <c r="CC586" s="439"/>
      <c r="CD586" s="439"/>
      <c r="CE586" s="440"/>
      <c r="CF586" s="420"/>
      <c r="CG586" s="420"/>
      <c r="CH586" s="420"/>
    </row>
    <row r="587" spans="75:86" s="428" customFormat="1" x14ac:dyDescent="0.2">
      <c r="BW587" s="439"/>
      <c r="BX587" s="439"/>
      <c r="BY587" s="439"/>
      <c r="BZ587" s="439"/>
      <c r="CA587" s="439"/>
      <c r="CB587" s="439"/>
      <c r="CC587" s="439"/>
      <c r="CD587" s="439"/>
      <c r="CE587" s="440"/>
      <c r="CF587" s="420"/>
      <c r="CG587" s="420"/>
      <c r="CH587" s="420"/>
    </row>
    <row r="588" spans="75:86" s="428" customFormat="1" x14ac:dyDescent="0.2">
      <c r="BW588" s="439"/>
      <c r="BX588" s="439"/>
      <c r="BY588" s="439"/>
      <c r="BZ588" s="439"/>
      <c r="CA588" s="439"/>
      <c r="CB588" s="439"/>
      <c r="CC588" s="439"/>
      <c r="CD588" s="439"/>
      <c r="CE588" s="440"/>
      <c r="CF588" s="420"/>
      <c r="CG588" s="420"/>
      <c r="CH588" s="420"/>
    </row>
    <row r="589" spans="75:86" s="428" customFormat="1" x14ac:dyDescent="0.2">
      <c r="BW589" s="439"/>
      <c r="BX589" s="439"/>
      <c r="BY589" s="439"/>
      <c r="BZ589" s="439"/>
      <c r="CA589" s="439"/>
      <c r="CB589" s="439"/>
      <c r="CC589" s="439"/>
      <c r="CD589" s="439"/>
      <c r="CE589" s="440"/>
      <c r="CF589" s="420"/>
      <c r="CG589" s="420"/>
      <c r="CH589" s="420"/>
    </row>
    <row r="590" spans="75:86" s="428" customFormat="1" x14ac:dyDescent="0.2">
      <c r="BW590" s="439"/>
      <c r="BX590" s="439"/>
      <c r="BY590" s="439"/>
      <c r="BZ590" s="439"/>
      <c r="CA590" s="439"/>
      <c r="CB590" s="439"/>
      <c r="CC590" s="439"/>
      <c r="CD590" s="439"/>
      <c r="CE590" s="440"/>
      <c r="CF590" s="420"/>
      <c r="CG590" s="420"/>
      <c r="CH590" s="420"/>
    </row>
    <row r="591" spans="75:86" s="428" customFormat="1" x14ac:dyDescent="0.2">
      <c r="BW591" s="439"/>
      <c r="BX591" s="439"/>
      <c r="BY591" s="439"/>
      <c r="BZ591" s="439"/>
      <c r="CA591" s="439"/>
      <c r="CB591" s="439"/>
      <c r="CC591" s="439"/>
      <c r="CD591" s="439"/>
      <c r="CE591" s="440"/>
      <c r="CF591" s="420"/>
      <c r="CG591" s="420"/>
      <c r="CH591" s="420"/>
    </row>
    <row r="592" spans="75:86" s="428" customFormat="1" x14ac:dyDescent="0.2">
      <c r="BW592" s="439"/>
      <c r="BX592" s="439"/>
      <c r="BY592" s="439"/>
      <c r="BZ592" s="439"/>
      <c r="CA592" s="439"/>
      <c r="CB592" s="439"/>
      <c r="CC592" s="439"/>
      <c r="CD592" s="439"/>
      <c r="CE592" s="440"/>
      <c r="CF592" s="420"/>
      <c r="CG592" s="420"/>
      <c r="CH592" s="420"/>
    </row>
    <row r="593" spans="75:86" s="428" customFormat="1" x14ac:dyDescent="0.2">
      <c r="BW593" s="439"/>
      <c r="BX593" s="439"/>
      <c r="BY593" s="439"/>
      <c r="BZ593" s="439"/>
      <c r="CA593" s="439"/>
      <c r="CB593" s="439"/>
      <c r="CC593" s="439"/>
      <c r="CD593" s="439"/>
      <c r="CE593" s="440"/>
      <c r="CF593" s="420"/>
      <c r="CG593" s="420"/>
      <c r="CH593" s="420"/>
    </row>
    <row r="594" spans="75:86" s="428" customFormat="1" x14ac:dyDescent="0.2">
      <c r="BW594" s="439"/>
      <c r="BX594" s="439"/>
      <c r="BY594" s="439"/>
      <c r="BZ594" s="439"/>
      <c r="CA594" s="439"/>
      <c r="CB594" s="439"/>
      <c r="CC594" s="439"/>
      <c r="CD594" s="439"/>
      <c r="CE594" s="440"/>
      <c r="CF594" s="420"/>
      <c r="CG594" s="420"/>
      <c r="CH594" s="420"/>
    </row>
    <row r="595" spans="75:86" s="428" customFormat="1" x14ac:dyDescent="0.2">
      <c r="BW595" s="439"/>
      <c r="BX595" s="439"/>
      <c r="BY595" s="439"/>
      <c r="BZ595" s="439"/>
      <c r="CA595" s="439"/>
      <c r="CB595" s="439"/>
      <c r="CC595" s="439"/>
      <c r="CD595" s="439"/>
      <c r="CE595" s="440"/>
      <c r="CF595" s="420"/>
      <c r="CG595" s="420"/>
      <c r="CH595" s="420"/>
    </row>
    <row r="596" spans="75:86" s="428" customFormat="1" x14ac:dyDescent="0.2">
      <c r="BW596" s="439"/>
      <c r="BX596" s="439"/>
      <c r="BY596" s="439"/>
      <c r="BZ596" s="439"/>
      <c r="CA596" s="439"/>
      <c r="CB596" s="439"/>
      <c r="CC596" s="439"/>
      <c r="CD596" s="439"/>
      <c r="CE596" s="440"/>
      <c r="CF596" s="420"/>
      <c r="CG596" s="420"/>
      <c r="CH596" s="420"/>
    </row>
    <row r="597" spans="75:86" s="428" customFormat="1" x14ac:dyDescent="0.2">
      <c r="BW597" s="439"/>
      <c r="BX597" s="439"/>
      <c r="BY597" s="439"/>
      <c r="BZ597" s="439"/>
      <c r="CA597" s="439"/>
      <c r="CB597" s="439"/>
      <c r="CC597" s="439"/>
      <c r="CD597" s="439"/>
      <c r="CE597" s="440"/>
      <c r="CF597" s="420"/>
      <c r="CG597" s="420"/>
      <c r="CH597" s="420"/>
    </row>
    <row r="598" spans="75:86" s="428" customFormat="1" x14ac:dyDescent="0.2">
      <c r="BW598" s="439"/>
      <c r="BX598" s="439"/>
      <c r="BY598" s="439"/>
      <c r="BZ598" s="439"/>
      <c r="CA598" s="439"/>
      <c r="CB598" s="439"/>
      <c r="CC598" s="439"/>
      <c r="CD598" s="439"/>
      <c r="CE598" s="440"/>
      <c r="CF598" s="420"/>
      <c r="CG598" s="420"/>
      <c r="CH598" s="420"/>
    </row>
    <row r="599" spans="75:86" s="428" customFormat="1" x14ac:dyDescent="0.2">
      <c r="BW599" s="439"/>
      <c r="BX599" s="439"/>
      <c r="BY599" s="439"/>
      <c r="BZ599" s="439"/>
      <c r="CA599" s="439"/>
      <c r="CB599" s="439"/>
      <c r="CC599" s="439"/>
      <c r="CD599" s="439"/>
      <c r="CE599" s="440"/>
      <c r="CF599" s="420"/>
      <c r="CG599" s="420"/>
      <c r="CH599" s="420"/>
    </row>
    <row r="600" spans="75:86" s="428" customFormat="1" x14ac:dyDescent="0.2">
      <c r="BW600" s="439"/>
      <c r="BX600" s="439"/>
      <c r="BY600" s="439"/>
      <c r="BZ600" s="439"/>
      <c r="CA600" s="439"/>
      <c r="CB600" s="439"/>
      <c r="CC600" s="439"/>
      <c r="CD600" s="439"/>
      <c r="CE600" s="440"/>
      <c r="CF600" s="420"/>
      <c r="CG600" s="420"/>
      <c r="CH600" s="420"/>
    </row>
    <row r="601" spans="75:86" s="428" customFormat="1" x14ac:dyDescent="0.2">
      <c r="BW601" s="439"/>
      <c r="BX601" s="439"/>
      <c r="BY601" s="439"/>
      <c r="BZ601" s="439"/>
      <c r="CA601" s="439"/>
      <c r="CB601" s="439"/>
      <c r="CC601" s="439"/>
      <c r="CD601" s="439"/>
      <c r="CE601" s="440"/>
      <c r="CF601" s="420"/>
      <c r="CG601" s="420"/>
      <c r="CH601" s="420"/>
    </row>
    <row r="602" spans="75:86" s="428" customFormat="1" x14ac:dyDescent="0.2">
      <c r="BW602" s="439"/>
      <c r="BX602" s="439"/>
      <c r="BY602" s="439"/>
      <c r="BZ602" s="439"/>
      <c r="CA602" s="439"/>
      <c r="CB602" s="439"/>
      <c r="CC602" s="439"/>
      <c r="CD602" s="439"/>
      <c r="CE602" s="440"/>
      <c r="CF602" s="420"/>
      <c r="CG602" s="420"/>
      <c r="CH602" s="420"/>
    </row>
    <row r="603" spans="75:86" s="428" customFormat="1" x14ac:dyDescent="0.2">
      <c r="BW603" s="439"/>
      <c r="BX603" s="439"/>
      <c r="BY603" s="439"/>
      <c r="BZ603" s="439"/>
      <c r="CA603" s="439"/>
      <c r="CB603" s="439"/>
      <c r="CC603" s="439"/>
      <c r="CD603" s="439"/>
      <c r="CE603" s="440"/>
      <c r="CF603" s="420"/>
      <c r="CG603" s="420"/>
      <c r="CH603" s="420"/>
    </row>
    <row r="604" spans="75:86" s="428" customFormat="1" x14ac:dyDescent="0.2">
      <c r="BW604" s="439"/>
      <c r="BX604" s="439"/>
      <c r="BY604" s="439"/>
      <c r="BZ604" s="439"/>
      <c r="CA604" s="439"/>
      <c r="CB604" s="439"/>
      <c r="CC604" s="439"/>
      <c r="CD604" s="439"/>
      <c r="CE604" s="440"/>
      <c r="CF604" s="420"/>
      <c r="CG604" s="420"/>
      <c r="CH604" s="420"/>
    </row>
    <row r="605" spans="75:86" s="428" customFormat="1" x14ac:dyDescent="0.2">
      <c r="BW605" s="439"/>
      <c r="BX605" s="439"/>
      <c r="BY605" s="439"/>
      <c r="BZ605" s="439"/>
      <c r="CA605" s="439"/>
      <c r="CB605" s="439"/>
      <c r="CC605" s="439"/>
      <c r="CD605" s="439"/>
      <c r="CE605" s="440"/>
      <c r="CF605" s="420"/>
      <c r="CG605" s="420"/>
      <c r="CH605" s="420"/>
    </row>
    <row r="606" spans="75:86" s="428" customFormat="1" x14ac:dyDescent="0.2">
      <c r="BW606" s="439"/>
      <c r="BX606" s="439"/>
      <c r="BY606" s="439"/>
      <c r="BZ606" s="439"/>
      <c r="CA606" s="439"/>
      <c r="CB606" s="439"/>
      <c r="CC606" s="439"/>
      <c r="CD606" s="439"/>
      <c r="CE606" s="440"/>
      <c r="CF606" s="420"/>
      <c r="CG606" s="420"/>
      <c r="CH606" s="420"/>
    </row>
    <row r="607" spans="75:86" s="428" customFormat="1" x14ac:dyDescent="0.2">
      <c r="BW607" s="439"/>
      <c r="BX607" s="439"/>
      <c r="BY607" s="439"/>
      <c r="BZ607" s="439"/>
      <c r="CA607" s="439"/>
      <c r="CB607" s="439"/>
      <c r="CC607" s="439"/>
      <c r="CD607" s="439"/>
      <c r="CE607" s="440"/>
      <c r="CF607" s="420"/>
      <c r="CG607" s="420"/>
      <c r="CH607" s="420"/>
    </row>
    <row r="608" spans="75:86" s="428" customFormat="1" x14ac:dyDescent="0.2">
      <c r="BW608" s="439"/>
      <c r="BX608" s="439"/>
      <c r="BY608" s="439"/>
      <c r="BZ608" s="439"/>
      <c r="CA608" s="439"/>
      <c r="CB608" s="439"/>
      <c r="CC608" s="439"/>
      <c r="CD608" s="439"/>
      <c r="CE608" s="440"/>
      <c r="CF608" s="420"/>
      <c r="CG608" s="420"/>
      <c r="CH608" s="420"/>
    </row>
    <row r="609" spans="75:86" s="428" customFormat="1" x14ac:dyDescent="0.2">
      <c r="BW609" s="439"/>
      <c r="BX609" s="439"/>
      <c r="BY609" s="439"/>
      <c r="BZ609" s="439"/>
      <c r="CA609" s="439"/>
      <c r="CB609" s="439"/>
      <c r="CC609" s="439"/>
      <c r="CD609" s="439"/>
      <c r="CE609" s="440"/>
      <c r="CF609" s="420"/>
      <c r="CG609" s="420"/>
      <c r="CH609" s="420"/>
    </row>
    <row r="610" spans="75:86" s="428" customFormat="1" x14ac:dyDescent="0.2">
      <c r="BW610" s="439"/>
      <c r="BX610" s="439"/>
      <c r="BY610" s="439"/>
      <c r="BZ610" s="439"/>
      <c r="CA610" s="439"/>
      <c r="CB610" s="439"/>
      <c r="CC610" s="439"/>
      <c r="CD610" s="439"/>
      <c r="CE610" s="440"/>
      <c r="CF610" s="420"/>
      <c r="CG610" s="420"/>
      <c r="CH610" s="420"/>
    </row>
    <row r="611" spans="75:86" s="428" customFormat="1" x14ac:dyDescent="0.2">
      <c r="BW611" s="439"/>
      <c r="BX611" s="439"/>
      <c r="BY611" s="439"/>
      <c r="BZ611" s="439"/>
      <c r="CA611" s="439"/>
      <c r="CB611" s="439"/>
      <c r="CC611" s="439"/>
      <c r="CD611" s="439"/>
      <c r="CE611" s="440"/>
      <c r="CF611" s="420"/>
      <c r="CG611" s="420"/>
      <c r="CH611" s="420"/>
    </row>
    <row r="612" spans="75:86" s="428" customFormat="1" x14ac:dyDescent="0.2">
      <c r="BW612" s="439"/>
      <c r="BX612" s="439"/>
      <c r="BY612" s="439"/>
      <c r="BZ612" s="439"/>
      <c r="CA612" s="439"/>
      <c r="CB612" s="439"/>
      <c r="CC612" s="439"/>
      <c r="CD612" s="439"/>
      <c r="CE612" s="440"/>
      <c r="CF612" s="420"/>
      <c r="CG612" s="420"/>
      <c r="CH612" s="420"/>
    </row>
    <row r="613" spans="75:86" s="428" customFormat="1" x14ac:dyDescent="0.2">
      <c r="BW613" s="439"/>
      <c r="BX613" s="439"/>
      <c r="BY613" s="439"/>
      <c r="BZ613" s="439"/>
      <c r="CA613" s="439"/>
      <c r="CB613" s="439"/>
      <c r="CC613" s="439"/>
      <c r="CD613" s="439"/>
      <c r="CE613" s="440"/>
      <c r="CF613" s="420"/>
      <c r="CG613" s="420"/>
      <c r="CH613" s="420"/>
    </row>
    <row r="614" spans="75:86" s="428" customFormat="1" x14ac:dyDescent="0.2">
      <c r="BW614" s="439"/>
      <c r="BX614" s="439"/>
      <c r="BY614" s="439"/>
      <c r="BZ614" s="439"/>
      <c r="CA614" s="439"/>
      <c r="CB614" s="439"/>
      <c r="CC614" s="439"/>
      <c r="CD614" s="439"/>
      <c r="CE614" s="440"/>
      <c r="CF614" s="420"/>
      <c r="CG614" s="420"/>
      <c r="CH614" s="420"/>
    </row>
    <row r="615" spans="75:86" s="428" customFormat="1" x14ac:dyDescent="0.2">
      <c r="BW615" s="439"/>
      <c r="BX615" s="439"/>
      <c r="BY615" s="439"/>
      <c r="BZ615" s="439"/>
      <c r="CA615" s="439"/>
      <c r="CB615" s="439"/>
      <c r="CC615" s="439"/>
      <c r="CD615" s="439"/>
      <c r="CE615" s="440"/>
      <c r="CF615" s="420"/>
      <c r="CG615" s="420"/>
      <c r="CH615" s="420"/>
    </row>
    <row r="616" spans="75:86" s="428" customFormat="1" x14ac:dyDescent="0.2">
      <c r="BW616" s="439"/>
      <c r="BX616" s="439"/>
      <c r="BY616" s="439"/>
      <c r="BZ616" s="439"/>
      <c r="CA616" s="439"/>
      <c r="CB616" s="439"/>
      <c r="CC616" s="439"/>
      <c r="CD616" s="439"/>
      <c r="CE616" s="440"/>
      <c r="CF616" s="420"/>
      <c r="CG616" s="420"/>
      <c r="CH616" s="420"/>
    </row>
    <row r="617" spans="75:86" s="428" customFormat="1" x14ac:dyDescent="0.2">
      <c r="BW617" s="439"/>
      <c r="BX617" s="439"/>
      <c r="BY617" s="439"/>
      <c r="BZ617" s="439"/>
      <c r="CA617" s="439"/>
      <c r="CB617" s="439"/>
      <c r="CC617" s="439"/>
      <c r="CD617" s="439"/>
      <c r="CE617" s="440"/>
      <c r="CF617" s="420"/>
      <c r="CG617" s="420"/>
      <c r="CH617" s="420"/>
    </row>
    <row r="618" spans="75:86" s="428" customFormat="1" x14ac:dyDescent="0.2">
      <c r="BW618" s="439"/>
      <c r="BX618" s="439"/>
      <c r="BY618" s="439"/>
      <c r="BZ618" s="439"/>
      <c r="CA618" s="439"/>
      <c r="CB618" s="439"/>
      <c r="CC618" s="439"/>
      <c r="CD618" s="439"/>
      <c r="CE618" s="440"/>
      <c r="CF618" s="420"/>
      <c r="CG618" s="420"/>
      <c r="CH618" s="420"/>
    </row>
    <row r="619" spans="75:86" s="428" customFormat="1" x14ac:dyDescent="0.2">
      <c r="BW619" s="439"/>
      <c r="BX619" s="439"/>
      <c r="BY619" s="439"/>
      <c r="BZ619" s="439"/>
      <c r="CA619" s="439"/>
      <c r="CB619" s="439"/>
      <c r="CC619" s="439"/>
      <c r="CD619" s="439"/>
      <c r="CE619" s="440"/>
      <c r="CF619" s="420"/>
      <c r="CG619" s="420"/>
      <c r="CH619" s="420"/>
    </row>
    <row r="620" spans="75:86" s="428" customFormat="1" x14ac:dyDescent="0.2">
      <c r="BW620" s="439"/>
      <c r="BX620" s="439"/>
      <c r="BY620" s="439"/>
      <c r="BZ620" s="439"/>
      <c r="CA620" s="439"/>
      <c r="CB620" s="439"/>
      <c r="CC620" s="439"/>
      <c r="CD620" s="439"/>
      <c r="CE620" s="440"/>
      <c r="CF620" s="420"/>
      <c r="CG620" s="420"/>
      <c r="CH620" s="420"/>
    </row>
    <row r="621" spans="75:86" s="428" customFormat="1" x14ac:dyDescent="0.2">
      <c r="BW621" s="439"/>
      <c r="BX621" s="439"/>
      <c r="BY621" s="439"/>
      <c r="BZ621" s="439"/>
      <c r="CA621" s="439"/>
      <c r="CB621" s="439"/>
      <c r="CC621" s="439"/>
      <c r="CD621" s="439"/>
      <c r="CE621" s="440"/>
      <c r="CF621" s="420"/>
      <c r="CG621" s="420"/>
      <c r="CH621" s="420"/>
    </row>
    <row r="622" spans="75:86" s="428" customFormat="1" x14ac:dyDescent="0.2">
      <c r="BW622" s="439"/>
      <c r="BX622" s="439"/>
      <c r="BY622" s="439"/>
      <c r="BZ622" s="439"/>
      <c r="CA622" s="439"/>
      <c r="CB622" s="439"/>
      <c r="CC622" s="439"/>
      <c r="CD622" s="439"/>
      <c r="CE622" s="440"/>
      <c r="CF622" s="420"/>
      <c r="CG622" s="420"/>
      <c r="CH622" s="420"/>
    </row>
    <row r="623" spans="75:86" s="428" customFormat="1" x14ac:dyDescent="0.2">
      <c r="BW623" s="439"/>
      <c r="BX623" s="439"/>
      <c r="BY623" s="439"/>
      <c r="BZ623" s="439"/>
      <c r="CA623" s="439"/>
      <c r="CB623" s="439"/>
      <c r="CC623" s="439"/>
      <c r="CD623" s="439"/>
      <c r="CE623" s="440"/>
      <c r="CF623" s="420"/>
      <c r="CG623" s="420"/>
      <c r="CH623" s="420"/>
    </row>
    <row r="624" spans="75:86" s="428" customFormat="1" x14ac:dyDescent="0.2">
      <c r="BW624" s="439"/>
      <c r="BX624" s="439"/>
      <c r="BY624" s="439"/>
      <c r="BZ624" s="439"/>
      <c r="CA624" s="439"/>
      <c r="CB624" s="439"/>
      <c r="CC624" s="439"/>
      <c r="CD624" s="439"/>
      <c r="CE624" s="440"/>
      <c r="CF624" s="420"/>
      <c r="CG624" s="420"/>
      <c r="CH624" s="420"/>
    </row>
    <row r="625" spans="75:86" s="428" customFormat="1" x14ac:dyDescent="0.2">
      <c r="BW625" s="439"/>
      <c r="BX625" s="439"/>
      <c r="BY625" s="439"/>
      <c r="BZ625" s="439"/>
      <c r="CA625" s="439"/>
      <c r="CB625" s="439"/>
      <c r="CC625" s="439"/>
      <c r="CD625" s="439"/>
      <c r="CE625" s="440"/>
      <c r="CF625" s="420"/>
      <c r="CG625" s="420"/>
      <c r="CH625" s="420"/>
    </row>
    <row r="626" spans="75:86" s="428" customFormat="1" x14ac:dyDescent="0.2">
      <c r="BW626" s="439"/>
      <c r="BX626" s="439"/>
      <c r="BY626" s="439"/>
      <c r="BZ626" s="439"/>
      <c r="CA626" s="439"/>
      <c r="CB626" s="439"/>
      <c r="CC626" s="439"/>
      <c r="CD626" s="439"/>
      <c r="CE626" s="440"/>
      <c r="CF626" s="420"/>
      <c r="CG626" s="420"/>
      <c r="CH626" s="420"/>
    </row>
    <row r="627" spans="75:86" s="428" customFormat="1" x14ac:dyDescent="0.2">
      <c r="BW627" s="439"/>
      <c r="BX627" s="439"/>
      <c r="BY627" s="439"/>
      <c r="BZ627" s="439"/>
      <c r="CA627" s="439"/>
      <c r="CB627" s="439"/>
      <c r="CC627" s="439"/>
      <c r="CD627" s="439"/>
      <c r="CE627" s="440"/>
      <c r="CF627" s="420"/>
      <c r="CG627" s="420"/>
      <c r="CH627" s="420"/>
    </row>
    <row r="628" spans="75:86" s="428" customFormat="1" x14ac:dyDescent="0.2">
      <c r="BW628" s="439"/>
      <c r="BX628" s="439"/>
      <c r="BY628" s="439"/>
      <c r="BZ628" s="439"/>
      <c r="CA628" s="439"/>
      <c r="CB628" s="439"/>
      <c r="CC628" s="439"/>
      <c r="CD628" s="439"/>
      <c r="CE628" s="440"/>
      <c r="CF628" s="420"/>
      <c r="CG628" s="420"/>
      <c r="CH628" s="420"/>
    </row>
    <row r="629" spans="75:86" s="428" customFormat="1" x14ac:dyDescent="0.2">
      <c r="BW629" s="439"/>
      <c r="BX629" s="439"/>
      <c r="BY629" s="439"/>
      <c r="BZ629" s="439"/>
      <c r="CA629" s="439"/>
      <c r="CB629" s="439"/>
      <c r="CC629" s="439"/>
      <c r="CD629" s="439"/>
      <c r="CE629" s="440"/>
      <c r="CF629" s="420"/>
      <c r="CG629" s="420"/>
      <c r="CH629" s="420"/>
    </row>
    <row r="630" spans="75:86" s="428" customFormat="1" x14ac:dyDescent="0.2">
      <c r="BW630" s="439"/>
      <c r="BX630" s="439"/>
      <c r="BY630" s="439"/>
      <c r="BZ630" s="439"/>
      <c r="CA630" s="439"/>
      <c r="CB630" s="439"/>
      <c r="CC630" s="439"/>
      <c r="CD630" s="439"/>
      <c r="CE630" s="440"/>
      <c r="CF630" s="420"/>
      <c r="CG630" s="420"/>
      <c r="CH630" s="420"/>
    </row>
    <row r="631" spans="75:86" s="428" customFormat="1" x14ac:dyDescent="0.2">
      <c r="BW631" s="439"/>
      <c r="BX631" s="439"/>
      <c r="BY631" s="439"/>
      <c r="BZ631" s="439"/>
      <c r="CA631" s="439"/>
      <c r="CB631" s="439"/>
      <c r="CC631" s="439"/>
      <c r="CD631" s="439"/>
      <c r="CE631" s="440"/>
      <c r="CF631" s="420"/>
      <c r="CG631" s="420"/>
      <c r="CH631" s="420"/>
    </row>
    <row r="632" spans="75:86" s="428" customFormat="1" x14ac:dyDescent="0.2">
      <c r="BW632" s="439"/>
      <c r="BX632" s="439"/>
      <c r="BY632" s="439"/>
      <c r="BZ632" s="439"/>
      <c r="CA632" s="439"/>
      <c r="CB632" s="439"/>
      <c r="CC632" s="439"/>
      <c r="CD632" s="439"/>
      <c r="CE632" s="440"/>
      <c r="CF632" s="420"/>
      <c r="CG632" s="420"/>
      <c r="CH632" s="420"/>
    </row>
    <row r="633" spans="75:86" s="428" customFormat="1" x14ac:dyDescent="0.2">
      <c r="BW633" s="439"/>
      <c r="BX633" s="439"/>
      <c r="BY633" s="439"/>
      <c r="BZ633" s="439"/>
      <c r="CA633" s="439"/>
      <c r="CB633" s="439"/>
      <c r="CC633" s="439"/>
      <c r="CD633" s="439"/>
      <c r="CE633" s="440"/>
      <c r="CF633" s="420"/>
      <c r="CG633" s="420"/>
      <c r="CH633" s="420"/>
    </row>
    <row r="634" spans="75:86" s="428" customFormat="1" x14ac:dyDescent="0.2">
      <c r="BW634" s="439"/>
      <c r="BX634" s="439"/>
      <c r="BY634" s="439"/>
      <c r="BZ634" s="439"/>
      <c r="CA634" s="439"/>
      <c r="CB634" s="439"/>
      <c r="CC634" s="439"/>
      <c r="CD634" s="439"/>
      <c r="CE634" s="440"/>
      <c r="CF634" s="420"/>
      <c r="CG634" s="420"/>
      <c r="CH634" s="420"/>
    </row>
    <row r="635" spans="75:86" s="428" customFormat="1" x14ac:dyDescent="0.2">
      <c r="BW635" s="439"/>
      <c r="BX635" s="439"/>
      <c r="BY635" s="439"/>
      <c r="BZ635" s="439"/>
      <c r="CA635" s="439"/>
      <c r="CB635" s="439"/>
      <c r="CC635" s="439"/>
      <c r="CD635" s="439"/>
      <c r="CE635" s="440"/>
      <c r="CF635" s="420"/>
      <c r="CG635" s="420"/>
      <c r="CH635" s="420"/>
    </row>
    <row r="636" spans="75:86" s="428" customFormat="1" x14ac:dyDescent="0.2">
      <c r="BW636" s="439"/>
      <c r="BX636" s="439"/>
      <c r="BY636" s="439"/>
      <c r="BZ636" s="439"/>
      <c r="CA636" s="439"/>
      <c r="CB636" s="439"/>
      <c r="CC636" s="439"/>
      <c r="CD636" s="439"/>
      <c r="CE636" s="440"/>
      <c r="CF636" s="420"/>
      <c r="CG636" s="420"/>
      <c r="CH636" s="420"/>
    </row>
    <row r="637" spans="75:86" s="428" customFormat="1" x14ac:dyDescent="0.2">
      <c r="BW637" s="439"/>
      <c r="BX637" s="439"/>
      <c r="BY637" s="439"/>
      <c r="BZ637" s="439"/>
      <c r="CA637" s="439"/>
      <c r="CB637" s="439"/>
      <c r="CC637" s="439"/>
      <c r="CD637" s="439"/>
      <c r="CE637" s="440"/>
      <c r="CF637" s="420"/>
      <c r="CG637" s="420"/>
      <c r="CH637" s="420"/>
    </row>
    <row r="638" spans="75:86" s="428" customFormat="1" x14ac:dyDescent="0.2">
      <c r="BW638" s="439"/>
      <c r="BX638" s="439"/>
      <c r="BY638" s="439"/>
      <c r="BZ638" s="439"/>
      <c r="CA638" s="439"/>
      <c r="CB638" s="439"/>
      <c r="CC638" s="439"/>
      <c r="CD638" s="439"/>
      <c r="CE638" s="440"/>
      <c r="CF638" s="420"/>
      <c r="CG638" s="420"/>
      <c r="CH638" s="420"/>
    </row>
    <row r="639" spans="75:86" s="428" customFormat="1" x14ac:dyDescent="0.2">
      <c r="BW639" s="439"/>
      <c r="BX639" s="439"/>
      <c r="BY639" s="439"/>
      <c r="BZ639" s="439"/>
      <c r="CA639" s="439"/>
      <c r="CB639" s="439"/>
      <c r="CC639" s="439"/>
      <c r="CD639" s="439"/>
      <c r="CE639" s="440"/>
      <c r="CF639" s="420"/>
      <c r="CG639" s="420"/>
      <c r="CH639" s="420"/>
    </row>
    <row r="640" spans="75:86" s="428" customFormat="1" x14ac:dyDescent="0.2">
      <c r="BW640" s="439"/>
      <c r="BX640" s="439"/>
      <c r="BY640" s="439"/>
      <c r="BZ640" s="439"/>
      <c r="CA640" s="439"/>
      <c r="CB640" s="439"/>
      <c r="CC640" s="439"/>
      <c r="CD640" s="439"/>
      <c r="CE640" s="440"/>
      <c r="CF640" s="420"/>
      <c r="CG640" s="420"/>
      <c r="CH640" s="420"/>
    </row>
    <row r="641" spans="75:86" s="428" customFormat="1" x14ac:dyDescent="0.2">
      <c r="BW641" s="439"/>
      <c r="BX641" s="439"/>
      <c r="BY641" s="439"/>
      <c r="BZ641" s="439"/>
      <c r="CA641" s="439"/>
      <c r="CB641" s="439"/>
      <c r="CC641" s="439"/>
      <c r="CD641" s="439"/>
      <c r="CE641" s="440"/>
      <c r="CF641" s="420"/>
      <c r="CG641" s="420"/>
      <c r="CH641" s="420"/>
    </row>
    <row r="642" spans="75:86" s="428" customFormat="1" x14ac:dyDescent="0.2">
      <c r="BW642" s="439"/>
      <c r="BX642" s="439"/>
      <c r="BY642" s="439"/>
      <c r="BZ642" s="439"/>
      <c r="CA642" s="439"/>
      <c r="CB642" s="439"/>
      <c r="CC642" s="439"/>
      <c r="CD642" s="439"/>
      <c r="CE642" s="440"/>
      <c r="CF642" s="420"/>
      <c r="CG642" s="420"/>
      <c r="CH642" s="420"/>
    </row>
    <row r="643" spans="75:86" s="428" customFormat="1" x14ac:dyDescent="0.2">
      <c r="BW643" s="439"/>
      <c r="BX643" s="439"/>
      <c r="BY643" s="439"/>
      <c r="BZ643" s="439"/>
      <c r="CA643" s="439"/>
      <c r="CB643" s="439"/>
      <c r="CC643" s="439"/>
      <c r="CD643" s="439"/>
      <c r="CE643" s="440"/>
      <c r="CF643" s="420"/>
      <c r="CG643" s="420"/>
      <c r="CH643" s="420"/>
    </row>
    <row r="644" spans="75:86" s="428" customFormat="1" x14ac:dyDescent="0.2">
      <c r="BW644" s="439"/>
      <c r="BX644" s="439"/>
      <c r="BY644" s="439"/>
      <c r="BZ644" s="439"/>
      <c r="CA644" s="439"/>
      <c r="CB644" s="439"/>
      <c r="CC644" s="439"/>
      <c r="CD644" s="439"/>
      <c r="CE644" s="440"/>
      <c r="CF644" s="420"/>
      <c r="CG644" s="420"/>
      <c r="CH644" s="420"/>
    </row>
    <row r="645" spans="75:86" s="428" customFormat="1" x14ac:dyDescent="0.2">
      <c r="BW645" s="439"/>
      <c r="BX645" s="439"/>
      <c r="BY645" s="439"/>
      <c r="BZ645" s="439"/>
      <c r="CA645" s="439"/>
      <c r="CB645" s="439"/>
      <c r="CC645" s="439"/>
      <c r="CD645" s="439"/>
      <c r="CE645" s="440"/>
      <c r="CF645" s="420"/>
      <c r="CG645" s="420"/>
      <c r="CH645" s="420"/>
    </row>
    <row r="646" spans="75:86" s="428" customFormat="1" x14ac:dyDescent="0.2">
      <c r="BW646" s="439"/>
      <c r="BX646" s="439"/>
      <c r="BY646" s="439"/>
      <c r="BZ646" s="439"/>
      <c r="CA646" s="439"/>
      <c r="CB646" s="439"/>
      <c r="CC646" s="439"/>
      <c r="CD646" s="439"/>
      <c r="CE646" s="440"/>
      <c r="CF646" s="420"/>
      <c r="CG646" s="420"/>
      <c r="CH646" s="420"/>
    </row>
    <row r="647" spans="75:86" s="428" customFormat="1" x14ac:dyDescent="0.2">
      <c r="BW647" s="439"/>
      <c r="BX647" s="439"/>
      <c r="BY647" s="439"/>
      <c r="BZ647" s="439"/>
      <c r="CA647" s="439"/>
      <c r="CB647" s="439"/>
      <c r="CC647" s="439"/>
      <c r="CD647" s="439"/>
      <c r="CE647" s="440"/>
      <c r="CF647" s="420"/>
      <c r="CG647" s="420"/>
      <c r="CH647" s="420"/>
    </row>
    <row r="648" spans="75:86" s="428" customFormat="1" x14ac:dyDescent="0.2">
      <c r="BW648" s="439"/>
      <c r="BX648" s="439"/>
      <c r="BY648" s="439"/>
      <c r="BZ648" s="439"/>
      <c r="CA648" s="439"/>
      <c r="CB648" s="439"/>
      <c r="CC648" s="439"/>
      <c r="CD648" s="439"/>
      <c r="CE648" s="440"/>
      <c r="CF648" s="420"/>
      <c r="CG648" s="420"/>
      <c r="CH648" s="420"/>
    </row>
    <row r="649" spans="75:86" s="428" customFormat="1" x14ac:dyDescent="0.2">
      <c r="BW649" s="439"/>
      <c r="BX649" s="439"/>
      <c r="BY649" s="439"/>
      <c r="BZ649" s="439"/>
      <c r="CA649" s="439"/>
      <c r="CB649" s="439"/>
      <c r="CC649" s="439"/>
      <c r="CD649" s="439"/>
      <c r="CE649" s="440"/>
      <c r="CF649" s="420"/>
      <c r="CG649" s="420"/>
      <c r="CH649" s="420"/>
    </row>
    <row r="650" spans="75:86" s="428" customFormat="1" x14ac:dyDescent="0.2">
      <c r="BW650" s="439"/>
      <c r="BX650" s="439"/>
      <c r="BY650" s="439"/>
      <c r="BZ650" s="439"/>
      <c r="CA650" s="439"/>
      <c r="CB650" s="439"/>
      <c r="CC650" s="439"/>
      <c r="CD650" s="439"/>
      <c r="CE650" s="440"/>
      <c r="CF650" s="420"/>
      <c r="CG650" s="420"/>
      <c r="CH650" s="420"/>
    </row>
    <row r="651" spans="75:86" s="428" customFormat="1" x14ac:dyDescent="0.2">
      <c r="BW651" s="439"/>
      <c r="BX651" s="439"/>
      <c r="BY651" s="439"/>
      <c r="BZ651" s="439"/>
      <c r="CA651" s="439"/>
      <c r="CB651" s="439"/>
      <c r="CC651" s="439"/>
      <c r="CD651" s="439"/>
      <c r="CE651" s="440"/>
      <c r="CF651" s="420"/>
      <c r="CG651" s="420"/>
      <c r="CH651" s="420"/>
    </row>
    <row r="652" spans="75:86" s="428" customFormat="1" x14ac:dyDescent="0.2">
      <c r="BW652" s="439"/>
      <c r="BX652" s="439"/>
      <c r="BY652" s="439"/>
      <c r="BZ652" s="439"/>
      <c r="CA652" s="439"/>
      <c r="CB652" s="439"/>
      <c r="CC652" s="439"/>
      <c r="CD652" s="439"/>
      <c r="CE652" s="440"/>
      <c r="CF652" s="420"/>
      <c r="CG652" s="420"/>
      <c r="CH652" s="420"/>
    </row>
    <row r="653" spans="75:86" s="428" customFormat="1" x14ac:dyDescent="0.2">
      <c r="BW653" s="439"/>
      <c r="BX653" s="439"/>
      <c r="BY653" s="439"/>
      <c r="BZ653" s="439"/>
      <c r="CA653" s="439"/>
      <c r="CB653" s="439"/>
      <c r="CC653" s="439"/>
      <c r="CD653" s="439"/>
      <c r="CE653" s="440"/>
      <c r="CF653" s="420"/>
      <c r="CG653" s="420"/>
      <c r="CH653" s="420"/>
    </row>
    <row r="654" spans="75:86" s="428" customFormat="1" x14ac:dyDescent="0.2">
      <c r="BW654" s="439"/>
      <c r="BX654" s="439"/>
      <c r="BY654" s="439"/>
      <c r="BZ654" s="439"/>
      <c r="CA654" s="439"/>
      <c r="CB654" s="439"/>
      <c r="CC654" s="439"/>
      <c r="CD654" s="439"/>
      <c r="CE654" s="440"/>
      <c r="CF654" s="420"/>
      <c r="CG654" s="420"/>
      <c r="CH654" s="420"/>
    </row>
    <row r="655" spans="75:86" s="428" customFormat="1" x14ac:dyDescent="0.2">
      <c r="BW655" s="439"/>
      <c r="BX655" s="439"/>
      <c r="BY655" s="439"/>
      <c r="BZ655" s="439"/>
      <c r="CA655" s="439"/>
      <c r="CB655" s="439"/>
      <c r="CC655" s="439"/>
      <c r="CD655" s="439"/>
      <c r="CE655" s="440"/>
      <c r="CF655" s="420"/>
      <c r="CG655" s="420"/>
      <c r="CH655" s="420"/>
    </row>
    <row r="656" spans="75:86" s="428" customFormat="1" x14ac:dyDescent="0.2">
      <c r="BW656" s="439"/>
      <c r="BX656" s="439"/>
      <c r="BY656" s="439"/>
      <c r="BZ656" s="439"/>
      <c r="CA656" s="439"/>
      <c r="CB656" s="439"/>
      <c r="CC656" s="439"/>
      <c r="CD656" s="439"/>
      <c r="CE656" s="440"/>
      <c r="CF656" s="420"/>
      <c r="CG656" s="420"/>
      <c r="CH656" s="420"/>
    </row>
    <row r="657" spans="75:86" s="428" customFormat="1" x14ac:dyDescent="0.2">
      <c r="BW657" s="439"/>
      <c r="BX657" s="439"/>
      <c r="BY657" s="439"/>
      <c r="BZ657" s="439"/>
      <c r="CA657" s="439"/>
      <c r="CB657" s="439"/>
      <c r="CC657" s="439"/>
      <c r="CD657" s="439"/>
      <c r="CE657" s="440"/>
      <c r="CF657" s="420"/>
      <c r="CG657" s="420"/>
      <c r="CH657" s="420"/>
    </row>
    <row r="658" spans="75:86" s="428" customFormat="1" x14ac:dyDescent="0.2">
      <c r="BW658" s="439"/>
      <c r="BX658" s="439"/>
      <c r="BY658" s="439"/>
      <c r="BZ658" s="439"/>
      <c r="CA658" s="439"/>
      <c r="CB658" s="439"/>
      <c r="CC658" s="439"/>
      <c r="CD658" s="439"/>
      <c r="CE658" s="440"/>
      <c r="CF658" s="420"/>
      <c r="CG658" s="420"/>
      <c r="CH658" s="420"/>
    </row>
    <row r="659" spans="75:86" s="428" customFormat="1" x14ac:dyDescent="0.2">
      <c r="BW659" s="439"/>
      <c r="BX659" s="439"/>
      <c r="BY659" s="439"/>
      <c r="BZ659" s="439"/>
      <c r="CA659" s="439"/>
      <c r="CB659" s="439"/>
      <c r="CC659" s="439"/>
      <c r="CD659" s="439"/>
      <c r="CE659" s="440"/>
      <c r="CF659" s="420"/>
      <c r="CG659" s="420"/>
      <c r="CH659" s="420"/>
    </row>
    <row r="660" spans="75:86" s="428" customFormat="1" x14ac:dyDescent="0.2">
      <c r="BW660" s="439"/>
      <c r="BX660" s="439"/>
      <c r="BY660" s="439"/>
      <c r="BZ660" s="439"/>
      <c r="CA660" s="439"/>
      <c r="CB660" s="439"/>
      <c r="CC660" s="439"/>
      <c r="CD660" s="439"/>
      <c r="CE660" s="440"/>
      <c r="CF660" s="420"/>
      <c r="CG660" s="420"/>
      <c r="CH660" s="420"/>
    </row>
    <row r="661" spans="75:86" s="428" customFormat="1" x14ac:dyDescent="0.2">
      <c r="BW661" s="439"/>
      <c r="BX661" s="439"/>
      <c r="BY661" s="439"/>
      <c r="BZ661" s="439"/>
      <c r="CA661" s="439"/>
      <c r="CB661" s="439"/>
      <c r="CC661" s="439"/>
      <c r="CD661" s="439"/>
      <c r="CE661" s="440"/>
      <c r="CF661" s="420"/>
      <c r="CG661" s="420"/>
      <c r="CH661" s="420"/>
    </row>
    <row r="662" spans="75:86" s="428" customFormat="1" x14ac:dyDescent="0.2">
      <c r="BW662" s="439"/>
      <c r="BX662" s="439"/>
      <c r="BY662" s="439"/>
      <c r="BZ662" s="439"/>
      <c r="CA662" s="439"/>
      <c r="CB662" s="439"/>
      <c r="CC662" s="439"/>
      <c r="CD662" s="439"/>
      <c r="CE662" s="440"/>
      <c r="CF662" s="420"/>
      <c r="CG662" s="420"/>
      <c r="CH662" s="420"/>
    </row>
    <row r="663" spans="75:86" s="428" customFormat="1" x14ac:dyDescent="0.2">
      <c r="BW663" s="439"/>
      <c r="BX663" s="439"/>
      <c r="BY663" s="439"/>
      <c r="BZ663" s="439"/>
      <c r="CA663" s="439"/>
      <c r="CB663" s="439"/>
      <c r="CC663" s="439"/>
      <c r="CD663" s="439"/>
      <c r="CE663" s="440"/>
      <c r="CF663" s="420"/>
      <c r="CG663" s="420"/>
      <c r="CH663" s="420"/>
    </row>
    <row r="664" spans="75:86" s="428" customFormat="1" x14ac:dyDescent="0.2">
      <c r="BW664" s="439"/>
      <c r="BX664" s="439"/>
      <c r="BY664" s="439"/>
      <c r="BZ664" s="439"/>
      <c r="CA664" s="439"/>
      <c r="CB664" s="439"/>
      <c r="CC664" s="439"/>
      <c r="CD664" s="439"/>
      <c r="CE664" s="440"/>
      <c r="CF664" s="420"/>
      <c r="CG664" s="420"/>
      <c r="CH664" s="420"/>
    </row>
    <row r="665" spans="75:86" s="428" customFormat="1" x14ac:dyDescent="0.2">
      <c r="BW665" s="439"/>
      <c r="BX665" s="439"/>
      <c r="BY665" s="439"/>
      <c r="BZ665" s="439"/>
      <c r="CA665" s="439"/>
      <c r="CB665" s="439"/>
      <c r="CC665" s="439"/>
      <c r="CD665" s="439"/>
      <c r="CE665" s="440"/>
      <c r="CF665" s="420"/>
      <c r="CG665" s="420"/>
      <c r="CH665" s="420"/>
    </row>
    <row r="666" spans="75:86" s="428" customFormat="1" x14ac:dyDescent="0.2">
      <c r="BW666" s="439"/>
      <c r="BX666" s="439"/>
      <c r="BY666" s="439"/>
      <c r="BZ666" s="439"/>
      <c r="CA666" s="439"/>
      <c r="CB666" s="439"/>
      <c r="CC666" s="439"/>
      <c r="CD666" s="439"/>
      <c r="CE666" s="440"/>
      <c r="CF666" s="420"/>
      <c r="CG666" s="420"/>
      <c r="CH666" s="420"/>
    </row>
    <row r="667" spans="75:86" s="428" customFormat="1" x14ac:dyDescent="0.2">
      <c r="BW667" s="439"/>
      <c r="BX667" s="439"/>
      <c r="BY667" s="439"/>
      <c r="BZ667" s="439"/>
      <c r="CA667" s="439"/>
      <c r="CB667" s="439"/>
      <c r="CC667" s="439"/>
      <c r="CD667" s="439"/>
      <c r="CE667" s="440"/>
      <c r="CF667" s="420"/>
      <c r="CG667" s="420"/>
      <c r="CH667" s="420"/>
    </row>
    <row r="668" spans="75:86" s="428" customFormat="1" x14ac:dyDescent="0.2">
      <c r="BW668" s="439"/>
      <c r="BX668" s="439"/>
      <c r="BY668" s="439"/>
      <c r="BZ668" s="439"/>
      <c r="CA668" s="439"/>
      <c r="CB668" s="439"/>
      <c r="CC668" s="439"/>
      <c r="CD668" s="439"/>
      <c r="CE668" s="440"/>
      <c r="CF668" s="420"/>
      <c r="CG668" s="420"/>
      <c r="CH668" s="420"/>
    </row>
    <row r="669" spans="75:86" s="428" customFormat="1" x14ac:dyDescent="0.2">
      <c r="BW669" s="439"/>
      <c r="BX669" s="439"/>
      <c r="BY669" s="439"/>
      <c r="BZ669" s="439"/>
      <c r="CA669" s="439"/>
      <c r="CB669" s="439"/>
      <c r="CC669" s="439"/>
      <c r="CD669" s="439"/>
      <c r="CE669" s="440"/>
      <c r="CF669" s="420"/>
      <c r="CG669" s="420"/>
      <c r="CH669" s="420"/>
    </row>
    <row r="670" spans="75:86" s="428" customFormat="1" x14ac:dyDescent="0.2">
      <c r="BW670" s="439"/>
      <c r="BX670" s="439"/>
      <c r="BY670" s="439"/>
      <c r="BZ670" s="439"/>
      <c r="CA670" s="439"/>
      <c r="CB670" s="439"/>
      <c r="CC670" s="439"/>
      <c r="CD670" s="439"/>
      <c r="CE670" s="440"/>
      <c r="CF670" s="420"/>
      <c r="CG670" s="420"/>
      <c r="CH670" s="420"/>
    </row>
    <row r="671" spans="75:86" s="428" customFormat="1" x14ac:dyDescent="0.2">
      <c r="BW671" s="439"/>
      <c r="BX671" s="439"/>
      <c r="BY671" s="439"/>
      <c r="BZ671" s="439"/>
      <c r="CA671" s="439"/>
      <c r="CB671" s="439"/>
      <c r="CC671" s="439"/>
      <c r="CD671" s="439"/>
      <c r="CE671" s="440"/>
      <c r="CF671" s="420"/>
      <c r="CG671" s="420"/>
      <c r="CH671" s="420"/>
    </row>
    <row r="672" spans="75:86" s="428" customFormat="1" x14ac:dyDescent="0.2">
      <c r="BW672" s="439"/>
      <c r="BX672" s="439"/>
      <c r="BY672" s="439"/>
      <c r="BZ672" s="439"/>
      <c r="CA672" s="439"/>
      <c r="CB672" s="439"/>
      <c r="CC672" s="439"/>
      <c r="CD672" s="439"/>
      <c r="CE672" s="440"/>
      <c r="CF672" s="420"/>
      <c r="CG672" s="420"/>
      <c r="CH672" s="420"/>
    </row>
    <row r="673" spans="75:86" s="428" customFormat="1" x14ac:dyDescent="0.2">
      <c r="BW673" s="439"/>
      <c r="BX673" s="439"/>
      <c r="BY673" s="439"/>
      <c r="BZ673" s="439"/>
      <c r="CA673" s="439"/>
      <c r="CB673" s="439"/>
      <c r="CC673" s="439"/>
      <c r="CD673" s="439"/>
      <c r="CE673" s="440"/>
      <c r="CF673" s="420"/>
      <c r="CG673" s="420"/>
      <c r="CH673" s="420"/>
    </row>
    <row r="674" spans="75:86" s="428" customFormat="1" x14ac:dyDescent="0.2">
      <c r="BW674" s="439"/>
      <c r="BX674" s="439"/>
      <c r="BY674" s="439"/>
      <c r="BZ674" s="439"/>
      <c r="CA674" s="439"/>
      <c r="CB674" s="439"/>
      <c r="CC674" s="439"/>
      <c r="CD674" s="439"/>
      <c r="CE674" s="440"/>
      <c r="CF674" s="420"/>
      <c r="CG674" s="420"/>
      <c r="CH674" s="420"/>
    </row>
    <row r="675" spans="75:86" s="428" customFormat="1" x14ac:dyDescent="0.2">
      <c r="BW675" s="439"/>
      <c r="BX675" s="439"/>
      <c r="BY675" s="439"/>
      <c r="BZ675" s="439"/>
      <c r="CA675" s="439"/>
      <c r="CB675" s="439"/>
      <c r="CC675" s="439"/>
      <c r="CD675" s="439"/>
      <c r="CE675" s="440"/>
      <c r="CF675" s="420"/>
      <c r="CG675" s="420"/>
      <c r="CH675" s="420"/>
    </row>
    <row r="676" spans="75:86" s="428" customFormat="1" x14ac:dyDescent="0.2">
      <c r="BW676" s="439"/>
      <c r="BX676" s="439"/>
      <c r="BY676" s="439"/>
      <c r="BZ676" s="439"/>
      <c r="CA676" s="439"/>
      <c r="CB676" s="439"/>
      <c r="CC676" s="439"/>
      <c r="CD676" s="439"/>
      <c r="CE676" s="440"/>
      <c r="CF676" s="420"/>
      <c r="CG676" s="420"/>
      <c r="CH676" s="420"/>
    </row>
    <row r="677" spans="75:86" s="428" customFormat="1" x14ac:dyDescent="0.2">
      <c r="BW677" s="439"/>
      <c r="BX677" s="439"/>
      <c r="BY677" s="439"/>
      <c r="BZ677" s="439"/>
      <c r="CA677" s="439"/>
      <c r="CB677" s="439"/>
      <c r="CC677" s="439"/>
      <c r="CD677" s="439"/>
      <c r="CE677" s="440"/>
      <c r="CF677" s="420"/>
      <c r="CG677" s="420"/>
      <c r="CH677" s="420"/>
    </row>
    <row r="678" spans="75:86" s="428" customFormat="1" x14ac:dyDescent="0.2">
      <c r="BW678" s="439"/>
      <c r="BX678" s="439"/>
      <c r="BY678" s="439"/>
      <c r="BZ678" s="439"/>
      <c r="CA678" s="439"/>
      <c r="CB678" s="439"/>
      <c r="CC678" s="439"/>
      <c r="CD678" s="439"/>
      <c r="CE678" s="440"/>
      <c r="CF678" s="420"/>
      <c r="CG678" s="420"/>
      <c r="CH678" s="420"/>
    </row>
    <row r="679" spans="75:86" s="428" customFormat="1" x14ac:dyDescent="0.2">
      <c r="BW679" s="439"/>
      <c r="BX679" s="439"/>
      <c r="BY679" s="439"/>
      <c r="BZ679" s="439"/>
      <c r="CA679" s="439"/>
      <c r="CB679" s="439"/>
      <c r="CC679" s="439"/>
      <c r="CD679" s="439"/>
      <c r="CE679" s="440"/>
      <c r="CF679" s="420"/>
      <c r="CG679" s="420"/>
      <c r="CH679" s="420"/>
    </row>
    <row r="680" spans="75:86" s="428" customFormat="1" x14ac:dyDescent="0.2">
      <c r="BW680" s="439"/>
      <c r="BX680" s="439"/>
      <c r="BY680" s="439"/>
      <c r="BZ680" s="439"/>
      <c r="CA680" s="439"/>
      <c r="CB680" s="439"/>
      <c r="CC680" s="439"/>
      <c r="CD680" s="439"/>
      <c r="CE680" s="440"/>
      <c r="CF680" s="420"/>
      <c r="CG680" s="420"/>
      <c r="CH680" s="420"/>
    </row>
    <row r="681" spans="75:86" s="428" customFormat="1" x14ac:dyDescent="0.2">
      <c r="BW681" s="439"/>
      <c r="BX681" s="439"/>
      <c r="BY681" s="439"/>
      <c r="BZ681" s="439"/>
      <c r="CA681" s="439"/>
      <c r="CB681" s="439"/>
      <c r="CC681" s="439"/>
      <c r="CD681" s="439"/>
      <c r="CE681" s="440"/>
      <c r="CF681" s="420"/>
      <c r="CG681" s="420"/>
      <c r="CH681" s="420"/>
    </row>
    <row r="682" spans="75:86" s="428" customFormat="1" x14ac:dyDescent="0.2">
      <c r="BW682" s="439"/>
      <c r="BX682" s="439"/>
      <c r="BY682" s="439"/>
      <c r="BZ682" s="439"/>
      <c r="CA682" s="439"/>
      <c r="CB682" s="439"/>
      <c r="CC682" s="439"/>
      <c r="CD682" s="439"/>
      <c r="CE682" s="440"/>
      <c r="CF682" s="420"/>
      <c r="CG682" s="420"/>
      <c r="CH682" s="420"/>
    </row>
    <row r="683" spans="75:86" s="428" customFormat="1" x14ac:dyDescent="0.2">
      <c r="BW683" s="439"/>
      <c r="BX683" s="439"/>
      <c r="BY683" s="439"/>
      <c r="BZ683" s="439"/>
      <c r="CA683" s="439"/>
      <c r="CB683" s="439"/>
      <c r="CC683" s="439"/>
      <c r="CD683" s="439"/>
      <c r="CE683" s="440"/>
      <c r="CF683" s="420"/>
      <c r="CG683" s="420"/>
      <c r="CH683" s="420"/>
    </row>
    <row r="684" spans="75:86" s="428" customFormat="1" x14ac:dyDescent="0.2">
      <c r="BW684" s="439"/>
      <c r="BX684" s="439"/>
      <c r="BY684" s="439"/>
      <c r="BZ684" s="439"/>
      <c r="CA684" s="439"/>
      <c r="CB684" s="439"/>
      <c r="CC684" s="439"/>
      <c r="CD684" s="439"/>
      <c r="CE684" s="440"/>
      <c r="CF684" s="420"/>
      <c r="CG684" s="420"/>
      <c r="CH684" s="420"/>
    </row>
    <row r="685" spans="75:86" s="428" customFormat="1" x14ac:dyDescent="0.2">
      <c r="BW685" s="439"/>
      <c r="BX685" s="439"/>
      <c r="BY685" s="439"/>
      <c r="BZ685" s="439"/>
      <c r="CA685" s="439"/>
      <c r="CB685" s="439"/>
      <c r="CC685" s="439"/>
      <c r="CD685" s="439"/>
      <c r="CE685" s="440"/>
      <c r="CF685" s="420"/>
      <c r="CG685" s="420"/>
      <c r="CH685" s="420"/>
    </row>
    <row r="686" spans="75:86" s="428" customFormat="1" x14ac:dyDescent="0.2">
      <c r="BW686" s="439"/>
      <c r="BX686" s="439"/>
      <c r="BY686" s="439"/>
      <c r="BZ686" s="439"/>
      <c r="CA686" s="439"/>
      <c r="CB686" s="439"/>
      <c r="CC686" s="439"/>
      <c r="CD686" s="439"/>
      <c r="CE686" s="440"/>
      <c r="CF686" s="420"/>
      <c r="CG686" s="420"/>
      <c r="CH686" s="420"/>
    </row>
    <row r="687" spans="75:86" s="428" customFormat="1" x14ac:dyDescent="0.2">
      <c r="BW687" s="439"/>
      <c r="BX687" s="439"/>
      <c r="BY687" s="439"/>
      <c r="BZ687" s="439"/>
      <c r="CA687" s="439"/>
      <c r="CB687" s="439"/>
      <c r="CC687" s="439"/>
      <c r="CD687" s="439"/>
      <c r="CE687" s="440"/>
      <c r="CF687" s="420"/>
      <c r="CG687" s="420"/>
      <c r="CH687" s="420"/>
    </row>
    <row r="688" spans="75:86" s="428" customFormat="1" x14ac:dyDescent="0.2">
      <c r="BW688" s="439"/>
      <c r="BX688" s="439"/>
      <c r="BY688" s="439"/>
      <c r="BZ688" s="439"/>
      <c r="CA688" s="439"/>
      <c r="CB688" s="439"/>
      <c r="CC688" s="439"/>
      <c r="CD688" s="439"/>
      <c r="CE688" s="440"/>
      <c r="CF688" s="420"/>
      <c r="CG688" s="420"/>
      <c r="CH688" s="420"/>
    </row>
    <row r="689" spans="75:86" s="428" customFormat="1" x14ac:dyDescent="0.2">
      <c r="BW689" s="439"/>
      <c r="BX689" s="439"/>
      <c r="BY689" s="439"/>
      <c r="BZ689" s="439"/>
      <c r="CA689" s="439"/>
      <c r="CB689" s="439"/>
      <c r="CC689" s="439"/>
      <c r="CD689" s="439"/>
      <c r="CE689" s="440"/>
      <c r="CF689" s="420"/>
      <c r="CG689" s="420"/>
      <c r="CH689" s="420"/>
    </row>
    <row r="690" spans="75:86" s="428" customFormat="1" x14ac:dyDescent="0.2">
      <c r="BW690" s="439"/>
      <c r="BX690" s="439"/>
      <c r="BY690" s="439"/>
      <c r="BZ690" s="439"/>
      <c r="CA690" s="439"/>
      <c r="CB690" s="439"/>
      <c r="CC690" s="439"/>
      <c r="CD690" s="439"/>
      <c r="CE690" s="440"/>
      <c r="CF690" s="420"/>
      <c r="CG690" s="420"/>
      <c r="CH690" s="420"/>
    </row>
    <row r="691" spans="75:86" s="428" customFormat="1" x14ac:dyDescent="0.2">
      <c r="BW691" s="439"/>
      <c r="BX691" s="439"/>
      <c r="BY691" s="439"/>
      <c r="BZ691" s="439"/>
      <c r="CA691" s="439"/>
      <c r="CB691" s="439"/>
      <c r="CC691" s="439"/>
      <c r="CD691" s="439"/>
      <c r="CE691" s="440"/>
      <c r="CF691" s="420"/>
      <c r="CG691" s="420"/>
      <c r="CH691" s="420"/>
    </row>
    <row r="692" spans="75:86" s="428" customFormat="1" x14ac:dyDescent="0.2">
      <c r="BW692" s="439"/>
      <c r="BX692" s="439"/>
      <c r="BY692" s="439"/>
      <c r="BZ692" s="439"/>
      <c r="CA692" s="439"/>
      <c r="CB692" s="439"/>
      <c r="CC692" s="439"/>
      <c r="CD692" s="439"/>
      <c r="CE692" s="440"/>
      <c r="CF692" s="420"/>
      <c r="CG692" s="420"/>
      <c r="CH692" s="420"/>
    </row>
    <row r="693" spans="75:86" s="428" customFormat="1" x14ac:dyDescent="0.2">
      <c r="BW693" s="439"/>
      <c r="BX693" s="439"/>
      <c r="BY693" s="439"/>
      <c r="BZ693" s="439"/>
      <c r="CA693" s="439"/>
      <c r="CB693" s="439"/>
      <c r="CC693" s="439"/>
      <c r="CD693" s="439"/>
      <c r="CE693" s="440"/>
      <c r="CF693" s="420"/>
      <c r="CG693" s="420"/>
      <c r="CH693" s="420"/>
    </row>
    <row r="694" spans="75:86" s="428" customFormat="1" x14ac:dyDescent="0.2">
      <c r="BW694" s="439"/>
      <c r="BX694" s="439"/>
      <c r="BY694" s="439"/>
      <c r="BZ694" s="439"/>
      <c r="CA694" s="439"/>
      <c r="CB694" s="439"/>
      <c r="CC694" s="439"/>
      <c r="CD694" s="439"/>
      <c r="CE694" s="440"/>
      <c r="CF694" s="420"/>
      <c r="CG694" s="420"/>
      <c r="CH694" s="420"/>
    </row>
    <row r="695" spans="75:86" s="428" customFormat="1" x14ac:dyDescent="0.2">
      <c r="BW695" s="439"/>
      <c r="BX695" s="439"/>
      <c r="BY695" s="439"/>
      <c r="BZ695" s="439"/>
      <c r="CA695" s="439"/>
      <c r="CB695" s="439"/>
      <c r="CC695" s="439"/>
      <c r="CD695" s="439"/>
      <c r="CE695" s="440"/>
      <c r="CF695" s="420"/>
      <c r="CG695" s="420"/>
      <c r="CH695" s="420"/>
    </row>
    <row r="696" spans="75:86" s="428" customFormat="1" x14ac:dyDescent="0.2">
      <c r="BW696" s="439"/>
      <c r="BX696" s="439"/>
      <c r="BY696" s="439"/>
      <c r="BZ696" s="439"/>
      <c r="CA696" s="439"/>
      <c r="CB696" s="439"/>
      <c r="CC696" s="439"/>
      <c r="CD696" s="439"/>
      <c r="CE696" s="440"/>
      <c r="CF696" s="420"/>
      <c r="CG696" s="420"/>
      <c r="CH696" s="420"/>
    </row>
    <row r="697" spans="75:86" s="428" customFormat="1" x14ac:dyDescent="0.2">
      <c r="BW697" s="439"/>
      <c r="BX697" s="439"/>
      <c r="BY697" s="439"/>
      <c r="BZ697" s="439"/>
      <c r="CA697" s="439"/>
      <c r="CB697" s="439"/>
      <c r="CC697" s="439"/>
      <c r="CD697" s="439"/>
      <c r="CE697" s="440"/>
      <c r="CF697" s="420"/>
      <c r="CG697" s="420"/>
      <c r="CH697" s="420"/>
    </row>
    <row r="698" spans="75:86" s="428" customFormat="1" x14ac:dyDescent="0.2">
      <c r="BW698" s="439"/>
      <c r="BX698" s="439"/>
      <c r="BY698" s="439"/>
      <c r="BZ698" s="439"/>
      <c r="CA698" s="439"/>
      <c r="CB698" s="439"/>
      <c r="CC698" s="439"/>
      <c r="CD698" s="439"/>
      <c r="CE698" s="440"/>
      <c r="CF698" s="420"/>
      <c r="CG698" s="420"/>
      <c r="CH698" s="420"/>
    </row>
    <row r="699" spans="75:86" s="428" customFormat="1" x14ac:dyDescent="0.2">
      <c r="BW699" s="439"/>
      <c r="BX699" s="439"/>
      <c r="BY699" s="439"/>
      <c r="BZ699" s="439"/>
      <c r="CA699" s="439"/>
      <c r="CB699" s="439"/>
      <c r="CC699" s="439"/>
      <c r="CD699" s="439"/>
      <c r="CE699" s="440"/>
      <c r="CF699" s="420"/>
      <c r="CG699" s="420"/>
      <c r="CH699" s="420"/>
    </row>
    <row r="700" spans="75:86" s="428" customFormat="1" x14ac:dyDescent="0.2">
      <c r="BW700" s="439"/>
      <c r="BX700" s="439"/>
      <c r="BY700" s="439"/>
      <c r="BZ700" s="439"/>
      <c r="CA700" s="439"/>
      <c r="CB700" s="439"/>
      <c r="CC700" s="439"/>
      <c r="CD700" s="439"/>
      <c r="CE700" s="440"/>
      <c r="CF700" s="420"/>
      <c r="CG700" s="420"/>
      <c r="CH700" s="420"/>
    </row>
    <row r="701" spans="75:86" s="428" customFormat="1" x14ac:dyDescent="0.2">
      <c r="BW701" s="439"/>
      <c r="BX701" s="439"/>
      <c r="BY701" s="439"/>
      <c r="BZ701" s="439"/>
      <c r="CA701" s="439"/>
      <c r="CB701" s="439"/>
      <c r="CC701" s="439"/>
      <c r="CD701" s="439"/>
      <c r="CE701" s="440"/>
      <c r="CF701" s="420"/>
      <c r="CG701" s="420"/>
      <c r="CH701" s="420"/>
    </row>
    <row r="702" spans="75:86" s="428" customFormat="1" x14ac:dyDescent="0.2">
      <c r="BW702" s="439"/>
      <c r="BX702" s="439"/>
      <c r="BY702" s="439"/>
      <c r="BZ702" s="439"/>
      <c r="CA702" s="439"/>
      <c r="CB702" s="439"/>
      <c r="CC702" s="439"/>
      <c r="CD702" s="439"/>
      <c r="CE702" s="440"/>
      <c r="CF702" s="420"/>
      <c r="CG702" s="420"/>
      <c r="CH702" s="420"/>
    </row>
    <row r="703" spans="75:86" s="428" customFormat="1" x14ac:dyDescent="0.2">
      <c r="BW703" s="439"/>
      <c r="BX703" s="439"/>
      <c r="BY703" s="439"/>
      <c r="BZ703" s="439"/>
      <c r="CA703" s="439"/>
      <c r="CB703" s="439"/>
      <c r="CC703" s="439"/>
      <c r="CD703" s="439"/>
      <c r="CE703" s="440"/>
      <c r="CF703" s="420"/>
      <c r="CG703" s="420"/>
      <c r="CH703" s="420"/>
    </row>
    <row r="704" spans="75:86" s="428" customFormat="1" x14ac:dyDescent="0.2">
      <c r="BW704" s="439"/>
      <c r="BX704" s="439"/>
      <c r="BY704" s="439"/>
      <c r="BZ704" s="439"/>
      <c r="CA704" s="439"/>
      <c r="CB704" s="439"/>
      <c r="CC704" s="439"/>
      <c r="CD704" s="439"/>
      <c r="CE704" s="440"/>
      <c r="CF704" s="420"/>
      <c r="CG704" s="420"/>
      <c r="CH704" s="420"/>
    </row>
    <row r="705" spans="75:86" s="428" customFormat="1" x14ac:dyDescent="0.2">
      <c r="BW705" s="439"/>
      <c r="BX705" s="439"/>
      <c r="BY705" s="439"/>
      <c r="BZ705" s="439"/>
      <c r="CA705" s="439"/>
      <c r="CB705" s="439"/>
      <c r="CC705" s="439"/>
      <c r="CD705" s="439"/>
      <c r="CE705" s="440"/>
      <c r="CF705" s="420"/>
      <c r="CG705" s="420"/>
      <c r="CH705" s="420"/>
    </row>
    <row r="706" spans="75:86" s="428" customFormat="1" x14ac:dyDescent="0.2">
      <c r="BW706" s="439"/>
      <c r="BX706" s="439"/>
      <c r="BY706" s="439"/>
      <c r="BZ706" s="439"/>
      <c r="CA706" s="439"/>
      <c r="CB706" s="439"/>
      <c r="CC706" s="439"/>
      <c r="CD706" s="439"/>
      <c r="CE706" s="440"/>
      <c r="CF706" s="420"/>
      <c r="CG706" s="420"/>
      <c r="CH706" s="420"/>
    </row>
    <row r="707" spans="75:86" s="428" customFormat="1" x14ac:dyDescent="0.2">
      <c r="BW707" s="439"/>
      <c r="BX707" s="439"/>
      <c r="BY707" s="439"/>
      <c r="BZ707" s="439"/>
      <c r="CA707" s="439"/>
      <c r="CB707" s="439"/>
      <c r="CC707" s="439"/>
      <c r="CD707" s="439"/>
      <c r="CE707" s="440"/>
      <c r="CF707" s="420"/>
      <c r="CG707" s="420"/>
      <c r="CH707" s="420"/>
    </row>
    <row r="708" spans="75:86" s="428" customFormat="1" x14ac:dyDescent="0.2">
      <c r="BW708" s="439"/>
      <c r="BX708" s="439"/>
      <c r="BY708" s="439"/>
      <c r="BZ708" s="439"/>
      <c r="CA708" s="439"/>
      <c r="CB708" s="439"/>
      <c r="CC708" s="439"/>
      <c r="CD708" s="439"/>
      <c r="CE708" s="440"/>
      <c r="CF708" s="420"/>
      <c r="CG708" s="420"/>
      <c r="CH708" s="420"/>
    </row>
    <row r="709" spans="75:86" s="428" customFormat="1" x14ac:dyDescent="0.2">
      <c r="BW709" s="439"/>
      <c r="BX709" s="439"/>
      <c r="BY709" s="439"/>
      <c r="BZ709" s="439"/>
      <c r="CA709" s="439"/>
      <c r="CB709" s="439"/>
      <c r="CC709" s="439"/>
      <c r="CD709" s="439"/>
      <c r="CE709" s="440"/>
      <c r="CF709" s="420"/>
      <c r="CG709" s="420"/>
      <c r="CH709" s="420"/>
    </row>
    <row r="710" spans="75:86" s="428" customFormat="1" x14ac:dyDescent="0.2">
      <c r="BW710" s="439"/>
      <c r="BX710" s="439"/>
      <c r="BY710" s="439"/>
      <c r="BZ710" s="439"/>
      <c r="CA710" s="439"/>
      <c r="CB710" s="439"/>
      <c r="CC710" s="439"/>
      <c r="CD710" s="439"/>
      <c r="CE710" s="440"/>
      <c r="CF710" s="420"/>
      <c r="CG710" s="420"/>
      <c r="CH710" s="420"/>
    </row>
    <row r="711" spans="75:86" s="428" customFormat="1" x14ac:dyDescent="0.2">
      <c r="BW711" s="439"/>
      <c r="BX711" s="439"/>
      <c r="BY711" s="439"/>
      <c r="BZ711" s="439"/>
      <c r="CA711" s="439"/>
      <c r="CB711" s="439"/>
      <c r="CC711" s="439"/>
      <c r="CD711" s="439"/>
      <c r="CE711" s="440"/>
      <c r="CF711" s="420"/>
      <c r="CG711" s="420"/>
      <c r="CH711" s="420"/>
    </row>
    <row r="712" spans="75:86" s="428" customFormat="1" x14ac:dyDescent="0.2">
      <c r="BW712" s="439"/>
      <c r="BX712" s="439"/>
      <c r="BY712" s="439"/>
      <c r="BZ712" s="439"/>
      <c r="CA712" s="439"/>
      <c r="CB712" s="439"/>
      <c r="CC712" s="439"/>
      <c r="CD712" s="439"/>
      <c r="CE712" s="440"/>
      <c r="CF712" s="420"/>
      <c r="CG712" s="420"/>
      <c r="CH712" s="420"/>
    </row>
    <row r="713" spans="75:86" s="428" customFormat="1" x14ac:dyDescent="0.2">
      <c r="BW713" s="439"/>
      <c r="BX713" s="439"/>
      <c r="BY713" s="439"/>
      <c r="BZ713" s="439"/>
      <c r="CA713" s="439"/>
      <c r="CB713" s="439"/>
      <c r="CC713" s="439"/>
      <c r="CD713" s="439"/>
      <c r="CE713" s="440"/>
      <c r="CF713" s="420"/>
      <c r="CG713" s="420"/>
      <c r="CH713" s="420"/>
    </row>
    <row r="714" spans="75:86" s="428" customFormat="1" x14ac:dyDescent="0.2">
      <c r="BW714" s="439"/>
      <c r="BX714" s="439"/>
      <c r="BY714" s="439"/>
      <c r="BZ714" s="439"/>
      <c r="CA714" s="439"/>
      <c r="CB714" s="439"/>
      <c r="CC714" s="439"/>
      <c r="CD714" s="439"/>
      <c r="CE714" s="440"/>
      <c r="CF714" s="420"/>
      <c r="CG714" s="420"/>
      <c r="CH714" s="420"/>
    </row>
    <row r="715" spans="75:86" s="428" customFormat="1" x14ac:dyDescent="0.2">
      <c r="BW715" s="439"/>
      <c r="BX715" s="439"/>
      <c r="BY715" s="439"/>
      <c r="BZ715" s="439"/>
      <c r="CA715" s="439"/>
      <c r="CB715" s="439"/>
      <c r="CC715" s="439"/>
      <c r="CD715" s="439"/>
      <c r="CE715" s="440"/>
      <c r="CF715" s="420"/>
      <c r="CG715" s="420"/>
      <c r="CH715" s="420"/>
    </row>
    <row r="716" spans="75:86" s="428" customFormat="1" x14ac:dyDescent="0.2">
      <c r="BW716" s="439"/>
      <c r="BX716" s="439"/>
      <c r="BY716" s="439"/>
      <c r="BZ716" s="439"/>
      <c r="CA716" s="439"/>
      <c r="CB716" s="439"/>
      <c r="CC716" s="439"/>
      <c r="CD716" s="439"/>
      <c r="CE716" s="440"/>
      <c r="CF716" s="420"/>
      <c r="CG716" s="420"/>
      <c r="CH716" s="420"/>
    </row>
    <row r="717" spans="75:86" s="428" customFormat="1" x14ac:dyDescent="0.2">
      <c r="BW717" s="439"/>
      <c r="BX717" s="439"/>
      <c r="BY717" s="439"/>
      <c r="BZ717" s="439"/>
      <c r="CA717" s="439"/>
      <c r="CB717" s="439"/>
      <c r="CC717" s="439"/>
      <c r="CD717" s="439"/>
      <c r="CE717" s="440"/>
      <c r="CF717" s="420"/>
      <c r="CG717" s="420"/>
      <c r="CH717" s="420"/>
    </row>
    <row r="718" spans="75:86" s="428" customFormat="1" x14ac:dyDescent="0.2">
      <c r="BW718" s="439"/>
      <c r="BX718" s="439"/>
      <c r="BY718" s="439"/>
      <c r="BZ718" s="439"/>
      <c r="CA718" s="439"/>
      <c r="CB718" s="439"/>
      <c r="CC718" s="439"/>
      <c r="CD718" s="439"/>
      <c r="CE718" s="440"/>
      <c r="CF718" s="420"/>
      <c r="CG718" s="420"/>
      <c r="CH718" s="420"/>
    </row>
    <row r="719" spans="75:86" s="428" customFormat="1" x14ac:dyDescent="0.2">
      <c r="BW719" s="439"/>
      <c r="BX719" s="439"/>
      <c r="BY719" s="439"/>
      <c r="BZ719" s="439"/>
      <c r="CA719" s="439"/>
      <c r="CB719" s="439"/>
      <c r="CC719" s="439"/>
      <c r="CD719" s="439"/>
      <c r="CE719" s="440"/>
      <c r="CF719" s="420"/>
      <c r="CG719" s="420"/>
      <c r="CH719" s="420"/>
    </row>
    <row r="720" spans="75:86" s="428" customFormat="1" x14ac:dyDescent="0.2">
      <c r="BW720" s="439"/>
      <c r="BX720" s="439"/>
      <c r="BY720" s="439"/>
      <c r="BZ720" s="439"/>
      <c r="CA720" s="439"/>
      <c r="CB720" s="439"/>
      <c r="CC720" s="439"/>
      <c r="CD720" s="439"/>
      <c r="CE720" s="440"/>
      <c r="CF720" s="420"/>
      <c r="CG720" s="420"/>
      <c r="CH720" s="420"/>
    </row>
    <row r="721" spans="75:86" s="428" customFormat="1" x14ac:dyDescent="0.2">
      <c r="BW721" s="439"/>
      <c r="BX721" s="439"/>
      <c r="BY721" s="439"/>
      <c r="BZ721" s="439"/>
      <c r="CA721" s="439"/>
      <c r="CB721" s="439"/>
      <c r="CC721" s="439"/>
      <c r="CD721" s="439"/>
      <c r="CE721" s="440"/>
      <c r="CF721" s="420"/>
      <c r="CG721" s="420"/>
      <c r="CH721" s="420"/>
    </row>
    <row r="722" spans="75:86" s="428" customFormat="1" x14ac:dyDescent="0.2">
      <c r="BW722" s="439"/>
      <c r="BX722" s="439"/>
      <c r="BY722" s="439"/>
      <c r="BZ722" s="439"/>
      <c r="CA722" s="439"/>
      <c r="CB722" s="439"/>
      <c r="CC722" s="439"/>
      <c r="CD722" s="439"/>
      <c r="CE722" s="440"/>
      <c r="CF722" s="420"/>
      <c r="CG722" s="420"/>
      <c r="CH722" s="420"/>
    </row>
    <row r="723" spans="75:86" s="428" customFormat="1" x14ac:dyDescent="0.2">
      <c r="BW723" s="439"/>
      <c r="BX723" s="439"/>
      <c r="BY723" s="439"/>
      <c r="BZ723" s="439"/>
      <c r="CA723" s="439"/>
      <c r="CB723" s="439"/>
      <c r="CC723" s="439"/>
      <c r="CD723" s="439"/>
      <c r="CE723" s="440"/>
      <c r="CF723" s="420"/>
      <c r="CG723" s="420"/>
      <c r="CH723" s="420"/>
    </row>
    <row r="724" spans="75:86" s="428" customFormat="1" x14ac:dyDescent="0.2">
      <c r="BW724" s="439"/>
      <c r="BX724" s="439"/>
      <c r="BY724" s="439"/>
      <c r="BZ724" s="439"/>
      <c r="CA724" s="439"/>
      <c r="CB724" s="439"/>
      <c r="CC724" s="439"/>
      <c r="CD724" s="439"/>
      <c r="CE724" s="440"/>
      <c r="CF724" s="420"/>
      <c r="CG724" s="420"/>
      <c r="CH724" s="420"/>
    </row>
    <row r="725" spans="75:86" s="428" customFormat="1" x14ac:dyDescent="0.2">
      <c r="BW725" s="439"/>
      <c r="BX725" s="439"/>
      <c r="BY725" s="439"/>
      <c r="BZ725" s="439"/>
      <c r="CA725" s="439"/>
      <c r="CB725" s="439"/>
      <c r="CC725" s="439"/>
      <c r="CD725" s="439"/>
      <c r="CE725" s="440"/>
      <c r="CF725" s="420"/>
      <c r="CG725" s="420"/>
      <c r="CH725" s="420"/>
    </row>
    <row r="726" spans="75:86" s="428" customFormat="1" x14ac:dyDescent="0.2">
      <c r="BW726" s="439"/>
      <c r="BX726" s="439"/>
      <c r="BY726" s="439"/>
      <c r="BZ726" s="439"/>
      <c r="CA726" s="439"/>
      <c r="CB726" s="439"/>
      <c r="CC726" s="439"/>
      <c r="CD726" s="439"/>
      <c r="CE726" s="440"/>
      <c r="CF726" s="420"/>
      <c r="CG726" s="420"/>
      <c r="CH726" s="420"/>
    </row>
    <row r="727" spans="75:86" s="428" customFormat="1" x14ac:dyDescent="0.2">
      <c r="BW727" s="439"/>
      <c r="BX727" s="439"/>
      <c r="BY727" s="439"/>
      <c r="BZ727" s="439"/>
      <c r="CA727" s="439"/>
      <c r="CB727" s="439"/>
      <c r="CC727" s="439"/>
      <c r="CD727" s="439"/>
      <c r="CE727" s="440"/>
      <c r="CF727" s="420"/>
      <c r="CG727" s="420"/>
      <c r="CH727" s="420"/>
    </row>
    <row r="728" spans="75:86" s="428" customFormat="1" x14ac:dyDescent="0.2">
      <c r="BW728" s="439"/>
      <c r="BX728" s="439"/>
      <c r="BY728" s="439"/>
      <c r="BZ728" s="439"/>
      <c r="CA728" s="439"/>
      <c r="CB728" s="439"/>
      <c r="CC728" s="439"/>
      <c r="CD728" s="439"/>
      <c r="CE728" s="440"/>
      <c r="CF728" s="420"/>
      <c r="CG728" s="420"/>
      <c r="CH728" s="420"/>
    </row>
    <row r="729" spans="75:86" s="428" customFormat="1" x14ac:dyDescent="0.2">
      <c r="BW729" s="439"/>
      <c r="BX729" s="439"/>
      <c r="BY729" s="439"/>
      <c r="BZ729" s="439"/>
      <c r="CA729" s="439"/>
      <c r="CB729" s="439"/>
      <c r="CC729" s="439"/>
      <c r="CD729" s="439"/>
      <c r="CE729" s="440"/>
      <c r="CF729" s="420"/>
      <c r="CG729" s="420"/>
      <c r="CH729" s="420"/>
    </row>
    <row r="730" spans="75:86" s="428" customFormat="1" x14ac:dyDescent="0.2">
      <c r="BW730" s="439"/>
      <c r="BX730" s="439"/>
      <c r="BY730" s="439"/>
      <c r="BZ730" s="439"/>
      <c r="CA730" s="439"/>
      <c r="CB730" s="439"/>
      <c r="CC730" s="439"/>
      <c r="CD730" s="439"/>
      <c r="CE730" s="440"/>
      <c r="CF730" s="420"/>
      <c r="CG730" s="420"/>
      <c r="CH730" s="420"/>
    </row>
    <row r="731" spans="75:86" s="428" customFormat="1" x14ac:dyDescent="0.2">
      <c r="BW731" s="439"/>
      <c r="BX731" s="439"/>
      <c r="BY731" s="439"/>
      <c r="BZ731" s="439"/>
      <c r="CA731" s="439"/>
      <c r="CB731" s="439"/>
      <c r="CC731" s="439"/>
      <c r="CD731" s="439"/>
      <c r="CE731" s="440"/>
      <c r="CF731" s="420"/>
      <c r="CG731" s="420"/>
      <c r="CH731" s="420"/>
    </row>
    <row r="732" spans="75:86" s="428" customFormat="1" x14ac:dyDescent="0.2">
      <c r="BW732" s="439"/>
      <c r="BX732" s="439"/>
      <c r="BY732" s="439"/>
      <c r="BZ732" s="439"/>
      <c r="CA732" s="439"/>
      <c r="CB732" s="439"/>
      <c r="CC732" s="439"/>
      <c r="CD732" s="439"/>
      <c r="CE732" s="440"/>
      <c r="CF732" s="420"/>
      <c r="CG732" s="420"/>
      <c r="CH732" s="420"/>
    </row>
    <row r="733" spans="75:86" s="428" customFormat="1" x14ac:dyDescent="0.2">
      <c r="BW733" s="439"/>
      <c r="BX733" s="439"/>
      <c r="BY733" s="439"/>
      <c r="BZ733" s="439"/>
      <c r="CA733" s="439"/>
      <c r="CB733" s="439"/>
      <c r="CC733" s="439"/>
      <c r="CD733" s="439"/>
      <c r="CE733" s="440"/>
      <c r="CF733" s="420"/>
      <c r="CG733" s="420"/>
      <c r="CH733" s="420"/>
    </row>
    <row r="734" spans="75:86" s="428" customFormat="1" x14ac:dyDescent="0.2">
      <c r="BW734" s="439"/>
      <c r="BX734" s="439"/>
      <c r="BY734" s="439"/>
      <c r="BZ734" s="439"/>
      <c r="CA734" s="439"/>
      <c r="CB734" s="439"/>
      <c r="CC734" s="439"/>
      <c r="CD734" s="439"/>
      <c r="CE734" s="440"/>
      <c r="CF734" s="420"/>
      <c r="CG734" s="420"/>
      <c r="CH734" s="420"/>
    </row>
    <row r="735" spans="75:86" s="428" customFormat="1" x14ac:dyDescent="0.2">
      <c r="BW735" s="439"/>
      <c r="BX735" s="439"/>
      <c r="BY735" s="439"/>
      <c r="BZ735" s="439"/>
      <c r="CA735" s="439"/>
      <c r="CB735" s="439"/>
      <c r="CC735" s="439"/>
      <c r="CD735" s="439"/>
      <c r="CE735" s="440"/>
      <c r="CF735" s="420"/>
      <c r="CG735" s="420"/>
      <c r="CH735" s="420"/>
    </row>
    <row r="736" spans="75:86" s="428" customFormat="1" x14ac:dyDescent="0.2">
      <c r="BW736" s="439"/>
      <c r="BX736" s="439"/>
      <c r="BY736" s="439"/>
      <c r="BZ736" s="439"/>
      <c r="CA736" s="439"/>
      <c r="CB736" s="439"/>
      <c r="CC736" s="439"/>
      <c r="CD736" s="439"/>
      <c r="CE736" s="440"/>
      <c r="CF736" s="420"/>
      <c r="CG736" s="420"/>
      <c r="CH736" s="420"/>
    </row>
    <row r="737" spans="75:86" s="428" customFormat="1" x14ac:dyDescent="0.2">
      <c r="BW737" s="439"/>
      <c r="BX737" s="439"/>
      <c r="BY737" s="439"/>
      <c r="BZ737" s="439"/>
      <c r="CA737" s="439"/>
      <c r="CB737" s="439"/>
      <c r="CC737" s="439"/>
      <c r="CD737" s="439"/>
      <c r="CE737" s="440"/>
      <c r="CF737" s="420"/>
      <c r="CG737" s="420"/>
      <c r="CH737" s="420"/>
    </row>
    <row r="738" spans="75:86" s="428" customFormat="1" x14ac:dyDescent="0.2">
      <c r="BW738" s="439"/>
      <c r="BX738" s="439"/>
      <c r="BY738" s="439"/>
      <c r="BZ738" s="439"/>
      <c r="CA738" s="439"/>
      <c r="CB738" s="439"/>
      <c r="CC738" s="439"/>
      <c r="CD738" s="439"/>
      <c r="CE738" s="440"/>
      <c r="CF738" s="420"/>
      <c r="CG738" s="420"/>
      <c r="CH738" s="420"/>
    </row>
    <row r="739" spans="75:86" s="428" customFormat="1" x14ac:dyDescent="0.2">
      <c r="BW739" s="439"/>
      <c r="BX739" s="439"/>
      <c r="BY739" s="439"/>
      <c r="BZ739" s="439"/>
      <c r="CA739" s="439"/>
      <c r="CB739" s="439"/>
      <c r="CC739" s="439"/>
      <c r="CD739" s="439"/>
      <c r="CE739" s="440"/>
      <c r="CF739" s="420"/>
      <c r="CG739" s="420"/>
      <c r="CH739" s="420"/>
    </row>
    <row r="740" spans="75:86" s="428" customFormat="1" x14ac:dyDescent="0.2">
      <c r="BW740" s="439"/>
      <c r="BX740" s="439"/>
      <c r="BY740" s="439"/>
      <c r="BZ740" s="439"/>
      <c r="CA740" s="439"/>
      <c r="CB740" s="439"/>
      <c r="CC740" s="439"/>
      <c r="CD740" s="439"/>
      <c r="CE740" s="440"/>
      <c r="CF740" s="420"/>
      <c r="CG740" s="420"/>
      <c r="CH740" s="420"/>
    </row>
    <row r="741" spans="75:86" s="428" customFormat="1" x14ac:dyDescent="0.2">
      <c r="BW741" s="439"/>
      <c r="BX741" s="439"/>
      <c r="BY741" s="439"/>
      <c r="BZ741" s="439"/>
      <c r="CA741" s="439"/>
      <c r="CB741" s="439"/>
      <c r="CC741" s="439"/>
      <c r="CD741" s="439"/>
      <c r="CE741" s="440"/>
      <c r="CF741" s="420"/>
      <c r="CG741" s="420"/>
      <c r="CH741" s="420"/>
    </row>
    <row r="742" spans="75:86" s="428" customFormat="1" x14ac:dyDescent="0.2">
      <c r="BW742" s="439"/>
      <c r="BX742" s="439"/>
      <c r="BY742" s="439"/>
      <c r="BZ742" s="439"/>
      <c r="CA742" s="439"/>
      <c r="CB742" s="439"/>
      <c r="CC742" s="439"/>
      <c r="CD742" s="439"/>
      <c r="CE742" s="440"/>
      <c r="CF742" s="420"/>
      <c r="CG742" s="420"/>
      <c r="CH742" s="420"/>
    </row>
    <row r="743" spans="75:86" s="428" customFormat="1" x14ac:dyDescent="0.2">
      <c r="BW743" s="439"/>
      <c r="BX743" s="439"/>
      <c r="BY743" s="439"/>
      <c r="BZ743" s="439"/>
      <c r="CA743" s="439"/>
      <c r="CB743" s="439"/>
      <c r="CC743" s="439"/>
      <c r="CD743" s="439"/>
      <c r="CE743" s="440"/>
      <c r="CF743" s="420"/>
      <c r="CG743" s="420"/>
      <c r="CH743" s="420"/>
    </row>
    <row r="744" spans="75:86" s="428" customFormat="1" x14ac:dyDescent="0.2">
      <c r="BW744" s="439"/>
      <c r="BX744" s="439"/>
      <c r="BY744" s="439"/>
      <c r="BZ744" s="439"/>
      <c r="CA744" s="439"/>
      <c r="CB744" s="439"/>
      <c r="CC744" s="439"/>
      <c r="CD744" s="439"/>
      <c r="CE744" s="440"/>
      <c r="CF744" s="420"/>
      <c r="CG744" s="420"/>
      <c r="CH744" s="420"/>
    </row>
    <row r="745" spans="75:86" s="428" customFormat="1" x14ac:dyDescent="0.2">
      <c r="BW745" s="439"/>
      <c r="BX745" s="439"/>
      <c r="BY745" s="439"/>
      <c r="BZ745" s="439"/>
      <c r="CA745" s="439"/>
      <c r="CB745" s="439"/>
      <c r="CC745" s="439"/>
      <c r="CD745" s="439"/>
      <c r="CE745" s="440"/>
      <c r="CF745" s="420"/>
      <c r="CG745" s="420"/>
      <c r="CH745" s="420"/>
    </row>
    <row r="746" spans="75:86" s="428" customFormat="1" x14ac:dyDescent="0.2">
      <c r="BW746" s="439"/>
      <c r="BX746" s="439"/>
      <c r="BY746" s="439"/>
      <c r="BZ746" s="439"/>
      <c r="CA746" s="439"/>
      <c r="CB746" s="439"/>
      <c r="CC746" s="439"/>
      <c r="CD746" s="439"/>
      <c r="CE746" s="440"/>
      <c r="CF746" s="420"/>
      <c r="CG746" s="420"/>
      <c r="CH746" s="420"/>
    </row>
    <row r="747" spans="75:86" s="428" customFormat="1" x14ac:dyDescent="0.2">
      <c r="BW747" s="439"/>
      <c r="BX747" s="439"/>
      <c r="BY747" s="439"/>
      <c r="BZ747" s="439"/>
      <c r="CA747" s="439"/>
      <c r="CB747" s="439"/>
      <c r="CC747" s="439"/>
      <c r="CD747" s="439"/>
      <c r="CE747" s="440"/>
      <c r="CF747" s="420"/>
      <c r="CG747" s="420"/>
      <c r="CH747" s="420"/>
    </row>
    <row r="748" spans="75:86" s="428" customFormat="1" x14ac:dyDescent="0.2">
      <c r="BW748" s="439"/>
      <c r="BX748" s="439"/>
      <c r="BY748" s="439"/>
      <c r="BZ748" s="439"/>
      <c r="CA748" s="439"/>
      <c r="CB748" s="439"/>
      <c r="CC748" s="439"/>
      <c r="CD748" s="439"/>
      <c r="CE748" s="440"/>
      <c r="CF748" s="420"/>
      <c r="CG748" s="420"/>
      <c r="CH748" s="420"/>
    </row>
    <row r="749" spans="75:86" s="428" customFormat="1" x14ac:dyDescent="0.2">
      <c r="BW749" s="439"/>
      <c r="BX749" s="439"/>
      <c r="BY749" s="439"/>
      <c r="BZ749" s="439"/>
      <c r="CA749" s="439"/>
      <c r="CB749" s="439"/>
      <c r="CC749" s="439"/>
      <c r="CD749" s="439"/>
      <c r="CE749" s="440"/>
      <c r="CF749" s="420"/>
      <c r="CG749" s="420"/>
      <c r="CH749" s="420"/>
    </row>
    <row r="750" spans="75:86" s="428" customFormat="1" x14ac:dyDescent="0.2">
      <c r="BW750" s="439"/>
      <c r="BX750" s="439"/>
      <c r="BY750" s="439"/>
      <c r="BZ750" s="439"/>
      <c r="CA750" s="439"/>
      <c r="CB750" s="439"/>
      <c r="CC750" s="439"/>
      <c r="CD750" s="439"/>
      <c r="CE750" s="440"/>
      <c r="CF750" s="420"/>
      <c r="CG750" s="420"/>
      <c r="CH750" s="420"/>
    </row>
    <row r="751" spans="75:86" s="428" customFormat="1" x14ac:dyDescent="0.2">
      <c r="BW751" s="439"/>
      <c r="BX751" s="439"/>
      <c r="BY751" s="439"/>
      <c r="BZ751" s="439"/>
      <c r="CA751" s="439"/>
      <c r="CB751" s="439"/>
      <c r="CC751" s="439"/>
      <c r="CD751" s="439"/>
      <c r="CE751" s="440"/>
      <c r="CF751" s="420"/>
      <c r="CG751" s="420"/>
      <c r="CH751" s="420"/>
    </row>
    <row r="752" spans="75:86" s="428" customFormat="1" x14ac:dyDescent="0.2">
      <c r="BW752" s="439"/>
      <c r="BX752" s="439"/>
      <c r="BY752" s="439"/>
      <c r="BZ752" s="439"/>
      <c r="CA752" s="439"/>
      <c r="CB752" s="439"/>
      <c r="CC752" s="439"/>
      <c r="CD752" s="439"/>
      <c r="CE752" s="440"/>
      <c r="CF752" s="420"/>
      <c r="CG752" s="420"/>
      <c r="CH752" s="420"/>
    </row>
    <row r="753" spans="75:86" s="428" customFormat="1" x14ac:dyDescent="0.2">
      <c r="BW753" s="439"/>
      <c r="BX753" s="439"/>
      <c r="BY753" s="439"/>
      <c r="BZ753" s="439"/>
      <c r="CA753" s="439"/>
      <c r="CB753" s="439"/>
      <c r="CC753" s="439"/>
      <c r="CD753" s="439"/>
      <c r="CE753" s="440"/>
      <c r="CF753" s="420"/>
      <c r="CG753" s="420"/>
      <c r="CH753" s="420"/>
    </row>
    <row r="754" spans="75:86" s="428" customFormat="1" x14ac:dyDescent="0.2">
      <c r="BW754" s="439"/>
      <c r="BX754" s="439"/>
      <c r="BY754" s="439"/>
      <c r="BZ754" s="439"/>
      <c r="CA754" s="439"/>
      <c r="CB754" s="439"/>
      <c r="CC754" s="439"/>
      <c r="CD754" s="439"/>
      <c r="CE754" s="440"/>
      <c r="CF754" s="420"/>
      <c r="CG754" s="420"/>
      <c r="CH754" s="420"/>
    </row>
    <row r="755" spans="75:86" s="428" customFormat="1" x14ac:dyDescent="0.2">
      <c r="BW755" s="439"/>
      <c r="BX755" s="439"/>
      <c r="BY755" s="439"/>
      <c r="BZ755" s="439"/>
      <c r="CA755" s="439"/>
      <c r="CB755" s="439"/>
      <c r="CC755" s="439"/>
      <c r="CD755" s="439"/>
      <c r="CE755" s="440"/>
      <c r="CF755" s="420"/>
      <c r="CG755" s="420"/>
      <c r="CH755" s="420"/>
    </row>
    <row r="756" spans="75:86" s="428" customFormat="1" x14ac:dyDescent="0.2">
      <c r="BW756" s="439"/>
      <c r="BX756" s="439"/>
      <c r="BY756" s="439"/>
      <c r="BZ756" s="439"/>
      <c r="CA756" s="439"/>
      <c r="CB756" s="439"/>
      <c r="CC756" s="439"/>
      <c r="CD756" s="439"/>
      <c r="CE756" s="440"/>
      <c r="CF756" s="420"/>
      <c r="CG756" s="420"/>
      <c r="CH756" s="420"/>
    </row>
    <row r="757" spans="75:86" s="428" customFormat="1" x14ac:dyDescent="0.2">
      <c r="BW757" s="439"/>
      <c r="BX757" s="439"/>
      <c r="BY757" s="439"/>
      <c r="BZ757" s="439"/>
      <c r="CA757" s="439"/>
      <c r="CB757" s="439"/>
      <c r="CC757" s="439"/>
      <c r="CD757" s="439"/>
      <c r="CE757" s="440"/>
      <c r="CF757" s="420"/>
      <c r="CG757" s="420"/>
      <c r="CH757" s="420"/>
    </row>
    <row r="758" spans="75:86" s="428" customFormat="1" x14ac:dyDescent="0.2">
      <c r="BW758" s="439"/>
      <c r="BX758" s="439"/>
      <c r="BY758" s="439"/>
      <c r="BZ758" s="439"/>
      <c r="CA758" s="439"/>
      <c r="CB758" s="439"/>
      <c r="CC758" s="439"/>
      <c r="CD758" s="439"/>
      <c r="CE758" s="440"/>
      <c r="CF758" s="420"/>
      <c r="CG758" s="420"/>
      <c r="CH758" s="420"/>
    </row>
    <row r="759" spans="75:86" s="428" customFormat="1" x14ac:dyDescent="0.2">
      <c r="BW759" s="439"/>
      <c r="BX759" s="439"/>
      <c r="BY759" s="439"/>
      <c r="BZ759" s="439"/>
      <c r="CA759" s="439"/>
      <c r="CB759" s="439"/>
      <c r="CC759" s="439"/>
      <c r="CD759" s="439"/>
      <c r="CE759" s="440"/>
      <c r="CF759" s="420"/>
      <c r="CG759" s="420"/>
      <c r="CH759" s="420"/>
    </row>
    <row r="760" spans="75:86" s="428" customFormat="1" x14ac:dyDescent="0.2">
      <c r="BW760" s="439"/>
      <c r="BX760" s="439"/>
      <c r="BY760" s="439"/>
      <c r="BZ760" s="439"/>
      <c r="CA760" s="439"/>
      <c r="CB760" s="439"/>
      <c r="CC760" s="439"/>
      <c r="CD760" s="439"/>
      <c r="CE760" s="440"/>
      <c r="CF760" s="420"/>
      <c r="CG760" s="420"/>
      <c r="CH760" s="420"/>
    </row>
    <row r="761" spans="75:86" s="428" customFormat="1" x14ac:dyDescent="0.2">
      <c r="BW761" s="439"/>
      <c r="BX761" s="439"/>
      <c r="BY761" s="439"/>
      <c r="BZ761" s="439"/>
      <c r="CA761" s="439"/>
      <c r="CB761" s="439"/>
      <c r="CC761" s="439"/>
      <c r="CD761" s="439"/>
      <c r="CE761" s="440"/>
      <c r="CF761" s="420"/>
      <c r="CG761" s="420"/>
      <c r="CH761" s="420"/>
    </row>
    <row r="762" spans="75:86" s="428" customFormat="1" x14ac:dyDescent="0.2">
      <c r="BW762" s="439"/>
      <c r="BX762" s="439"/>
      <c r="BY762" s="439"/>
      <c r="BZ762" s="439"/>
      <c r="CA762" s="439"/>
      <c r="CB762" s="439"/>
      <c r="CC762" s="439"/>
      <c r="CD762" s="439"/>
      <c r="CE762" s="440"/>
      <c r="CF762" s="420"/>
      <c r="CG762" s="420"/>
      <c r="CH762" s="420"/>
    </row>
    <row r="763" spans="75:86" s="428" customFormat="1" x14ac:dyDescent="0.2">
      <c r="BW763" s="439"/>
      <c r="BX763" s="439"/>
      <c r="BY763" s="439"/>
      <c r="BZ763" s="439"/>
      <c r="CA763" s="439"/>
      <c r="CB763" s="439"/>
      <c r="CC763" s="439"/>
      <c r="CD763" s="439"/>
      <c r="CE763" s="440"/>
      <c r="CF763" s="420"/>
      <c r="CG763" s="420"/>
      <c r="CH763" s="420"/>
    </row>
    <row r="764" spans="75:86" s="428" customFormat="1" x14ac:dyDescent="0.2">
      <c r="BW764" s="439"/>
      <c r="BX764" s="439"/>
      <c r="BY764" s="439"/>
      <c r="BZ764" s="439"/>
      <c r="CA764" s="439"/>
      <c r="CB764" s="439"/>
      <c r="CC764" s="439"/>
      <c r="CD764" s="439"/>
      <c r="CE764" s="440"/>
      <c r="CF764" s="420"/>
      <c r="CG764" s="420"/>
      <c r="CH764" s="420"/>
    </row>
    <row r="765" spans="75:86" s="428" customFormat="1" x14ac:dyDescent="0.2">
      <c r="BW765" s="439"/>
      <c r="BX765" s="439"/>
      <c r="BY765" s="439"/>
      <c r="BZ765" s="439"/>
      <c r="CA765" s="439"/>
      <c r="CB765" s="439"/>
      <c r="CC765" s="439"/>
      <c r="CD765" s="439"/>
      <c r="CE765" s="440"/>
      <c r="CF765" s="420"/>
      <c r="CG765" s="420"/>
      <c r="CH765" s="420"/>
    </row>
    <row r="766" spans="75:86" s="428" customFormat="1" x14ac:dyDescent="0.2">
      <c r="BW766" s="439"/>
      <c r="BX766" s="439"/>
      <c r="BY766" s="439"/>
      <c r="BZ766" s="439"/>
      <c r="CA766" s="439"/>
      <c r="CB766" s="439"/>
      <c r="CC766" s="439"/>
      <c r="CD766" s="439"/>
      <c r="CE766" s="440"/>
      <c r="CF766" s="420"/>
      <c r="CG766" s="420"/>
      <c r="CH766" s="420"/>
    </row>
    <row r="767" spans="75:86" s="428" customFormat="1" x14ac:dyDescent="0.2">
      <c r="BW767" s="439"/>
      <c r="BX767" s="439"/>
      <c r="BY767" s="439"/>
      <c r="BZ767" s="439"/>
      <c r="CA767" s="439"/>
      <c r="CB767" s="439"/>
      <c r="CC767" s="439"/>
      <c r="CD767" s="439"/>
      <c r="CE767" s="440"/>
      <c r="CF767" s="420"/>
      <c r="CG767" s="420"/>
      <c r="CH767" s="420"/>
    </row>
    <row r="768" spans="75:86" s="428" customFormat="1" x14ac:dyDescent="0.2">
      <c r="BW768" s="439"/>
      <c r="BX768" s="439"/>
      <c r="BY768" s="439"/>
      <c r="BZ768" s="439"/>
      <c r="CA768" s="439"/>
      <c r="CB768" s="439"/>
      <c r="CC768" s="439"/>
      <c r="CD768" s="439"/>
      <c r="CE768" s="440"/>
      <c r="CF768" s="420"/>
      <c r="CG768" s="420"/>
      <c r="CH768" s="420"/>
    </row>
    <row r="769" spans="75:86" s="428" customFormat="1" x14ac:dyDescent="0.2">
      <c r="BW769" s="439"/>
      <c r="BX769" s="439"/>
      <c r="BY769" s="439"/>
      <c r="BZ769" s="439"/>
      <c r="CA769" s="439"/>
      <c r="CB769" s="439"/>
      <c r="CC769" s="439"/>
      <c r="CD769" s="439"/>
      <c r="CE769" s="440"/>
      <c r="CF769" s="420"/>
      <c r="CG769" s="420"/>
      <c r="CH769" s="420"/>
    </row>
    <row r="770" spans="75:86" s="428" customFormat="1" x14ac:dyDescent="0.2">
      <c r="BW770" s="439"/>
      <c r="BX770" s="439"/>
      <c r="BY770" s="439"/>
      <c r="BZ770" s="439"/>
      <c r="CA770" s="439"/>
      <c r="CB770" s="439"/>
      <c r="CC770" s="439"/>
      <c r="CD770" s="439"/>
      <c r="CE770" s="440"/>
      <c r="CF770" s="420"/>
      <c r="CG770" s="420"/>
      <c r="CH770" s="420"/>
    </row>
    <row r="771" spans="75:86" s="428" customFormat="1" x14ac:dyDescent="0.2">
      <c r="BW771" s="439"/>
      <c r="BX771" s="439"/>
      <c r="BY771" s="439"/>
      <c r="BZ771" s="439"/>
      <c r="CA771" s="439"/>
      <c r="CB771" s="439"/>
      <c r="CC771" s="439"/>
      <c r="CD771" s="439"/>
      <c r="CE771" s="440"/>
      <c r="CF771" s="420"/>
      <c r="CG771" s="420"/>
      <c r="CH771" s="420"/>
    </row>
    <row r="772" spans="75:86" s="428" customFormat="1" x14ac:dyDescent="0.2">
      <c r="BW772" s="439"/>
      <c r="BX772" s="439"/>
      <c r="BY772" s="439"/>
      <c r="BZ772" s="439"/>
      <c r="CA772" s="439"/>
      <c r="CB772" s="439"/>
      <c r="CC772" s="439"/>
      <c r="CD772" s="439"/>
      <c r="CE772" s="440"/>
      <c r="CF772" s="420"/>
      <c r="CG772" s="420"/>
      <c r="CH772" s="420"/>
    </row>
    <row r="773" spans="75:86" s="428" customFormat="1" x14ac:dyDescent="0.2">
      <c r="BW773" s="439"/>
      <c r="BX773" s="439"/>
      <c r="BY773" s="439"/>
      <c r="BZ773" s="439"/>
      <c r="CA773" s="439"/>
      <c r="CB773" s="439"/>
      <c r="CC773" s="439"/>
      <c r="CD773" s="439"/>
      <c r="CE773" s="440"/>
      <c r="CF773" s="420"/>
      <c r="CG773" s="420"/>
      <c r="CH773" s="420"/>
    </row>
    <row r="774" spans="75:86" s="428" customFormat="1" x14ac:dyDescent="0.2">
      <c r="BW774" s="439"/>
      <c r="BX774" s="439"/>
      <c r="BY774" s="439"/>
      <c r="BZ774" s="439"/>
      <c r="CA774" s="439"/>
      <c r="CB774" s="439"/>
      <c r="CC774" s="439"/>
      <c r="CD774" s="439"/>
      <c r="CE774" s="440"/>
      <c r="CF774" s="420"/>
      <c r="CG774" s="420"/>
      <c r="CH774" s="420"/>
    </row>
    <row r="775" spans="75:86" s="428" customFormat="1" x14ac:dyDescent="0.2">
      <c r="BW775" s="439"/>
      <c r="BX775" s="439"/>
      <c r="BY775" s="439"/>
      <c r="BZ775" s="439"/>
      <c r="CA775" s="439"/>
      <c r="CB775" s="439"/>
      <c r="CC775" s="439"/>
      <c r="CD775" s="439"/>
      <c r="CE775" s="440"/>
      <c r="CF775" s="420"/>
      <c r="CG775" s="420"/>
      <c r="CH775" s="420"/>
    </row>
    <row r="776" spans="75:86" s="428" customFormat="1" x14ac:dyDescent="0.2">
      <c r="BW776" s="439"/>
      <c r="BX776" s="439"/>
      <c r="BY776" s="439"/>
      <c r="BZ776" s="439"/>
      <c r="CA776" s="439"/>
      <c r="CB776" s="439"/>
      <c r="CC776" s="439"/>
      <c r="CD776" s="439"/>
      <c r="CE776" s="440"/>
      <c r="CF776" s="420"/>
      <c r="CG776" s="420"/>
      <c r="CH776" s="420"/>
    </row>
    <row r="777" spans="75:86" s="428" customFormat="1" x14ac:dyDescent="0.2">
      <c r="BW777" s="439"/>
      <c r="BX777" s="439"/>
      <c r="BY777" s="439"/>
      <c r="BZ777" s="439"/>
      <c r="CA777" s="439"/>
      <c r="CB777" s="439"/>
      <c r="CC777" s="439"/>
      <c r="CD777" s="439"/>
      <c r="CE777" s="440"/>
      <c r="CF777" s="420"/>
      <c r="CG777" s="420"/>
      <c r="CH777" s="420"/>
    </row>
    <row r="778" spans="75:86" s="428" customFormat="1" x14ac:dyDescent="0.2">
      <c r="BW778" s="439"/>
      <c r="BX778" s="439"/>
      <c r="BY778" s="439"/>
      <c r="BZ778" s="439"/>
      <c r="CA778" s="439"/>
      <c r="CB778" s="439"/>
      <c r="CC778" s="439"/>
      <c r="CD778" s="439"/>
      <c r="CE778" s="440"/>
      <c r="CF778" s="420"/>
      <c r="CG778" s="420"/>
      <c r="CH778" s="420"/>
    </row>
    <row r="779" spans="75:86" s="428" customFormat="1" x14ac:dyDescent="0.2">
      <c r="BW779" s="439"/>
      <c r="BX779" s="439"/>
      <c r="BY779" s="439"/>
      <c r="BZ779" s="439"/>
      <c r="CA779" s="439"/>
      <c r="CB779" s="439"/>
      <c r="CC779" s="439"/>
      <c r="CD779" s="439"/>
      <c r="CE779" s="440"/>
      <c r="CF779" s="420"/>
      <c r="CG779" s="420"/>
      <c r="CH779" s="420"/>
    </row>
    <row r="780" spans="75:86" s="428" customFormat="1" x14ac:dyDescent="0.2">
      <c r="BW780" s="439"/>
      <c r="BX780" s="439"/>
      <c r="BY780" s="439"/>
      <c r="BZ780" s="439"/>
      <c r="CA780" s="439"/>
      <c r="CB780" s="439"/>
      <c r="CC780" s="439"/>
      <c r="CD780" s="439"/>
      <c r="CE780" s="440"/>
      <c r="CF780" s="420"/>
      <c r="CG780" s="420"/>
      <c r="CH780" s="420"/>
    </row>
    <row r="781" spans="75:86" s="428" customFormat="1" x14ac:dyDescent="0.2">
      <c r="BW781" s="439"/>
      <c r="BX781" s="439"/>
      <c r="BY781" s="439"/>
      <c r="BZ781" s="439"/>
      <c r="CA781" s="439"/>
      <c r="CB781" s="439"/>
      <c r="CC781" s="439"/>
      <c r="CD781" s="439"/>
      <c r="CE781" s="440"/>
      <c r="CF781" s="420"/>
      <c r="CG781" s="420"/>
      <c r="CH781" s="420"/>
    </row>
    <row r="782" spans="75:86" s="428" customFormat="1" x14ac:dyDescent="0.2">
      <c r="BW782" s="439"/>
      <c r="BX782" s="439"/>
      <c r="BY782" s="439"/>
      <c r="BZ782" s="439"/>
      <c r="CA782" s="439"/>
      <c r="CB782" s="439"/>
      <c r="CC782" s="439"/>
      <c r="CD782" s="439"/>
      <c r="CE782" s="440"/>
      <c r="CF782" s="420"/>
      <c r="CG782" s="420"/>
      <c r="CH782" s="420"/>
    </row>
    <row r="783" spans="75:86" s="428" customFormat="1" x14ac:dyDescent="0.2">
      <c r="BW783" s="439"/>
      <c r="BX783" s="439"/>
      <c r="BY783" s="439"/>
      <c r="BZ783" s="439"/>
      <c r="CA783" s="439"/>
      <c r="CB783" s="439"/>
      <c r="CC783" s="439"/>
      <c r="CD783" s="439"/>
      <c r="CE783" s="440"/>
      <c r="CF783" s="420"/>
      <c r="CG783" s="420"/>
      <c r="CH783" s="420"/>
    </row>
    <row r="784" spans="75:86" s="428" customFormat="1" x14ac:dyDescent="0.2">
      <c r="BW784" s="439"/>
      <c r="BX784" s="439"/>
      <c r="BY784" s="439"/>
      <c r="BZ784" s="439"/>
      <c r="CA784" s="439"/>
      <c r="CB784" s="439"/>
      <c r="CC784" s="439"/>
      <c r="CD784" s="439"/>
      <c r="CE784" s="440"/>
      <c r="CF784" s="420"/>
      <c r="CG784" s="420"/>
      <c r="CH784" s="420"/>
    </row>
    <row r="785" spans="75:86" s="428" customFormat="1" x14ac:dyDescent="0.2">
      <c r="BW785" s="439"/>
      <c r="BX785" s="439"/>
      <c r="BY785" s="439"/>
      <c r="BZ785" s="439"/>
      <c r="CA785" s="439"/>
      <c r="CB785" s="439"/>
      <c r="CC785" s="439"/>
      <c r="CD785" s="439"/>
      <c r="CE785" s="440"/>
      <c r="CF785" s="420"/>
      <c r="CG785" s="420"/>
      <c r="CH785" s="420"/>
    </row>
    <row r="786" spans="75:86" s="428" customFormat="1" x14ac:dyDescent="0.2">
      <c r="BW786" s="439"/>
      <c r="BX786" s="439"/>
      <c r="BY786" s="439"/>
      <c r="BZ786" s="439"/>
      <c r="CA786" s="439"/>
      <c r="CB786" s="439"/>
      <c r="CC786" s="439"/>
      <c r="CD786" s="439"/>
      <c r="CE786" s="440"/>
      <c r="CF786" s="420"/>
      <c r="CG786" s="420"/>
      <c r="CH786" s="420"/>
    </row>
    <row r="787" spans="75:86" s="428" customFormat="1" x14ac:dyDescent="0.2">
      <c r="BW787" s="439"/>
      <c r="BX787" s="439"/>
      <c r="BY787" s="439"/>
      <c r="BZ787" s="439"/>
      <c r="CA787" s="439"/>
      <c r="CB787" s="439"/>
      <c r="CC787" s="439"/>
      <c r="CD787" s="439"/>
      <c r="CE787" s="440"/>
      <c r="CF787" s="420"/>
      <c r="CG787" s="420"/>
      <c r="CH787" s="420"/>
    </row>
    <row r="788" spans="75:86" s="428" customFormat="1" x14ac:dyDescent="0.2">
      <c r="BW788" s="439"/>
      <c r="BX788" s="439"/>
      <c r="BY788" s="439"/>
      <c r="BZ788" s="439"/>
      <c r="CA788" s="439"/>
      <c r="CB788" s="439"/>
      <c r="CC788" s="439"/>
      <c r="CD788" s="439"/>
      <c r="CE788" s="440"/>
      <c r="CF788" s="420"/>
      <c r="CG788" s="420"/>
      <c r="CH788" s="420"/>
    </row>
    <row r="789" spans="75:86" s="428" customFormat="1" x14ac:dyDescent="0.2">
      <c r="BW789" s="439"/>
      <c r="BX789" s="439"/>
      <c r="BY789" s="439"/>
      <c r="BZ789" s="439"/>
      <c r="CA789" s="439"/>
      <c r="CB789" s="439"/>
      <c r="CC789" s="439"/>
      <c r="CD789" s="439"/>
      <c r="CE789" s="440"/>
      <c r="CF789" s="420"/>
      <c r="CG789" s="420"/>
      <c r="CH789" s="420"/>
    </row>
    <row r="790" spans="75:86" s="428" customFormat="1" x14ac:dyDescent="0.2">
      <c r="BW790" s="439"/>
      <c r="BX790" s="439"/>
      <c r="BY790" s="439"/>
      <c r="BZ790" s="439"/>
      <c r="CA790" s="439"/>
      <c r="CB790" s="439"/>
      <c r="CC790" s="439"/>
      <c r="CD790" s="439"/>
      <c r="CE790" s="440"/>
      <c r="CF790" s="420"/>
      <c r="CG790" s="420"/>
      <c r="CH790" s="420"/>
    </row>
    <row r="791" spans="75:86" s="428" customFormat="1" x14ac:dyDescent="0.2">
      <c r="BW791" s="439"/>
      <c r="BX791" s="439"/>
      <c r="BY791" s="439"/>
      <c r="BZ791" s="439"/>
      <c r="CA791" s="439"/>
      <c r="CB791" s="439"/>
      <c r="CC791" s="439"/>
      <c r="CD791" s="439"/>
      <c r="CE791" s="440"/>
      <c r="CF791" s="420"/>
      <c r="CG791" s="420"/>
      <c r="CH791" s="420"/>
    </row>
    <row r="792" spans="75:86" s="428" customFormat="1" x14ac:dyDescent="0.2">
      <c r="BW792" s="439"/>
      <c r="BX792" s="439"/>
      <c r="BY792" s="439"/>
      <c r="BZ792" s="439"/>
      <c r="CA792" s="439"/>
      <c r="CB792" s="439"/>
      <c r="CC792" s="439"/>
      <c r="CD792" s="439"/>
      <c r="CE792" s="440"/>
      <c r="CF792" s="420"/>
      <c r="CG792" s="420"/>
      <c r="CH792" s="420"/>
    </row>
    <row r="793" spans="75:86" s="428" customFormat="1" x14ac:dyDescent="0.2">
      <c r="BW793" s="439"/>
      <c r="BX793" s="439"/>
      <c r="BY793" s="439"/>
      <c r="BZ793" s="439"/>
      <c r="CA793" s="439"/>
      <c r="CB793" s="439"/>
      <c r="CC793" s="439"/>
      <c r="CD793" s="439"/>
      <c r="CE793" s="440"/>
      <c r="CF793" s="420"/>
      <c r="CG793" s="420"/>
      <c r="CH793" s="420"/>
    </row>
    <row r="794" spans="75:86" s="428" customFormat="1" x14ac:dyDescent="0.2">
      <c r="BW794" s="439"/>
      <c r="BX794" s="439"/>
      <c r="BY794" s="439"/>
      <c r="BZ794" s="439"/>
      <c r="CA794" s="439"/>
      <c r="CB794" s="439"/>
      <c r="CC794" s="439"/>
      <c r="CD794" s="439"/>
      <c r="CE794" s="440"/>
      <c r="CF794" s="420"/>
      <c r="CG794" s="420"/>
      <c r="CH794" s="420"/>
    </row>
    <row r="795" spans="75:86" s="428" customFormat="1" x14ac:dyDescent="0.2">
      <c r="BW795" s="439"/>
      <c r="BX795" s="439"/>
      <c r="BY795" s="439"/>
      <c r="BZ795" s="439"/>
      <c r="CA795" s="439"/>
      <c r="CB795" s="439"/>
      <c r="CC795" s="439"/>
      <c r="CD795" s="439"/>
      <c r="CE795" s="440"/>
      <c r="CF795" s="420"/>
      <c r="CG795" s="420"/>
      <c r="CH795" s="420"/>
    </row>
    <row r="796" spans="75:86" s="428" customFormat="1" x14ac:dyDescent="0.2">
      <c r="BW796" s="439"/>
      <c r="BX796" s="439"/>
      <c r="BY796" s="439"/>
      <c r="BZ796" s="439"/>
      <c r="CA796" s="439"/>
      <c r="CB796" s="439"/>
      <c r="CC796" s="439"/>
      <c r="CD796" s="439"/>
      <c r="CE796" s="440"/>
      <c r="CF796" s="420"/>
      <c r="CG796" s="420"/>
      <c r="CH796" s="420"/>
    </row>
    <row r="797" spans="75:86" s="428" customFormat="1" x14ac:dyDescent="0.2">
      <c r="BW797" s="439"/>
      <c r="BX797" s="439"/>
      <c r="BY797" s="439"/>
      <c r="BZ797" s="439"/>
      <c r="CA797" s="439"/>
      <c r="CB797" s="439"/>
      <c r="CC797" s="439"/>
      <c r="CD797" s="439"/>
      <c r="CE797" s="440"/>
      <c r="CF797" s="420"/>
      <c r="CG797" s="420"/>
      <c r="CH797" s="420"/>
    </row>
    <row r="798" spans="75:86" s="428" customFormat="1" x14ac:dyDescent="0.2">
      <c r="BW798" s="439"/>
      <c r="BX798" s="439"/>
      <c r="BY798" s="439"/>
      <c r="BZ798" s="439"/>
      <c r="CA798" s="439"/>
      <c r="CB798" s="439"/>
      <c r="CC798" s="439"/>
      <c r="CD798" s="439"/>
      <c r="CE798" s="440"/>
      <c r="CF798" s="420"/>
      <c r="CG798" s="420"/>
      <c r="CH798" s="420"/>
    </row>
    <row r="799" spans="75:86" s="428" customFormat="1" x14ac:dyDescent="0.2">
      <c r="BW799" s="439"/>
      <c r="BX799" s="439"/>
      <c r="BY799" s="439"/>
      <c r="BZ799" s="439"/>
      <c r="CA799" s="439"/>
      <c r="CB799" s="439"/>
      <c r="CC799" s="439"/>
      <c r="CD799" s="439"/>
      <c r="CE799" s="440"/>
      <c r="CF799" s="420"/>
      <c r="CG799" s="420"/>
      <c r="CH799" s="420"/>
    </row>
    <row r="800" spans="75:86" s="428" customFormat="1" x14ac:dyDescent="0.2">
      <c r="BW800" s="439"/>
      <c r="BX800" s="439"/>
      <c r="BY800" s="439"/>
      <c r="BZ800" s="439"/>
      <c r="CA800" s="439"/>
      <c r="CB800" s="439"/>
      <c r="CC800" s="439"/>
      <c r="CD800" s="439"/>
      <c r="CE800" s="440"/>
      <c r="CF800" s="420"/>
      <c r="CG800" s="420"/>
      <c r="CH800" s="420"/>
    </row>
    <row r="801" spans="75:86" s="428" customFormat="1" x14ac:dyDescent="0.2">
      <c r="BW801" s="439"/>
      <c r="BX801" s="439"/>
      <c r="BY801" s="439"/>
      <c r="BZ801" s="439"/>
      <c r="CA801" s="439"/>
      <c r="CB801" s="439"/>
      <c r="CC801" s="439"/>
      <c r="CD801" s="439"/>
      <c r="CE801" s="440"/>
      <c r="CF801" s="420"/>
      <c r="CG801" s="420"/>
      <c r="CH801" s="420"/>
    </row>
    <row r="802" spans="75:86" s="428" customFormat="1" x14ac:dyDescent="0.2">
      <c r="BW802" s="439"/>
      <c r="BX802" s="439"/>
      <c r="BY802" s="439"/>
      <c r="BZ802" s="439"/>
      <c r="CA802" s="439"/>
      <c r="CB802" s="439"/>
      <c r="CC802" s="439"/>
      <c r="CD802" s="439"/>
      <c r="CE802" s="440"/>
      <c r="CF802" s="420"/>
      <c r="CG802" s="420"/>
      <c r="CH802" s="420"/>
    </row>
    <row r="803" spans="75:86" s="428" customFormat="1" x14ac:dyDescent="0.2">
      <c r="BW803" s="439"/>
      <c r="BX803" s="439"/>
      <c r="BY803" s="439"/>
      <c r="BZ803" s="439"/>
      <c r="CA803" s="439"/>
      <c r="CB803" s="439"/>
      <c r="CC803" s="439"/>
      <c r="CD803" s="439"/>
      <c r="CE803" s="440"/>
      <c r="CF803" s="420"/>
      <c r="CG803" s="420"/>
      <c r="CH803" s="420"/>
    </row>
    <row r="804" spans="75:86" s="428" customFormat="1" x14ac:dyDescent="0.2">
      <c r="BW804" s="439"/>
      <c r="BX804" s="439"/>
      <c r="BY804" s="439"/>
      <c r="BZ804" s="439"/>
      <c r="CA804" s="439"/>
      <c r="CB804" s="439"/>
      <c r="CC804" s="439"/>
      <c r="CD804" s="439"/>
      <c r="CE804" s="440"/>
      <c r="CF804" s="420"/>
      <c r="CG804" s="420"/>
      <c r="CH804" s="420"/>
    </row>
    <row r="805" spans="75:86" s="428" customFormat="1" x14ac:dyDescent="0.2">
      <c r="BW805" s="439"/>
      <c r="BX805" s="439"/>
      <c r="BY805" s="439"/>
      <c r="BZ805" s="439"/>
      <c r="CA805" s="439"/>
      <c r="CB805" s="439"/>
      <c r="CC805" s="439"/>
      <c r="CD805" s="439"/>
      <c r="CE805" s="440"/>
      <c r="CF805" s="420"/>
      <c r="CG805" s="420"/>
      <c r="CH805" s="420"/>
    </row>
    <row r="806" spans="75:86" s="428" customFormat="1" x14ac:dyDescent="0.2">
      <c r="BW806" s="439"/>
      <c r="BX806" s="439"/>
      <c r="BY806" s="439"/>
      <c r="BZ806" s="439"/>
      <c r="CA806" s="439"/>
      <c r="CB806" s="439"/>
      <c r="CC806" s="439"/>
      <c r="CD806" s="439"/>
      <c r="CE806" s="440"/>
      <c r="CF806" s="420"/>
      <c r="CG806" s="420"/>
      <c r="CH806" s="420"/>
    </row>
    <row r="807" spans="75:86" s="428" customFormat="1" x14ac:dyDescent="0.2">
      <c r="BW807" s="439"/>
      <c r="BX807" s="439"/>
      <c r="BY807" s="439"/>
      <c r="BZ807" s="439"/>
      <c r="CA807" s="439"/>
      <c r="CB807" s="439"/>
      <c r="CC807" s="439"/>
      <c r="CD807" s="439"/>
      <c r="CE807" s="440"/>
      <c r="CF807" s="420"/>
      <c r="CG807" s="420"/>
      <c r="CH807" s="420"/>
    </row>
    <row r="808" spans="75:86" s="428" customFormat="1" x14ac:dyDescent="0.2">
      <c r="BW808" s="439"/>
      <c r="BX808" s="439"/>
      <c r="BY808" s="439"/>
      <c r="BZ808" s="439"/>
      <c r="CA808" s="439"/>
      <c r="CB808" s="439"/>
      <c r="CC808" s="439"/>
      <c r="CD808" s="439"/>
      <c r="CE808" s="440"/>
      <c r="CF808" s="420"/>
      <c r="CG808" s="420"/>
      <c r="CH808" s="420"/>
    </row>
    <row r="809" spans="75:86" s="428" customFormat="1" x14ac:dyDescent="0.2">
      <c r="BW809" s="439"/>
      <c r="BX809" s="439"/>
      <c r="BY809" s="439"/>
      <c r="BZ809" s="439"/>
      <c r="CA809" s="439"/>
      <c r="CB809" s="439"/>
      <c r="CC809" s="439"/>
      <c r="CD809" s="439"/>
      <c r="CE809" s="440"/>
      <c r="CF809" s="420"/>
      <c r="CG809" s="420"/>
      <c r="CH809" s="420"/>
    </row>
    <row r="810" spans="75:86" s="428" customFormat="1" x14ac:dyDescent="0.2">
      <c r="BW810" s="439"/>
      <c r="BX810" s="439"/>
      <c r="BY810" s="439"/>
      <c r="BZ810" s="439"/>
      <c r="CA810" s="439"/>
      <c r="CB810" s="439"/>
      <c r="CC810" s="439"/>
      <c r="CD810" s="439"/>
      <c r="CE810" s="440"/>
      <c r="CF810" s="420"/>
      <c r="CG810" s="420"/>
      <c r="CH810" s="420"/>
    </row>
    <row r="811" spans="75:86" s="428" customFormat="1" x14ac:dyDescent="0.2">
      <c r="BW811" s="439"/>
      <c r="BX811" s="439"/>
      <c r="BY811" s="439"/>
      <c r="BZ811" s="439"/>
      <c r="CA811" s="439"/>
      <c r="CB811" s="439"/>
      <c r="CC811" s="439"/>
      <c r="CD811" s="439"/>
      <c r="CE811" s="440"/>
      <c r="CF811" s="420"/>
      <c r="CG811" s="420"/>
      <c r="CH811" s="420"/>
    </row>
    <row r="812" spans="75:86" s="428" customFormat="1" x14ac:dyDescent="0.2">
      <c r="BW812" s="439"/>
      <c r="BX812" s="439"/>
      <c r="BY812" s="439"/>
      <c r="BZ812" s="439"/>
      <c r="CA812" s="439"/>
      <c r="CB812" s="439"/>
      <c r="CC812" s="439"/>
      <c r="CD812" s="439"/>
      <c r="CE812" s="440"/>
      <c r="CF812" s="420"/>
      <c r="CG812" s="420"/>
      <c r="CH812" s="420"/>
    </row>
    <row r="813" spans="75:86" s="428" customFormat="1" x14ac:dyDescent="0.2">
      <c r="BW813" s="439"/>
      <c r="BX813" s="439"/>
      <c r="BY813" s="439"/>
      <c r="BZ813" s="439"/>
      <c r="CA813" s="439"/>
      <c r="CB813" s="439"/>
      <c r="CC813" s="439"/>
      <c r="CD813" s="439"/>
      <c r="CE813" s="440"/>
      <c r="CF813" s="420"/>
      <c r="CG813" s="420"/>
      <c r="CH813" s="420"/>
    </row>
    <row r="814" spans="75:86" s="428" customFormat="1" x14ac:dyDescent="0.2">
      <c r="BW814" s="439"/>
      <c r="BX814" s="439"/>
      <c r="BY814" s="439"/>
      <c r="BZ814" s="439"/>
      <c r="CA814" s="439"/>
      <c r="CB814" s="439"/>
      <c r="CC814" s="439"/>
      <c r="CD814" s="439"/>
      <c r="CE814" s="440"/>
      <c r="CF814" s="420"/>
      <c r="CG814" s="420"/>
      <c r="CH814" s="420"/>
    </row>
    <row r="815" spans="75:86" s="428" customFormat="1" x14ac:dyDescent="0.2">
      <c r="BW815" s="439"/>
      <c r="BX815" s="439"/>
      <c r="BY815" s="439"/>
      <c r="BZ815" s="439"/>
      <c r="CA815" s="439"/>
      <c r="CB815" s="439"/>
      <c r="CC815" s="439"/>
      <c r="CD815" s="439"/>
      <c r="CE815" s="440"/>
      <c r="CF815" s="420"/>
      <c r="CG815" s="420"/>
      <c r="CH815" s="420"/>
    </row>
    <row r="816" spans="75:86" s="428" customFormat="1" x14ac:dyDescent="0.2">
      <c r="BW816" s="439"/>
      <c r="BX816" s="439"/>
      <c r="BY816" s="439"/>
      <c r="BZ816" s="439"/>
      <c r="CA816" s="439"/>
      <c r="CB816" s="439"/>
      <c r="CC816" s="439"/>
      <c r="CD816" s="439"/>
      <c r="CE816" s="440"/>
      <c r="CF816" s="420"/>
      <c r="CG816" s="420"/>
      <c r="CH816" s="420"/>
    </row>
    <row r="817" spans="75:86" s="428" customFormat="1" x14ac:dyDescent="0.2">
      <c r="BW817" s="439"/>
      <c r="BX817" s="439"/>
      <c r="BY817" s="439"/>
      <c r="BZ817" s="439"/>
      <c r="CA817" s="439"/>
      <c r="CB817" s="439"/>
      <c r="CC817" s="439"/>
      <c r="CD817" s="439"/>
      <c r="CE817" s="440"/>
      <c r="CF817" s="420"/>
      <c r="CG817" s="420"/>
      <c r="CH817" s="420"/>
    </row>
    <row r="818" spans="75:86" s="428" customFormat="1" x14ac:dyDescent="0.2">
      <c r="BW818" s="439"/>
      <c r="BX818" s="439"/>
      <c r="BY818" s="439"/>
      <c r="BZ818" s="439"/>
      <c r="CA818" s="439"/>
      <c r="CB818" s="439"/>
      <c r="CC818" s="439"/>
      <c r="CD818" s="439"/>
      <c r="CE818" s="440"/>
      <c r="CF818" s="420"/>
      <c r="CG818" s="420"/>
      <c r="CH818" s="420"/>
    </row>
    <row r="819" spans="75:86" s="428" customFormat="1" x14ac:dyDescent="0.2">
      <c r="BW819" s="439"/>
      <c r="BX819" s="439"/>
      <c r="BY819" s="439"/>
      <c r="BZ819" s="439"/>
      <c r="CA819" s="439"/>
      <c r="CB819" s="439"/>
      <c r="CC819" s="439"/>
      <c r="CD819" s="439"/>
      <c r="CE819" s="440"/>
      <c r="CF819" s="420"/>
      <c r="CG819" s="420"/>
      <c r="CH819" s="420"/>
    </row>
    <row r="820" spans="75:86" s="428" customFormat="1" x14ac:dyDescent="0.2">
      <c r="BW820" s="439"/>
      <c r="BX820" s="439"/>
      <c r="BY820" s="439"/>
      <c r="BZ820" s="439"/>
      <c r="CA820" s="439"/>
      <c r="CB820" s="439"/>
      <c r="CC820" s="439"/>
      <c r="CD820" s="439"/>
      <c r="CE820" s="440"/>
      <c r="CF820" s="420"/>
      <c r="CG820" s="420"/>
      <c r="CH820" s="420"/>
    </row>
    <row r="821" spans="75:86" s="428" customFormat="1" x14ac:dyDescent="0.2">
      <c r="BW821" s="439"/>
      <c r="BX821" s="439"/>
      <c r="BY821" s="439"/>
      <c r="BZ821" s="439"/>
      <c r="CA821" s="439"/>
      <c r="CB821" s="439"/>
      <c r="CC821" s="439"/>
      <c r="CD821" s="439"/>
      <c r="CE821" s="440"/>
      <c r="CF821" s="420"/>
      <c r="CG821" s="420"/>
      <c r="CH821" s="420"/>
    </row>
    <row r="822" spans="75:86" s="428" customFormat="1" x14ac:dyDescent="0.2">
      <c r="BW822" s="439"/>
      <c r="BX822" s="439"/>
      <c r="BY822" s="439"/>
      <c r="BZ822" s="439"/>
      <c r="CA822" s="439"/>
      <c r="CB822" s="439"/>
      <c r="CC822" s="439"/>
      <c r="CD822" s="439"/>
      <c r="CE822" s="440"/>
      <c r="CF822" s="420"/>
      <c r="CG822" s="420"/>
      <c r="CH822" s="420"/>
    </row>
    <row r="823" spans="75:86" s="428" customFormat="1" x14ac:dyDescent="0.2">
      <c r="BW823" s="439"/>
      <c r="BX823" s="439"/>
      <c r="BY823" s="439"/>
      <c r="BZ823" s="439"/>
      <c r="CA823" s="439"/>
      <c r="CB823" s="439"/>
      <c r="CC823" s="439"/>
      <c r="CD823" s="439"/>
      <c r="CE823" s="440"/>
      <c r="CF823" s="420"/>
      <c r="CG823" s="420"/>
      <c r="CH823" s="420"/>
    </row>
    <row r="824" spans="75:86" s="428" customFormat="1" x14ac:dyDescent="0.2">
      <c r="BW824" s="439"/>
      <c r="BX824" s="439"/>
      <c r="BY824" s="439"/>
      <c r="BZ824" s="439"/>
      <c r="CA824" s="439"/>
      <c r="CB824" s="439"/>
      <c r="CC824" s="439"/>
      <c r="CD824" s="439"/>
      <c r="CE824" s="440"/>
      <c r="CF824" s="420"/>
      <c r="CG824" s="420"/>
      <c r="CH824" s="420"/>
    </row>
    <row r="825" spans="75:86" s="428" customFormat="1" x14ac:dyDescent="0.2">
      <c r="BW825" s="439"/>
      <c r="BX825" s="439"/>
      <c r="BY825" s="439"/>
      <c r="BZ825" s="439"/>
      <c r="CA825" s="439"/>
      <c r="CB825" s="439"/>
      <c r="CC825" s="439"/>
      <c r="CD825" s="439"/>
      <c r="CE825" s="440"/>
      <c r="CF825" s="420"/>
      <c r="CG825" s="420"/>
      <c r="CH825" s="420"/>
    </row>
    <row r="826" spans="75:86" s="428" customFormat="1" x14ac:dyDescent="0.2">
      <c r="BW826" s="439"/>
      <c r="BX826" s="439"/>
      <c r="BY826" s="439"/>
      <c r="BZ826" s="439"/>
      <c r="CA826" s="439"/>
      <c r="CB826" s="439"/>
      <c r="CC826" s="439"/>
      <c r="CD826" s="439"/>
      <c r="CE826" s="440"/>
      <c r="CF826" s="420"/>
      <c r="CG826" s="420"/>
      <c r="CH826" s="420"/>
    </row>
    <row r="827" spans="75:86" s="428" customFormat="1" x14ac:dyDescent="0.2">
      <c r="BW827" s="439"/>
      <c r="BX827" s="439"/>
      <c r="BY827" s="439"/>
      <c r="BZ827" s="439"/>
      <c r="CA827" s="439"/>
      <c r="CB827" s="439"/>
      <c r="CC827" s="439"/>
      <c r="CD827" s="439"/>
      <c r="CE827" s="440"/>
      <c r="CF827" s="420"/>
      <c r="CG827" s="420"/>
      <c r="CH827" s="420"/>
    </row>
    <row r="828" spans="75:86" s="428" customFormat="1" x14ac:dyDescent="0.2">
      <c r="BW828" s="439"/>
      <c r="BX828" s="439"/>
      <c r="BY828" s="439"/>
      <c r="BZ828" s="439"/>
      <c r="CA828" s="439"/>
      <c r="CB828" s="439"/>
      <c r="CC828" s="439"/>
      <c r="CD828" s="439"/>
      <c r="CE828" s="440"/>
      <c r="CF828" s="420"/>
      <c r="CG828" s="420"/>
      <c r="CH828" s="420"/>
    </row>
    <row r="829" spans="75:86" s="428" customFormat="1" x14ac:dyDescent="0.2">
      <c r="BW829" s="439"/>
      <c r="BX829" s="439"/>
      <c r="BY829" s="439"/>
      <c r="BZ829" s="439"/>
      <c r="CA829" s="439"/>
      <c r="CB829" s="439"/>
      <c r="CC829" s="439"/>
      <c r="CD829" s="439"/>
      <c r="CE829" s="440"/>
      <c r="CF829" s="420"/>
      <c r="CG829" s="420"/>
      <c r="CH829" s="420"/>
    </row>
    <row r="830" spans="75:86" s="428" customFormat="1" x14ac:dyDescent="0.2">
      <c r="BW830" s="439"/>
      <c r="BX830" s="439"/>
      <c r="BY830" s="439"/>
      <c r="BZ830" s="439"/>
      <c r="CA830" s="439"/>
      <c r="CB830" s="439"/>
      <c r="CC830" s="439"/>
      <c r="CD830" s="439"/>
      <c r="CE830" s="440"/>
      <c r="CF830" s="420"/>
      <c r="CG830" s="420"/>
      <c r="CH830" s="420"/>
    </row>
    <row r="831" spans="75:86" s="428" customFormat="1" x14ac:dyDescent="0.2">
      <c r="BW831" s="439"/>
      <c r="BX831" s="439"/>
      <c r="BY831" s="439"/>
      <c r="BZ831" s="439"/>
      <c r="CA831" s="439"/>
      <c r="CB831" s="439"/>
      <c r="CC831" s="439"/>
      <c r="CD831" s="439"/>
      <c r="CE831" s="440"/>
      <c r="CF831" s="420"/>
      <c r="CG831" s="420"/>
      <c r="CH831" s="420"/>
    </row>
    <row r="832" spans="75:86" s="428" customFormat="1" x14ac:dyDescent="0.2">
      <c r="BW832" s="439"/>
      <c r="BX832" s="439"/>
      <c r="BY832" s="439"/>
      <c r="BZ832" s="439"/>
      <c r="CA832" s="439"/>
      <c r="CB832" s="439"/>
      <c r="CC832" s="439"/>
      <c r="CD832" s="439"/>
      <c r="CE832" s="440"/>
      <c r="CF832" s="420"/>
      <c r="CG832" s="420"/>
      <c r="CH832" s="420"/>
    </row>
    <row r="833" spans="75:86" s="428" customFormat="1" x14ac:dyDescent="0.2">
      <c r="BW833" s="439"/>
      <c r="BX833" s="439"/>
      <c r="BY833" s="439"/>
      <c r="BZ833" s="439"/>
      <c r="CA833" s="439"/>
      <c r="CB833" s="439"/>
      <c r="CC833" s="439"/>
      <c r="CD833" s="439"/>
      <c r="CE833" s="440"/>
      <c r="CF833" s="420"/>
      <c r="CG833" s="420"/>
      <c r="CH833" s="420"/>
    </row>
    <row r="834" spans="75:86" s="428" customFormat="1" x14ac:dyDescent="0.2">
      <c r="BW834" s="439"/>
      <c r="BX834" s="439"/>
      <c r="BY834" s="439"/>
      <c r="BZ834" s="439"/>
      <c r="CA834" s="439"/>
      <c r="CB834" s="439"/>
      <c r="CC834" s="439"/>
      <c r="CD834" s="439"/>
      <c r="CE834" s="440"/>
      <c r="CF834" s="420"/>
      <c r="CG834" s="420"/>
      <c r="CH834" s="420"/>
    </row>
    <row r="835" spans="75:86" s="428" customFormat="1" x14ac:dyDescent="0.2">
      <c r="BW835" s="439"/>
      <c r="BX835" s="439"/>
      <c r="BY835" s="439"/>
      <c r="BZ835" s="439"/>
      <c r="CA835" s="439"/>
      <c r="CB835" s="439"/>
      <c r="CC835" s="439"/>
      <c r="CD835" s="439"/>
      <c r="CE835" s="440"/>
      <c r="CF835" s="420"/>
      <c r="CG835" s="420"/>
      <c r="CH835" s="420"/>
    </row>
    <row r="836" spans="75:86" s="428" customFormat="1" x14ac:dyDescent="0.2">
      <c r="BW836" s="439"/>
      <c r="BX836" s="439"/>
      <c r="BY836" s="439"/>
      <c r="BZ836" s="439"/>
      <c r="CA836" s="439"/>
      <c r="CB836" s="439"/>
      <c r="CC836" s="439"/>
      <c r="CD836" s="439"/>
      <c r="CE836" s="440"/>
      <c r="CF836" s="420"/>
      <c r="CG836" s="420"/>
      <c r="CH836" s="420"/>
    </row>
    <row r="837" spans="75:86" s="428" customFormat="1" x14ac:dyDescent="0.2">
      <c r="BW837" s="439"/>
      <c r="BX837" s="439"/>
      <c r="BY837" s="439"/>
      <c r="BZ837" s="439"/>
      <c r="CA837" s="439"/>
      <c r="CB837" s="439"/>
      <c r="CC837" s="439"/>
      <c r="CD837" s="439"/>
      <c r="CE837" s="440"/>
      <c r="CF837" s="420"/>
      <c r="CG837" s="420"/>
      <c r="CH837" s="420"/>
    </row>
    <row r="838" spans="75:86" s="428" customFormat="1" x14ac:dyDescent="0.2">
      <c r="BW838" s="439"/>
      <c r="BX838" s="439"/>
      <c r="BY838" s="439"/>
      <c r="BZ838" s="439"/>
      <c r="CA838" s="439"/>
      <c r="CB838" s="439"/>
      <c r="CC838" s="439"/>
      <c r="CD838" s="439"/>
      <c r="CE838" s="440"/>
      <c r="CF838" s="420"/>
      <c r="CG838" s="420"/>
      <c r="CH838" s="420"/>
    </row>
    <row r="839" spans="75:86" s="428" customFormat="1" x14ac:dyDescent="0.2">
      <c r="BW839" s="439"/>
      <c r="BX839" s="439"/>
      <c r="BY839" s="439"/>
      <c r="BZ839" s="439"/>
      <c r="CA839" s="439"/>
      <c r="CB839" s="439"/>
      <c r="CC839" s="439"/>
      <c r="CD839" s="439"/>
      <c r="CE839" s="440"/>
      <c r="CF839" s="420"/>
      <c r="CG839" s="420"/>
      <c r="CH839" s="420"/>
    </row>
    <row r="840" spans="75:86" s="428" customFormat="1" x14ac:dyDescent="0.2">
      <c r="BW840" s="439"/>
      <c r="BX840" s="439"/>
      <c r="BY840" s="439"/>
      <c r="BZ840" s="439"/>
      <c r="CA840" s="439"/>
      <c r="CB840" s="439"/>
      <c r="CC840" s="439"/>
      <c r="CD840" s="439"/>
      <c r="CE840" s="440"/>
      <c r="CF840" s="420"/>
      <c r="CG840" s="420"/>
      <c r="CH840" s="420"/>
    </row>
    <row r="841" spans="75:86" s="428" customFormat="1" x14ac:dyDescent="0.2">
      <c r="BW841" s="439"/>
      <c r="BX841" s="439"/>
      <c r="BY841" s="439"/>
      <c r="BZ841" s="439"/>
      <c r="CA841" s="439"/>
      <c r="CB841" s="439"/>
      <c r="CC841" s="439"/>
      <c r="CD841" s="439"/>
      <c r="CE841" s="440"/>
      <c r="CF841" s="420"/>
      <c r="CG841" s="420"/>
      <c r="CH841" s="420"/>
    </row>
    <row r="842" spans="75:86" s="428" customFormat="1" x14ac:dyDescent="0.2">
      <c r="BW842" s="439"/>
      <c r="BX842" s="439"/>
      <c r="BY842" s="439"/>
      <c r="BZ842" s="439"/>
      <c r="CA842" s="439"/>
      <c r="CB842" s="439"/>
      <c r="CC842" s="439"/>
      <c r="CD842" s="439"/>
      <c r="CE842" s="440"/>
      <c r="CF842" s="420"/>
      <c r="CG842" s="420"/>
      <c r="CH842" s="420"/>
    </row>
    <row r="843" spans="75:86" s="428" customFormat="1" x14ac:dyDescent="0.2">
      <c r="BW843" s="439"/>
      <c r="BX843" s="439"/>
      <c r="BY843" s="439"/>
      <c r="BZ843" s="439"/>
      <c r="CA843" s="439"/>
      <c r="CB843" s="439"/>
      <c r="CC843" s="439"/>
      <c r="CD843" s="439"/>
      <c r="CE843" s="440"/>
      <c r="CF843" s="420"/>
      <c r="CG843" s="420"/>
      <c r="CH843" s="420"/>
    </row>
    <row r="844" spans="75:86" s="428" customFormat="1" x14ac:dyDescent="0.2">
      <c r="BW844" s="439"/>
      <c r="BX844" s="439"/>
      <c r="BY844" s="439"/>
      <c r="BZ844" s="439"/>
      <c r="CA844" s="439"/>
      <c r="CB844" s="439"/>
      <c r="CC844" s="439"/>
      <c r="CD844" s="439"/>
      <c r="CE844" s="440"/>
      <c r="CF844" s="420"/>
      <c r="CG844" s="420"/>
      <c r="CH844" s="420"/>
    </row>
    <row r="845" spans="75:86" s="428" customFormat="1" x14ac:dyDescent="0.2">
      <c r="BW845" s="439"/>
      <c r="BX845" s="439"/>
      <c r="BY845" s="439"/>
      <c r="BZ845" s="439"/>
      <c r="CA845" s="439"/>
      <c r="CB845" s="439"/>
      <c r="CC845" s="439"/>
      <c r="CD845" s="439"/>
      <c r="CE845" s="440"/>
      <c r="CF845" s="420"/>
      <c r="CG845" s="420"/>
      <c r="CH845" s="420"/>
    </row>
    <row r="846" spans="75:86" s="428" customFormat="1" x14ac:dyDescent="0.2">
      <c r="BW846" s="439"/>
      <c r="BX846" s="439"/>
      <c r="BY846" s="439"/>
      <c r="BZ846" s="439"/>
      <c r="CA846" s="439"/>
      <c r="CB846" s="439"/>
      <c r="CC846" s="439"/>
      <c r="CD846" s="439"/>
      <c r="CE846" s="440"/>
      <c r="CF846" s="420"/>
      <c r="CG846" s="420"/>
      <c r="CH846" s="420"/>
    </row>
    <row r="847" spans="75:86" s="428" customFormat="1" x14ac:dyDescent="0.2">
      <c r="BW847" s="439"/>
      <c r="BX847" s="439"/>
      <c r="BY847" s="439"/>
      <c r="BZ847" s="439"/>
      <c r="CA847" s="439"/>
      <c r="CB847" s="439"/>
      <c r="CC847" s="439"/>
      <c r="CD847" s="439"/>
      <c r="CE847" s="440"/>
      <c r="CF847" s="420"/>
      <c r="CG847" s="420"/>
      <c r="CH847" s="420"/>
    </row>
    <row r="848" spans="75:86" s="428" customFormat="1" x14ac:dyDescent="0.2">
      <c r="BW848" s="439"/>
      <c r="BX848" s="439"/>
      <c r="BY848" s="439"/>
      <c r="BZ848" s="439"/>
      <c r="CA848" s="439"/>
      <c r="CB848" s="439"/>
      <c r="CC848" s="439"/>
      <c r="CD848" s="439"/>
      <c r="CE848" s="440"/>
      <c r="CF848" s="420"/>
      <c r="CG848" s="420"/>
      <c r="CH848" s="420"/>
    </row>
    <row r="849" spans="75:86" s="428" customFormat="1" x14ac:dyDescent="0.2">
      <c r="BW849" s="439"/>
      <c r="BX849" s="439"/>
      <c r="BY849" s="439"/>
      <c r="BZ849" s="439"/>
      <c r="CA849" s="439"/>
      <c r="CB849" s="439"/>
      <c r="CC849" s="439"/>
      <c r="CD849" s="439"/>
      <c r="CE849" s="440"/>
      <c r="CF849" s="420"/>
      <c r="CG849" s="420"/>
      <c r="CH849" s="420"/>
    </row>
    <row r="850" spans="75:86" s="428" customFormat="1" x14ac:dyDescent="0.2">
      <c r="BW850" s="439"/>
      <c r="BX850" s="439"/>
      <c r="BY850" s="439"/>
      <c r="BZ850" s="439"/>
      <c r="CA850" s="439"/>
      <c r="CB850" s="439"/>
      <c r="CC850" s="439"/>
      <c r="CD850" s="439"/>
      <c r="CE850" s="440"/>
      <c r="CF850" s="420"/>
      <c r="CG850" s="420"/>
      <c r="CH850" s="420"/>
    </row>
    <row r="851" spans="75:86" s="428" customFormat="1" x14ac:dyDescent="0.2">
      <c r="BW851" s="439"/>
      <c r="BX851" s="439"/>
      <c r="BY851" s="439"/>
      <c r="BZ851" s="439"/>
      <c r="CA851" s="439"/>
      <c r="CB851" s="439"/>
      <c r="CC851" s="439"/>
      <c r="CD851" s="439"/>
      <c r="CE851" s="440"/>
      <c r="CF851" s="420"/>
      <c r="CG851" s="420"/>
      <c r="CH851" s="420"/>
    </row>
    <row r="852" spans="75:86" s="428" customFormat="1" x14ac:dyDescent="0.2">
      <c r="BW852" s="439"/>
      <c r="BX852" s="439"/>
      <c r="BY852" s="439"/>
      <c r="BZ852" s="439"/>
      <c r="CA852" s="439"/>
      <c r="CB852" s="439"/>
      <c r="CC852" s="439"/>
      <c r="CD852" s="439"/>
      <c r="CE852" s="440"/>
      <c r="CF852" s="420"/>
      <c r="CG852" s="420"/>
      <c r="CH852" s="420"/>
    </row>
    <row r="853" spans="75:86" s="428" customFormat="1" x14ac:dyDescent="0.2">
      <c r="BW853" s="439"/>
      <c r="BX853" s="439"/>
      <c r="BY853" s="439"/>
      <c r="BZ853" s="439"/>
      <c r="CA853" s="439"/>
      <c r="CB853" s="439"/>
      <c r="CC853" s="439"/>
      <c r="CD853" s="439"/>
      <c r="CE853" s="440"/>
      <c r="CF853" s="420"/>
      <c r="CG853" s="420"/>
      <c r="CH853" s="420"/>
    </row>
    <row r="854" spans="75:86" s="428" customFormat="1" x14ac:dyDescent="0.2">
      <c r="BW854" s="439"/>
      <c r="BX854" s="439"/>
      <c r="BY854" s="439"/>
      <c r="BZ854" s="439"/>
      <c r="CA854" s="439"/>
      <c r="CB854" s="439"/>
      <c r="CC854" s="439"/>
      <c r="CD854" s="439"/>
      <c r="CE854" s="440"/>
      <c r="CF854" s="420"/>
      <c r="CG854" s="420"/>
      <c r="CH854" s="420"/>
    </row>
    <row r="855" spans="75:86" s="428" customFormat="1" x14ac:dyDescent="0.2">
      <c r="BW855" s="439"/>
      <c r="BX855" s="439"/>
      <c r="BY855" s="439"/>
      <c r="BZ855" s="439"/>
      <c r="CA855" s="439"/>
      <c r="CB855" s="439"/>
      <c r="CC855" s="439"/>
      <c r="CD855" s="439"/>
      <c r="CE855" s="440"/>
      <c r="CF855" s="420"/>
      <c r="CG855" s="420"/>
      <c r="CH855" s="420"/>
    </row>
    <row r="856" spans="75:86" s="428" customFormat="1" x14ac:dyDescent="0.2">
      <c r="BW856" s="439"/>
      <c r="BX856" s="439"/>
      <c r="BY856" s="439"/>
      <c r="BZ856" s="439"/>
      <c r="CA856" s="439"/>
      <c r="CB856" s="439"/>
      <c r="CC856" s="439"/>
      <c r="CD856" s="439"/>
      <c r="CE856" s="440"/>
      <c r="CF856" s="420"/>
      <c r="CG856" s="420"/>
      <c r="CH856" s="420"/>
    </row>
    <row r="857" spans="75:86" s="428" customFormat="1" x14ac:dyDescent="0.2">
      <c r="BW857" s="439"/>
      <c r="BX857" s="439"/>
      <c r="BY857" s="439"/>
      <c r="BZ857" s="439"/>
      <c r="CA857" s="439"/>
      <c r="CB857" s="439"/>
      <c r="CC857" s="439"/>
      <c r="CD857" s="439"/>
      <c r="CE857" s="440"/>
      <c r="CF857" s="420"/>
      <c r="CG857" s="420"/>
      <c r="CH857" s="420"/>
    </row>
    <row r="858" spans="75:86" s="428" customFormat="1" x14ac:dyDescent="0.2">
      <c r="BW858" s="439"/>
      <c r="BX858" s="439"/>
      <c r="BY858" s="439"/>
      <c r="BZ858" s="439"/>
      <c r="CA858" s="439"/>
      <c r="CB858" s="439"/>
      <c r="CC858" s="439"/>
      <c r="CD858" s="439"/>
      <c r="CE858" s="440"/>
      <c r="CF858" s="420"/>
      <c r="CG858" s="420"/>
      <c r="CH858" s="420"/>
    </row>
    <row r="859" spans="75:86" s="428" customFormat="1" x14ac:dyDescent="0.2">
      <c r="BW859" s="439"/>
      <c r="BX859" s="439"/>
      <c r="BY859" s="439"/>
      <c r="BZ859" s="439"/>
      <c r="CA859" s="439"/>
      <c r="CB859" s="439"/>
      <c r="CC859" s="439"/>
      <c r="CD859" s="439"/>
      <c r="CE859" s="440"/>
      <c r="CF859" s="420"/>
      <c r="CG859" s="420"/>
      <c r="CH859" s="420"/>
    </row>
    <row r="860" spans="75:86" s="428" customFormat="1" x14ac:dyDescent="0.2">
      <c r="BW860" s="439"/>
      <c r="BX860" s="439"/>
      <c r="BY860" s="439"/>
      <c r="BZ860" s="439"/>
      <c r="CA860" s="439"/>
      <c r="CB860" s="439"/>
      <c r="CC860" s="439"/>
      <c r="CD860" s="439"/>
      <c r="CE860" s="440"/>
      <c r="CF860" s="420"/>
      <c r="CG860" s="420"/>
      <c r="CH860" s="420"/>
    </row>
    <row r="861" spans="75:86" s="428" customFormat="1" x14ac:dyDescent="0.2">
      <c r="BW861" s="439"/>
      <c r="BX861" s="439"/>
      <c r="BY861" s="439"/>
      <c r="BZ861" s="439"/>
      <c r="CA861" s="439"/>
      <c r="CB861" s="439"/>
      <c r="CC861" s="439"/>
      <c r="CD861" s="439"/>
      <c r="CE861" s="440"/>
      <c r="CF861" s="420"/>
      <c r="CG861" s="420"/>
      <c r="CH861" s="420"/>
    </row>
    <row r="862" spans="75:86" s="428" customFormat="1" x14ac:dyDescent="0.2">
      <c r="BW862" s="439"/>
      <c r="BX862" s="439"/>
      <c r="BY862" s="439"/>
      <c r="BZ862" s="439"/>
      <c r="CA862" s="439"/>
      <c r="CB862" s="439"/>
      <c r="CC862" s="439"/>
      <c r="CD862" s="439"/>
      <c r="CE862" s="440"/>
      <c r="CF862" s="420"/>
      <c r="CG862" s="420"/>
      <c r="CH862" s="420"/>
    </row>
    <row r="863" spans="75:86" s="428" customFormat="1" x14ac:dyDescent="0.2">
      <c r="BW863" s="439"/>
      <c r="BX863" s="439"/>
      <c r="BY863" s="439"/>
      <c r="BZ863" s="439"/>
      <c r="CA863" s="439"/>
      <c r="CB863" s="439"/>
      <c r="CC863" s="439"/>
      <c r="CD863" s="439"/>
      <c r="CE863" s="440"/>
      <c r="CF863" s="420"/>
      <c r="CG863" s="420"/>
      <c r="CH863" s="420"/>
    </row>
    <row r="864" spans="75:86" s="428" customFormat="1" x14ac:dyDescent="0.2">
      <c r="BW864" s="439"/>
      <c r="BX864" s="439"/>
      <c r="BY864" s="439"/>
      <c r="BZ864" s="439"/>
      <c r="CA864" s="439"/>
      <c r="CB864" s="439"/>
      <c r="CC864" s="439"/>
      <c r="CD864" s="439"/>
      <c r="CE864" s="440"/>
      <c r="CF864" s="420"/>
      <c r="CG864" s="420"/>
      <c r="CH864" s="420"/>
    </row>
    <row r="865" spans="75:86" s="428" customFormat="1" x14ac:dyDescent="0.2">
      <c r="BW865" s="439"/>
      <c r="BX865" s="439"/>
      <c r="BY865" s="439"/>
      <c r="BZ865" s="439"/>
      <c r="CA865" s="439"/>
      <c r="CB865" s="439"/>
      <c r="CC865" s="439"/>
      <c r="CD865" s="439"/>
      <c r="CE865" s="440"/>
      <c r="CF865" s="420"/>
      <c r="CG865" s="420"/>
      <c r="CH865" s="420"/>
    </row>
    <row r="866" spans="75:86" s="428" customFormat="1" x14ac:dyDescent="0.2">
      <c r="BW866" s="439"/>
      <c r="BX866" s="439"/>
      <c r="BY866" s="439"/>
      <c r="BZ866" s="439"/>
      <c r="CA866" s="439"/>
      <c r="CB866" s="439"/>
      <c r="CC866" s="439"/>
      <c r="CD866" s="439"/>
      <c r="CE866" s="440"/>
      <c r="CF866" s="420"/>
      <c r="CG866" s="420"/>
      <c r="CH866" s="420"/>
    </row>
    <row r="867" spans="75:86" s="428" customFormat="1" x14ac:dyDescent="0.2">
      <c r="BW867" s="439"/>
      <c r="BX867" s="439"/>
      <c r="BY867" s="439"/>
      <c r="BZ867" s="439"/>
      <c r="CA867" s="439"/>
      <c r="CB867" s="439"/>
      <c r="CC867" s="439"/>
      <c r="CD867" s="439"/>
      <c r="CE867" s="440"/>
      <c r="CF867" s="420"/>
      <c r="CG867" s="420"/>
      <c r="CH867" s="420"/>
    </row>
    <row r="868" spans="75:86" s="428" customFormat="1" x14ac:dyDescent="0.2">
      <c r="BW868" s="439"/>
      <c r="BX868" s="439"/>
      <c r="BY868" s="439"/>
      <c r="BZ868" s="439"/>
      <c r="CA868" s="439"/>
      <c r="CB868" s="439"/>
      <c r="CC868" s="439"/>
      <c r="CD868" s="439"/>
      <c r="CE868" s="440"/>
      <c r="CF868" s="420"/>
      <c r="CG868" s="420"/>
      <c r="CH868" s="420"/>
    </row>
    <row r="869" spans="75:86" s="428" customFormat="1" x14ac:dyDescent="0.2">
      <c r="BW869" s="439"/>
      <c r="BX869" s="439"/>
      <c r="BY869" s="439"/>
      <c r="BZ869" s="439"/>
      <c r="CA869" s="439"/>
      <c r="CB869" s="439"/>
      <c r="CC869" s="439"/>
      <c r="CD869" s="439"/>
      <c r="CE869" s="440"/>
      <c r="CF869" s="420"/>
      <c r="CG869" s="420"/>
      <c r="CH869" s="420"/>
    </row>
    <row r="870" spans="75:86" s="428" customFormat="1" x14ac:dyDescent="0.2">
      <c r="BW870" s="439"/>
      <c r="BX870" s="439"/>
      <c r="BY870" s="439"/>
      <c r="BZ870" s="439"/>
      <c r="CA870" s="439"/>
      <c r="CB870" s="439"/>
      <c r="CC870" s="439"/>
      <c r="CD870" s="439"/>
      <c r="CE870" s="440"/>
      <c r="CF870" s="420"/>
      <c r="CG870" s="420"/>
      <c r="CH870" s="420"/>
    </row>
    <row r="871" spans="75:86" s="428" customFormat="1" x14ac:dyDescent="0.2">
      <c r="BW871" s="439"/>
      <c r="BX871" s="439"/>
      <c r="BY871" s="439"/>
      <c r="BZ871" s="439"/>
      <c r="CA871" s="439"/>
      <c r="CB871" s="439"/>
      <c r="CC871" s="439"/>
      <c r="CD871" s="439"/>
      <c r="CE871" s="440"/>
      <c r="CF871" s="420"/>
      <c r="CG871" s="420"/>
      <c r="CH871" s="420"/>
    </row>
    <row r="872" spans="75:86" s="428" customFormat="1" x14ac:dyDescent="0.2">
      <c r="BW872" s="439"/>
      <c r="BX872" s="439"/>
      <c r="BY872" s="439"/>
      <c r="BZ872" s="439"/>
      <c r="CA872" s="439"/>
      <c r="CB872" s="439"/>
      <c r="CC872" s="439"/>
      <c r="CD872" s="439"/>
      <c r="CE872" s="440"/>
      <c r="CF872" s="420"/>
      <c r="CG872" s="420"/>
      <c r="CH872" s="420"/>
    </row>
    <row r="873" spans="75:86" s="428" customFormat="1" x14ac:dyDescent="0.2">
      <c r="BW873" s="439"/>
      <c r="BX873" s="439"/>
      <c r="BY873" s="439"/>
      <c r="BZ873" s="439"/>
      <c r="CA873" s="439"/>
      <c r="CB873" s="439"/>
      <c r="CC873" s="439"/>
      <c r="CD873" s="439"/>
      <c r="CE873" s="440"/>
      <c r="CF873" s="420"/>
      <c r="CG873" s="420"/>
      <c r="CH873" s="420"/>
    </row>
    <row r="874" spans="75:86" s="428" customFormat="1" x14ac:dyDescent="0.2">
      <c r="BW874" s="439"/>
      <c r="BX874" s="439"/>
      <c r="BY874" s="439"/>
      <c r="BZ874" s="439"/>
      <c r="CA874" s="439"/>
      <c r="CB874" s="439"/>
      <c r="CC874" s="439"/>
      <c r="CD874" s="439"/>
      <c r="CE874" s="440"/>
      <c r="CF874" s="420"/>
      <c r="CG874" s="420"/>
      <c r="CH874" s="420"/>
    </row>
    <row r="875" spans="75:86" s="428" customFormat="1" x14ac:dyDescent="0.2">
      <c r="BW875" s="439"/>
      <c r="BX875" s="439"/>
      <c r="BY875" s="439"/>
      <c r="BZ875" s="439"/>
      <c r="CA875" s="439"/>
      <c r="CB875" s="439"/>
      <c r="CC875" s="439"/>
      <c r="CD875" s="439"/>
      <c r="CE875" s="440"/>
      <c r="CF875" s="420"/>
      <c r="CG875" s="420"/>
      <c r="CH875" s="420"/>
    </row>
    <row r="876" spans="75:86" s="428" customFormat="1" x14ac:dyDescent="0.2">
      <c r="BW876" s="439"/>
      <c r="BX876" s="439"/>
      <c r="BY876" s="439"/>
      <c r="BZ876" s="439"/>
      <c r="CA876" s="439"/>
      <c r="CB876" s="439"/>
      <c r="CC876" s="439"/>
      <c r="CD876" s="439"/>
      <c r="CE876" s="440"/>
      <c r="CF876" s="420"/>
      <c r="CG876" s="420"/>
      <c r="CH876" s="420"/>
    </row>
    <row r="877" spans="75:86" s="428" customFormat="1" x14ac:dyDescent="0.2">
      <c r="BW877" s="439"/>
      <c r="BX877" s="439"/>
      <c r="BY877" s="439"/>
      <c r="BZ877" s="439"/>
      <c r="CA877" s="439"/>
      <c r="CB877" s="439"/>
      <c r="CC877" s="439"/>
      <c r="CD877" s="439"/>
      <c r="CE877" s="440"/>
      <c r="CF877" s="420"/>
      <c r="CG877" s="420"/>
      <c r="CH877" s="420"/>
    </row>
    <row r="878" spans="75:86" s="428" customFormat="1" x14ac:dyDescent="0.2">
      <c r="BW878" s="439"/>
      <c r="BX878" s="439"/>
      <c r="BY878" s="439"/>
      <c r="BZ878" s="439"/>
      <c r="CA878" s="439"/>
      <c r="CB878" s="439"/>
      <c r="CC878" s="439"/>
      <c r="CD878" s="439"/>
      <c r="CE878" s="440"/>
      <c r="CF878" s="420"/>
      <c r="CG878" s="420"/>
      <c r="CH878" s="420"/>
    </row>
    <row r="879" spans="75:86" s="428" customFormat="1" x14ac:dyDescent="0.2">
      <c r="BW879" s="439"/>
      <c r="BX879" s="439"/>
      <c r="BY879" s="439"/>
      <c r="BZ879" s="439"/>
      <c r="CA879" s="439"/>
      <c r="CB879" s="439"/>
      <c r="CC879" s="439"/>
      <c r="CD879" s="439"/>
      <c r="CE879" s="440"/>
      <c r="CF879" s="420"/>
      <c r="CG879" s="420"/>
      <c r="CH879" s="420"/>
    </row>
    <row r="880" spans="75:86" s="428" customFormat="1" x14ac:dyDescent="0.2">
      <c r="BW880" s="439"/>
      <c r="BX880" s="439"/>
      <c r="BY880" s="439"/>
      <c r="BZ880" s="439"/>
      <c r="CA880" s="439"/>
      <c r="CB880" s="439"/>
      <c r="CC880" s="439"/>
      <c r="CD880" s="439"/>
      <c r="CE880" s="440"/>
      <c r="CF880" s="420"/>
      <c r="CG880" s="420"/>
      <c r="CH880" s="420"/>
    </row>
    <row r="881" spans="75:86" s="428" customFormat="1" x14ac:dyDescent="0.2">
      <c r="BW881" s="439"/>
      <c r="BX881" s="439"/>
      <c r="BY881" s="439"/>
      <c r="BZ881" s="439"/>
      <c r="CA881" s="439"/>
      <c r="CB881" s="439"/>
      <c r="CC881" s="439"/>
      <c r="CD881" s="439"/>
      <c r="CE881" s="440"/>
      <c r="CF881" s="420"/>
      <c r="CG881" s="420"/>
      <c r="CH881" s="420"/>
    </row>
    <row r="882" spans="75:86" s="428" customFormat="1" x14ac:dyDescent="0.2">
      <c r="BW882" s="439"/>
      <c r="BX882" s="439"/>
      <c r="BY882" s="439"/>
      <c r="BZ882" s="439"/>
      <c r="CA882" s="439"/>
      <c r="CB882" s="439"/>
      <c r="CC882" s="439"/>
      <c r="CD882" s="439"/>
      <c r="CE882" s="440"/>
      <c r="CF882" s="420"/>
      <c r="CG882" s="420"/>
      <c r="CH882" s="420"/>
    </row>
    <row r="883" spans="75:86" s="428" customFormat="1" x14ac:dyDescent="0.2">
      <c r="BW883" s="439"/>
      <c r="BX883" s="439"/>
      <c r="BY883" s="439"/>
      <c r="BZ883" s="439"/>
      <c r="CA883" s="439"/>
      <c r="CB883" s="439"/>
      <c r="CC883" s="439"/>
      <c r="CD883" s="439"/>
      <c r="CE883" s="440"/>
      <c r="CF883" s="420"/>
      <c r="CG883" s="420"/>
      <c r="CH883" s="420"/>
    </row>
    <row r="884" spans="75:86" s="428" customFormat="1" x14ac:dyDescent="0.2">
      <c r="BW884" s="439"/>
      <c r="BX884" s="439"/>
      <c r="BY884" s="439"/>
      <c r="BZ884" s="439"/>
      <c r="CA884" s="439"/>
      <c r="CB884" s="439"/>
      <c r="CC884" s="439"/>
      <c r="CD884" s="439"/>
      <c r="CE884" s="440"/>
      <c r="CF884" s="420"/>
      <c r="CG884" s="420"/>
      <c r="CH884" s="420"/>
    </row>
    <row r="885" spans="75:86" s="428" customFormat="1" x14ac:dyDescent="0.2">
      <c r="BW885" s="439"/>
      <c r="BX885" s="439"/>
      <c r="BY885" s="439"/>
      <c r="BZ885" s="439"/>
      <c r="CA885" s="439"/>
      <c r="CB885" s="439"/>
      <c r="CC885" s="439"/>
      <c r="CD885" s="439"/>
      <c r="CE885" s="440"/>
      <c r="CF885" s="420"/>
      <c r="CG885" s="420"/>
      <c r="CH885" s="420"/>
    </row>
    <row r="886" spans="75:86" s="428" customFormat="1" x14ac:dyDescent="0.2">
      <c r="BW886" s="439"/>
      <c r="BX886" s="439"/>
      <c r="BY886" s="439"/>
      <c r="BZ886" s="439"/>
      <c r="CA886" s="439"/>
      <c r="CB886" s="439"/>
      <c r="CC886" s="439"/>
      <c r="CD886" s="439"/>
      <c r="CE886" s="440"/>
      <c r="CF886" s="420"/>
      <c r="CG886" s="420"/>
      <c r="CH886" s="420"/>
    </row>
    <row r="887" spans="75:86" s="428" customFormat="1" x14ac:dyDescent="0.2">
      <c r="BW887" s="439"/>
      <c r="BX887" s="439"/>
      <c r="BY887" s="439"/>
      <c r="BZ887" s="439"/>
      <c r="CA887" s="439"/>
      <c r="CB887" s="439"/>
      <c r="CC887" s="439"/>
      <c r="CD887" s="439"/>
      <c r="CE887" s="440"/>
      <c r="CF887" s="420"/>
      <c r="CG887" s="420"/>
      <c r="CH887" s="420"/>
    </row>
    <row r="888" spans="75:86" s="428" customFormat="1" x14ac:dyDescent="0.2">
      <c r="BW888" s="439"/>
      <c r="BX888" s="439"/>
      <c r="BY888" s="439"/>
      <c r="BZ888" s="439"/>
      <c r="CA888" s="439"/>
      <c r="CB888" s="439"/>
      <c r="CC888" s="439"/>
      <c r="CD888" s="439"/>
      <c r="CE888" s="440"/>
      <c r="CF888" s="420"/>
      <c r="CG888" s="420"/>
      <c r="CH888" s="420"/>
    </row>
    <row r="889" spans="75:86" s="428" customFormat="1" x14ac:dyDescent="0.2">
      <c r="BW889" s="439"/>
      <c r="BX889" s="439"/>
      <c r="BY889" s="439"/>
      <c r="BZ889" s="439"/>
      <c r="CA889" s="439"/>
      <c r="CB889" s="439"/>
      <c r="CC889" s="439"/>
      <c r="CD889" s="439"/>
      <c r="CE889" s="440"/>
      <c r="CF889" s="420"/>
      <c r="CG889" s="420"/>
      <c r="CH889" s="420"/>
    </row>
    <row r="890" spans="75:86" s="428" customFormat="1" x14ac:dyDescent="0.2">
      <c r="BW890" s="439"/>
      <c r="BX890" s="439"/>
      <c r="BY890" s="439"/>
      <c r="BZ890" s="439"/>
      <c r="CA890" s="439"/>
      <c r="CB890" s="439"/>
      <c r="CC890" s="439"/>
      <c r="CD890" s="439"/>
      <c r="CE890" s="440"/>
      <c r="CF890" s="420"/>
      <c r="CG890" s="420"/>
      <c r="CH890" s="420"/>
    </row>
    <row r="891" spans="75:86" s="428" customFormat="1" x14ac:dyDescent="0.2">
      <c r="BW891" s="439"/>
      <c r="BX891" s="439"/>
      <c r="BY891" s="439"/>
      <c r="BZ891" s="439"/>
      <c r="CA891" s="439"/>
      <c r="CB891" s="439"/>
      <c r="CC891" s="439"/>
      <c r="CD891" s="439"/>
      <c r="CE891" s="440"/>
      <c r="CF891" s="420"/>
      <c r="CG891" s="420"/>
      <c r="CH891" s="420"/>
    </row>
    <row r="892" spans="75:86" s="428" customFormat="1" x14ac:dyDescent="0.2">
      <c r="BW892" s="439"/>
      <c r="BX892" s="439"/>
      <c r="BY892" s="439"/>
      <c r="BZ892" s="439"/>
      <c r="CA892" s="439"/>
      <c r="CB892" s="439"/>
      <c r="CC892" s="439"/>
      <c r="CD892" s="439"/>
      <c r="CE892" s="440"/>
      <c r="CF892" s="420"/>
      <c r="CG892" s="420"/>
      <c r="CH892" s="420"/>
    </row>
    <row r="893" spans="75:86" s="428" customFormat="1" x14ac:dyDescent="0.2">
      <c r="BW893" s="439"/>
      <c r="BX893" s="439"/>
      <c r="BY893" s="439"/>
      <c r="BZ893" s="439"/>
      <c r="CA893" s="439"/>
      <c r="CB893" s="439"/>
      <c r="CC893" s="439"/>
      <c r="CD893" s="439"/>
      <c r="CE893" s="440"/>
      <c r="CF893" s="420"/>
      <c r="CG893" s="420"/>
      <c r="CH893" s="420"/>
    </row>
    <row r="894" spans="75:86" s="428" customFormat="1" x14ac:dyDescent="0.2">
      <c r="BW894" s="439"/>
      <c r="BX894" s="439"/>
      <c r="BY894" s="439"/>
      <c r="BZ894" s="439"/>
      <c r="CA894" s="439"/>
      <c r="CB894" s="439"/>
      <c r="CC894" s="439"/>
      <c r="CD894" s="439"/>
      <c r="CE894" s="440"/>
      <c r="CF894" s="420"/>
      <c r="CG894" s="420"/>
      <c r="CH894" s="420"/>
    </row>
    <row r="895" spans="75:86" s="428" customFormat="1" x14ac:dyDescent="0.2">
      <c r="BW895" s="439"/>
      <c r="BX895" s="439"/>
      <c r="BY895" s="439"/>
      <c r="BZ895" s="439"/>
      <c r="CA895" s="439"/>
      <c r="CB895" s="439"/>
      <c r="CC895" s="439"/>
      <c r="CD895" s="439"/>
      <c r="CE895" s="440"/>
      <c r="CF895" s="420"/>
      <c r="CG895" s="420"/>
      <c r="CH895" s="420"/>
    </row>
    <row r="896" spans="75:86" s="428" customFormat="1" x14ac:dyDescent="0.2">
      <c r="BW896" s="439"/>
      <c r="BX896" s="439"/>
      <c r="BY896" s="439"/>
      <c r="BZ896" s="439"/>
      <c r="CA896" s="439"/>
      <c r="CB896" s="439"/>
      <c r="CC896" s="439"/>
      <c r="CD896" s="439"/>
      <c r="CE896" s="440"/>
      <c r="CF896" s="420"/>
      <c r="CG896" s="420"/>
      <c r="CH896" s="420"/>
    </row>
    <row r="897" spans="75:86" s="428" customFormat="1" x14ac:dyDescent="0.2">
      <c r="BW897" s="439"/>
      <c r="BX897" s="439"/>
      <c r="BY897" s="439"/>
      <c r="BZ897" s="439"/>
      <c r="CA897" s="439"/>
      <c r="CB897" s="439"/>
      <c r="CC897" s="439"/>
      <c r="CD897" s="439"/>
      <c r="CE897" s="440"/>
      <c r="CF897" s="420"/>
      <c r="CG897" s="420"/>
      <c r="CH897" s="420"/>
    </row>
    <row r="898" spans="75:86" s="428" customFormat="1" x14ac:dyDescent="0.2">
      <c r="BW898" s="439"/>
      <c r="BX898" s="439"/>
      <c r="BY898" s="439"/>
      <c r="BZ898" s="439"/>
      <c r="CA898" s="439"/>
      <c r="CB898" s="439"/>
      <c r="CC898" s="439"/>
      <c r="CD898" s="439"/>
      <c r="CE898" s="440"/>
      <c r="CF898" s="420"/>
      <c r="CG898" s="420"/>
      <c r="CH898" s="420"/>
    </row>
    <row r="899" spans="75:86" s="428" customFormat="1" x14ac:dyDescent="0.2">
      <c r="BW899" s="439"/>
      <c r="BX899" s="439"/>
      <c r="BY899" s="439"/>
      <c r="BZ899" s="439"/>
      <c r="CA899" s="439"/>
      <c r="CB899" s="439"/>
      <c r="CC899" s="439"/>
      <c r="CD899" s="439"/>
      <c r="CE899" s="440"/>
      <c r="CF899" s="420"/>
      <c r="CG899" s="420"/>
      <c r="CH899" s="420"/>
    </row>
    <row r="900" spans="75:86" s="428" customFormat="1" x14ac:dyDescent="0.2">
      <c r="BW900" s="439"/>
      <c r="BX900" s="439"/>
      <c r="BY900" s="439"/>
      <c r="BZ900" s="439"/>
      <c r="CA900" s="439"/>
      <c r="CB900" s="439"/>
      <c r="CC900" s="439"/>
      <c r="CD900" s="439"/>
      <c r="CE900" s="440"/>
      <c r="CF900" s="420"/>
      <c r="CG900" s="420"/>
      <c r="CH900" s="420"/>
    </row>
    <row r="901" spans="75:86" s="428" customFormat="1" x14ac:dyDescent="0.2">
      <c r="BW901" s="439"/>
      <c r="BX901" s="439"/>
      <c r="BY901" s="439"/>
      <c r="BZ901" s="439"/>
      <c r="CA901" s="439"/>
      <c r="CB901" s="439"/>
      <c r="CC901" s="439"/>
      <c r="CD901" s="439"/>
      <c r="CE901" s="440"/>
      <c r="CF901" s="420"/>
      <c r="CG901" s="420"/>
      <c r="CH901" s="420"/>
    </row>
    <row r="902" spans="75:86" s="428" customFormat="1" x14ac:dyDescent="0.2">
      <c r="BW902" s="439"/>
      <c r="BX902" s="439"/>
      <c r="BY902" s="439"/>
      <c r="BZ902" s="439"/>
      <c r="CA902" s="439"/>
      <c r="CB902" s="439"/>
      <c r="CC902" s="439"/>
      <c r="CD902" s="439"/>
      <c r="CE902" s="440"/>
      <c r="CF902" s="420"/>
      <c r="CG902" s="420"/>
      <c r="CH902" s="420"/>
    </row>
    <row r="903" spans="75:86" s="428" customFormat="1" x14ac:dyDescent="0.2">
      <c r="BW903" s="439"/>
      <c r="BX903" s="439"/>
      <c r="BY903" s="439"/>
      <c r="BZ903" s="439"/>
      <c r="CA903" s="439"/>
      <c r="CB903" s="439"/>
      <c r="CC903" s="439"/>
      <c r="CD903" s="439"/>
      <c r="CE903" s="440"/>
      <c r="CF903" s="420"/>
      <c r="CG903" s="420"/>
      <c r="CH903" s="420"/>
    </row>
    <row r="904" spans="75:86" s="428" customFormat="1" x14ac:dyDescent="0.2">
      <c r="BW904" s="439"/>
      <c r="BX904" s="439"/>
      <c r="BY904" s="439"/>
      <c r="BZ904" s="439"/>
      <c r="CA904" s="439"/>
      <c r="CB904" s="439"/>
      <c r="CC904" s="439"/>
      <c r="CD904" s="439"/>
      <c r="CE904" s="440"/>
      <c r="CF904" s="420"/>
      <c r="CG904" s="420"/>
      <c r="CH904" s="420"/>
    </row>
    <row r="905" spans="75:86" s="428" customFormat="1" x14ac:dyDescent="0.2">
      <c r="BW905" s="439"/>
      <c r="BX905" s="439"/>
      <c r="BY905" s="439"/>
      <c r="BZ905" s="439"/>
      <c r="CA905" s="439"/>
      <c r="CB905" s="439"/>
      <c r="CC905" s="439"/>
      <c r="CD905" s="439"/>
      <c r="CE905" s="440"/>
      <c r="CF905" s="420"/>
      <c r="CG905" s="420"/>
      <c r="CH905" s="420"/>
    </row>
    <row r="906" spans="75:86" s="428" customFormat="1" x14ac:dyDescent="0.2">
      <c r="BW906" s="439"/>
      <c r="BX906" s="439"/>
      <c r="BY906" s="439"/>
      <c r="BZ906" s="439"/>
      <c r="CA906" s="439"/>
      <c r="CB906" s="439"/>
      <c r="CC906" s="439"/>
      <c r="CD906" s="439"/>
      <c r="CE906" s="440"/>
      <c r="CF906" s="420"/>
      <c r="CG906" s="420"/>
      <c r="CH906" s="420"/>
    </row>
    <row r="907" spans="75:86" s="428" customFormat="1" x14ac:dyDescent="0.2">
      <c r="BW907" s="439"/>
      <c r="BX907" s="439"/>
      <c r="BY907" s="439"/>
      <c r="BZ907" s="439"/>
      <c r="CA907" s="439"/>
      <c r="CB907" s="439"/>
      <c r="CC907" s="439"/>
      <c r="CD907" s="439"/>
      <c r="CE907" s="440"/>
      <c r="CF907" s="420"/>
      <c r="CG907" s="420"/>
      <c r="CH907" s="420"/>
    </row>
    <row r="908" spans="75:86" s="428" customFormat="1" x14ac:dyDescent="0.2">
      <c r="BW908" s="439"/>
      <c r="BX908" s="439"/>
      <c r="BY908" s="439"/>
      <c r="BZ908" s="439"/>
      <c r="CA908" s="439"/>
      <c r="CB908" s="439"/>
      <c r="CC908" s="439"/>
      <c r="CD908" s="439"/>
      <c r="CE908" s="440"/>
      <c r="CF908" s="420"/>
      <c r="CG908" s="420"/>
      <c r="CH908" s="420"/>
    </row>
    <row r="909" spans="75:86" s="428" customFormat="1" x14ac:dyDescent="0.2">
      <c r="BW909" s="439"/>
      <c r="BX909" s="439"/>
      <c r="BY909" s="439"/>
      <c r="BZ909" s="439"/>
      <c r="CA909" s="439"/>
      <c r="CB909" s="439"/>
      <c r="CC909" s="439"/>
      <c r="CD909" s="439"/>
      <c r="CE909" s="440"/>
      <c r="CF909" s="420"/>
      <c r="CG909" s="420"/>
      <c r="CH909" s="420"/>
    </row>
    <row r="910" spans="75:86" s="428" customFormat="1" x14ac:dyDescent="0.2">
      <c r="BW910" s="439"/>
      <c r="BX910" s="439"/>
      <c r="BY910" s="439"/>
      <c r="BZ910" s="439"/>
      <c r="CA910" s="439"/>
      <c r="CB910" s="439"/>
      <c r="CC910" s="439"/>
      <c r="CD910" s="439"/>
      <c r="CE910" s="440"/>
      <c r="CF910" s="420"/>
      <c r="CG910" s="420"/>
      <c r="CH910" s="420"/>
    </row>
    <row r="911" spans="75:86" s="428" customFormat="1" x14ac:dyDescent="0.2">
      <c r="BW911" s="439"/>
      <c r="BX911" s="439"/>
      <c r="BY911" s="439"/>
      <c r="BZ911" s="439"/>
      <c r="CA911" s="439"/>
      <c r="CB911" s="439"/>
      <c r="CC911" s="439"/>
      <c r="CD911" s="439"/>
      <c r="CE911" s="440"/>
      <c r="CF911" s="420"/>
      <c r="CG911" s="420"/>
      <c r="CH911" s="420"/>
    </row>
    <row r="912" spans="75:86" s="428" customFormat="1" x14ac:dyDescent="0.2">
      <c r="BW912" s="439"/>
      <c r="BX912" s="439"/>
      <c r="BY912" s="439"/>
      <c r="BZ912" s="439"/>
      <c r="CA912" s="439"/>
      <c r="CB912" s="439"/>
      <c r="CC912" s="439"/>
      <c r="CD912" s="439"/>
      <c r="CE912" s="440"/>
      <c r="CF912" s="420"/>
      <c r="CG912" s="420"/>
      <c r="CH912" s="420"/>
    </row>
    <row r="913" spans="75:86" s="428" customFormat="1" x14ac:dyDescent="0.2">
      <c r="BW913" s="439"/>
      <c r="BX913" s="439"/>
      <c r="BY913" s="439"/>
      <c r="BZ913" s="439"/>
      <c r="CA913" s="439"/>
      <c r="CB913" s="439"/>
      <c r="CC913" s="439"/>
      <c r="CD913" s="439"/>
      <c r="CE913" s="440"/>
      <c r="CF913" s="420"/>
      <c r="CG913" s="420"/>
      <c r="CH913" s="420"/>
    </row>
    <row r="914" spans="75:86" s="428" customFormat="1" x14ac:dyDescent="0.2">
      <c r="BW914" s="439"/>
      <c r="BX914" s="439"/>
      <c r="BY914" s="439"/>
      <c r="BZ914" s="439"/>
      <c r="CA914" s="439"/>
      <c r="CB914" s="439"/>
      <c r="CC914" s="439"/>
      <c r="CD914" s="439"/>
      <c r="CE914" s="440"/>
      <c r="CF914" s="420"/>
      <c r="CG914" s="420"/>
      <c r="CH914" s="420"/>
    </row>
    <row r="915" spans="75:86" s="428" customFormat="1" x14ac:dyDescent="0.2">
      <c r="BW915" s="439"/>
      <c r="BX915" s="439"/>
      <c r="BY915" s="439"/>
      <c r="BZ915" s="439"/>
      <c r="CA915" s="439"/>
      <c r="CB915" s="439"/>
      <c r="CC915" s="439"/>
      <c r="CD915" s="439"/>
      <c r="CE915" s="440"/>
      <c r="CF915" s="420"/>
      <c r="CG915" s="420"/>
      <c r="CH915" s="420"/>
    </row>
    <row r="916" spans="75:86" s="428" customFormat="1" x14ac:dyDescent="0.2">
      <c r="BW916" s="439"/>
      <c r="BX916" s="439"/>
      <c r="BY916" s="439"/>
      <c r="BZ916" s="439"/>
      <c r="CA916" s="439"/>
      <c r="CB916" s="439"/>
      <c r="CC916" s="439"/>
      <c r="CD916" s="439"/>
      <c r="CE916" s="440"/>
      <c r="CF916" s="420"/>
      <c r="CG916" s="420"/>
      <c r="CH916" s="420"/>
    </row>
    <row r="917" spans="75:86" s="428" customFormat="1" x14ac:dyDescent="0.2">
      <c r="BW917" s="439"/>
      <c r="BX917" s="439"/>
      <c r="BY917" s="439"/>
      <c r="BZ917" s="439"/>
      <c r="CA917" s="439"/>
      <c r="CB917" s="439"/>
      <c r="CC917" s="439"/>
      <c r="CD917" s="439"/>
      <c r="CE917" s="440"/>
      <c r="CF917" s="420"/>
      <c r="CG917" s="420"/>
      <c r="CH917" s="420"/>
    </row>
    <row r="918" spans="75:86" s="428" customFormat="1" x14ac:dyDescent="0.2">
      <c r="BW918" s="439"/>
      <c r="BX918" s="439"/>
      <c r="BY918" s="439"/>
      <c r="BZ918" s="439"/>
      <c r="CA918" s="439"/>
      <c r="CB918" s="439"/>
      <c r="CC918" s="439"/>
      <c r="CD918" s="439"/>
      <c r="CE918" s="440"/>
      <c r="CF918" s="420"/>
      <c r="CG918" s="420"/>
      <c r="CH918" s="420"/>
    </row>
    <row r="919" spans="75:86" s="428" customFormat="1" x14ac:dyDescent="0.2">
      <c r="BW919" s="439"/>
      <c r="BX919" s="439"/>
      <c r="BY919" s="439"/>
      <c r="BZ919" s="439"/>
      <c r="CA919" s="439"/>
      <c r="CB919" s="439"/>
      <c r="CC919" s="439"/>
      <c r="CD919" s="439"/>
      <c r="CE919" s="440"/>
      <c r="CF919" s="420"/>
      <c r="CG919" s="420"/>
      <c r="CH919" s="420"/>
    </row>
    <row r="920" spans="75:86" s="428" customFormat="1" x14ac:dyDescent="0.2">
      <c r="BW920" s="439"/>
      <c r="BX920" s="439"/>
      <c r="BY920" s="439"/>
      <c r="BZ920" s="439"/>
      <c r="CA920" s="439"/>
      <c r="CB920" s="439"/>
      <c r="CC920" s="439"/>
      <c r="CD920" s="439"/>
      <c r="CE920" s="440"/>
      <c r="CF920" s="420"/>
      <c r="CG920" s="420"/>
      <c r="CH920" s="420"/>
    </row>
    <row r="921" spans="75:86" s="428" customFormat="1" x14ac:dyDescent="0.2">
      <c r="BW921" s="439"/>
      <c r="BX921" s="439"/>
      <c r="BY921" s="439"/>
      <c r="BZ921" s="439"/>
      <c r="CA921" s="439"/>
      <c r="CB921" s="439"/>
      <c r="CC921" s="439"/>
      <c r="CD921" s="439"/>
      <c r="CE921" s="440"/>
      <c r="CF921" s="420"/>
      <c r="CG921" s="420"/>
      <c r="CH921" s="420"/>
    </row>
    <row r="922" spans="75:86" s="428" customFormat="1" x14ac:dyDescent="0.2">
      <c r="BW922" s="439"/>
      <c r="BX922" s="439"/>
      <c r="BY922" s="439"/>
      <c r="BZ922" s="439"/>
      <c r="CA922" s="439"/>
      <c r="CB922" s="439"/>
      <c r="CC922" s="439"/>
      <c r="CD922" s="439"/>
      <c r="CE922" s="440"/>
      <c r="CF922" s="420"/>
      <c r="CG922" s="420"/>
      <c r="CH922" s="420"/>
    </row>
    <row r="923" spans="75:86" s="428" customFormat="1" x14ac:dyDescent="0.2">
      <c r="BW923" s="439"/>
      <c r="BX923" s="439"/>
      <c r="BY923" s="439"/>
      <c r="BZ923" s="439"/>
      <c r="CA923" s="439"/>
      <c r="CB923" s="439"/>
      <c r="CC923" s="439"/>
      <c r="CD923" s="439"/>
      <c r="CE923" s="440"/>
      <c r="CF923" s="420"/>
      <c r="CG923" s="420"/>
      <c r="CH923" s="420"/>
    </row>
    <row r="924" spans="75:86" s="428" customFormat="1" x14ac:dyDescent="0.2">
      <c r="BW924" s="439"/>
      <c r="BX924" s="439"/>
      <c r="BY924" s="439"/>
      <c r="BZ924" s="439"/>
      <c r="CA924" s="439"/>
      <c r="CB924" s="439"/>
      <c r="CC924" s="439"/>
      <c r="CD924" s="439"/>
      <c r="CE924" s="440"/>
      <c r="CF924" s="420"/>
      <c r="CG924" s="420"/>
      <c r="CH924" s="420"/>
    </row>
    <row r="925" spans="75:86" s="428" customFormat="1" x14ac:dyDescent="0.2">
      <c r="BW925" s="439"/>
      <c r="BX925" s="439"/>
      <c r="BY925" s="439"/>
      <c r="BZ925" s="439"/>
      <c r="CA925" s="439"/>
      <c r="CB925" s="439"/>
      <c r="CC925" s="439"/>
      <c r="CD925" s="439"/>
      <c r="CE925" s="440"/>
      <c r="CF925" s="420"/>
      <c r="CG925" s="420"/>
      <c r="CH925" s="420"/>
    </row>
    <row r="926" spans="75:86" s="428" customFormat="1" x14ac:dyDescent="0.2">
      <c r="BW926" s="439"/>
      <c r="BX926" s="439"/>
      <c r="BY926" s="439"/>
      <c r="BZ926" s="439"/>
      <c r="CA926" s="439"/>
      <c r="CB926" s="439"/>
      <c r="CC926" s="439"/>
      <c r="CD926" s="439"/>
      <c r="CE926" s="440"/>
      <c r="CF926" s="420"/>
      <c r="CG926" s="420"/>
      <c r="CH926" s="420"/>
    </row>
    <row r="927" spans="75:86" s="428" customFormat="1" x14ac:dyDescent="0.2">
      <c r="BW927" s="439"/>
      <c r="BX927" s="439"/>
      <c r="BY927" s="439"/>
      <c r="BZ927" s="439"/>
      <c r="CA927" s="439"/>
      <c r="CB927" s="439"/>
      <c r="CC927" s="439"/>
      <c r="CD927" s="439"/>
      <c r="CE927" s="440"/>
      <c r="CF927" s="420"/>
      <c r="CG927" s="420"/>
      <c r="CH927" s="420"/>
    </row>
    <row r="928" spans="75:86" s="428" customFormat="1" x14ac:dyDescent="0.2">
      <c r="BW928" s="439"/>
      <c r="BX928" s="439"/>
      <c r="BY928" s="439"/>
      <c r="BZ928" s="439"/>
      <c r="CA928" s="439"/>
      <c r="CB928" s="439"/>
      <c r="CC928" s="439"/>
      <c r="CD928" s="439"/>
      <c r="CE928" s="440"/>
      <c r="CF928" s="420"/>
      <c r="CG928" s="420"/>
      <c r="CH928" s="420"/>
    </row>
    <row r="929" spans="75:86" s="428" customFormat="1" x14ac:dyDescent="0.2">
      <c r="BW929" s="439"/>
      <c r="BX929" s="439"/>
      <c r="BY929" s="439"/>
      <c r="BZ929" s="439"/>
      <c r="CA929" s="439"/>
      <c r="CB929" s="439"/>
      <c r="CC929" s="439"/>
      <c r="CD929" s="439"/>
      <c r="CE929" s="440"/>
      <c r="CF929" s="420"/>
      <c r="CG929" s="420"/>
      <c r="CH929" s="420"/>
    </row>
    <row r="930" spans="75:86" s="428" customFormat="1" x14ac:dyDescent="0.2">
      <c r="BW930" s="439"/>
      <c r="BX930" s="439"/>
      <c r="BY930" s="439"/>
      <c r="BZ930" s="439"/>
      <c r="CA930" s="439"/>
      <c r="CB930" s="439"/>
      <c r="CC930" s="439"/>
      <c r="CD930" s="439"/>
      <c r="CE930" s="440"/>
      <c r="CF930" s="420"/>
      <c r="CG930" s="420"/>
      <c r="CH930" s="420"/>
    </row>
    <row r="931" spans="75:86" s="428" customFormat="1" x14ac:dyDescent="0.2">
      <c r="BW931" s="439"/>
      <c r="BX931" s="439"/>
      <c r="BY931" s="439"/>
      <c r="BZ931" s="439"/>
      <c r="CA931" s="439"/>
      <c r="CB931" s="439"/>
      <c r="CC931" s="439"/>
      <c r="CD931" s="439"/>
      <c r="CE931" s="440"/>
      <c r="CF931" s="420"/>
      <c r="CG931" s="420"/>
      <c r="CH931" s="420"/>
    </row>
    <row r="932" spans="75:86" s="428" customFormat="1" x14ac:dyDescent="0.2">
      <c r="BW932" s="439"/>
      <c r="BX932" s="439"/>
      <c r="BY932" s="439"/>
      <c r="BZ932" s="439"/>
      <c r="CA932" s="439"/>
      <c r="CB932" s="439"/>
      <c r="CC932" s="439"/>
      <c r="CD932" s="439"/>
      <c r="CE932" s="440"/>
      <c r="CF932" s="420"/>
      <c r="CG932" s="420"/>
      <c r="CH932" s="420"/>
    </row>
    <row r="933" spans="75:86" s="428" customFormat="1" x14ac:dyDescent="0.2">
      <c r="BW933" s="439"/>
      <c r="BX933" s="439"/>
      <c r="BY933" s="439"/>
      <c r="BZ933" s="439"/>
      <c r="CA933" s="439"/>
      <c r="CB933" s="439"/>
      <c r="CC933" s="439"/>
      <c r="CD933" s="439"/>
      <c r="CE933" s="440"/>
      <c r="CF933" s="420"/>
      <c r="CG933" s="420"/>
      <c r="CH933" s="420"/>
    </row>
    <row r="934" spans="75:86" s="428" customFormat="1" x14ac:dyDescent="0.2">
      <c r="BW934" s="439"/>
      <c r="BX934" s="439"/>
      <c r="BY934" s="439"/>
      <c r="BZ934" s="439"/>
      <c r="CA934" s="439"/>
      <c r="CB934" s="439"/>
      <c r="CC934" s="439"/>
      <c r="CD934" s="439"/>
      <c r="CE934" s="440"/>
      <c r="CF934" s="420"/>
      <c r="CG934" s="420"/>
      <c r="CH934" s="420"/>
    </row>
    <row r="935" spans="75:86" s="428" customFormat="1" x14ac:dyDescent="0.2">
      <c r="BW935" s="439"/>
      <c r="BX935" s="439"/>
      <c r="BY935" s="439"/>
      <c r="BZ935" s="439"/>
      <c r="CA935" s="439"/>
      <c r="CB935" s="439"/>
      <c r="CC935" s="439"/>
      <c r="CD935" s="439"/>
      <c r="CE935" s="440"/>
      <c r="CF935" s="420"/>
      <c r="CG935" s="420"/>
      <c r="CH935" s="420"/>
    </row>
    <row r="936" spans="75:86" s="428" customFormat="1" x14ac:dyDescent="0.2">
      <c r="BW936" s="439"/>
      <c r="BX936" s="439"/>
      <c r="BY936" s="439"/>
      <c r="BZ936" s="439"/>
      <c r="CA936" s="439"/>
      <c r="CB936" s="439"/>
      <c r="CC936" s="439"/>
      <c r="CD936" s="439"/>
      <c r="CE936" s="440"/>
      <c r="CF936" s="420"/>
      <c r="CG936" s="420"/>
      <c r="CH936" s="420"/>
    </row>
    <row r="937" spans="75:86" s="428" customFormat="1" x14ac:dyDescent="0.2">
      <c r="BW937" s="439"/>
      <c r="BX937" s="439"/>
      <c r="BY937" s="439"/>
      <c r="BZ937" s="439"/>
      <c r="CA937" s="439"/>
      <c r="CB937" s="439"/>
      <c r="CC937" s="439"/>
      <c r="CD937" s="439"/>
      <c r="CE937" s="440"/>
      <c r="CF937" s="420"/>
      <c r="CG937" s="420"/>
      <c r="CH937" s="420"/>
    </row>
    <row r="938" spans="75:86" s="428" customFormat="1" x14ac:dyDescent="0.2">
      <c r="BW938" s="439"/>
      <c r="BX938" s="439"/>
      <c r="BY938" s="439"/>
      <c r="BZ938" s="439"/>
      <c r="CA938" s="439"/>
      <c r="CB938" s="439"/>
      <c r="CC938" s="439"/>
      <c r="CD938" s="439"/>
      <c r="CE938" s="440"/>
      <c r="CF938" s="420"/>
      <c r="CG938" s="420"/>
      <c r="CH938" s="420"/>
    </row>
    <row r="939" spans="75:86" s="428" customFormat="1" x14ac:dyDescent="0.2">
      <c r="BW939" s="439"/>
      <c r="BX939" s="439"/>
      <c r="BY939" s="439"/>
      <c r="BZ939" s="439"/>
      <c r="CA939" s="439"/>
      <c r="CB939" s="439"/>
      <c r="CC939" s="439"/>
      <c r="CD939" s="439"/>
      <c r="CE939" s="440"/>
      <c r="CF939" s="420"/>
      <c r="CG939" s="420"/>
      <c r="CH939" s="420"/>
    </row>
    <row r="940" spans="75:86" s="428" customFormat="1" x14ac:dyDescent="0.2">
      <c r="BW940" s="439"/>
      <c r="BX940" s="439"/>
      <c r="BY940" s="439"/>
      <c r="BZ940" s="439"/>
      <c r="CA940" s="439"/>
      <c r="CB940" s="439"/>
      <c r="CC940" s="439"/>
      <c r="CD940" s="439"/>
      <c r="CE940" s="440"/>
      <c r="CF940" s="420"/>
      <c r="CG940" s="420"/>
      <c r="CH940" s="420"/>
    </row>
    <row r="941" spans="75:86" s="428" customFormat="1" x14ac:dyDescent="0.2">
      <c r="BW941" s="439"/>
      <c r="BX941" s="439"/>
      <c r="BY941" s="439"/>
      <c r="BZ941" s="439"/>
      <c r="CA941" s="439"/>
      <c r="CB941" s="439"/>
      <c r="CC941" s="439"/>
      <c r="CD941" s="439"/>
      <c r="CE941" s="440"/>
      <c r="CF941" s="420"/>
      <c r="CG941" s="420"/>
      <c r="CH941" s="420"/>
    </row>
    <row r="942" spans="75:86" s="428" customFormat="1" x14ac:dyDescent="0.2">
      <c r="BW942" s="439"/>
      <c r="BX942" s="439"/>
      <c r="BY942" s="439"/>
      <c r="BZ942" s="439"/>
      <c r="CA942" s="439"/>
      <c r="CB942" s="439"/>
      <c r="CC942" s="439"/>
      <c r="CD942" s="439"/>
      <c r="CE942" s="440"/>
      <c r="CF942" s="420"/>
      <c r="CG942" s="420"/>
      <c r="CH942" s="420"/>
    </row>
    <row r="943" spans="75:86" s="428" customFormat="1" x14ac:dyDescent="0.2">
      <c r="BW943" s="439"/>
      <c r="BX943" s="439"/>
      <c r="BY943" s="439"/>
      <c r="BZ943" s="439"/>
      <c r="CA943" s="439"/>
      <c r="CB943" s="439"/>
      <c r="CC943" s="439"/>
      <c r="CD943" s="439"/>
      <c r="CE943" s="440"/>
      <c r="CF943" s="420"/>
      <c r="CG943" s="420"/>
      <c r="CH943" s="420"/>
    </row>
    <row r="944" spans="75:86" s="428" customFormat="1" x14ac:dyDescent="0.2">
      <c r="BW944" s="439"/>
      <c r="BX944" s="439"/>
      <c r="BY944" s="439"/>
      <c r="BZ944" s="439"/>
      <c r="CA944" s="439"/>
      <c r="CB944" s="439"/>
      <c r="CC944" s="439"/>
      <c r="CD944" s="439"/>
      <c r="CE944" s="440"/>
      <c r="CF944" s="420"/>
      <c r="CG944" s="420"/>
      <c r="CH944" s="420"/>
    </row>
    <row r="945" spans="75:86" s="428" customFormat="1" x14ac:dyDescent="0.2">
      <c r="BW945" s="439"/>
      <c r="BX945" s="439"/>
      <c r="BY945" s="439"/>
      <c r="BZ945" s="439"/>
      <c r="CA945" s="439"/>
      <c r="CB945" s="439"/>
      <c r="CC945" s="439"/>
      <c r="CD945" s="439"/>
      <c r="CE945" s="440"/>
      <c r="CF945" s="420"/>
      <c r="CG945" s="420"/>
      <c r="CH945" s="420"/>
    </row>
    <row r="946" spans="75:86" s="428" customFormat="1" x14ac:dyDescent="0.2">
      <c r="BW946" s="439"/>
      <c r="BX946" s="439"/>
      <c r="BY946" s="439"/>
      <c r="BZ946" s="439"/>
      <c r="CA946" s="439"/>
      <c r="CB946" s="439"/>
      <c r="CC946" s="439"/>
      <c r="CD946" s="439"/>
      <c r="CE946" s="440"/>
      <c r="CF946" s="420"/>
      <c r="CG946" s="420"/>
      <c r="CH946" s="420"/>
    </row>
    <row r="947" spans="75:86" s="428" customFormat="1" x14ac:dyDescent="0.2">
      <c r="BW947" s="439"/>
      <c r="BX947" s="439"/>
      <c r="BY947" s="439"/>
      <c r="BZ947" s="439"/>
      <c r="CA947" s="439"/>
      <c r="CB947" s="439"/>
      <c r="CC947" s="439"/>
      <c r="CD947" s="439"/>
      <c r="CE947" s="440"/>
      <c r="CF947" s="420"/>
      <c r="CG947" s="420"/>
      <c r="CH947" s="420"/>
    </row>
    <row r="948" spans="75:86" s="428" customFormat="1" x14ac:dyDescent="0.2">
      <c r="BW948" s="439"/>
      <c r="BX948" s="439"/>
      <c r="BY948" s="439"/>
      <c r="BZ948" s="439"/>
      <c r="CA948" s="439"/>
      <c r="CB948" s="439"/>
      <c r="CC948" s="439"/>
      <c r="CD948" s="439"/>
      <c r="CE948" s="440"/>
      <c r="CF948" s="420"/>
      <c r="CG948" s="420"/>
      <c r="CH948" s="420"/>
    </row>
    <row r="949" spans="75:86" s="428" customFormat="1" x14ac:dyDescent="0.2">
      <c r="BW949" s="439"/>
      <c r="BX949" s="439"/>
      <c r="BY949" s="439"/>
      <c r="BZ949" s="439"/>
      <c r="CA949" s="439"/>
      <c r="CB949" s="439"/>
      <c r="CC949" s="439"/>
      <c r="CD949" s="439"/>
      <c r="CE949" s="440"/>
      <c r="CF949" s="420"/>
      <c r="CG949" s="420"/>
      <c r="CH949" s="420"/>
    </row>
    <row r="950" spans="75:86" s="428" customFormat="1" x14ac:dyDescent="0.2">
      <c r="BW950" s="439"/>
      <c r="BX950" s="439"/>
      <c r="BY950" s="439"/>
      <c r="BZ950" s="439"/>
      <c r="CA950" s="439"/>
      <c r="CB950" s="439"/>
      <c r="CC950" s="439"/>
      <c r="CD950" s="439"/>
      <c r="CE950" s="440"/>
      <c r="CF950" s="420"/>
      <c r="CG950" s="420"/>
      <c r="CH950" s="420"/>
    </row>
    <row r="951" spans="75:86" s="428" customFormat="1" x14ac:dyDescent="0.2">
      <c r="BW951" s="439"/>
      <c r="BX951" s="439"/>
      <c r="BY951" s="439"/>
      <c r="BZ951" s="439"/>
      <c r="CA951" s="439"/>
      <c r="CB951" s="439"/>
      <c r="CC951" s="439"/>
      <c r="CD951" s="439"/>
      <c r="CE951" s="440"/>
      <c r="CF951" s="420"/>
      <c r="CG951" s="420"/>
      <c r="CH951" s="420"/>
    </row>
    <row r="952" spans="75:86" s="428" customFormat="1" x14ac:dyDescent="0.2">
      <c r="BW952" s="439"/>
      <c r="BX952" s="439"/>
      <c r="BY952" s="439"/>
      <c r="BZ952" s="439"/>
      <c r="CA952" s="439"/>
      <c r="CB952" s="439"/>
      <c r="CC952" s="439"/>
      <c r="CD952" s="439"/>
      <c r="CE952" s="440"/>
      <c r="CF952" s="420"/>
      <c r="CG952" s="420"/>
      <c r="CH952" s="420"/>
    </row>
    <row r="953" spans="75:86" s="428" customFormat="1" x14ac:dyDescent="0.2">
      <c r="BW953" s="439"/>
      <c r="BX953" s="439"/>
      <c r="BY953" s="439"/>
      <c r="BZ953" s="439"/>
      <c r="CA953" s="439"/>
      <c r="CB953" s="439"/>
      <c r="CC953" s="439"/>
      <c r="CD953" s="439"/>
      <c r="CE953" s="440"/>
      <c r="CF953" s="420"/>
      <c r="CG953" s="420"/>
      <c r="CH953" s="420"/>
    </row>
    <row r="954" spans="75:86" s="428" customFormat="1" x14ac:dyDescent="0.2">
      <c r="BW954" s="439"/>
      <c r="BX954" s="439"/>
      <c r="BY954" s="439"/>
      <c r="BZ954" s="439"/>
      <c r="CA954" s="439"/>
      <c r="CB954" s="439"/>
      <c r="CC954" s="439"/>
      <c r="CD954" s="439"/>
      <c r="CE954" s="440"/>
      <c r="CF954" s="420"/>
      <c r="CG954" s="420"/>
      <c r="CH954" s="420"/>
    </row>
    <row r="955" spans="75:86" s="428" customFormat="1" x14ac:dyDescent="0.2">
      <c r="BW955" s="439"/>
      <c r="BX955" s="439"/>
      <c r="BY955" s="439"/>
      <c r="BZ955" s="439"/>
      <c r="CA955" s="439"/>
      <c r="CB955" s="439"/>
      <c r="CC955" s="439"/>
      <c r="CD955" s="439"/>
      <c r="CE955" s="440"/>
      <c r="CF955" s="420"/>
      <c r="CG955" s="420"/>
      <c r="CH955" s="420"/>
    </row>
    <row r="956" spans="75:86" s="428" customFormat="1" x14ac:dyDescent="0.2">
      <c r="BW956" s="439"/>
      <c r="BX956" s="439"/>
      <c r="BY956" s="439"/>
      <c r="BZ956" s="439"/>
      <c r="CA956" s="439"/>
      <c r="CB956" s="439"/>
      <c r="CC956" s="439"/>
      <c r="CD956" s="439"/>
      <c r="CE956" s="440"/>
      <c r="CF956" s="420"/>
      <c r="CG956" s="420"/>
      <c r="CH956" s="420"/>
    </row>
    <row r="957" spans="75:86" s="428" customFormat="1" x14ac:dyDescent="0.2">
      <c r="BW957" s="439"/>
      <c r="BX957" s="439"/>
      <c r="BY957" s="439"/>
      <c r="BZ957" s="439"/>
      <c r="CA957" s="439"/>
      <c r="CB957" s="439"/>
      <c r="CC957" s="439"/>
      <c r="CD957" s="439"/>
      <c r="CE957" s="440"/>
      <c r="CF957" s="420"/>
      <c r="CG957" s="420"/>
      <c r="CH957" s="420"/>
    </row>
    <row r="958" spans="75:86" s="428" customFormat="1" x14ac:dyDescent="0.2">
      <c r="BW958" s="439"/>
      <c r="BX958" s="439"/>
      <c r="BY958" s="439"/>
      <c r="BZ958" s="439"/>
      <c r="CA958" s="439"/>
      <c r="CB958" s="439"/>
      <c r="CC958" s="439"/>
      <c r="CD958" s="439"/>
      <c r="CE958" s="440"/>
      <c r="CF958" s="420"/>
      <c r="CG958" s="420"/>
      <c r="CH958" s="420"/>
    </row>
    <row r="959" spans="75:86" s="428" customFormat="1" x14ac:dyDescent="0.2">
      <c r="BW959" s="439"/>
      <c r="BX959" s="439"/>
      <c r="BY959" s="439"/>
      <c r="BZ959" s="439"/>
      <c r="CA959" s="439"/>
      <c r="CB959" s="439"/>
      <c r="CC959" s="439"/>
      <c r="CD959" s="439"/>
      <c r="CE959" s="440"/>
      <c r="CF959" s="420"/>
      <c r="CG959" s="420"/>
      <c r="CH959" s="420"/>
    </row>
    <row r="960" spans="75:86" s="428" customFormat="1" x14ac:dyDescent="0.2">
      <c r="BW960" s="439"/>
      <c r="BX960" s="439"/>
      <c r="BY960" s="439"/>
      <c r="BZ960" s="439"/>
      <c r="CA960" s="439"/>
      <c r="CB960" s="439"/>
      <c r="CC960" s="439"/>
      <c r="CD960" s="439"/>
      <c r="CE960" s="440"/>
      <c r="CF960" s="420"/>
      <c r="CG960" s="420"/>
      <c r="CH960" s="420"/>
    </row>
    <row r="961" spans="75:86" s="428" customFormat="1" x14ac:dyDescent="0.2">
      <c r="BW961" s="439"/>
      <c r="BX961" s="439"/>
      <c r="BY961" s="439"/>
      <c r="BZ961" s="439"/>
      <c r="CA961" s="439"/>
      <c r="CB961" s="439"/>
      <c r="CC961" s="439"/>
      <c r="CD961" s="439"/>
      <c r="CE961" s="440"/>
      <c r="CF961" s="420"/>
      <c r="CG961" s="420"/>
      <c r="CH961" s="420"/>
    </row>
    <row r="962" spans="75:86" s="428" customFormat="1" x14ac:dyDescent="0.2">
      <c r="BW962" s="439"/>
      <c r="BX962" s="439"/>
      <c r="BY962" s="439"/>
      <c r="BZ962" s="439"/>
      <c r="CA962" s="439"/>
      <c r="CB962" s="439"/>
      <c r="CC962" s="439"/>
      <c r="CD962" s="439"/>
      <c r="CE962" s="440"/>
      <c r="CF962" s="420"/>
      <c r="CG962" s="420"/>
      <c r="CH962" s="420"/>
    </row>
    <row r="963" spans="75:86" s="428" customFormat="1" x14ac:dyDescent="0.2">
      <c r="BW963" s="439"/>
      <c r="BX963" s="439"/>
      <c r="BY963" s="439"/>
      <c r="BZ963" s="439"/>
      <c r="CA963" s="439"/>
      <c r="CB963" s="439"/>
      <c r="CC963" s="439"/>
      <c r="CD963" s="439"/>
      <c r="CE963" s="440"/>
      <c r="CF963" s="420"/>
      <c r="CG963" s="420"/>
      <c r="CH963" s="420"/>
    </row>
    <row r="964" spans="75:86" s="428" customFormat="1" x14ac:dyDescent="0.2">
      <c r="BW964" s="439"/>
      <c r="BX964" s="439"/>
      <c r="BY964" s="439"/>
      <c r="BZ964" s="439"/>
      <c r="CA964" s="439"/>
      <c r="CB964" s="439"/>
      <c r="CC964" s="439"/>
      <c r="CD964" s="439"/>
      <c r="CE964" s="440"/>
      <c r="CF964" s="420"/>
      <c r="CG964" s="420"/>
      <c r="CH964" s="420"/>
    </row>
    <row r="965" spans="75:86" s="428" customFormat="1" x14ac:dyDescent="0.2">
      <c r="BW965" s="439"/>
      <c r="BX965" s="439"/>
      <c r="BY965" s="439"/>
      <c r="BZ965" s="439"/>
      <c r="CA965" s="439"/>
      <c r="CB965" s="439"/>
      <c r="CC965" s="439"/>
      <c r="CD965" s="439"/>
      <c r="CE965" s="440"/>
      <c r="CF965" s="420"/>
      <c r="CG965" s="420"/>
      <c r="CH965" s="420"/>
    </row>
    <row r="966" spans="75:86" s="428" customFormat="1" x14ac:dyDescent="0.2">
      <c r="BW966" s="439"/>
      <c r="BX966" s="439"/>
      <c r="BY966" s="439"/>
      <c r="BZ966" s="439"/>
      <c r="CA966" s="439"/>
      <c r="CB966" s="439"/>
      <c r="CC966" s="439"/>
      <c r="CD966" s="439"/>
      <c r="CE966" s="440"/>
      <c r="CF966" s="420"/>
      <c r="CG966" s="420"/>
      <c r="CH966" s="420"/>
    </row>
    <row r="967" spans="75:86" s="428" customFormat="1" x14ac:dyDescent="0.2">
      <c r="BW967" s="439"/>
      <c r="BX967" s="439"/>
      <c r="BY967" s="439"/>
      <c r="BZ967" s="439"/>
      <c r="CA967" s="439"/>
      <c r="CB967" s="439"/>
      <c r="CC967" s="439"/>
      <c r="CD967" s="439"/>
      <c r="CE967" s="440"/>
      <c r="CF967" s="420"/>
      <c r="CG967" s="420"/>
      <c r="CH967" s="420"/>
    </row>
    <row r="968" spans="75:86" s="428" customFormat="1" x14ac:dyDescent="0.2">
      <c r="BW968" s="439"/>
      <c r="BX968" s="439"/>
      <c r="BY968" s="439"/>
      <c r="BZ968" s="439"/>
      <c r="CA968" s="439"/>
      <c r="CB968" s="439"/>
      <c r="CC968" s="439"/>
      <c r="CD968" s="439"/>
      <c r="CE968" s="440"/>
      <c r="CF968" s="420"/>
      <c r="CG968" s="420"/>
      <c r="CH968" s="420"/>
    </row>
    <row r="969" spans="75:86" s="428" customFormat="1" x14ac:dyDescent="0.2">
      <c r="BW969" s="439"/>
      <c r="BX969" s="439"/>
      <c r="BY969" s="439"/>
      <c r="BZ969" s="439"/>
      <c r="CA969" s="439"/>
      <c r="CB969" s="439"/>
      <c r="CC969" s="439"/>
      <c r="CD969" s="439"/>
      <c r="CE969" s="440"/>
      <c r="CF969" s="420"/>
      <c r="CG969" s="420"/>
      <c r="CH969" s="420"/>
    </row>
    <row r="970" spans="75:86" s="428" customFormat="1" x14ac:dyDescent="0.2">
      <c r="BW970" s="439"/>
      <c r="BX970" s="439"/>
      <c r="BY970" s="439"/>
      <c r="BZ970" s="439"/>
      <c r="CA970" s="439"/>
      <c r="CB970" s="439"/>
      <c r="CC970" s="439"/>
      <c r="CD970" s="439"/>
      <c r="CE970" s="440"/>
      <c r="CF970" s="420"/>
      <c r="CG970" s="420"/>
      <c r="CH970" s="420"/>
    </row>
    <row r="971" spans="75:86" s="428" customFormat="1" x14ac:dyDescent="0.2">
      <c r="BW971" s="439"/>
      <c r="BX971" s="439"/>
      <c r="BY971" s="439"/>
      <c r="BZ971" s="439"/>
      <c r="CA971" s="439"/>
      <c r="CB971" s="439"/>
      <c r="CC971" s="439"/>
      <c r="CD971" s="439"/>
      <c r="CE971" s="440"/>
      <c r="CF971" s="420"/>
      <c r="CG971" s="420"/>
      <c r="CH971" s="420"/>
    </row>
    <row r="972" spans="75:86" s="428" customFormat="1" x14ac:dyDescent="0.2">
      <c r="BW972" s="439"/>
      <c r="BX972" s="439"/>
      <c r="BY972" s="439"/>
      <c r="BZ972" s="439"/>
      <c r="CA972" s="439"/>
      <c r="CB972" s="439"/>
      <c r="CC972" s="439"/>
      <c r="CD972" s="439"/>
      <c r="CE972" s="440"/>
      <c r="CF972" s="420"/>
      <c r="CG972" s="420"/>
      <c r="CH972" s="420"/>
    </row>
    <row r="973" spans="75:86" s="428" customFormat="1" x14ac:dyDescent="0.2">
      <c r="BW973" s="439"/>
      <c r="BX973" s="439"/>
      <c r="BY973" s="439"/>
      <c r="BZ973" s="439"/>
      <c r="CA973" s="439"/>
      <c r="CB973" s="439"/>
      <c r="CC973" s="439"/>
      <c r="CD973" s="439"/>
      <c r="CE973" s="440"/>
      <c r="CF973" s="420"/>
      <c r="CG973" s="420"/>
      <c r="CH973" s="420"/>
    </row>
    <row r="974" spans="75:86" s="428" customFormat="1" x14ac:dyDescent="0.2">
      <c r="BW974" s="439"/>
      <c r="BX974" s="439"/>
      <c r="BY974" s="439"/>
      <c r="BZ974" s="439"/>
      <c r="CA974" s="439"/>
      <c r="CB974" s="439"/>
      <c r="CC974" s="439"/>
      <c r="CD974" s="439"/>
      <c r="CE974" s="440"/>
      <c r="CF974" s="420"/>
      <c r="CG974" s="420"/>
      <c r="CH974" s="420"/>
    </row>
    <row r="975" spans="75:86" s="428" customFormat="1" x14ac:dyDescent="0.2">
      <c r="BW975" s="439"/>
      <c r="BX975" s="439"/>
      <c r="BY975" s="439"/>
      <c r="BZ975" s="439"/>
      <c r="CA975" s="439"/>
      <c r="CB975" s="439"/>
      <c r="CC975" s="439"/>
      <c r="CD975" s="439"/>
      <c r="CE975" s="440"/>
      <c r="CF975" s="420"/>
      <c r="CG975" s="420"/>
      <c r="CH975" s="420"/>
    </row>
    <row r="976" spans="75:86" s="428" customFormat="1" x14ac:dyDescent="0.2">
      <c r="BW976" s="439"/>
      <c r="BX976" s="439"/>
      <c r="BY976" s="439"/>
      <c r="BZ976" s="439"/>
      <c r="CA976" s="439"/>
      <c r="CB976" s="439"/>
      <c r="CC976" s="439"/>
      <c r="CD976" s="439"/>
      <c r="CE976" s="440"/>
      <c r="CF976" s="420"/>
      <c r="CG976" s="420"/>
      <c r="CH976" s="420"/>
    </row>
    <row r="977" spans="75:86" s="428" customFormat="1" x14ac:dyDescent="0.2">
      <c r="BW977" s="439"/>
      <c r="BX977" s="439"/>
      <c r="BY977" s="439"/>
      <c r="BZ977" s="439"/>
      <c r="CA977" s="439"/>
      <c r="CB977" s="439"/>
      <c r="CC977" s="439"/>
      <c r="CD977" s="439"/>
      <c r="CE977" s="440"/>
      <c r="CF977" s="420"/>
      <c r="CG977" s="420"/>
      <c r="CH977" s="420"/>
    </row>
    <row r="978" spans="75:86" s="428" customFormat="1" x14ac:dyDescent="0.2">
      <c r="BW978" s="439"/>
      <c r="BX978" s="439"/>
      <c r="BY978" s="439"/>
      <c r="BZ978" s="439"/>
      <c r="CA978" s="439"/>
      <c r="CB978" s="439"/>
      <c r="CC978" s="439"/>
      <c r="CD978" s="439"/>
      <c r="CE978" s="440"/>
      <c r="CF978" s="420"/>
      <c r="CG978" s="420"/>
      <c r="CH978" s="420"/>
    </row>
    <row r="979" spans="75:86" s="428" customFormat="1" x14ac:dyDescent="0.2">
      <c r="BW979" s="439"/>
      <c r="BX979" s="439"/>
      <c r="BY979" s="439"/>
      <c r="BZ979" s="439"/>
      <c r="CA979" s="439"/>
      <c r="CB979" s="439"/>
      <c r="CC979" s="439"/>
      <c r="CD979" s="439"/>
      <c r="CE979" s="440"/>
      <c r="CF979" s="420"/>
      <c r="CG979" s="420"/>
      <c r="CH979" s="420"/>
    </row>
    <row r="980" spans="75:86" s="428" customFormat="1" x14ac:dyDescent="0.2">
      <c r="BW980" s="439"/>
      <c r="BX980" s="439"/>
      <c r="BY980" s="439"/>
      <c r="BZ980" s="439"/>
      <c r="CA980" s="439"/>
      <c r="CB980" s="439"/>
      <c r="CC980" s="439"/>
      <c r="CD980" s="439"/>
      <c r="CE980" s="440"/>
      <c r="CF980" s="420"/>
      <c r="CG980" s="420"/>
      <c r="CH980" s="420"/>
    </row>
    <row r="981" spans="75:86" s="428" customFormat="1" x14ac:dyDescent="0.2">
      <c r="BW981" s="439"/>
      <c r="BX981" s="439"/>
      <c r="BY981" s="439"/>
      <c r="BZ981" s="439"/>
      <c r="CA981" s="439"/>
      <c r="CB981" s="439"/>
      <c r="CC981" s="439"/>
      <c r="CD981" s="439"/>
      <c r="CE981" s="440"/>
      <c r="CF981" s="420"/>
      <c r="CG981" s="420"/>
      <c r="CH981" s="420"/>
    </row>
    <row r="982" spans="75:86" s="428" customFormat="1" x14ac:dyDescent="0.2">
      <c r="BW982" s="439"/>
      <c r="BX982" s="439"/>
      <c r="BY982" s="439"/>
      <c r="BZ982" s="439"/>
      <c r="CA982" s="439"/>
      <c r="CB982" s="439"/>
      <c r="CC982" s="439"/>
      <c r="CD982" s="439"/>
      <c r="CE982" s="440"/>
      <c r="CF982" s="420"/>
      <c r="CG982" s="420"/>
      <c r="CH982" s="420"/>
    </row>
    <row r="983" spans="75:86" s="428" customFormat="1" x14ac:dyDescent="0.2">
      <c r="BW983" s="439"/>
      <c r="BX983" s="439"/>
      <c r="BY983" s="439"/>
      <c r="BZ983" s="439"/>
      <c r="CA983" s="439"/>
      <c r="CB983" s="439"/>
      <c r="CC983" s="439"/>
      <c r="CD983" s="439"/>
      <c r="CE983" s="440"/>
      <c r="CF983" s="420"/>
      <c r="CG983" s="420"/>
      <c r="CH983" s="420"/>
    </row>
    <row r="984" spans="75:86" s="428" customFormat="1" x14ac:dyDescent="0.2">
      <c r="BW984" s="439"/>
      <c r="BX984" s="439"/>
      <c r="BY984" s="439"/>
      <c r="BZ984" s="439"/>
      <c r="CA984" s="439"/>
      <c r="CB984" s="439"/>
      <c r="CC984" s="439"/>
      <c r="CD984" s="439"/>
      <c r="CE984" s="440"/>
      <c r="CF984" s="420"/>
      <c r="CG984" s="420"/>
      <c r="CH984" s="420"/>
    </row>
    <row r="985" spans="75:86" s="428" customFormat="1" x14ac:dyDescent="0.2">
      <c r="BW985" s="439"/>
      <c r="BX985" s="439"/>
      <c r="BY985" s="439"/>
      <c r="BZ985" s="439"/>
      <c r="CA985" s="439"/>
      <c r="CB985" s="439"/>
      <c r="CC985" s="439"/>
      <c r="CD985" s="439"/>
      <c r="CE985" s="440"/>
      <c r="CF985" s="420"/>
      <c r="CG985" s="420"/>
      <c r="CH985" s="420"/>
    </row>
    <row r="986" spans="75:86" s="428" customFormat="1" x14ac:dyDescent="0.2">
      <c r="BW986" s="439"/>
      <c r="BX986" s="439"/>
      <c r="BY986" s="439"/>
      <c r="BZ986" s="439"/>
      <c r="CA986" s="439"/>
      <c r="CB986" s="439"/>
      <c r="CC986" s="439"/>
      <c r="CD986" s="439"/>
      <c r="CE986" s="440"/>
      <c r="CF986" s="420"/>
      <c r="CG986" s="420"/>
      <c r="CH986" s="420"/>
    </row>
    <row r="987" spans="75:86" s="428" customFormat="1" x14ac:dyDescent="0.2">
      <c r="BW987" s="439"/>
      <c r="BX987" s="439"/>
      <c r="BY987" s="439"/>
      <c r="BZ987" s="439"/>
      <c r="CA987" s="439"/>
      <c r="CB987" s="439"/>
      <c r="CC987" s="439"/>
      <c r="CD987" s="439"/>
      <c r="CE987" s="440"/>
      <c r="CF987" s="420"/>
      <c r="CG987" s="420"/>
      <c r="CH987" s="420"/>
    </row>
    <row r="988" spans="75:86" s="428" customFormat="1" x14ac:dyDescent="0.2">
      <c r="BW988" s="439"/>
      <c r="BX988" s="439"/>
      <c r="BY988" s="439"/>
      <c r="BZ988" s="439"/>
      <c r="CA988" s="439"/>
      <c r="CB988" s="439"/>
      <c r="CC988" s="439"/>
      <c r="CD988" s="439"/>
      <c r="CE988" s="440"/>
      <c r="CF988" s="420"/>
      <c r="CG988" s="420"/>
      <c r="CH988" s="420"/>
    </row>
    <row r="989" spans="75:86" s="428" customFormat="1" x14ac:dyDescent="0.2">
      <c r="BW989" s="439"/>
      <c r="BX989" s="439"/>
      <c r="BY989" s="439"/>
      <c r="BZ989" s="439"/>
      <c r="CA989" s="439"/>
      <c r="CB989" s="439"/>
      <c r="CC989" s="439"/>
      <c r="CD989" s="439"/>
      <c r="CE989" s="440"/>
      <c r="CF989" s="420"/>
      <c r="CG989" s="420"/>
      <c r="CH989" s="420"/>
    </row>
    <row r="990" spans="75:86" s="428" customFormat="1" x14ac:dyDescent="0.2">
      <c r="BW990" s="439"/>
      <c r="BX990" s="439"/>
      <c r="BY990" s="439"/>
      <c r="BZ990" s="439"/>
      <c r="CA990" s="439"/>
      <c r="CB990" s="439"/>
      <c r="CC990" s="439"/>
      <c r="CD990" s="439"/>
      <c r="CE990" s="440"/>
      <c r="CF990" s="420"/>
      <c r="CG990" s="420"/>
      <c r="CH990" s="420"/>
    </row>
    <row r="991" spans="75:86" s="428" customFormat="1" x14ac:dyDescent="0.2">
      <c r="BW991" s="439"/>
      <c r="BX991" s="439"/>
      <c r="BY991" s="439"/>
      <c r="BZ991" s="439"/>
      <c r="CA991" s="439"/>
      <c r="CB991" s="439"/>
      <c r="CC991" s="439"/>
      <c r="CD991" s="439"/>
      <c r="CE991" s="440"/>
      <c r="CF991" s="420"/>
      <c r="CG991" s="420"/>
      <c r="CH991" s="420"/>
    </row>
    <row r="992" spans="75:86" s="428" customFormat="1" x14ac:dyDescent="0.2">
      <c r="BW992" s="439"/>
      <c r="BX992" s="439"/>
      <c r="BY992" s="439"/>
      <c r="BZ992" s="439"/>
      <c r="CA992" s="439"/>
      <c r="CB992" s="439"/>
      <c r="CC992" s="439"/>
      <c r="CD992" s="439"/>
      <c r="CE992" s="440"/>
      <c r="CF992" s="420"/>
      <c r="CG992" s="420"/>
      <c r="CH992" s="420"/>
    </row>
    <row r="993" spans="75:86" s="428" customFormat="1" x14ac:dyDescent="0.2">
      <c r="BW993" s="439"/>
      <c r="BX993" s="439"/>
      <c r="BY993" s="439"/>
      <c r="BZ993" s="439"/>
      <c r="CA993" s="439"/>
      <c r="CB993" s="439"/>
      <c r="CC993" s="439"/>
      <c r="CD993" s="439"/>
      <c r="CE993" s="440"/>
      <c r="CF993" s="420"/>
      <c r="CG993" s="420"/>
      <c r="CH993" s="420"/>
    </row>
    <row r="994" spans="75:86" s="428" customFormat="1" x14ac:dyDescent="0.2">
      <c r="BW994" s="439"/>
      <c r="BX994" s="439"/>
      <c r="BY994" s="439"/>
      <c r="BZ994" s="439"/>
      <c r="CA994" s="439"/>
      <c r="CB994" s="439"/>
      <c r="CC994" s="439"/>
      <c r="CD994" s="439"/>
      <c r="CE994" s="440"/>
      <c r="CF994" s="420"/>
      <c r="CG994" s="420"/>
      <c r="CH994" s="420"/>
    </row>
    <row r="995" spans="75:86" s="428" customFormat="1" x14ac:dyDescent="0.2">
      <c r="BW995" s="439"/>
      <c r="BX995" s="439"/>
      <c r="BY995" s="439"/>
      <c r="BZ995" s="439"/>
      <c r="CA995" s="439"/>
      <c r="CB995" s="439"/>
      <c r="CC995" s="439"/>
      <c r="CD995" s="439"/>
      <c r="CE995" s="440"/>
      <c r="CF995" s="420"/>
      <c r="CG995" s="420"/>
      <c r="CH995" s="420"/>
    </row>
    <row r="996" spans="75:86" s="428" customFormat="1" x14ac:dyDescent="0.2">
      <c r="BW996" s="439"/>
      <c r="BX996" s="439"/>
      <c r="BY996" s="439"/>
      <c r="BZ996" s="439"/>
      <c r="CA996" s="439"/>
      <c r="CB996" s="439"/>
      <c r="CC996" s="439"/>
      <c r="CD996" s="439"/>
      <c r="CE996" s="440"/>
      <c r="CF996" s="420"/>
      <c r="CG996" s="420"/>
      <c r="CH996" s="420"/>
    </row>
    <row r="997" spans="75:86" s="428" customFormat="1" x14ac:dyDescent="0.2">
      <c r="BW997" s="439"/>
      <c r="BX997" s="439"/>
      <c r="BY997" s="439"/>
      <c r="BZ997" s="439"/>
      <c r="CA997" s="439"/>
      <c r="CB997" s="439"/>
      <c r="CC997" s="439"/>
      <c r="CD997" s="439"/>
      <c r="CE997" s="440"/>
      <c r="CF997" s="420"/>
      <c r="CG997" s="420"/>
      <c r="CH997" s="420"/>
    </row>
    <row r="998" spans="75:86" s="428" customFormat="1" x14ac:dyDescent="0.2">
      <c r="BW998" s="439"/>
      <c r="BX998" s="439"/>
      <c r="BY998" s="439"/>
      <c r="BZ998" s="439"/>
      <c r="CA998" s="439"/>
      <c r="CB998" s="439"/>
      <c r="CC998" s="439"/>
      <c r="CD998" s="439"/>
      <c r="CE998" s="440"/>
      <c r="CF998" s="420"/>
      <c r="CG998" s="420"/>
      <c r="CH998" s="420"/>
    </row>
    <row r="999" spans="75:86" s="428" customFormat="1" x14ac:dyDescent="0.2">
      <c r="BW999" s="439"/>
      <c r="BX999" s="439"/>
      <c r="BY999" s="439"/>
      <c r="BZ999" s="439"/>
      <c r="CA999" s="439"/>
      <c r="CB999" s="439"/>
      <c r="CC999" s="439"/>
      <c r="CD999" s="439"/>
      <c r="CE999" s="440"/>
      <c r="CF999" s="420"/>
      <c r="CG999" s="420"/>
      <c r="CH999" s="420"/>
    </row>
    <row r="1000" spans="75:86" s="428" customFormat="1" x14ac:dyDescent="0.2">
      <c r="BW1000" s="439"/>
      <c r="BX1000" s="439"/>
      <c r="BY1000" s="439"/>
      <c r="BZ1000" s="439"/>
      <c r="CA1000" s="439"/>
      <c r="CB1000" s="439"/>
      <c r="CC1000" s="439"/>
      <c r="CD1000" s="439"/>
      <c r="CE1000" s="440"/>
      <c r="CF1000" s="420"/>
      <c r="CG1000" s="420"/>
      <c r="CH1000" s="420"/>
    </row>
    <row r="1001" spans="75:86" s="428" customFormat="1" x14ac:dyDescent="0.2">
      <c r="BW1001" s="439"/>
      <c r="BX1001" s="439"/>
      <c r="BY1001" s="439"/>
      <c r="BZ1001" s="439"/>
      <c r="CA1001" s="439"/>
      <c r="CB1001" s="439"/>
      <c r="CC1001" s="439"/>
      <c r="CD1001" s="439"/>
      <c r="CE1001" s="440"/>
      <c r="CF1001" s="420"/>
      <c r="CG1001" s="420"/>
      <c r="CH1001" s="420"/>
    </row>
    <row r="1002" spans="75:86" s="428" customFormat="1" x14ac:dyDescent="0.2">
      <c r="BW1002" s="439"/>
      <c r="BX1002" s="439"/>
      <c r="BY1002" s="439"/>
      <c r="BZ1002" s="439"/>
      <c r="CA1002" s="439"/>
      <c r="CB1002" s="439"/>
      <c r="CC1002" s="439"/>
      <c r="CD1002" s="439"/>
      <c r="CE1002" s="440"/>
      <c r="CF1002" s="420"/>
      <c r="CG1002" s="420"/>
      <c r="CH1002" s="420"/>
    </row>
    <row r="1003" spans="75:86" s="428" customFormat="1" x14ac:dyDescent="0.2">
      <c r="BW1003" s="439"/>
      <c r="BX1003" s="439"/>
      <c r="BY1003" s="439"/>
      <c r="BZ1003" s="439"/>
      <c r="CA1003" s="439"/>
      <c r="CB1003" s="439"/>
      <c r="CC1003" s="439"/>
      <c r="CD1003" s="439"/>
      <c r="CE1003" s="440"/>
      <c r="CF1003" s="420"/>
      <c r="CG1003" s="420"/>
      <c r="CH1003" s="420"/>
    </row>
    <row r="1004" spans="75:86" s="428" customFormat="1" x14ac:dyDescent="0.2">
      <c r="BW1004" s="439"/>
      <c r="BX1004" s="439"/>
      <c r="BY1004" s="439"/>
      <c r="BZ1004" s="439"/>
      <c r="CA1004" s="439"/>
      <c r="CB1004" s="439"/>
      <c r="CC1004" s="439"/>
      <c r="CD1004" s="439"/>
      <c r="CE1004" s="440"/>
      <c r="CF1004" s="420"/>
      <c r="CG1004" s="420"/>
      <c r="CH1004" s="420"/>
    </row>
    <row r="1005" spans="75:86" s="428" customFormat="1" x14ac:dyDescent="0.2">
      <c r="BW1005" s="439"/>
      <c r="BX1005" s="439"/>
      <c r="BY1005" s="439"/>
      <c r="BZ1005" s="439"/>
      <c r="CA1005" s="439"/>
      <c r="CB1005" s="439"/>
      <c r="CC1005" s="439"/>
      <c r="CD1005" s="439"/>
      <c r="CE1005" s="440"/>
      <c r="CF1005" s="420"/>
      <c r="CG1005" s="420"/>
      <c r="CH1005" s="420"/>
    </row>
    <row r="1006" spans="75:86" s="428" customFormat="1" x14ac:dyDescent="0.2">
      <c r="BW1006" s="439"/>
      <c r="BX1006" s="439"/>
      <c r="BY1006" s="439"/>
      <c r="BZ1006" s="439"/>
      <c r="CA1006" s="439"/>
      <c r="CB1006" s="439"/>
      <c r="CC1006" s="439"/>
      <c r="CD1006" s="439"/>
      <c r="CE1006" s="440"/>
      <c r="CF1006" s="420"/>
      <c r="CG1006" s="420"/>
      <c r="CH1006" s="420"/>
    </row>
    <row r="1007" spans="75:86" s="428" customFormat="1" x14ac:dyDescent="0.2">
      <c r="BW1007" s="439"/>
      <c r="BX1007" s="439"/>
      <c r="BY1007" s="439"/>
      <c r="BZ1007" s="439"/>
      <c r="CA1007" s="439"/>
      <c r="CB1007" s="439"/>
      <c r="CC1007" s="439"/>
      <c r="CD1007" s="439"/>
      <c r="CE1007" s="440"/>
      <c r="CF1007" s="420"/>
      <c r="CG1007" s="420"/>
      <c r="CH1007" s="420"/>
    </row>
    <row r="1008" spans="75:86" s="428" customFormat="1" x14ac:dyDescent="0.2">
      <c r="BW1008" s="439"/>
      <c r="BX1008" s="439"/>
      <c r="BY1008" s="439"/>
      <c r="BZ1008" s="439"/>
      <c r="CA1008" s="439"/>
      <c r="CB1008" s="439"/>
      <c r="CC1008" s="439"/>
      <c r="CD1008" s="439"/>
      <c r="CE1008" s="440"/>
      <c r="CF1008" s="420"/>
      <c r="CG1008" s="420"/>
      <c r="CH1008" s="420"/>
    </row>
    <row r="1009" spans="75:86" s="428" customFormat="1" x14ac:dyDescent="0.2">
      <c r="BW1009" s="439"/>
      <c r="BX1009" s="439"/>
      <c r="BY1009" s="439"/>
      <c r="BZ1009" s="439"/>
      <c r="CA1009" s="439"/>
      <c r="CB1009" s="439"/>
      <c r="CC1009" s="439"/>
      <c r="CD1009" s="439"/>
      <c r="CE1009" s="440"/>
      <c r="CF1009" s="420"/>
      <c r="CG1009" s="420"/>
      <c r="CH1009" s="420"/>
    </row>
    <row r="1010" spans="75:86" s="428" customFormat="1" x14ac:dyDescent="0.2">
      <c r="BW1010" s="439"/>
      <c r="BX1010" s="439"/>
      <c r="BY1010" s="439"/>
      <c r="BZ1010" s="439"/>
      <c r="CA1010" s="439"/>
      <c r="CB1010" s="439"/>
      <c r="CC1010" s="439"/>
      <c r="CD1010" s="439"/>
      <c r="CE1010" s="440"/>
      <c r="CF1010" s="420"/>
      <c r="CG1010" s="420"/>
      <c r="CH1010" s="420"/>
    </row>
    <row r="1011" spans="75:86" s="428" customFormat="1" x14ac:dyDescent="0.2">
      <c r="BW1011" s="439"/>
      <c r="BX1011" s="439"/>
      <c r="BY1011" s="439"/>
      <c r="BZ1011" s="439"/>
      <c r="CA1011" s="439"/>
      <c r="CB1011" s="439"/>
      <c r="CC1011" s="439"/>
      <c r="CD1011" s="439"/>
      <c r="CE1011" s="440"/>
      <c r="CF1011" s="420"/>
      <c r="CG1011" s="420"/>
      <c r="CH1011" s="420"/>
    </row>
    <row r="1012" spans="75:86" s="428" customFormat="1" x14ac:dyDescent="0.2">
      <c r="BW1012" s="439"/>
      <c r="BX1012" s="439"/>
      <c r="BY1012" s="439"/>
      <c r="BZ1012" s="439"/>
      <c r="CA1012" s="439"/>
      <c r="CB1012" s="439"/>
      <c r="CC1012" s="439"/>
      <c r="CD1012" s="439"/>
      <c r="CE1012" s="440"/>
      <c r="CF1012" s="420"/>
      <c r="CG1012" s="420"/>
      <c r="CH1012" s="420"/>
    </row>
    <row r="1013" spans="75:86" s="428" customFormat="1" x14ac:dyDescent="0.2">
      <c r="BW1013" s="439"/>
      <c r="BX1013" s="439"/>
      <c r="BY1013" s="439"/>
      <c r="BZ1013" s="439"/>
      <c r="CA1013" s="439"/>
      <c r="CB1013" s="439"/>
      <c r="CC1013" s="439"/>
      <c r="CD1013" s="439"/>
      <c r="CE1013" s="440"/>
      <c r="CF1013" s="420"/>
      <c r="CG1013" s="420"/>
      <c r="CH1013" s="420"/>
    </row>
    <row r="1014" spans="75:86" s="428" customFormat="1" x14ac:dyDescent="0.2">
      <c r="BW1014" s="439"/>
      <c r="BX1014" s="439"/>
      <c r="BY1014" s="439"/>
      <c r="BZ1014" s="439"/>
      <c r="CA1014" s="439"/>
      <c r="CB1014" s="439"/>
      <c r="CC1014" s="439"/>
      <c r="CD1014" s="439"/>
      <c r="CE1014" s="440"/>
      <c r="CF1014" s="420"/>
      <c r="CG1014" s="420"/>
      <c r="CH1014" s="420"/>
    </row>
    <row r="1015" spans="75:86" s="428" customFormat="1" x14ac:dyDescent="0.2">
      <c r="BW1015" s="439"/>
      <c r="BX1015" s="439"/>
      <c r="BY1015" s="439"/>
      <c r="BZ1015" s="439"/>
      <c r="CA1015" s="439"/>
      <c r="CB1015" s="439"/>
      <c r="CC1015" s="439"/>
      <c r="CD1015" s="439"/>
      <c r="CE1015" s="440"/>
      <c r="CF1015" s="420"/>
      <c r="CG1015" s="420"/>
      <c r="CH1015" s="420"/>
    </row>
    <row r="1016" spans="75:86" s="428" customFormat="1" x14ac:dyDescent="0.2">
      <c r="BW1016" s="439"/>
      <c r="BX1016" s="439"/>
      <c r="BY1016" s="439"/>
      <c r="BZ1016" s="439"/>
      <c r="CA1016" s="439"/>
      <c r="CB1016" s="439"/>
      <c r="CC1016" s="439"/>
      <c r="CD1016" s="439"/>
      <c r="CE1016" s="440"/>
      <c r="CF1016" s="420"/>
      <c r="CG1016" s="420"/>
      <c r="CH1016" s="420"/>
    </row>
    <row r="1017" spans="75:86" s="428" customFormat="1" x14ac:dyDescent="0.2">
      <c r="BW1017" s="439"/>
      <c r="BX1017" s="439"/>
      <c r="BY1017" s="439"/>
      <c r="BZ1017" s="439"/>
      <c r="CA1017" s="439"/>
      <c r="CB1017" s="439"/>
      <c r="CC1017" s="439"/>
      <c r="CD1017" s="439"/>
      <c r="CE1017" s="440"/>
      <c r="CF1017" s="420"/>
      <c r="CG1017" s="420"/>
      <c r="CH1017" s="420"/>
    </row>
    <row r="1018" spans="75:86" s="428" customFormat="1" x14ac:dyDescent="0.2">
      <c r="BW1018" s="439"/>
      <c r="BX1018" s="439"/>
      <c r="BY1018" s="439"/>
      <c r="BZ1018" s="439"/>
      <c r="CA1018" s="439"/>
      <c r="CB1018" s="439"/>
      <c r="CC1018" s="439"/>
      <c r="CD1018" s="439"/>
      <c r="CE1018" s="440"/>
      <c r="CF1018" s="420"/>
      <c r="CG1018" s="420"/>
      <c r="CH1018" s="420"/>
    </row>
    <row r="1019" spans="75:86" s="428" customFormat="1" x14ac:dyDescent="0.2">
      <c r="BW1019" s="439"/>
      <c r="BX1019" s="439"/>
      <c r="BY1019" s="439"/>
      <c r="BZ1019" s="439"/>
      <c r="CA1019" s="439"/>
      <c r="CB1019" s="439"/>
      <c r="CC1019" s="439"/>
      <c r="CD1019" s="439"/>
      <c r="CE1019" s="440"/>
      <c r="CF1019" s="420"/>
      <c r="CG1019" s="420"/>
      <c r="CH1019" s="420"/>
    </row>
    <row r="1020" spans="75:86" s="428" customFormat="1" x14ac:dyDescent="0.2">
      <c r="BW1020" s="439"/>
      <c r="BX1020" s="439"/>
      <c r="BY1020" s="439"/>
      <c r="BZ1020" s="439"/>
      <c r="CA1020" s="439"/>
      <c r="CB1020" s="439"/>
      <c r="CC1020" s="439"/>
      <c r="CD1020" s="439"/>
      <c r="CE1020" s="440"/>
      <c r="CF1020" s="420"/>
      <c r="CG1020" s="420"/>
      <c r="CH1020" s="420"/>
    </row>
    <row r="1021" spans="75:86" s="428" customFormat="1" x14ac:dyDescent="0.2">
      <c r="BW1021" s="439"/>
      <c r="BX1021" s="439"/>
      <c r="BY1021" s="439"/>
      <c r="BZ1021" s="439"/>
      <c r="CA1021" s="439"/>
      <c r="CB1021" s="439"/>
      <c r="CC1021" s="439"/>
      <c r="CD1021" s="439"/>
      <c r="CE1021" s="440"/>
      <c r="CF1021" s="420"/>
      <c r="CG1021" s="420"/>
      <c r="CH1021" s="420"/>
    </row>
    <row r="1022" spans="75:86" s="428" customFormat="1" x14ac:dyDescent="0.2">
      <c r="BW1022" s="439"/>
      <c r="BX1022" s="439"/>
      <c r="BY1022" s="439"/>
      <c r="BZ1022" s="439"/>
      <c r="CA1022" s="439"/>
      <c r="CB1022" s="439"/>
      <c r="CC1022" s="439"/>
      <c r="CD1022" s="439"/>
      <c r="CE1022" s="440"/>
      <c r="CF1022" s="420"/>
      <c r="CG1022" s="420"/>
      <c r="CH1022" s="420"/>
    </row>
    <row r="1023" spans="75:86" s="428" customFormat="1" x14ac:dyDescent="0.2">
      <c r="BW1023" s="439"/>
      <c r="BX1023" s="439"/>
      <c r="BY1023" s="439"/>
      <c r="BZ1023" s="439"/>
      <c r="CA1023" s="439"/>
      <c r="CB1023" s="439"/>
      <c r="CC1023" s="439"/>
      <c r="CD1023" s="439"/>
      <c r="CE1023" s="440"/>
      <c r="CF1023" s="420"/>
      <c r="CG1023" s="420"/>
      <c r="CH1023" s="420"/>
    </row>
    <row r="1024" spans="75:86" s="428" customFormat="1" x14ac:dyDescent="0.2">
      <c r="BW1024" s="439"/>
      <c r="BX1024" s="439"/>
      <c r="BY1024" s="439"/>
      <c r="BZ1024" s="439"/>
      <c r="CA1024" s="439"/>
      <c r="CB1024" s="439"/>
      <c r="CC1024" s="439"/>
      <c r="CD1024" s="439"/>
      <c r="CE1024" s="440"/>
      <c r="CF1024" s="420"/>
      <c r="CG1024" s="420"/>
      <c r="CH1024" s="420"/>
    </row>
    <row r="1025" spans="75:86" s="428" customFormat="1" x14ac:dyDescent="0.2">
      <c r="BW1025" s="439"/>
      <c r="BX1025" s="439"/>
      <c r="BY1025" s="439"/>
      <c r="BZ1025" s="439"/>
      <c r="CA1025" s="439"/>
      <c r="CB1025" s="439"/>
      <c r="CC1025" s="439"/>
      <c r="CD1025" s="439"/>
      <c r="CE1025" s="440"/>
      <c r="CF1025" s="420"/>
      <c r="CG1025" s="420"/>
      <c r="CH1025" s="420"/>
    </row>
    <row r="1026" spans="75:86" s="428" customFormat="1" x14ac:dyDescent="0.2">
      <c r="BW1026" s="439"/>
      <c r="BX1026" s="439"/>
      <c r="BY1026" s="439"/>
      <c r="BZ1026" s="439"/>
      <c r="CA1026" s="439"/>
      <c r="CB1026" s="439"/>
      <c r="CC1026" s="439"/>
      <c r="CD1026" s="439"/>
      <c r="CE1026" s="440"/>
      <c r="CF1026" s="420"/>
      <c r="CG1026" s="420"/>
      <c r="CH1026" s="420"/>
    </row>
    <row r="1027" spans="75:86" s="428" customFormat="1" x14ac:dyDescent="0.2">
      <c r="BW1027" s="439"/>
      <c r="BX1027" s="439"/>
      <c r="BY1027" s="439"/>
      <c r="BZ1027" s="439"/>
      <c r="CA1027" s="439"/>
      <c r="CB1027" s="439"/>
      <c r="CC1027" s="439"/>
      <c r="CD1027" s="439"/>
      <c r="CE1027" s="440"/>
      <c r="CF1027" s="420"/>
      <c r="CG1027" s="420"/>
      <c r="CH1027" s="420"/>
    </row>
    <row r="1028" spans="75:86" s="428" customFormat="1" x14ac:dyDescent="0.2">
      <c r="BW1028" s="439"/>
      <c r="BX1028" s="439"/>
      <c r="BY1028" s="439"/>
      <c r="BZ1028" s="439"/>
      <c r="CA1028" s="439"/>
      <c r="CB1028" s="439"/>
      <c r="CC1028" s="439"/>
      <c r="CD1028" s="439"/>
      <c r="CE1028" s="440"/>
      <c r="CF1028" s="420"/>
      <c r="CG1028" s="420"/>
      <c r="CH1028" s="420"/>
    </row>
    <row r="1029" spans="75:86" s="428" customFormat="1" x14ac:dyDescent="0.2">
      <c r="BW1029" s="439"/>
      <c r="BX1029" s="439"/>
      <c r="BY1029" s="439"/>
      <c r="BZ1029" s="439"/>
      <c r="CA1029" s="439"/>
      <c r="CB1029" s="439"/>
      <c r="CC1029" s="439"/>
      <c r="CD1029" s="439"/>
      <c r="CE1029" s="440"/>
      <c r="CF1029" s="420"/>
      <c r="CG1029" s="420"/>
      <c r="CH1029" s="420"/>
    </row>
    <row r="1030" spans="75:86" s="428" customFormat="1" x14ac:dyDescent="0.2">
      <c r="BW1030" s="439"/>
      <c r="BX1030" s="439"/>
      <c r="BY1030" s="439"/>
      <c r="BZ1030" s="439"/>
      <c r="CA1030" s="439"/>
      <c r="CB1030" s="439"/>
      <c r="CC1030" s="439"/>
      <c r="CD1030" s="439"/>
      <c r="CE1030" s="440"/>
      <c r="CF1030" s="420"/>
      <c r="CG1030" s="420"/>
      <c r="CH1030" s="420"/>
    </row>
    <row r="1031" spans="75:86" s="428" customFormat="1" x14ac:dyDescent="0.2">
      <c r="BW1031" s="439"/>
      <c r="BX1031" s="439"/>
      <c r="BY1031" s="439"/>
      <c r="BZ1031" s="439"/>
      <c r="CA1031" s="439"/>
      <c r="CB1031" s="439"/>
      <c r="CC1031" s="439"/>
      <c r="CD1031" s="439"/>
      <c r="CE1031" s="440"/>
      <c r="CF1031" s="420"/>
      <c r="CG1031" s="420"/>
      <c r="CH1031" s="420"/>
    </row>
    <row r="1032" spans="75:86" s="428" customFormat="1" x14ac:dyDescent="0.2">
      <c r="BW1032" s="439"/>
      <c r="BX1032" s="439"/>
      <c r="BY1032" s="439"/>
      <c r="BZ1032" s="439"/>
      <c r="CA1032" s="439"/>
      <c r="CB1032" s="439"/>
      <c r="CC1032" s="439"/>
      <c r="CD1032" s="439"/>
      <c r="CE1032" s="440"/>
      <c r="CF1032" s="420"/>
      <c r="CG1032" s="420"/>
      <c r="CH1032" s="420"/>
    </row>
    <row r="1033" spans="75:86" s="428" customFormat="1" x14ac:dyDescent="0.2">
      <c r="BW1033" s="439"/>
      <c r="BX1033" s="439"/>
      <c r="BY1033" s="439"/>
      <c r="BZ1033" s="439"/>
      <c r="CA1033" s="439"/>
      <c r="CB1033" s="439"/>
      <c r="CC1033" s="439"/>
      <c r="CD1033" s="439"/>
      <c r="CE1033" s="440"/>
      <c r="CF1033" s="420"/>
      <c r="CG1033" s="420"/>
      <c r="CH1033" s="420"/>
    </row>
    <row r="1034" spans="75:86" s="428" customFormat="1" x14ac:dyDescent="0.2">
      <c r="BW1034" s="439"/>
      <c r="BX1034" s="439"/>
      <c r="BY1034" s="439"/>
      <c r="BZ1034" s="439"/>
      <c r="CA1034" s="439"/>
      <c r="CB1034" s="439"/>
      <c r="CC1034" s="439"/>
      <c r="CD1034" s="439"/>
      <c r="CE1034" s="440"/>
      <c r="CF1034" s="420"/>
      <c r="CG1034" s="420"/>
      <c r="CH1034" s="420"/>
    </row>
    <row r="1035" spans="75:86" s="428" customFormat="1" x14ac:dyDescent="0.2">
      <c r="BW1035" s="439"/>
      <c r="BX1035" s="439"/>
      <c r="BY1035" s="439"/>
      <c r="BZ1035" s="439"/>
      <c r="CA1035" s="439"/>
      <c r="CB1035" s="439"/>
      <c r="CC1035" s="439"/>
      <c r="CD1035" s="439"/>
      <c r="CE1035" s="440"/>
      <c r="CF1035" s="420"/>
      <c r="CG1035" s="420"/>
      <c r="CH1035" s="420"/>
    </row>
    <row r="1036" spans="75:86" s="428" customFormat="1" x14ac:dyDescent="0.2">
      <c r="BW1036" s="439"/>
      <c r="BX1036" s="439"/>
      <c r="BY1036" s="439"/>
      <c r="BZ1036" s="439"/>
      <c r="CA1036" s="439"/>
      <c r="CB1036" s="439"/>
      <c r="CC1036" s="439"/>
      <c r="CD1036" s="439"/>
      <c r="CE1036" s="440"/>
      <c r="CF1036" s="420"/>
      <c r="CG1036" s="420"/>
      <c r="CH1036" s="420"/>
    </row>
    <row r="1037" spans="75:86" s="428" customFormat="1" x14ac:dyDescent="0.2">
      <c r="BW1037" s="439"/>
      <c r="BX1037" s="439"/>
      <c r="BY1037" s="439"/>
      <c r="BZ1037" s="439"/>
      <c r="CA1037" s="439"/>
      <c r="CB1037" s="439"/>
      <c r="CC1037" s="439"/>
      <c r="CD1037" s="439"/>
      <c r="CE1037" s="440"/>
      <c r="CF1037" s="420"/>
      <c r="CG1037" s="420"/>
      <c r="CH1037" s="420"/>
    </row>
    <row r="1038" spans="75:86" s="428" customFormat="1" x14ac:dyDescent="0.2">
      <c r="BW1038" s="439"/>
      <c r="BX1038" s="439"/>
      <c r="BY1038" s="439"/>
      <c r="BZ1038" s="439"/>
      <c r="CA1038" s="439"/>
      <c r="CB1038" s="439"/>
      <c r="CC1038" s="439"/>
      <c r="CD1038" s="439"/>
      <c r="CE1038" s="440"/>
      <c r="CF1038" s="420"/>
      <c r="CG1038" s="420"/>
      <c r="CH1038" s="420"/>
    </row>
    <row r="1039" spans="75:86" s="428" customFormat="1" x14ac:dyDescent="0.2">
      <c r="BW1039" s="439"/>
      <c r="BX1039" s="439"/>
      <c r="BY1039" s="439"/>
      <c r="BZ1039" s="439"/>
      <c r="CA1039" s="439"/>
      <c r="CB1039" s="439"/>
      <c r="CC1039" s="439"/>
      <c r="CD1039" s="439"/>
      <c r="CE1039" s="440"/>
      <c r="CF1039" s="420"/>
      <c r="CG1039" s="420"/>
      <c r="CH1039" s="420"/>
    </row>
    <row r="1040" spans="75:86" s="428" customFormat="1" x14ac:dyDescent="0.2">
      <c r="BW1040" s="439"/>
      <c r="BX1040" s="439"/>
      <c r="BY1040" s="439"/>
      <c r="BZ1040" s="439"/>
      <c r="CA1040" s="439"/>
      <c r="CB1040" s="439"/>
      <c r="CC1040" s="439"/>
      <c r="CD1040" s="439"/>
      <c r="CE1040" s="440"/>
      <c r="CF1040" s="420"/>
      <c r="CG1040" s="420"/>
      <c r="CH1040" s="420"/>
    </row>
    <row r="1041" spans="75:86" s="428" customFormat="1" x14ac:dyDescent="0.2">
      <c r="BW1041" s="439"/>
      <c r="BX1041" s="439"/>
      <c r="BY1041" s="439"/>
      <c r="BZ1041" s="439"/>
      <c r="CA1041" s="439"/>
      <c r="CB1041" s="439"/>
      <c r="CC1041" s="439"/>
      <c r="CD1041" s="439"/>
      <c r="CE1041" s="440"/>
      <c r="CF1041" s="420"/>
      <c r="CG1041" s="420"/>
      <c r="CH1041" s="420"/>
    </row>
    <row r="1042" spans="75:86" s="428" customFormat="1" x14ac:dyDescent="0.2">
      <c r="BW1042" s="439"/>
      <c r="BX1042" s="439"/>
      <c r="BY1042" s="439"/>
      <c r="BZ1042" s="439"/>
      <c r="CA1042" s="439"/>
      <c r="CB1042" s="439"/>
      <c r="CC1042" s="439"/>
      <c r="CD1042" s="439"/>
      <c r="CE1042" s="440"/>
      <c r="CF1042" s="420"/>
      <c r="CG1042" s="420"/>
      <c r="CH1042" s="420"/>
    </row>
    <row r="1043" spans="75:86" s="428" customFormat="1" x14ac:dyDescent="0.2">
      <c r="BW1043" s="439"/>
      <c r="BX1043" s="439"/>
      <c r="BY1043" s="439"/>
      <c r="BZ1043" s="439"/>
      <c r="CA1043" s="439"/>
      <c r="CB1043" s="439"/>
      <c r="CC1043" s="439"/>
      <c r="CD1043" s="439"/>
      <c r="CE1043" s="440"/>
      <c r="CF1043" s="420"/>
      <c r="CG1043" s="420"/>
      <c r="CH1043" s="420"/>
    </row>
    <row r="1044" spans="75:86" s="428" customFormat="1" x14ac:dyDescent="0.2">
      <c r="BW1044" s="439"/>
      <c r="BX1044" s="439"/>
      <c r="BY1044" s="439"/>
      <c r="BZ1044" s="439"/>
      <c r="CA1044" s="439"/>
      <c r="CB1044" s="439"/>
      <c r="CC1044" s="439"/>
      <c r="CD1044" s="439"/>
      <c r="CE1044" s="440"/>
      <c r="CF1044" s="420"/>
      <c r="CG1044" s="420"/>
      <c r="CH1044" s="420"/>
    </row>
    <row r="1045" spans="75:86" s="428" customFormat="1" x14ac:dyDescent="0.2">
      <c r="BW1045" s="439"/>
      <c r="BX1045" s="439"/>
      <c r="BY1045" s="439"/>
      <c r="BZ1045" s="439"/>
      <c r="CA1045" s="439"/>
      <c r="CB1045" s="439"/>
      <c r="CC1045" s="439"/>
      <c r="CD1045" s="439"/>
      <c r="CE1045" s="440"/>
      <c r="CF1045" s="420"/>
      <c r="CG1045" s="420"/>
      <c r="CH1045" s="420"/>
    </row>
    <row r="1046" spans="75:86" s="428" customFormat="1" x14ac:dyDescent="0.2">
      <c r="BW1046" s="439"/>
      <c r="BX1046" s="439"/>
      <c r="BY1046" s="439"/>
      <c r="BZ1046" s="439"/>
      <c r="CA1046" s="439"/>
      <c r="CB1046" s="439"/>
      <c r="CC1046" s="439"/>
      <c r="CD1046" s="439"/>
      <c r="CE1046" s="440"/>
      <c r="CF1046" s="420"/>
      <c r="CG1046" s="420"/>
      <c r="CH1046" s="420"/>
    </row>
    <row r="1047" spans="75:86" s="428" customFormat="1" x14ac:dyDescent="0.2">
      <c r="BW1047" s="439"/>
      <c r="BX1047" s="439"/>
      <c r="BY1047" s="439"/>
      <c r="BZ1047" s="439"/>
      <c r="CA1047" s="439"/>
      <c r="CB1047" s="439"/>
      <c r="CC1047" s="439"/>
      <c r="CD1047" s="439"/>
      <c r="CE1047" s="440"/>
      <c r="CF1047" s="420"/>
      <c r="CG1047" s="420"/>
      <c r="CH1047" s="420"/>
    </row>
    <row r="1048" spans="75:86" s="428" customFormat="1" x14ac:dyDescent="0.2">
      <c r="BW1048" s="439"/>
      <c r="BX1048" s="439"/>
      <c r="BY1048" s="439"/>
      <c r="BZ1048" s="439"/>
      <c r="CA1048" s="439"/>
      <c r="CB1048" s="439"/>
      <c r="CC1048" s="439"/>
      <c r="CD1048" s="439"/>
      <c r="CE1048" s="440"/>
      <c r="CF1048" s="420"/>
      <c r="CG1048" s="420"/>
      <c r="CH1048" s="420"/>
    </row>
    <row r="1049" spans="75:86" s="428" customFormat="1" x14ac:dyDescent="0.2">
      <c r="BW1049" s="439"/>
      <c r="BX1049" s="439"/>
      <c r="BY1049" s="439"/>
      <c r="BZ1049" s="439"/>
      <c r="CA1049" s="439"/>
      <c r="CB1049" s="439"/>
      <c r="CC1049" s="439"/>
      <c r="CD1049" s="439"/>
      <c r="CE1049" s="440"/>
      <c r="CF1049" s="420"/>
      <c r="CG1049" s="420"/>
      <c r="CH1049" s="420"/>
    </row>
    <row r="1050" spans="75:86" s="428" customFormat="1" x14ac:dyDescent="0.2">
      <c r="BW1050" s="439"/>
      <c r="BX1050" s="439"/>
      <c r="BY1050" s="439"/>
      <c r="BZ1050" s="439"/>
      <c r="CA1050" s="439"/>
      <c r="CB1050" s="439"/>
      <c r="CC1050" s="439"/>
      <c r="CD1050" s="439"/>
      <c r="CE1050" s="440"/>
      <c r="CF1050" s="420"/>
      <c r="CG1050" s="420"/>
      <c r="CH1050" s="420"/>
    </row>
    <row r="1051" spans="75:86" s="428" customFormat="1" x14ac:dyDescent="0.2">
      <c r="BW1051" s="439"/>
      <c r="BX1051" s="439"/>
      <c r="BY1051" s="439"/>
      <c r="BZ1051" s="439"/>
      <c r="CA1051" s="439"/>
      <c r="CB1051" s="439"/>
      <c r="CC1051" s="439"/>
      <c r="CD1051" s="439"/>
      <c r="CE1051" s="440"/>
      <c r="CF1051" s="420"/>
      <c r="CG1051" s="420"/>
      <c r="CH1051" s="420"/>
    </row>
    <row r="1052" spans="75:86" s="428" customFormat="1" x14ac:dyDescent="0.2">
      <c r="BW1052" s="439"/>
      <c r="BX1052" s="439"/>
      <c r="BY1052" s="439"/>
      <c r="BZ1052" s="439"/>
      <c r="CA1052" s="439"/>
      <c r="CB1052" s="439"/>
      <c r="CC1052" s="439"/>
      <c r="CD1052" s="439"/>
      <c r="CE1052" s="440"/>
      <c r="CF1052" s="420"/>
      <c r="CG1052" s="420"/>
      <c r="CH1052" s="420"/>
    </row>
    <row r="1053" spans="75:86" s="428" customFormat="1" x14ac:dyDescent="0.2">
      <c r="BW1053" s="439"/>
      <c r="BX1053" s="439"/>
      <c r="BY1053" s="439"/>
      <c r="BZ1053" s="439"/>
      <c r="CA1053" s="439"/>
      <c r="CB1053" s="439"/>
      <c r="CC1053" s="439"/>
      <c r="CD1053" s="439"/>
      <c r="CE1053" s="440"/>
      <c r="CF1053" s="420"/>
      <c r="CG1053" s="420"/>
      <c r="CH1053" s="420"/>
    </row>
    <row r="1054" spans="75:86" s="428" customFormat="1" x14ac:dyDescent="0.2">
      <c r="BW1054" s="439"/>
      <c r="BX1054" s="439"/>
      <c r="BY1054" s="439"/>
      <c r="BZ1054" s="439"/>
      <c r="CA1054" s="439"/>
      <c r="CB1054" s="439"/>
      <c r="CC1054" s="439"/>
      <c r="CD1054" s="439"/>
      <c r="CE1054" s="440"/>
      <c r="CF1054" s="420"/>
      <c r="CG1054" s="420"/>
      <c r="CH1054" s="420"/>
    </row>
    <row r="1055" spans="75:86" s="428" customFormat="1" x14ac:dyDescent="0.2">
      <c r="BW1055" s="439"/>
      <c r="BX1055" s="439"/>
      <c r="BY1055" s="439"/>
      <c r="BZ1055" s="439"/>
      <c r="CA1055" s="439"/>
      <c r="CB1055" s="439"/>
      <c r="CC1055" s="439"/>
      <c r="CD1055" s="439"/>
      <c r="CE1055" s="440"/>
      <c r="CF1055" s="420"/>
      <c r="CG1055" s="420"/>
      <c r="CH1055" s="420"/>
    </row>
    <row r="1056" spans="75:86" s="428" customFormat="1" x14ac:dyDescent="0.2">
      <c r="BW1056" s="439"/>
      <c r="BX1056" s="439"/>
      <c r="BY1056" s="439"/>
      <c r="BZ1056" s="439"/>
      <c r="CA1056" s="439"/>
      <c r="CB1056" s="439"/>
      <c r="CC1056" s="439"/>
      <c r="CD1056" s="439"/>
      <c r="CE1056" s="440"/>
      <c r="CF1056" s="420"/>
      <c r="CG1056" s="420"/>
      <c r="CH1056" s="420"/>
    </row>
    <row r="1057" spans="75:86" s="428" customFormat="1" x14ac:dyDescent="0.2">
      <c r="BW1057" s="439"/>
      <c r="BX1057" s="439"/>
      <c r="BY1057" s="439"/>
      <c r="BZ1057" s="439"/>
      <c r="CA1057" s="439"/>
      <c r="CB1057" s="439"/>
      <c r="CC1057" s="439"/>
      <c r="CD1057" s="439"/>
      <c r="CE1057" s="440"/>
      <c r="CF1057" s="420"/>
      <c r="CG1057" s="420"/>
      <c r="CH1057" s="420"/>
    </row>
    <row r="1058" spans="75:86" s="428" customFormat="1" x14ac:dyDescent="0.2">
      <c r="BW1058" s="439"/>
      <c r="BX1058" s="439"/>
      <c r="BY1058" s="439"/>
      <c r="BZ1058" s="439"/>
      <c r="CA1058" s="439"/>
      <c r="CB1058" s="439"/>
      <c r="CC1058" s="439"/>
      <c r="CD1058" s="439"/>
      <c r="CE1058" s="440"/>
      <c r="CF1058" s="420"/>
      <c r="CG1058" s="420"/>
      <c r="CH1058" s="420"/>
    </row>
    <row r="1059" spans="75:86" s="428" customFormat="1" x14ac:dyDescent="0.2">
      <c r="BW1059" s="439"/>
      <c r="BX1059" s="439"/>
      <c r="BY1059" s="439"/>
      <c r="BZ1059" s="439"/>
      <c r="CA1059" s="439"/>
      <c r="CB1059" s="439"/>
      <c r="CC1059" s="439"/>
      <c r="CD1059" s="439"/>
      <c r="CE1059" s="440"/>
      <c r="CF1059" s="420"/>
      <c r="CG1059" s="420"/>
      <c r="CH1059" s="420"/>
    </row>
    <row r="1060" spans="75:86" s="428" customFormat="1" x14ac:dyDescent="0.2">
      <c r="BW1060" s="439"/>
      <c r="BX1060" s="439"/>
      <c r="BY1060" s="439"/>
      <c r="BZ1060" s="439"/>
      <c r="CA1060" s="439"/>
      <c r="CB1060" s="439"/>
      <c r="CC1060" s="439"/>
      <c r="CD1060" s="439"/>
      <c r="CE1060" s="440"/>
      <c r="CF1060" s="420"/>
      <c r="CG1060" s="420"/>
      <c r="CH1060" s="420"/>
    </row>
    <row r="1061" spans="75:86" s="428" customFormat="1" x14ac:dyDescent="0.2">
      <c r="BW1061" s="439"/>
      <c r="BX1061" s="439"/>
      <c r="BY1061" s="439"/>
      <c r="BZ1061" s="439"/>
      <c r="CA1061" s="439"/>
      <c r="CB1061" s="439"/>
      <c r="CC1061" s="439"/>
      <c r="CD1061" s="439"/>
      <c r="CE1061" s="440"/>
      <c r="CF1061" s="420"/>
      <c r="CG1061" s="420"/>
      <c r="CH1061" s="420"/>
    </row>
    <row r="1062" spans="75:86" s="428" customFormat="1" x14ac:dyDescent="0.2">
      <c r="BW1062" s="439"/>
      <c r="BX1062" s="439"/>
      <c r="BY1062" s="439"/>
      <c r="BZ1062" s="439"/>
      <c r="CA1062" s="439"/>
      <c r="CB1062" s="439"/>
      <c r="CC1062" s="439"/>
      <c r="CD1062" s="439"/>
      <c r="CE1062" s="440"/>
      <c r="CF1062" s="420"/>
      <c r="CG1062" s="420"/>
      <c r="CH1062" s="420"/>
    </row>
    <row r="1063" spans="75:86" s="428" customFormat="1" x14ac:dyDescent="0.2">
      <c r="BW1063" s="439"/>
      <c r="BX1063" s="439"/>
      <c r="BY1063" s="439"/>
      <c r="BZ1063" s="439"/>
      <c r="CA1063" s="439"/>
      <c r="CB1063" s="439"/>
      <c r="CC1063" s="439"/>
      <c r="CD1063" s="439"/>
      <c r="CE1063" s="440"/>
      <c r="CF1063" s="420"/>
      <c r="CG1063" s="420"/>
      <c r="CH1063" s="420"/>
    </row>
    <row r="1064" spans="75:86" s="428" customFormat="1" x14ac:dyDescent="0.2">
      <c r="BW1064" s="439"/>
      <c r="BX1064" s="439"/>
      <c r="BY1064" s="439"/>
      <c r="BZ1064" s="439"/>
      <c r="CA1064" s="439"/>
      <c r="CB1064" s="439"/>
      <c r="CC1064" s="439"/>
      <c r="CD1064" s="439"/>
      <c r="CE1064" s="440"/>
      <c r="CF1064" s="420"/>
      <c r="CG1064" s="420"/>
      <c r="CH1064" s="420"/>
    </row>
    <row r="1065" spans="75:86" s="428" customFormat="1" x14ac:dyDescent="0.2">
      <c r="BW1065" s="439"/>
      <c r="BX1065" s="439"/>
      <c r="BY1065" s="439"/>
      <c r="BZ1065" s="439"/>
      <c r="CA1065" s="439"/>
      <c r="CB1065" s="439"/>
      <c r="CC1065" s="439"/>
      <c r="CD1065" s="439"/>
      <c r="CE1065" s="440"/>
      <c r="CF1065" s="420"/>
      <c r="CG1065" s="420"/>
      <c r="CH1065" s="420"/>
    </row>
    <row r="1066" spans="75:86" s="428" customFormat="1" x14ac:dyDescent="0.2">
      <c r="BW1066" s="439"/>
      <c r="BX1066" s="439"/>
      <c r="BY1066" s="439"/>
      <c r="BZ1066" s="439"/>
      <c r="CA1066" s="439"/>
      <c r="CB1066" s="439"/>
      <c r="CC1066" s="439"/>
      <c r="CD1066" s="439"/>
      <c r="CE1066" s="440"/>
      <c r="CF1066" s="420"/>
      <c r="CG1066" s="420"/>
      <c r="CH1066" s="420"/>
    </row>
    <row r="1067" spans="75:86" s="428" customFormat="1" x14ac:dyDescent="0.2">
      <c r="BW1067" s="439"/>
      <c r="BX1067" s="439"/>
      <c r="BY1067" s="439"/>
      <c r="BZ1067" s="439"/>
      <c r="CA1067" s="439"/>
      <c r="CB1067" s="439"/>
      <c r="CC1067" s="439"/>
      <c r="CD1067" s="439"/>
      <c r="CE1067" s="440"/>
      <c r="CF1067" s="420"/>
      <c r="CG1067" s="420"/>
      <c r="CH1067" s="420"/>
    </row>
    <row r="1068" spans="75:86" s="428" customFormat="1" x14ac:dyDescent="0.2">
      <c r="BW1068" s="439"/>
      <c r="BX1068" s="439"/>
      <c r="BY1068" s="439"/>
      <c r="BZ1068" s="439"/>
      <c r="CA1068" s="439"/>
      <c r="CB1068" s="439"/>
      <c r="CC1068" s="439"/>
      <c r="CD1068" s="439"/>
      <c r="CE1068" s="440"/>
      <c r="CF1068" s="420"/>
      <c r="CG1068" s="420"/>
      <c r="CH1068" s="420"/>
    </row>
    <row r="1069" spans="75:86" s="428" customFormat="1" x14ac:dyDescent="0.2">
      <c r="BW1069" s="439"/>
      <c r="BX1069" s="439"/>
      <c r="BY1069" s="439"/>
      <c r="BZ1069" s="439"/>
      <c r="CA1069" s="439"/>
      <c r="CB1069" s="439"/>
      <c r="CC1069" s="439"/>
      <c r="CD1069" s="439"/>
      <c r="CE1069" s="440"/>
      <c r="CF1069" s="420"/>
      <c r="CG1069" s="420"/>
      <c r="CH1069" s="420"/>
    </row>
    <row r="1070" spans="75:86" s="428" customFormat="1" x14ac:dyDescent="0.2">
      <c r="BW1070" s="439"/>
      <c r="BX1070" s="439"/>
      <c r="BY1070" s="439"/>
      <c r="BZ1070" s="439"/>
      <c r="CA1070" s="439"/>
      <c r="CB1070" s="439"/>
      <c r="CC1070" s="439"/>
      <c r="CD1070" s="439"/>
      <c r="CE1070" s="440"/>
      <c r="CF1070" s="420"/>
      <c r="CG1070" s="420"/>
      <c r="CH1070" s="420"/>
    </row>
    <row r="1071" spans="75:86" s="428" customFormat="1" x14ac:dyDescent="0.2">
      <c r="BW1071" s="439"/>
      <c r="BX1071" s="439"/>
      <c r="BY1071" s="439"/>
      <c r="BZ1071" s="439"/>
      <c r="CA1071" s="439"/>
      <c r="CB1071" s="439"/>
      <c r="CC1071" s="439"/>
      <c r="CD1071" s="439"/>
      <c r="CE1071" s="440"/>
      <c r="CF1071" s="420"/>
      <c r="CG1071" s="420"/>
      <c r="CH1071" s="420"/>
    </row>
    <row r="1072" spans="75:86" s="428" customFormat="1" x14ac:dyDescent="0.2">
      <c r="BW1072" s="439"/>
      <c r="BX1072" s="439"/>
      <c r="BY1072" s="439"/>
      <c r="BZ1072" s="439"/>
      <c r="CA1072" s="439"/>
      <c r="CB1072" s="439"/>
      <c r="CC1072" s="439"/>
      <c r="CD1072" s="439"/>
      <c r="CE1072" s="440"/>
      <c r="CF1072" s="420"/>
      <c r="CG1072" s="420"/>
      <c r="CH1072" s="420"/>
    </row>
    <row r="1073" spans="75:86" s="428" customFormat="1" x14ac:dyDescent="0.2">
      <c r="BW1073" s="439"/>
      <c r="BX1073" s="439"/>
      <c r="BY1073" s="439"/>
      <c r="BZ1073" s="439"/>
      <c r="CA1073" s="439"/>
      <c r="CB1073" s="439"/>
      <c r="CC1073" s="439"/>
      <c r="CD1073" s="439"/>
      <c r="CE1073" s="440"/>
      <c r="CF1073" s="420"/>
      <c r="CG1073" s="420"/>
      <c r="CH1073" s="420"/>
    </row>
    <row r="1074" spans="75:86" s="428" customFormat="1" x14ac:dyDescent="0.2">
      <c r="BW1074" s="439"/>
      <c r="BX1074" s="439"/>
      <c r="BY1074" s="439"/>
      <c r="BZ1074" s="439"/>
      <c r="CA1074" s="439"/>
      <c r="CB1074" s="439"/>
      <c r="CC1074" s="439"/>
      <c r="CD1074" s="439"/>
      <c r="CE1074" s="440"/>
      <c r="CF1074" s="420"/>
      <c r="CG1074" s="420"/>
      <c r="CH1074" s="420"/>
    </row>
    <row r="1075" spans="75:86" s="428" customFormat="1" x14ac:dyDescent="0.2">
      <c r="BW1075" s="439"/>
      <c r="BX1075" s="439"/>
      <c r="BY1075" s="439"/>
      <c r="BZ1075" s="439"/>
      <c r="CA1075" s="439"/>
      <c r="CB1075" s="439"/>
      <c r="CC1075" s="439"/>
      <c r="CD1075" s="439"/>
      <c r="CE1075" s="440"/>
      <c r="CF1075" s="420"/>
      <c r="CG1075" s="420"/>
      <c r="CH1075" s="420"/>
    </row>
    <row r="1076" spans="75:86" s="428" customFormat="1" x14ac:dyDescent="0.2">
      <c r="BW1076" s="439"/>
      <c r="BX1076" s="439"/>
      <c r="BY1076" s="439"/>
      <c r="BZ1076" s="439"/>
      <c r="CA1076" s="439"/>
      <c r="CB1076" s="439"/>
      <c r="CC1076" s="439"/>
      <c r="CD1076" s="439"/>
      <c r="CE1076" s="440"/>
      <c r="CF1076" s="420"/>
      <c r="CG1076" s="420"/>
      <c r="CH1076" s="420"/>
    </row>
    <row r="1077" spans="75:86" s="428" customFormat="1" x14ac:dyDescent="0.2">
      <c r="BW1077" s="439"/>
      <c r="BX1077" s="439"/>
      <c r="BY1077" s="439"/>
      <c r="BZ1077" s="439"/>
      <c r="CA1077" s="439"/>
      <c r="CB1077" s="439"/>
      <c r="CC1077" s="439"/>
      <c r="CD1077" s="439"/>
      <c r="CE1077" s="440"/>
      <c r="CF1077" s="420"/>
      <c r="CG1077" s="420"/>
      <c r="CH1077" s="420"/>
    </row>
    <row r="1078" spans="75:86" s="428" customFormat="1" x14ac:dyDescent="0.2">
      <c r="BW1078" s="439"/>
      <c r="BX1078" s="439"/>
      <c r="BY1078" s="439"/>
      <c r="BZ1078" s="439"/>
      <c r="CA1078" s="439"/>
      <c r="CB1078" s="439"/>
      <c r="CC1078" s="439"/>
      <c r="CD1078" s="439"/>
      <c r="CE1078" s="440"/>
      <c r="CF1078" s="420"/>
      <c r="CG1078" s="420"/>
      <c r="CH1078" s="420"/>
    </row>
    <row r="1079" spans="75:86" s="428" customFormat="1" x14ac:dyDescent="0.2">
      <c r="BW1079" s="439"/>
      <c r="BX1079" s="439"/>
      <c r="BY1079" s="439"/>
      <c r="BZ1079" s="439"/>
      <c r="CA1079" s="439"/>
      <c r="CB1079" s="439"/>
      <c r="CC1079" s="439"/>
      <c r="CD1079" s="439"/>
      <c r="CE1079" s="440"/>
      <c r="CF1079" s="420"/>
      <c r="CG1079" s="420"/>
      <c r="CH1079" s="420"/>
    </row>
    <row r="1080" spans="75:86" s="428" customFormat="1" x14ac:dyDescent="0.2">
      <c r="BW1080" s="439"/>
      <c r="BX1080" s="439"/>
      <c r="BY1080" s="439"/>
      <c r="BZ1080" s="439"/>
      <c r="CA1080" s="439"/>
      <c r="CB1080" s="439"/>
      <c r="CC1080" s="439"/>
      <c r="CD1080" s="439"/>
      <c r="CE1080" s="440"/>
      <c r="CF1080" s="420"/>
      <c r="CG1080" s="420"/>
      <c r="CH1080" s="420"/>
    </row>
    <row r="1081" spans="75:86" s="428" customFormat="1" x14ac:dyDescent="0.2">
      <c r="BW1081" s="439"/>
      <c r="BX1081" s="439"/>
      <c r="BY1081" s="439"/>
      <c r="BZ1081" s="439"/>
      <c r="CA1081" s="439"/>
      <c r="CB1081" s="439"/>
      <c r="CC1081" s="439"/>
      <c r="CD1081" s="439"/>
      <c r="CE1081" s="440"/>
      <c r="CF1081" s="420"/>
      <c r="CG1081" s="420"/>
      <c r="CH1081" s="420"/>
    </row>
    <row r="1082" spans="75:86" s="428" customFormat="1" x14ac:dyDescent="0.2">
      <c r="BW1082" s="439"/>
      <c r="BX1082" s="439"/>
      <c r="BY1082" s="439"/>
      <c r="BZ1082" s="439"/>
      <c r="CA1082" s="439"/>
      <c r="CB1082" s="439"/>
      <c r="CC1082" s="439"/>
      <c r="CD1082" s="439"/>
      <c r="CE1082" s="440"/>
      <c r="CF1082" s="420"/>
      <c r="CG1082" s="420"/>
      <c r="CH1082" s="420"/>
    </row>
    <row r="1083" spans="75:86" s="428" customFormat="1" x14ac:dyDescent="0.2">
      <c r="BW1083" s="439"/>
      <c r="BX1083" s="439"/>
      <c r="BY1083" s="439"/>
      <c r="BZ1083" s="439"/>
      <c r="CA1083" s="439"/>
      <c r="CB1083" s="439"/>
      <c r="CC1083" s="439"/>
      <c r="CD1083" s="439"/>
      <c r="CE1083" s="440"/>
      <c r="CF1083" s="420"/>
      <c r="CG1083" s="420"/>
      <c r="CH1083" s="420"/>
    </row>
    <row r="1084" spans="75:86" s="428" customFormat="1" x14ac:dyDescent="0.2">
      <c r="BW1084" s="439"/>
      <c r="BX1084" s="439"/>
      <c r="BY1084" s="439"/>
      <c r="BZ1084" s="439"/>
      <c r="CA1084" s="439"/>
      <c r="CB1084" s="439"/>
      <c r="CC1084" s="439"/>
      <c r="CD1084" s="439"/>
      <c r="CE1084" s="440"/>
      <c r="CF1084" s="420"/>
      <c r="CG1084" s="420"/>
      <c r="CH1084" s="420"/>
    </row>
    <row r="1085" spans="75:86" s="428" customFormat="1" x14ac:dyDescent="0.2">
      <c r="BW1085" s="439"/>
      <c r="BX1085" s="439"/>
      <c r="BY1085" s="439"/>
      <c r="BZ1085" s="439"/>
      <c r="CA1085" s="439"/>
      <c r="CB1085" s="439"/>
      <c r="CC1085" s="439"/>
      <c r="CD1085" s="439"/>
      <c r="CE1085" s="440"/>
      <c r="CF1085" s="420"/>
      <c r="CG1085" s="420"/>
      <c r="CH1085" s="420"/>
    </row>
    <row r="1086" spans="75:86" s="428" customFormat="1" x14ac:dyDescent="0.2">
      <c r="BW1086" s="439"/>
      <c r="BX1086" s="439"/>
      <c r="BY1086" s="439"/>
      <c r="BZ1086" s="439"/>
      <c r="CA1086" s="439"/>
      <c r="CB1086" s="439"/>
      <c r="CC1086" s="439"/>
      <c r="CD1086" s="439"/>
      <c r="CE1086" s="440"/>
      <c r="CF1086" s="420"/>
      <c r="CG1086" s="420"/>
      <c r="CH1086" s="420"/>
    </row>
    <row r="1087" spans="75:86" s="428" customFormat="1" x14ac:dyDescent="0.2">
      <c r="BW1087" s="439"/>
      <c r="BX1087" s="439"/>
      <c r="BY1087" s="439"/>
      <c r="BZ1087" s="439"/>
      <c r="CA1087" s="439"/>
      <c r="CB1087" s="439"/>
      <c r="CC1087" s="439"/>
      <c r="CD1087" s="439"/>
      <c r="CE1087" s="440"/>
      <c r="CF1087" s="420"/>
      <c r="CG1087" s="420"/>
      <c r="CH1087" s="420"/>
    </row>
    <row r="1088" spans="75:86" s="428" customFormat="1" x14ac:dyDescent="0.2">
      <c r="BW1088" s="439"/>
      <c r="BX1088" s="439"/>
      <c r="BY1088" s="439"/>
      <c r="BZ1088" s="439"/>
      <c r="CA1088" s="439"/>
      <c r="CB1088" s="439"/>
      <c r="CC1088" s="439"/>
      <c r="CD1088" s="439"/>
      <c r="CE1088" s="440"/>
      <c r="CF1088" s="420"/>
      <c r="CG1088" s="420"/>
      <c r="CH1088" s="420"/>
    </row>
    <row r="1089" spans="75:86" s="428" customFormat="1" x14ac:dyDescent="0.2">
      <c r="BW1089" s="439"/>
      <c r="BX1089" s="439"/>
      <c r="BY1089" s="439"/>
      <c r="BZ1089" s="439"/>
      <c r="CA1089" s="439"/>
      <c r="CB1089" s="439"/>
      <c r="CC1089" s="439"/>
      <c r="CD1089" s="439"/>
      <c r="CE1089" s="440"/>
      <c r="CF1089" s="420"/>
      <c r="CG1089" s="420"/>
      <c r="CH1089" s="420"/>
    </row>
    <row r="1090" spans="75:86" s="428" customFormat="1" x14ac:dyDescent="0.2">
      <c r="BW1090" s="439"/>
      <c r="BX1090" s="439"/>
      <c r="BY1090" s="439"/>
      <c r="BZ1090" s="439"/>
      <c r="CA1090" s="439"/>
      <c r="CB1090" s="439"/>
      <c r="CC1090" s="439"/>
      <c r="CD1090" s="439"/>
      <c r="CE1090" s="440"/>
      <c r="CF1090" s="420"/>
      <c r="CG1090" s="420"/>
      <c r="CH1090" s="420"/>
    </row>
    <row r="1091" spans="75:86" s="428" customFormat="1" x14ac:dyDescent="0.2">
      <c r="BW1091" s="439"/>
      <c r="BX1091" s="439"/>
      <c r="BY1091" s="439"/>
      <c r="BZ1091" s="439"/>
      <c r="CA1091" s="439"/>
      <c r="CB1091" s="439"/>
      <c r="CC1091" s="439"/>
      <c r="CD1091" s="439"/>
      <c r="CE1091" s="440"/>
      <c r="CF1091" s="420"/>
      <c r="CG1091" s="420"/>
      <c r="CH1091" s="420"/>
    </row>
    <row r="1092" spans="75:86" s="428" customFormat="1" x14ac:dyDescent="0.2">
      <c r="BW1092" s="439"/>
      <c r="BX1092" s="439"/>
      <c r="BY1092" s="439"/>
      <c r="BZ1092" s="439"/>
      <c r="CA1092" s="439"/>
      <c r="CB1092" s="439"/>
      <c r="CC1092" s="439"/>
      <c r="CD1092" s="439"/>
      <c r="CE1092" s="440"/>
      <c r="CF1092" s="420"/>
      <c r="CG1092" s="420"/>
      <c r="CH1092" s="420"/>
    </row>
    <row r="1093" spans="75:86" s="428" customFormat="1" x14ac:dyDescent="0.2">
      <c r="BW1093" s="439"/>
      <c r="BX1093" s="439"/>
      <c r="BY1093" s="439"/>
      <c r="BZ1093" s="439"/>
      <c r="CA1093" s="439"/>
      <c r="CB1093" s="439"/>
      <c r="CC1093" s="439"/>
      <c r="CD1093" s="439"/>
      <c r="CE1093" s="440"/>
      <c r="CF1093" s="420"/>
      <c r="CG1093" s="420"/>
      <c r="CH1093" s="420"/>
    </row>
    <row r="1094" spans="75:86" s="428" customFormat="1" x14ac:dyDescent="0.2">
      <c r="BW1094" s="439"/>
      <c r="BX1094" s="439"/>
      <c r="BY1094" s="439"/>
      <c r="BZ1094" s="439"/>
      <c r="CA1094" s="439"/>
      <c r="CB1094" s="439"/>
      <c r="CC1094" s="439"/>
      <c r="CD1094" s="439"/>
      <c r="CE1094" s="440"/>
      <c r="CF1094" s="420"/>
      <c r="CG1094" s="420"/>
      <c r="CH1094" s="420"/>
    </row>
    <row r="1095" spans="75:86" s="428" customFormat="1" x14ac:dyDescent="0.2">
      <c r="BW1095" s="439"/>
      <c r="BX1095" s="439"/>
      <c r="BY1095" s="439"/>
      <c r="BZ1095" s="439"/>
      <c r="CA1095" s="439"/>
      <c r="CB1095" s="439"/>
      <c r="CC1095" s="439"/>
      <c r="CD1095" s="439"/>
      <c r="CE1095" s="440"/>
      <c r="CF1095" s="420"/>
      <c r="CG1095" s="420"/>
      <c r="CH1095" s="420"/>
    </row>
    <row r="1096" spans="75:86" s="428" customFormat="1" x14ac:dyDescent="0.2">
      <c r="BW1096" s="439"/>
      <c r="BX1096" s="439"/>
      <c r="BY1096" s="439"/>
      <c r="BZ1096" s="439"/>
      <c r="CA1096" s="439"/>
      <c r="CB1096" s="439"/>
      <c r="CC1096" s="439"/>
      <c r="CD1096" s="439"/>
      <c r="CE1096" s="440"/>
      <c r="CF1096" s="420"/>
      <c r="CG1096" s="420"/>
      <c r="CH1096" s="420"/>
    </row>
    <row r="1097" spans="75:86" s="428" customFormat="1" x14ac:dyDescent="0.2">
      <c r="BW1097" s="439"/>
      <c r="BX1097" s="439"/>
      <c r="BY1097" s="439"/>
      <c r="BZ1097" s="439"/>
      <c r="CA1097" s="439"/>
      <c r="CB1097" s="439"/>
      <c r="CC1097" s="439"/>
      <c r="CD1097" s="439"/>
      <c r="CE1097" s="440"/>
      <c r="CF1097" s="420"/>
      <c r="CG1097" s="420"/>
      <c r="CH1097" s="420"/>
    </row>
    <row r="1098" spans="75:86" s="428" customFormat="1" x14ac:dyDescent="0.2">
      <c r="BW1098" s="439"/>
      <c r="BX1098" s="439"/>
      <c r="BY1098" s="439"/>
      <c r="BZ1098" s="439"/>
      <c r="CA1098" s="439"/>
      <c r="CB1098" s="439"/>
      <c r="CC1098" s="439"/>
      <c r="CD1098" s="439"/>
      <c r="CE1098" s="440"/>
      <c r="CF1098" s="420"/>
      <c r="CG1098" s="420"/>
      <c r="CH1098" s="420"/>
    </row>
    <row r="1099" spans="75:86" s="428" customFormat="1" x14ac:dyDescent="0.2">
      <c r="BW1099" s="439"/>
      <c r="BX1099" s="439"/>
      <c r="BY1099" s="439"/>
      <c r="BZ1099" s="439"/>
      <c r="CA1099" s="439"/>
      <c r="CB1099" s="439"/>
      <c r="CC1099" s="439"/>
      <c r="CD1099" s="439"/>
      <c r="CE1099" s="440"/>
      <c r="CF1099" s="420"/>
      <c r="CG1099" s="420"/>
      <c r="CH1099" s="420"/>
    </row>
    <row r="1100" spans="75:86" s="428" customFormat="1" x14ac:dyDescent="0.2">
      <c r="BW1100" s="439"/>
      <c r="BX1100" s="439"/>
      <c r="BY1100" s="439"/>
      <c r="BZ1100" s="439"/>
      <c r="CA1100" s="439"/>
      <c r="CB1100" s="439"/>
      <c r="CC1100" s="439"/>
      <c r="CD1100" s="439"/>
      <c r="CE1100" s="440"/>
      <c r="CF1100" s="420"/>
      <c r="CG1100" s="420"/>
      <c r="CH1100" s="420"/>
    </row>
    <row r="1101" spans="75:86" s="428" customFormat="1" x14ac:dyDescent="0.2">
      <c r="BW1101" s="439"/>
      <c r="BX1101" s="439"/>
      <c r="BY1101" s="439"/>
      <c r="BZ1101" s="439"/>
      <c r="CA1101" s="439"/>
      <c r="CB1101" s="439"/>
      <c r="CC1101" s="439"/>
      <c r="CD1101" s="439"/>
      <c r="CE1101" s="440"/>
      <c r="CF1101" s="420"/>
      <c r="CG1101" s="420"/>
      <c r="CH1101" s="420"/>
    </row>
    <row r="1102" spans="75:86" s="428" customFormat="1" x14ac:dyDescent="0.2">
      <c r="BW1102" s="439"/>
      <c r="BX1102" s="439"/>
      <c r="BY1102" s="439"/>
      <c r="BZ1102" s="439"/>
      <c r="CA1102" s="439"/>
      <c r="CB1102" s="439"/>
      <c r="CC1102" s="439"/>
      <c r="CD1102" s="439"/>
      <c r="CE1102" s="440"/>
      <c r="CF1102" s="420"/>
      <c r="CG1102" s="420"/>
      <c r="CH1102" s="420"/>
    </row>
    <row r="1103" spans="75:86" s="428" customFormat="1" x14ac:dyDescent="0.2">
      <c r="BW1103" s="439"/>
      <c r="BX1103" s="439"/>
      <c r="BY1103" s="439"/>
      <c r="BZ1103" s="439"/>
      <c r="CA1103" s="439"/>
      <c r="CB1103" s="439"/>
      <c r="CC1103" s="439"/>
      <c r="CD1103" s="439"/>
      <c r="CE1103" s="440"/>
      <c r="CF1103" s="420"/>
      <c r="CG1103" s="420"/>
      <c r="CH1103" s="420"/>
    </row>
    <row r="1104" spans="75:86" s="428" customFormat="1" x14ac:dyDescent="0.2">
      <c r="BW1104" s="439"/>
      <c r="BX1104" s="439"/>
      <c r="BY1104" s="439"/>
      <c r="BZ1104" s="439"/>
      <c r="CA1104" s="439"/>
      <c r="CB1104" s="439"/>
      <c r="CC1104" s="439"/>
      <c r="CD1104" s="439"/>
      <c r="CE1104" s="440"/>
      <c r="CF1104" s="420"/>
      <c r="CG1104" s="420"/>
      <c r="CH1104" s="420"/>
    </row>
    <row r="1105" spans="75:86" s="428" customFormat="1" x14ac:dyDescent="0.2">
      <c r="BW1105" s="439"/>
      <c r="BX1105" s="439"/>
      <c r="BY1105" s="439"/>
      <c r="BZ1105" s="439"/>
      <c r="CA1105" s="439"/>
      <c r="CB1105" s="439"/>
      <c r="CC1105" s="439"/>
      <c r="CD1105" s="439"/>
      <c r="CE1105" s="440"/>
      <c r="CF1105" s="420"/>
      <c r="CG1105" s="420"/>
      <c r="CH1105" s="420"/>
    </row>
    <row r="1106" spans="75:86" s="428" customFormat="1" x14ac:dyDescent="0.2">
      <c r="BW1106" s="439"/>
      <c r="BX1106" s="439"/>
      <c r="BY1106" s="439"/>
      <c r="BZ1106" s="439"/>
      <c r="CA1106" s="439"/>
      <c r="CB1106" s="439"/>
      <c r="CC1106" s="439"/>
      <c r="CD1106" s="439"/>
      <c r="CE1106" s="440"/>
      <c r="CF1106" s="420"/>
      <c r="CG1106" s="420"/>
      <c r="CH1106" s="420"/>
    </row>
    <row r="1107" spans="75:86" s="428" customFormat="1" x14ac:dyDescent="0.2">
      <c r="BW1107" s="439"/>
      <c r="BX1107" s="439"/>
      <c r="BY1107" s="439"/>
      <c r="BZ1107" s="439"/>
      <c r="CA1107" s="439"/>
      <c r="CB1107" s="439"/>
      <c r="CC1107" s="439"/>
      <c r="CD1107" s="439"/>
      <c r="CE1107" s="440"/>
      <c r="CF1107" s="420"/>
      <c r="CG1107" s="420"/>
      <c r="CH1107" s="420"/>
    </row>
    <row r="1108" spans="75:86" s="428" customFormat="1" x14ac:dyDescent="0.2">
      <c r="BW1108" s="439"/>
      <c r="BX1108" s="439"/>
      <c r="BY1108" s="439"/>
      <c r="BZ1108" s="439"/>
      <c r="CA1108" s="439"/>
      <c r="CB1108" s="439"/>
      <c r="CC1108" s="439"/>
      <c r="CD1108" s="439"/>
      <c r="CE1108" s="440"/>
      <c r="CF1108" s="420"/>
      <c r="CG1108" s="420"/>
      <c r="CH1108" s="420"/>
    </row>
    <row r="1109" spans="75:86" s="428" customFormat="1" x14ac:dyDescent="0.2">
      <c r="BW1109" s="439"/>
      <c r="BX1109" s="439"/>
      <c r="BY1109" s="439"/>
      <c r="BZ1109" s="439"/>
      <c r="CA1109" s="439"/>
      <c r="CB1109" s="439"/>
      <c r="CC1109" s="439"/>
      <c r="CD1109" s="439"/>
      <c r="CE1109" s="440"/>
      <c r="CF1109" s="420"/>
      <c r="CG1109" s="420"/>
      <c r="CH1109" s="420"/>
    </row>
    <row r="1110" spans="75:86" s="428" customFormat="1" x14ac:dyDescent="0.2">
      <c r="BW1110" s="439"/>
      <c r="BX1110" s="439"/>
      <c r="BY1110" s="439"/>
      <c r="BZ1110" s="439"/>
      <c r="CA1110" s="439"/>
      <c r="CB1110" s="439"/>
      <c r="CC1110" s="439"/>
      <c r="CD1110" s="439"/>
      <c r="CE1110" s="440"/>
      <c r="CF1110" s="420"/>
      <c r="CG1110" s="420"/>
      <c r="CH1110" s="420"/>
    </row>
    <row r="1111" spans="75:86" s="428" customFormat="1" x14ac:dyDescent="0.2">
      <c r="BW1111" s="439"/>
      <c r="BX1111" s="439"/>
      <c r="BY1111" s="439"/>
      <c r="BZ1111" s="439"/>
      <c r="CA1111" s="439"/>
      <c r="CB1111" s="439"/>
      <c r="CC1111" s="439"/>
      <c r="CD1111" s="439"/>
      <c r="CE1111" s="440"/>
      <c r="CF1111" s="420"/>
      <c r="CG1111" s="420"/>
      <c r="CH1111" s="420"/>
    </row>
    <row r="1112" spans="75:86" s="428" customFormat="1" x14ac:dyDescent="0.2">
      <c r="BW1112" s="439"/>
      <c r="BX1112" s="439"/>
      <c r="BY1112" s="439"/>
      <c r="BZ1112" s="439"/>
      <c r="CA1112" s="439"/>
      <c r="CB1112" s="439"/>
      <c r="CC1112" s="439"/>
      <c r="CD1112" s="439"/>
      <c r="CE1112" s="440"/>
      <c r="CF1112" s="420"/>
      <c r="CG1112" s="420"/>
      <c r="CH1112" s="420"/>
    </row>
    <row r="1113" spans="75:86" s="428" customFormat="1" x14ac:dyDescent="0.2">
      <c r="BW1113" s="439"/>
      <c r="BX1113" s="439"/>
      <c r="BY1113" s="439"/>
      <c r="BZ1113" s="439"/>
      <c r="CA1113" s="439"/>
      <c r="CB1113" s="439"/>
      <c r="CC1113" s="439"/>
      <c r="CD1113" s="439"/>
      <c r="CE1113" s="440"/>
      <c r="CF1113" s="420"/>
      <c r="CG1113" s="420"/>
      <c r="CH1113" s="420"/>
    </row>
    <row r="1114" spans="75:86" s="428" customFormat="1" x14ac:dyDescent="0.2">
      <c r="BW1114" s="439"/>
      <c r="BX1114" s="439"/>
      <c r="BY1114" s="439"/>
      <c r="BZ1114" s="439"/>
      <c r="CA1114" s="439"/>
      <c r="CB1114" s="439"/>
      <c r="CC1114" s="439"/>
      <c r="CD1114" s="439"/>
      <c r="CE1114" s="440"/>
      <c r="CF1114" s="420"/>
      <c r="CG1114" s="420"/>
      <c r="CH1114" s="420"/>
    </row>
    <row r="1115" spans="75:86" s="428" customFormat="1" x14ac:dyDescent="0.2">
      <c r="BW1115" s="439"/>
      <c r="BX1115" s="439"/>
      <c r="BY1115" s="439"/>
      <c r="BZ1115" s="439"/>
      <c r="CA1115" s="439"/>
      <c r="CB1115" s="439"/>
      <c r="CC1115" s="439"/>
      <c r="CD1115" s="439"/>
      <c r="CE1115" s="440"/>
      <c r="CF1115" s="420"/>
      <c r="CG1115" s="420"/>
      <c r="CH1115" s="420"/>
    </row>
    <row r="1116" spans="75:86" s="428" customFormat="1" x14ac:dyDescent="0.2">
      <c r="BW1116" s="439"/>
      <c r="BX1116" s="439"/>
      <c r="BY1116" s="439"/>
      <c r="BZ1116" s="439"/>
      <c r="CA1116" s="439"/>
      <c r="CB1116" s="439"/>
      <c r="CC1116" s="439"/>
      <c r="CD1116" s="439"/>
      <c r="CE1116" s="440"/>
      <c r="CF1116" s="420"/>
      <c r="CG1116" s="420"/>
      <c r="CH1116" s="420"/>
    </row>
    <row r="1117" spans="75:86" s="428" customFormat="1" x14ac:dyDescent="0.2">
      <c r="BW1117" s="439"/>
      <c r="BX1117" s="439"/>
      <c r="BY1117" s="439"/>
      <c r="BZ1117" s="439"/>
      <c r="CA1117" s="439"/>
      <c r="CB1117" s="439"/>
      <c r="CC1117" s="439"/>
      <c r="CD1117" s="439"/>
      <c r="CE1117" s="440"/>
      <c r="CF1117" s="420"/>
      <c r="CG1117" s="420"/>
      <c r="CH1117" s="420"/>
    </row>
    <row r="1118" spans="75:86" s="428" customFormat="1" x14ac:dyDescent="0.2">
      <c r="BW1118" s="439"/>
      <c r="BX1118" s="439"/>
      <c r="BY1118" s="439"/>
      <c r="BZ1118" s="439"/>
      <c r="CA1118" s="439"/>
      <c r="CB1118" s="439"/>
      <c r="CC1118" s="439"/>
      <c r="CD1118" s="439"/>
      <c r="CE1118" s="440"/>
      <c r="CF1118" s="420"/>
      <c r="CG1118" s="420"/>
      <c r="CH1118" s="420"/>
    </row>
    <row r="1119" spans="75:86" s="428" customFormat="1" x14ac:dyDescent="0.2">
      <c r="BW1119" s="439"/>
      <c r="BX1119" s="439"/>
      <c r="BY1119" s="439"/>
      <c r="BZ1119" s="439"/>
      <c r="CA1119" s="439"/>
      <c r="CB1119" s="439"/>
      <c r="CC1119" s="439"/>
      <c r="CD1119" s="439"/>
      <c r="CE1119" s="440"/>
      <c r="CF1119" s="420"/>
      <c r="CG1119" s="420"/>
      <c r="CH1119" s="420"/>
    </row>
    <row r="1120" spans="75:86" s="428" customFormat="1" x14ac:dyDescent="0.2">
      <c r="BW1120" s="439"/>
      <c r="BX1120" s="439"/>
      <c r="BY1120" s="439"/>
      <c r="BZ1120" s="439"/>
      <c r="CA1120" s="439"/>
      <c r="CB1120" s="439"/>
      <c r="CC1120" s="439"/>
      <c r="CD1120" s="439"/>
      <c r="CE1120" s="440"/>
      <c r="CF1120" s="420"/>
      <c r="CG1120" s="420"/>
      <c r="CH1120" s="420"/>
    </row>
    <row r="1121" spans="75:86" s="428" customFormat="1" x14ac:dyDescent="0.2">
      <c r="BW1121" s="439"/>
      <c r="BX1121" s="439"/>
      <c r="BY1121" s="439"/>
      <c r="BZ1121" s="439"/>
      <c r="CA1121" s="439"/>
      <c r="CB1121" s="439"/>
      <c r="CC1121" s="439"/>
      <c r="CD1121" s="439"/>
      <c r="CE1121" s="440"/>
      <c r="CF1121" s="420"/>
      <c r="CG1121" s="420"/>
      <c r="CH1121" s="420"/>
    </row>
    <row r="1122" spans="75:86" s="428" customFormat="1" x14ac:dyDescent="0.2">
      <c r="BW1122" s="439"/>
      <c r="BX1122" s="439"/>
      <c r="BY1122" s="439"/>
      <c r="BZ1122" s="439"/>
      <c r="CA1122" s="439"/>
      <c r="CB1122" s="439"/>
      <c r="CC1122" s="439"/>
      <c r="CD1122" s="439"/>
      <c r="CE1122" s="440"/>
      <c r="CF1122" s="420"/>
      <c r="CG1122" s="420"/>
      <c r="CH1122" s="420"/>
    </row>
    <row r="1123" spans="75:86" s="428" customFormat="1" x14ac:dyDescent="0.2">
      <c r="BW1123" s="439"/>
      <c r="BX1123" s="439"/>
      <c r="BY1123" s="439"/>
      <c r="BZ1123" s="439"/>
      <c r="CA1123" s="439"/>
      <c r="CB1123" s="439"/>
      <c r="CC1123" s="439"/>
      <c r="CD1123" s="439"/>
      <c r="CE1123" s="440"/>
      <c r="CF1123" s="420"/>
      <c r="CG1123" s="420"/>
      <c r="CH1123" s="420"/>
    </row>
    <row r="1124" spans="75:86" s="428" customFormat="1" x14ac:dyDescent="0.2">
      <c r="BW1124" s="439"/>
      <c r="BX1124" s="439"/>
      <c r="BY1124" s="439"/>
      <c r="BZ1124" s="439"/>
      <c r="CA1124" s="439"/>
      <c r="CB1124" s="439"/>
      <c r="CC1124" s="439"/>
      <c r="CD1124" s="439"/>
      <c r="CE1124" s="440"/>
      <c r="CF1124" s="420"/>
      <c r="CG1124" s="420"/>
      <c r="CH1124" s="420"/>
    </row>
    <row r="1125" spans="75:86" s="428" customFormat="1" x14ac:dyDescent="0.2">
      <c r="BW1125" s="439"/>
      <c r="BX1125" s="439"/>
      <c r="BY1125" s="439"/>
      <c r="BZ1125" s="439"/>
      <c r="CA1125" s="439"/>
      <c r="CB1125" s="439"/>
      <c r="CC1125" s="439"/>
      <c r="CD1125" s="439"/>
      <c r="CE1125" s="440"/>
      <c r="CF1125" s="420"/>
      <c r="CG1125" s="420"/>
      <c r="CH1125" s="420"/>
    </row>
    <row r="1126" spans="75:86" s="428" customFormat="1" x14ac:dyDescent="0.2">
      <c r="BW1126" s="439"/>
      <c r="BX1126" s="439"/>
      <c r="BY1126" s="439"/>
      <c r="BZ1126" s="439"/>
      <c r="CA1126" s="439"/>
      <c r="CB1126" s="439"/>
      <c r="CC1126" s="439"/>
      <c r="CD1126" s="439"/>
      <c r="CE1126" s="440"/>
      <c r="CF1126" s="420"/>
      <c r="CG1126" s="420"/>
      <c r="CH1126" s="420"/>
    </row>
    <row r="1127" spans="75:86" s="428" customFormat="1" x14ac:dyDescent="0.2">
      <c r="BW1127" s="439"/>
      <c r="BX1127" s="439"/>
      <c r="BY1127" s="439"/>
      <c r="BZ1127" s="439"/>
      <c r="CA1127" s="439"/>
      <c r="CB1127" s="439"/>
      <c r="CC1127" s="439"/>
      <c r="CD1127" s="439"/>
      <c r="CE1127" s="440"/>
      <c r="CF1127" s="420"/>
      <c r="CG1127" s="420"/>
      <c r="CH1127" s="420"/>
    </row>
    <row r="1128" spans="75:86" s="428" customFormat="1" x14ac:dyDescent="0.2">
      <c r="BW1128" s="439"/>
      <c r="BX1128" s="439"/>
      <c r="BY1128" s="439"/>
      <c r="BZ1128" s="439"/>
      <c r="CA1128" s="439"/>
      <c r="CB1128" s="439"/>
      <c r="CC1128" s="439"/>
      <c r="CD1128" s="439"/>
      <c r="CE1128" s="440"/>
      <c r="CF1128" s="420"/>
      <c r="CG1128" s="420"/>
      <c r="CH1128" s="420"/>
    </row>
    <row r="1129" spans="75:86" s="428" customFormat="1" x14ac:dyDescent="0.2">
      <c r="BW1129" s="439"/>
      <c r="BX1129" s="439"/>
      <c r="BY1129" s="439"/>
      <c r="BZ1129" s="439"/>
      <c r="CA1129" s="439"/>
      <c r="CB1129" s="439"/>
      <c r="CC1129" s="439"/>
      <c r="CD1129" s="439"/>
      <c r="CE1129" s="440"/>
      <c r="CF1129" s="420"/>
      <c r="CG1129" s="420"/>
      <c r="CH1129" s="420"/>
    </row>
    <row r="1130" spans="75:86" s="428" customFormat="1" x14ac:dyDescent="0.2">
      <c r="BW1130" s="439"/>
      <c r="BX1130" s="439"/>
      <c r="BY1130" s="439"/>
      <c r="BZ1130" s="439"/>
      <c r="CA1130" s="439"/>
      <c r="CB1130" s="439"/>
      <c r="CC1130" s="439"/>
      <c r="CD1130" s="439"/>
      <c r="CE1130" s="440"/>
      <c r="CF1130" s="420"/>
      <c r="CG1130" s="420"/>
      <c r="CH1130" s="420"/>
    </row>
    <row r="1131" spans="75:86" s="428" customFormat="1" x14ac:dyDescent="0.2">
      <c r="BW1131" s="439"/>
      <c r="BX1131" s="439"/>
      <c r="BY1131" s="439"/>
      <c r="BZ1131" s="439"/>
      <c r="CA1131" s="439"/>
      <c r="CB1131" s="439"/>
      <c r="CC1131" s="439"/>
      <c r="CD1131" s="439"/>
      <c r="CE1131" s="440"/>
      <c r="CF1131" s="420"/>
      <c r="CG1131" s="420"/>
      <c r="CH1131" s="420"/>
    </row>
    <row r="1132" spans="75:86" s="428" customFormat="1" x14ac:dyDescent="0.2">
      <c r="BW1132" s="439"/>
      <c r="BX1132" s="439"/>
      <c r="BY1132" s="439"/>
      <c r="BZ1132" s="439"/>
      <c r="CA1132" s="439"/>
      <c r="CB1132" s="439"/>
      <c r="CC1132" s="439"/>
      <c r="CD1132" s="439"/>
      <c r="CE1132" s="440"/>
      <c r="CF1132" s="420"/>
      <c r="CG1132" s="420"/>
      <c r="CH1132" s="420"/>
    </row>
    <row r="1133" spans="75:86" s="428" customFormat="1" x14ac:dyDescent="0.2">
      <c r="BW1133" s="439"/>
      <c r="BX1133" s="439"/>
      <c r="BY1133" s="439"/>
      <c r="BZ1133" s="439"/>
      <c r="CA1133" s="439"/>
      <c r="CB1133" s="439"/>
      <c r="CC1133" s="439"/>
      <c r="CD1133" s="439"/>
      <c r="CE1133" s="440"/>
      <c r="CF1133" s="420"/>
      <c r="CG1133" s="420"/>
      <c r="CH1133" s="420"/>
    </row>
    <row r="1134" spans="75:86" s="428" customFormat="1" x14ac:dyDescent="0.2">
      <c r="BW1134" s="439"/>
      <c r="BX1134" s="439"/>
      <c r="BY1134" s="439"/>
      <c r="BZ1134" s="439"/>
      <c r="CA1134" s="439"/>
      <c r="CB1134" s="439"/>
      <c r="CC1134" s="439"/>
      <c r="CD1134" s="439"/>
      <c r="CE1134" s="440"/>
      <c r="CF1134" s="420"/>
      <c r="CG1134" s="420"/>
      <c r="CH1134" s="420"/>
    </row>
    <row r="1135" spans="75:86" s="428" customFormat="1" x14ac:dyDescent="0.2">
      <c r="BW1135" s="439"/>
      <c r="BX1135" s="439"/>
      <c r="BY1135" s="439"/>
      <c r="BZ1135" s="439"/>
      <c r="CA1135" s="439"/>
      <c r="CB1135" s="439"/>
      <c r="CC1135" s="439"/>
      <c r="CD1135" s="439"/>
      <c r="CE1135" s="440"/>
      <c r="CF1135" s="420"/>
      <c r="CG1135" s="420"/>
      <c r="CH1135" s="420"/>
    </row>
    <row r="1136" spans="75:86" s="428" customFormat="1" x14ac:dyDescent="0.2">
      <c r="BW1136" s="439"/>
      <c r="BX1136" s="439"/>
      <c r="BY1136" s="439"/>
      <c r="BZ1136" s="439"/>
      <c r="CA1136" s="439"/>
      <c r="CB1136" s="439"/>
      <c r="CC1136" s="439"/>
      <c r="CD1136" s="439"/>
      <c r="CE1136" s="440"/>
      <c r="CF1136" s="420"/>
      <c r="CG1136" s="420"/>
      <c r="CH1136" s="420"/>
    </row>
    <row r="1137" spans="75:86" s="428" customFormat="1" x14ac:dyDescent="0.2">
      <c r="BW1137" s="439"/>
      <c r="BX1137" s="439"/>
      <c r="BY1137" s="439"/>
      <c r="BZ1137" s="439"/>
      <c r="CA1137" s="439"/>
      <c r="CB1137" s="439"/>
      <c r="CC1137" s="439"/>
      <c r="CD1137" s="439"/>
      <c r="CE1137" s="440"/>
      <c r="CF1137" s="420"/>
      <c r="CG1137" s="420"/>
      <c r="CH1137" s="420"/>
    </row>
    <row r="1138" spans="75:86" s="428" customFormat="1" x14ac:dyDescent="0.2">
      <c r="BW1138" s="439"/>
      <c r="BX1138" s="439"/>
      <c r="BY1138" s="439"/>
      <c r="BZ1138" s="439"/>
      <c r="CA1138" s="439"/>
      <c r="CB1138" s="439"/>
      <c r="CC1138" s="439"/>
      <c r="CD1138" s="439"/>
      <c r="CE1138" s="440"/>
      <c r="CF1138" s="420"/>
      <c r="CG1138" s="420"/>
      <c r="CH1138" s="420"/>
    </row>
    <row r="1139" spans="75:86" s="428" customFormat="1" x14ac:dyDescent="0.2">
      <c r="BW1139" s="439"/>
      <c r="BX1139" s="439"/>
      <c r="BY1139" s="439"/>
      <c r="BZ1139" s="439"/>
      <c r="CA1139" s="439"/>
      <c r="CB1139" s="439"/>
      <c r="CC1139" s="439"/>
      <c r="CD1139" s="439"/>
      <c r="CE1139" s="440"/>
      <c r="CF1139" s="420"/>
      <c r="CG1139" s="420"/>
      <c r="CH1139" s="420"/>
    </row>
    <row r="1140" spans="75:86" s="428" customFormat="1" x14ac:dyDescent="0.2">
      <c r="BW1140" s="439"/>
      <c r="BX1140" s="439"/>
      <c r="BY1140" s="439"/>
      <c r="BZ1140" s="439"/>
      <c r="CA1140" s="439"/>
      <c r="CB1140" s="439"/>
      <c r="CC1140" s="439"/>
      <c r="CD1140" s="439"/>
      <c r="CE1140" s="440"/>
      <c r="CF1140" s="420"/>
      <c r="CG1140" s="420"/>
      <c r="CH1140" s="420"/>
    </row>
    <row r="1141" spans="75:86" s="428" customFormat="1" x14ac:dyDescent="0.2">
      <c r="BW1141" s="439"/>
      <c r="BX1141" s="439"/>
      <c r="BY1141" s="439"/>
      <c r="BZ1141" s="439"/>
      <c r="CA1141" s="439"/>
      <c r="CB1141" s="439"/>
      <c r="CC1141" s="439"/>
      <c r="CD1141" s="439"/>
      <c r="CE1141" s="440"/>
      <c r="CF1141" s="420"/>
      <c r="CG1141" s="420"/>
      <c r="CH1141" s="420"/>
    </row>
    <row r="1142" spans="75:86" s="428" customFormat="1" x14ac:dyDescent="0.2">
      <c r="BW1142" s="439"/>
      <c r="BX1142" s="439"/>
      <c r="BY1142" s="439"/>
      <c r="BZ1142" s="439"/>
      <c r="CA1142" s="439"/>
      <c r="CB1142" s="439"/>
      <c r="CC1142" s="439"/>
      <c r="CD1142" s="439"/>
      <c r="CE1142" s="440"/>
      <c r="CF1142" s="420"/>
      <c r="CG1142" s="420"/>
      <c r="CH1142" s="420"/>
    </row>
    <row r="1143" spans="75:86" s="428" customFormat="1" x14ac:dyDescent="0.2">
      <c r="BW1143" s="439"/>
      <c r="BX1143" s="439"/>
      <c r="BY1143" s="439"/>
      <c r="BZ1143" s="439"/>
      <c r="CA1143" s="439"/>
      <c r="CB1143" s="439"/>
      <c r="CC1143" s="439"/>
      <c r="CD1143" s="439"/>
      <c r="CE1143" s="440"/>
      <c r="CF1143" s="420"/>
      <c r="CG1143" s="420"/>
      <c r="CH1143" s="420"/>
    </row>
    <row r="1144" spans="75:86" s="428" customFormat="1" x14ac:dyDescent="0.2">
      <c r="BW1144" s="439"/>
      <c r="BX1144" s="439"/>
      <c r="BY1144" s="439"/>
      <c r="BZ1144" s="439"/>
      <c r="CA1144" s="439"/>
      <c r="CB1144" s="439"/>
      <c r="CC1144" s="439"/>
      <c r="CD1144" s="439"/>
      <c r="CE1144" s="440"/>
      <c r="CF1144" s="420"/>
      <c r="CG1144" s="420"/>
      <c r="CH1144" s="420"/>
    </row>
    <row r="1145" spans="75:86" s="428" customFormat="1" x14ac:dyDescent="0.2">
      <c r="BW1145" s="439"/>
      <c r="BX1145" s="439"/>
      <c r="BY1145" s="439"/>
      <c r="BZ1145" s="439"/>
      <c r="CA1145" s="439"/>
      <c r="CB1145" s="439"/>
      <c r="CC1145" s="439"/>
      <c r="CD1145" s="439"/>
      <c r="CE1145" s="440"/>
      <c r="CF1145" s="420"/>
      <c r="CG1145" s="420"/>
      <c r="CH1145" s="420"/>
    </row>
    <row r="1146" spans="75:86" s="428" customFormat="1" x14ac:dyDescent="0.2">
      <c r="BW1146" s="439"/>
      <c r="BX1146" s="439"/>
      <c r="BY1146" s="439"/>
      <c r="BZ1146" s="439"/>
      <c r="CA1146" s="439"/>
      <c r="CB1146" s="439"/>
      <c r="CC1146" s="439"/>
      <c r="CD1146" s="439"/>
      <c r="CE1146" s="440"/>
      <c r="CF1146" s="420"/>
      <c r="CG1146" s="420"/>
      <c r="CH1146" s="420"/>
    </row>
    <row r="1147" spans="75:86" s="428" customFormat="1" x14ac:dyDescent="0.2">
      <c r="BW1147" s="439"/>
      <c r="BX1147" s="439"/>
      <c r="BY1147" s="439"/>
      <c r="BZ1147" s="439"/>
      <c r="CA1147" s="439"/>
      <c r="CB1147" s="439"/>
      <c r="CC1147" s="439"/>
      <c r="CD1147" s="439"/>
      <c r="CE1147" s="440"/>
      <c r="CF1147" s="420"/>
      <c r="CG1147" s="420"/>
      <c r="CH1147" s="420"/>
    </row>
    <row r="1148" spans="75:86" s="428" customFormat="1" x14ac:dyDescent="0.2">
      <c r="BW1148" s="439"/>
      <c r="BX1148" s="439"/>
      <c r="BY1148" s="439"/>
      <c r="BZ1148" s="439"/>
      <c r="CA1148" s="439"/>
      <c r="CB1148" s="439"/>
      <c r="CC1148" s="439"/>
      <c r="CD1148" s="439"/>
      <c r="CE1148" s="440"/>
      <c r="CF1148" s="420"/>
      <c r="CG1148" s="420"/>
      <c r="CH1148" s="420"/>
    </row>
    <row r="1149" spans="75:86" s="428" customFormat="1" x14ac:dyDescent="0.2">
      <c r="BW1149" s="439"/>
      <c r="BX1149" s="439"/>
      <c r="BY1149" s="439"/>
      <c r="BZ1149" s="439"/>
      <c r="CA1149" s="439"/>
      <c r="CB1149" s="439"/>
      <c r="CC1149" s="439"/>
      <c r="CD1149" s="439"/>
      <c r="CE1149" s="440"/>
      <c r="CF1149" s="420"/>
      <c r="CG1149" s="420"/>
      <c r="CH1149" s="420"/>
    </row>
    <row r="1150" spans="75:86" s="428" customFormat="1" x14ac:dyDescent="0.2">
      <c r="BW1150" s="439"/>
      <c r="BX1150" s="439"/>
      <c r="BY1150" s="439"/>
      <c r="BZ1150" s="439"/>
      <c r="CA1150" s="439"/>
      <c r="CB1150" s="439"/>
      <c r="CC1150" s="439"/>
      <c r="CD1150" s="439"/>
      <c r="CE1150" s="440"/>
      <c r="CF1150" s="420"/>
      <c r="CG1150" s="420"/>
      <c r="CH1150" s="420"/>
    </row>
    <row r="1151" spans="75:86" s="428" customFormat="1" x14ac:dyDescent="0.2">
      <c r="BW1151" s="439"/>
      <c r="BX1151" s="439"/>
      <c r="BY1151" s="439"/>
      <c r="BZ1151" s="439"/>
      <c r="CA1151" s="439"/>
      <c r="CB1151" s="439"/>
      <c r="CC1151" s="439"/>
      <c r="CD1151" s="439"/>
      <c r="CE1151" s="440"/>
      <c r="CF1151" s="420"/>
      <c r="CG1151" s="420"/>
      <c r="CH1151" s="420"/>
    </row>
    <row r="1152" spans="75:86" s="428" customFormat="1" x14ac:dyDescent="0.2">
      <c r="BW1152" s="439"/>
      <c r="BX1152" s="439"/>
      <c r="BY1152" s="439"/>
      <c r="BZ1152" s="439"/>
      <c r="CA1152" s="439"/>
      <c r="CB1152" s="439"/>
      <c r="CC1152" s="439"/>
      <c r="CD1152" s="439"/>
      <c r="CE1152" s="440"/>
      <c r="CF1152" s="420"/>
      <c r="CG1152" s="420"/>
      <c r="CH1152" s="420"/>
    </row>
    <row r="1153" spans="75:86" s="428" customFormat="1" x14ac:dyDescent="0.2">
      <c r="BW1153" s="439"/>
      <c r="BX1153" s="439"/>
      <c r="BY1153" s="439"/>
      <c r="BZ1153" s="439"/>
      <c r="CA1153" s="439"/>
      <c r="CB1153" s="439"/>
      <c r="CC1153" s="439"/>
      <c r="CD1153" s="439"/>
      <c r="CE1153" s="440"/>
      <c r="CF1153" s="420"/>
      <c r="CG1153" s="420"/>
      <c r="CH1153" s="420"/>
    </row>
    <row r="1154" spans="75:86" s="428" customFormat="1" x14ac:dyDescent="0.2">
      <c r="BW1154" s="439"/>
      <c r="BX1154" s="439"/>
      <c r="BY1154" s="439"/>
      <c r="BZ1154" s="439"/>
      <c r="CA1154" s="439"/>
      <c r="CB1154" s="439"/>
      <c r="CC1154" s="439"/>
      <c r="CD1154" s="439"/>
      <c r="CE1154" s="440"/>
      <c r="CF1154" s="420"/>
      <c r="CG1154" s="420"/>
      <c r="CH1154" s="420"/>
    </row>
    <row r="1155" spans="75:86" s="428" customFormat="1" x14ac:dyDescent="0.2">
      <c r="BW1155" s="439"/>
      <c r="BX1155" s="439"/>
      <c r="BY1155" s="439"/>
      <c r="BZ1155" s="439"/>
      <c r="CA1155" s="439"/>
      <c r="CB1155" s="439"/>
      <c r="CC1155" s="439"/>
      <c r="CD1155" s="439"/>
      <c r="CE1155" s="440"/>
      <c r="CF1155" s="420"/>
      <c r="CG1155" s="420"/>
      <c r="CH1155" s="420"/>
    </row>
    <row r="1156" spans="75:86" s="428" customFormat="1" x14ac:dyDescent="0.2">
      <c r="BW1156" s="439"/>
      <c r="BX1156" s="439"/>
      <c r="BY1156" s="439"/>
      <c r="BZ1156" s="439"/>
      <c r="CA1156" s="439"/>
      <c r="CB1156" s="439"/>
      <c r="CC1156" s="439"/>
      <c r="CD1156" s="439"/>
      <c r="CE1156" s="440"/>
      <c r="CF1156" s="420"/>
      <c r="CG1156" s="420"/>
      <c r="CH1156" s="420"/>
    </row>
    <row r="1157" spans="75:86" s="428" customFormat="1" x14ac:dyDescent="0.2">
      <c r="BW1157" s="439"/>
      <c r="BX1157" s="439"/>
      <c r="BY1157" s="439"/>
      <c r="BZ1157" s="439"/>
      <c r="CA1157" s="439"/>
      <c r="CB1157" s="439"/>
      <c r="CC1157" s="439"/>
      <c r="CD1157" s="439"/>
      <c r="CE1157" s="440"/>
      <c r="CF1157" s="420"/>
      <c r="CG1157" s="420"/>
      <c r="CH1157" s="420"/>
    </row>
    <row r="1158" spans="75:86" s="428" customFormat="1" x14ac:dyDescent="0.2">
      <c r="BW1158" s="439"/>
      <c r="BX1158" s="439"/>
      <c r="BY1158" s="439"/>
      <c r="BZ1158" s="439"/>
      <c r="CA1158" s="439"/>
      <c r="CB1158" s="439"/>
      <c r="CC1158" s="439"/>
      <c r="CD1158" s="439"/>
      <c r="CE1158" s="440"/>
      <c r="CF1158" s="420"/>
      <c r="CG1158" s="420"/>
      <c r="CH1158" s="420"/>
    </row>
    <row r="1159" spans="75:86" s="428" customFormat="1" x14ac:dyDescent="0.2">
      <c r="BW1159" s="439"/>
      <c r="BX1159" s="439"/>
      <c r="BY1159" s="439"/>
      <c r="BZ1159" s="439"/>
      <c r="CA1159" s="439"/>
      <c r="CB1159" s="439"/>
      <c r="CC1159" s="439"/>
      <c r="CD1159" s="439"/>
      <c r="CE1159" s="440"/>
      <c r="CF1159" s="420"/>
      <c r="CG1159" s="420"/>
      <c r="CH1159" s="420"/>
    </row>
    <row r="1160" spans="75:86" s="428" customFormat="1" x14ac:dyDescent="0.2">
      <c r="BW1160" s="439"/>
      <c r="BX1160" s="439"/>
      <c r="BY1160" s="439"/>
      <c r="BZ1160" s="439"/>
      <c r="CA1160" s="439"/>
      <c r="CB1160" s="439"/>
      <c r="CC1160" s="439"/>
      <c r="CD1160" s="439"/>
      <c r="CE1160" s="440"/>
      <c r="CF1160" s="420"/>
      <c r="CG1160" s="420"/>
      <c r="CH1160" s="420"/>
    </row>
    <row r="1161" spans="75:86" s="428" customFormat="1" x14ac:dyDescent="0.2">
      <c r="BW1161" s="439"/>
      <c r="BX1161" s="439"/>
      <c r="BY1161" s="439"/>
      <c r="BZ1161" s="439"/>
      <c r="CA1161" s="439"/>
      <c r="CB1161" s="439"/>
      <c r="CC1161" s="439"/>
      <c r="CD1161" s="439"/>
      <c r="CE1161" s="440"/>
      <c r="CF1161" s="420"/>
      <c r="CG1161" s="420"/>
      <c r="CH1161" s="420"/>
    </row>
    <row r="1162" spans="75:86" s="428" customFormat="1" x14ac:dyDescent="0.2">
      <c r="BW1162" s="439"/>
      <c r="BX1162" s="439"/>
      <c r="BY1162" s="439"/>
      <c r="BZ1162" s="439"/>
      <c r="CA1162" s="439"/>
      <c r="CB1162" s="439"/>
      <c r="CC1162" s="439"/>
      <c r="CD1162" s="439"/>
      <c r="CE1162" s="440"/>
      <c r="CF1162" s="420"/>
      <c r="CG1162" s="420"/>
      <c r="CH1162" s="420"/>
    </row>
    <row r="1163" spans="75:86" s="428" customFormat="1" x14ac:dyDescent="0.2">
      <c r="BW1163" s="439"/>
      <c r="BX1163" s="439"/>
      <c r="BY1163" s="439"/>
      <c r="BZ1163" s="439"/>
      <c r="CA1163" s="439"/>
      <c r="CB1163" s="439"/>
      <c r="CC1163" s="439"/>
      <c r="CD1163" s="439"/>
      <c r="CE1163" s="440"/>
      <c r="CF1163" s="420"/>
      <c r="CG1163" s="420"/>
      <c r="CH1163" s="420"/>
    </row>
    <row r="1164" spans="75:86" s="428" customFormat="1" x14ac:dyDescent="0.2">
      <c r="BW1164" s="439"/>
      <c r="BX1164" s="439"/>
      <c r="BY1164" s="439"/>
      <c r="BZ1164" s="439"/>
      <c r="CA1164" s="439"/>
      <c r="CB1164" s="439"/>
      <c r="CC1164" s="439"/>
      <c r="CD1164" s="439"/>
      <c r="CE1164" s="440"/>
      <c r="CF1164" s="420"/>
      <c r="CG1164" s="420"/>
      <c r="CH1164" s="420"/>
    </row>
    <row r="1165" spans="75:86" s="428" customFormat="1" x14ac:dyDescent="0.2">
      <c r="BW1165" s="439"/>
      <c r="BX1165" s="439"/>
      <c r="BY1165" s="439"/>
      <c r="BZ1165" s="439"/>
      <c r="CA1165" s="439"/>
      <c r="CB1165" s="439"/>
      <c r="CC1165" s="439"/>
      <c r="CD1165" s="439"/>
      <c r="CE1165" s="440"/>
      <c r="CF1165" s="420"/>
      <c r="CG1165" s="420"/>
      <c r="CH1165" s="420"/>
    </row>
    <row r="1166" spans="75:86" s="428" customFormat="1" x14ac:dyDescent="0.2">
      <c r="BW1166" s="439"/>
      <c r="BX1166" s="439"/>
      <c r="BY1166" s="439"/>
      <c r="BZ1166" s="439"/>
      <c r="CA1166" s="439"/>
      <c r="CB1166" s="439"/>
      <c r="CC1166" s="439"/>
      <c r="CD1166" s="439"/>
      <c r="CE1166" s="440"/>
      <c r="CF1166" s="420"/>
      <c r="CG1166" s="420"/>
      <c r="CH1166" s="420"/>
    </row>
    <row r="1167" spans="75:86" s="428" customFormat="1" x14ac:dyDescent="0.2">
      <c r="BW1167" s="439"/>
      <c r="BX1167" s="439"/>
      <c r="BY1167" s="439"/>
      <c r="BZ1167" s="439"/>
      <c r="CA1167" s="439"/>
      <c r="CB1167" s="439"/>
      <c r="CC1167" s="439"/>
      <c r="CD1167" s="439"/>
      <c r="CE1167" s="440"/>
      <c r="CF1167" s="420"/>
      <c r="CG1167" s="420"/>
      <c r="CH1167" s="420"/>
    </row>
    <row r="1168" spans="75:86" s="428" customFormat="1" x14ac:dyDescent="0.2">
      <c r="BW1168" s="439"/>
      <c r="BX1168" s="439"/>
      <c r="BY1168" s="439"/>
      <c r="BZ1168" s="439"/>
      <c r="CA1168" s="439"/>
      <c r="CB1168" s="439"/>
      <c r="CC1168" s="439"/>
      <c r="CD1168" s="439"/>
      <c r="CE1168" s="440"/>
      <c r="CF1168" s="420"/>
      <c r="CG1168" s="420"/>
      <c r="CH1168" s="420"/>
    </row>
    <row r="1169" spans="75:86" s="428" customFormat="1" x14ac:dyDescent="0.2">
      <c r="BW1169" s="439"/>
      <c r="BX1169" s="439"/>
      <c r="BY1169" s="439"/>
      <c r="BZ1169" s="439"/>
      <c r="CA1169" s="439"/>
      <c r="CB1169" s="439"/>
      <c r="CC1169" s="439"/>
      <c r="CD1169" s="439"/>
      <c r="CE1169" s="440"/>
      <c r="CF1169" s="420"/>
      <c r="CG1169" s="420"/>
      <c r="CH1169" s="420"/>
    </row>
    <row r="1170" spans="75:86" s="428" customFormat="1" x14ac:dyDescent="0.2">
      <c r="BW1170" s="439"/>
      <c r="BX1170" s="439"/>
      <c r="BY1170" s="439"/>
      <c r="BZ1170" s="439"/>
      <c r="CA1170" s="439"/>
      <c r="CB1170" s="439"/>
      <c r="CC1170" s="439"/>
      <c r="CD1170" s="439"/>
      <c r="CE1170" s="440"/>
      <c r="CF1170" s="420"/>
      <c r="CG1170" s="420"/>
      <c r="CH1170" s="420"/>
    </row>
    <row r="1171" spans="75:86" s="428" customFormat="1" x14ac:dyDescent="0.2">
      <c r="BW1171" s="439"/>
      <c r="BX1171" s="439"/>
      <c r="BY1171" s="439"/>
      <c r="BZ1171" s="439"/>
      <c r="CA1171" s="439"/>
      <c r="CB1171" s="439"/>
      <c r="CC1171" s="439"/>
      <c r="CD1171" s="439"/>
      <c r="CE1171" s="440"/>
      <c r="CF1171" s="420"/>
      <c r="CG1171" s="420"/>
      <c r="CH1171" s="420"/>
    </row>
    <row r="1172" spans="75:86" s="428" customFormat="1" x14ac:dyDescent="0.2">
      <c r="BW1172" s="439"/>
      <c r="BX1172" s="439"/>
      <c r="BY1172" s="439"/>
      <c r="BZ1172" s="439"/>
      <c r="CA1172" s="439"/>
      <c r="CB1172" s="439"/>
      <c r="CC1172" s="439"/>
      <c r="CD1172" s="439"/>
      <c r="CE1172" s="440"/>
      <c r="CF1172" s="420"/>
      <c r="CG1172" s="420"/>
      <c r="CH1172" s="420"/>
    </row>
    <row r="1173" spans="75:86" s="428" customFormat="1" x14ac:dyDescent="0.2">
      <c r="BW1173" s="439"/>
      <c r="BX1173" s="439"/>
      <c r="BY1173" s="439"/>
      <c r="BZ1173" s="439"/>
      <c r="CA1173" s="439"/>
      <c r="CB1173" s="439"/>
      <c r="CC1173" s="439"/>
      <c r="CD1173" s="439"/>
      <c r="CE1173" s="440"/>
      <c r="CF1173" s="420"/>
      <c r="CG1173" s="420"/>
      <c r="CH1173" s="420"/>
    </row>
    <row r="1174" spans="75:86" s="428" customFormat="1" x14ac:dyDescent="0.2">
      <c r="BW1174" s="439"/>
      <c r="BX1174" s="439"/>
      <c r="BY1174" s="439"/>
      <c r="BZ1174" s="439"/>
      <c r="CA1174" s="439"/>
      <c r="CB1174" s="439"/>
      <c r="CC1174" s="439"/>
      <c r="CD1174" s="439"/>
      <c r="CE1174" s="440"/>
      <c r="CF1174" s="420"/>
      <c r="CG1174" s="420"/>
      <c r="CH1174" s="420"/>
    </row>
    <row r="1175" spans="75:86" s="428" customFormat="1" x14ac:dyDescent="0.2">
      <c r="BW1175" s="439"/>
      <c r="BX1175" s="439"/>
      <c r="BY1175" s="439"/>
      <c r="BZ1175" s="439"/>
      <c r="CA1175" s="439"/>
      <c r="CB1175" s="439"/>
      <c r="CC1175" s="439"/>
      <c r="CD1175" s="439"/>
      <c r="CE1175" s="440"/>
      <c r="CF1175" s="420"/>
      <c r="CG1175" s="420"/>
      <c r="CH1175" s="420"/>
    </row>
    <row r="1176" spans="75:86" s="428" customFormat="1" x14ac:dyDescent="0.2">
      <c r="BW1176" s="439"/>
      <c r="BX1176" s="439"/>
      <c r="BY1176" s="439"/>
      <c r="BZ1176" s="439"/>
      <c r="CA1176" s="439"/>
      <c r="CB1176" s="439"/>
      <c r="CC1176" s="439"/>
      <c r="CD1176" s="439"/>
      <c r="CE1176" s="440"/>
      <c r="CF1176" s="420"/>
      <c r="CG1176" s="420"/>
      <c r="CH1176" s="420"/>
    </row>
    <row r="1177" spans="75:86" s="428" customFormat="1" x14ac:dyDescent="0.2">
      <c r="BW1177" s="439"/>
      <c r="BX1177" s="439"/>
      <c r="BY1177" s="439"/>
      <c r="BZ1177" s="439"/>
      <c r="CA1177" s="439"/>
      <c r="CB1177" s="439"/>
      <c r="CC1177" s="439"/>
      <c r="CD1177" s="439"/>
      <c r="CE1177" s="440"/>
      <c r="CF1177" s="420"/>
      <c r="CG1177" s="420"/>
      <c r="CH1177" s="420"/>
    </row>
    <row r="1178" spans="75:86" s="428" customFormat="1" x14ac:dyDescent="0.2">
      <c r="BW1178" s="439"/>
      <c r="BX1178" s="439"/>
      <c r="BY1178" s="439"/>
      <c r="BZ1178" s="439"/>
      <c r="CA1178" s="439"/>
      <c r="CB1178" s="439"/>
      <c r="CC1178" s="439"/>
      <c r="CD1178" s="439"/>
      <c r="CE1178" s="440"/>
      <c r="CF1178" s="420"/>
      <c r="CG1178" s="420"/>
      <c r="CH1178" s="420"/>
    </row>
    <row r="1179" spans="75:86" s="428" customFormat="1" x14ac:dyDescent="0.2">
      <c r="BW1179" s="439"/>
      <c r="BX1179" s="439"/>
      <c r="BY1179" s="439"/>
      <c r="BZ1179" s="439"/>
      <c r="CA1179" s="439"/>
      <c r="CB1179" s="439"/>
      <c r="CC1179" s="439"/>
      <c r="CD1179" s="439"/>
      <c r="CE1179" s="440"/>
      <c r="CF1179" s="420"/>
      <c r="CG1179" s="420"/>
      <c r="CH1179" s="420"/>
    </row>
    <row r="1180" spans="75:86" s="428" customFormat="1" x14ac:dyDescent="0.2">
      <c r="BW1180" s="439"/>
      <c r="BX1180" s="439"/>
      <c r="BY1180" s="439"/>
      <c r="BZ1180" s="439"/>
      <c r="CA1180" s="439"/>
      <c r="CB1180" s="439"/>
      <c r="CC1180" s="439"/>
      <c r="CD1180" s="439"/>
      <c r="CE1180" s="440"/>
      <c r="CF1180" s="420"/>
      <c r="CG1180" s="420"/>
      <c r="CH1180" s="420"/>
    </row>
    <row r="1181" spans="75:86" s="428" customFormat="1" x14ac:dyDescent="0.2">
      <c r="BW1181" s="439"/>
      <c r="BX1181" s="439"/>
      <c r="BY1181" s="439"/>
      <c r="BZ1181" s="439"/>
      <c r="CA1181" s="439"/>
      <c r="CB1181" s="439"/>
      <c r="CC1181" s="439"/>
      <c r="CD1181" s="439"/>
      <c r="CE1181" s="440"/>
      <c r="CF1181" s="420"/>
      <c r="CG1181" s="420"/>
      <c r="CH1181" s="420"/>
    </row>
    <row r="1182" spans="75:86" s="428" customFormat="1" x14ac:dyDescent="0.2">
      <c r="BW1182" s="439"/>
      <c r="BX1182" s="439"/>
      <c r="BY1182" s="439"/>
      <c r="BZ1182" s="439"/>
      <c r="CA1182" s="439"/>
      <c r="CB1182" s="439"/>
      <c r="CC1182" s="439"/>
      <c r="CD1182" s="439"/>
      <c r="CE1182" s="440"/>
      <c r="CF1182" s="420"/>
      <c r="CG1182" s="420"/>
      <c r="CH1182" s="420"/>
    </row>
    <row r="1183" spans="75:86" s="428" customFormat="1" x14ac:dyDescent="0.2">
      <c r="BW1183" s="439"/>
      <c r="BX1183" s="439"/>
      <c r="BY1183" s="439"/>
      <c r="BZ1183" s="439"/>
      <c r="CA1183" s="439"/>
      <c r="CB1183" s="439"/>
      <c r="CC1183" s="439"/>
      <c r="CD1183" s="439"/>
      <c r="CE1183" s="440"/>
      <c r="CF1183" s="420"/>
      <c r="CG1183" s="420"/>
      <c r="CH1183" s="420"/>
    </row>
    <row r="1184" spans="75:86" s="428" customFormat="1" x14ac:dyDescent="0.2">
      <c r="BW1184" s="439"/>
      <c r="BX1184" s="439"/>
      <c r="BY1184" s="439"/>
      <c r="BZ1184" s="439"/>
      <c r="CA1184" s="439"/>
      <c r="CB1184" s="439"/>
      <c r="CC1184" s="439"/>
      <c r="CD1184" s="439"/>
      <c r="CE1184" s="440"/>
      <c r="CF1184" s="420"/>
      <c r="CG1184" s="420"/>
      <c r="CH1184" s="420"/>
    </row>
    <row r="1185" spans="75:86" s="428" customFormat="1" x14ac:dyDescent="0.2">
      <c r="BW1185" s="439"/>
      <c r="BX1185" s="439"/>
      <c r="BY1185" s="439"/>
      <c r="BZ1185" s="439"/>
      <c r="CA1185" s="439"/>
      <c r="CB1185" s="439"/>
      <c r="CC1185" s="439"/>
      <c r="CD1185" s="439"/>
      <c r="CE1185" s="440"/>
      <c r="CF1185" s="420"/>
      <c r="CG1185" s="420"/>
      <c r="CH1185" s="420"/>
    </row>
    <row r="1186" spans="75:86" s="428" customFormat="1" x14ac:dyDescent="0.2">
      <c r="BW1186" s="439"/>
      <c r="BX1186" s="439"/>
      <c r="BY1186" s="439"/>
      <c r="BZ1186" s="439"/>
      <c r="CA1186" s="439"/>
      <c r="CB1186" s="439"/>
      <c r="CC1186" s="439"/>
      <c r="CD1186" s="439"/>
      <c r="CE1186" s="440"/>
      <c r="CF1186" s="420"/>
      <c r="CG1186" s="420"/>
      <c r="CH1186" s="420"/>
    </row>
    <row r="1187" spans="75:86" s="428" customFormat="1" x14ac:dyDescent="0.2">
      <c r="BW1187" s="439"/>
      <c r="BX1187" s="439"/>
      <c r="BY1187" s="439"/>
      <c r="BZ1187" s="439"/>
      <c r="CA1187" s="439"/>
      <c r="CB1187" s="439"/>
      <c r="CC1187" s="439"/>
      <c r="CD1187" s="439"/>
      <c r="CE1187" s="440"/>
      <c r="CF1187" s="420"/>
      <c r="CG1187" s="420"/>
      <c r="CH1187" s="420"/>
    </row>
    <row r="1188" spans="75:86" s="428" customFormat="1" x14ac:dyDescent="0.2">
      <c r="BW1188" s="439"/>
      <c r="BX1188" s="439"/>
      <c r="BY1188" s="439"/>
      <c r="BZ1188" s="439"/>
      <c r="CA1188" s="439"/>
      <c r="CB1188" s="439"/>
      <c r="CC1188" s="439"/>
      <c r="CD1188" s="439"/>
      <c r="CE1188" s="440"/>
      <c r="CF1188" s="420"/>
      <c r="CG1188" s="420"/>
      <c r="CH1188" s="420"/>
    </row>
    <row r="1189" spans="75:86" s="428" customFormat="1" x14ac:dyDescent="0.2">
      <c r="BW1189" s="439"/>
      <c r="BX1189" s="439"/>
      <c r="BY1189" s="439"/>
      <c r="BZ1189" s="439"/>
      <c r="CA1189" s="439"/>
      <c r="CB1189" s="439"/>
      <c r="CC1189" s="439"/>
      <c r="CD1189" s="439"/>
      <c r="CE1189" s="440"/>
      <c r="CF1189" s="420"/>
      <c r="CG1189" s="420"/>
      <c r="CH1189" s="420"/>
    </row>
    <row r="1190" spans="75:86" s="428" customFormat="1" x14ac:dyDescent="0.2">
      <c r="BW1190" s="439"/>
      <c r="BX1190" s="439"/>
      <c r="BY1190" s="439"/>
      <c r="BZ1190" s="439"/>
      <c r="CA1190" s="439"/>
      <c r="CB1190" s="439"/>
      <c r="CC1190" s="439"/>
      <c r="CD1190" s="439"/>
      <c r="CE1190" s="440"/>
      <c r="CF1190" s="420"/>
      <c r="CG1190" s="420"/>
      <c r="CH1190" s="420"/>
    </row>
    <row r="1191" spans="75:86" s="428" customFormat="1" x14ac:dyDescent="0.2">
      <c r="BW1191" s="439"/>
      <c r="BX1191" s="439"/>
      <c r="BY1191" s="439"/>
      <c r="BZ1191" s="439"/>
      <c r="CA1191" s="439"/>
      <c r="CB1191" s="439"/>
      <c r="CC1191" s="439"/>
      <c r="CD1191" s="439"/>
      <c r="CE1191" s="440"/>
      <c r="CF1191" s="420"/>
      <c r="CG1191" s="420"/>
      <c r="CH1191" s="420"/>
    </row>
    <row r="1192" spans="75:86" s="428" customFormat="1" x14ac:dyDescent="0.2">
      <c r="BW1192" s="439"/>
      <c r="BX1192" s="439"/>
      <c r="BY1192" s="439"/>
      <c r="BZ1192" s="439"/>
      <c r="CA1192" s="439"/>
      <c r="CB1192" s="439"/>
      <c r="CC1192" s="439"/>
      <c r="CD1192" s="439"/>
      <c r="CE1192" s="440"/>
      <c r="CF1192" s="420"/>
      <c r="CG1192" s="420"/>
      <c r="CH1192" s="420"/>
    </row>
    <row r="1193" spans="75:86" s="428" customFormat="1" x14ac:dyDescent="0.2">
      <c r="BW1193" s="439"/>
      <c r="BX1193" s="439"/>
      <c r="BY1193" s="439"/>
      <c r="BZ1193" s="439"/>
      <c r="CA1193" s="439"/>
      <c r="CB1193" s="439"/>
      <c r="CC1193" s="439"/>
      <c r="CD1193" s="439"/>
      <c r="CE1193" s="440"/>
      <c r="CF1193" s="420"/>
      <c r="CG1193" s="420"/>
      <c r="CH1193" s="420"/>
    </row>
    <row r="1194" spans="75:86" s="428" customFormat="1" x14ac:dyDescent="0.2">
      <c r="BW1194" s="439"/>
      <c r="BX1194" s="439"/>
      <c r="BY1194" s="439"/>
      <c r="BZ1194" s="439"/>
      <c r="CA1194" s="439"/>
      <c r="CB1194" s="439"/>
      <c r="CC1194" s="439"/>
      <c r="CD1194" s="439"/>
      <c r="CE1194" s="440"/>
      <c r="CF1194" s="420"/>
      <c r="CG1194" s="420"/>
      <c r="CH1194" s="420"/>
    </row>
    <row r="1195" spans="75:86" s="428" customFormat="1" x14ac:dyDescent="0.2">
      <c r="BW1195" s="439"/>
      <c r="BX1195" s="439"/>
      <c r="BY1195" s="439"/>
      <c r="BZ1195" s="439"/>
      <c r="CA1195" s="439"/>
      <c r="CB1195" s="439"/>
      <c r="CC1195" s="439"/>
      <c r="CD1195" s="439"/>
      <c r="CE1195" s="440"/>
      <c r="CF1195" s="420"/>
      <c r="CG1195" s="420"/>
      <c r="CH1195" s="420"/>
    </row>
    <row r="1196" spans="75:86" s="428" customFormat="1" x14ac:dyDescent="0.2">
      <c r="BW1196" s="439"/>
      <c r="BX1196" s="439"/>
      <c r="BY1196" s="439"/>
      <c r="BZ1196" s="439"/>
      <c r="CA1196" s="439"/>
      <c r="CB1196" s="439"/>
      <c r="CC1196" s="439"/>
      <c r="CD1196" s="439"/>
      <c r="CE1196" s="440"/>
      <c r="CF1196" s="420"/>
      <c r="CG1196" s="420"/>
      <c r="CH1196" s="420"/>
    </row>
    <row r="1197" spans="75:86" s="428" customFormat="1" x14ac:dyDescent="0.2">
      <c r="BW1197" s="439"/>
      <c r="BX1197" s="439"/>
      <c r="BY1197" s="439"/>
      <c r="BZ1197" s="439"/>
      <c r="CA1197" s="439"/>
      <c r="CB1197" s="439"/>
      <c r="CC1197" s="439"/>
      <c r="CD1197" s="439"/>
      <c r="CE1197" s="440"/>
      <c r="CF1197" s="420"/>
      <c r="CG1197" s="420"/>
      <c r="CH1197" s="420"/>
    </row>
    <row r="1198" spans="75:86" s="428" customFormat="1" x14ac:dyDescent="0.2">
      <c r="BW1198" s="439"/>
      <c r="BX1198" s="439"/>
      <c r="BY1198" s="439"/>
      <c r="BZ1198" s="439"/>
      <c r="CA1198" s="439"/>
      <c r="CB1198" s="439"/>
      <c r="CC1198" s="439"/>
      <c r="CD1198" s="439"/>
      <c r="CE1198" s="440"/>
      <c r="CF1198" s="420"/>
      <c r="CG1198" s="420"/>
      <c r="CH1198" s="420"/>
    </row>
    <row r="1199" spans="75:86" s="428" customFormat="1" x14ac:dyDescent="0.2">
      <c r="BW1199" s="439"/>
      <c r="BX1199" s="439"/>
      <c r="BY1199" s="439"/>
      <c r="BZ1199" s="439"/>
      <c r="CA1199" s="439"/>
      <c r="CB1199" s="439"/>
      <c r="CC1199" s="439"/>
      <c r="CD1199" s="439"/>
      <c r="CE1199" s="440"/>
      <c r="CF1199" s="420"/>
      <c r="CG1199" s="420"/>
      <c r="CH1199" s="420"/>
    </row>
    <row r="1200" spans="75:86" s="428" customFormat="1" x14ac:dyDescent="0.2">
      <c r="BW1200" s="439"/>
      <c r="BX1200" s="439"/>
      <c r="BY1200" s="439"/>
      <c r="BZ1200" s="439"/>
      <c r="CA1200" s="439"/>
      <c r="CB1200" s="439"/>
      <c r="CC1200" s="439"/>
      <c r="CD1200" s="439"/>
      <c r="CE1200" s="440"/>
      <c r="CF1200" s="420"/>
      <c r="CG1200" s="420"/>
      <c r="CH1200" s="420"/>
    </row>
    <row r="1201" spans="75:86" s="428" customFormat="1" x14ac:dyDescent="0.2">
      <c r="BW1201" s="439"/>
      <c r="BX1201" s="439"/>
      <c r="BY1201" s="439"/>
      <c r="BZ1201" s="439"/>
      <c r="CA1201" s="439"/>
      <c r="CB1201" s="439"/>
      <c r="CC1201" s="439"/>
      <c r="CD1201" s="439"/>
      <c r="CE1201" s="440"/>
      <c r="CF1201" s="420"/>
      <c r="CG1201" s="420"/>
      <c r="CH1201" s="420"/>
    </row>
    <row r="1202" spans="75:86" s="428" customFormat="1" x14ac:dyDescent="0.2">
      <c r="BW1202" s="439"/>
      <c r="BX1202" s="439"/>
      <c r="BY1202" s="439"/>
      <c r="BZ1202" s="439"/>
      <c r="CA1202" s="439"/>
      <c r="CB1202" s="439"/>
      <c r="CC1202" s="439"/>
      <c r="CD1202" s="439"/>
      <c r="CE1202" s="440"/>
      <c r="CF1202" s="420"/>
      <c r="CG1202" s="420"/>
      <c r="CH1202" s="420"/>
    </row>
    <row r="1203" spans="75:86" s="428" customFormat="1" x14ac:dyDescent="0.2">
      <c r="BW1203" s="439"/>
      <c r="BX1203" s="439"/>
      <c r="BY1203" s="439"/>
      <c r="BZ1203" s="439"/>
      <c r="CA1203" s="439"/>
      <c r="CB1203" s="439"/>
      <c r="CC1203" s="439"/>
      <c r="CD1203" s="439"/>
      <c r="CE1203" s="440"/>
      <c r="CF1203" s="420"/>
      <c r="CG1203" s="420"/>
      <c r="CH1203" s="420"/>
    </row>
    <row r="1204" spans="75:86" s="428" customFormat="1" x14ac:dyDescent="0.2">
      <c r="BW1204" s="439"/>
      <c r="BX1204" s="439"/>
      <c r="BY1204" s="439"/>
      <c r="BZ1204" s="439"/>
      <c r="CA1204" s="439"/>
      <c r="CB1204" s="439"/>
      <c r="CC1204" s="439"/>
      <c r="CD1204" s="439"/>
      <c r="CE1204" s="440"/>
      <c r="CF1204" s="420"/>
      <c r="CG1204" s="420"/>
      <c r="CH1204" s="420"/>
    </row>
    <row r="1205" spans="75:86" s="428" customFormat="1" x14ac:dyDescent="0.2">
      <c r="BW1205" s="439"/>
      <c r="BX1205" s="439"/>
      <c r="BY1205" s="439"/>
      <c r="BZ1205" s="439"/>
      <c r="CA1205" s="439"/>
      <c r="CB1205" s="439"/>
      <c r="CC1205" s="439"/>
      <c r="CD1205" s="439"/>
      <c r="CE1205" s="440"/>
      <c r="CF1205" s="420"/>
      <c r="CG1205" s="420"/>
      <c r="CH1205" s="420"/>
    </row>
    <row r="1206" spans="75:86" s="428" customFormat="1" x14ac:dyDescent="0.2">
      <c r="BW1206" s="439"/>
      <c r="BX1206" s="439"/>
      <c r="BY1206" s="439"/>
      <c r="BZ1206" s="439"/>
      <c r="CA1206" s="439"/>
      <c r="CB1206" s="439"/>
      <c r="CC1206" s="439"/>
      <c r="CD1206" s="439"/>
      <c r="CE1206" s="440"/>
      <c r="CF1206" s="420"/>
      <c r="CG1206" s="420"/>
      <c r="CH1206" s="420"/>
    </row>
    <row r="1207" spans="75:86" s="428" customFormat="1" x14ac:dyDescent="0.2">
      <c r="BW1207" s="439"/>
      <c r="BX1207" s="439"/>
      <c r="BY1207" s="439"/>
      <c r="BZ1207" s="439"/>
      <c r="CA1207" s="439"/>
      <c r="CB1207" s="439"/>
      <c r="CC1207" s="439"/>
      <c r="CD1207" s="439"/>
      <c r="CE1207" s="440"/>
      <c r="CF1207" s="420"/>
      <c r="CG1207" s="420"/>
      <c r="CH1207" s="420"/>
    </row>
    <row r="1208" spans="75:86" s="428" customFormat="1" x14ac:dyDescent="0.2">
      <c r="BW1208" s="439"/>
      <c r="BX1208" s="439"/>
      <c r="BY1208" s="439"/>
      <c r="BZ1208" s="439"/>
      <c r="CA1208" s="439"/>
      <c r="CB1208" s="439"/>
      <c r="CC1208" s="439"/>
      <c r="CD1208" s="439"/>
      <c r="CE1208" s="440"/>
      <c r="CF1208" s="420"/>
      <c r="CG1208" s="420"/>
      <c r="CH1208" s="420"/>
    </row>
    <row r="1209" spans="75:86" s="428" customFormat="1" x14ac:dyDescent="0.2">
      <c r="BW1209" s="439"/>
      <c r="BX1209" s="439"/>
      <c r="BY1209" s="439"/>
      <c r="BZ1209" s="439"/>
      <c r="CA1209" s="439"/>
      <c r="CB1209" s="439"/>
      <c r="CC1209" s="439"/>
      <c r="CD1209" s="439"/>
      <c r="CE1209" s="440"/>
      <c r="CF1209" s="420"/>
      <c r="CG1209" s="420"/>
      <c r="CH1209" s="420"/>
    </row>
    <row r="1210" spans="75:86" s="428" customFormat="1" x14ac:dyDescent="0.2">
      <c r="BW1210" s="439"/>
      <c r="BX1210" s="439"/>
      <c r="BY1210" s="439"/>
      <c r="BZ1210" s="439"/>
      <c r="CA1210" s="439"/>
      <c r="CB1210" s="439"/>
      <c r="CC1210" s="439"/>
      <c r="CD1210" s="439"/>
      <c r="CE1210" s="440"/>
      <c r="CF1210" s="420"/>
      <c r="CG1210" s="420"/>
      <c r="CH1210" s="420"/>
    </row>
    <row r="1211" spans="75:86" s="428" customFormat="1" x14ac:dyDescent="0.2">
      <c r="BW1211" s="439"/>
      <c r="BX1211" s="439"/>
      <c r="BY1211" s="439"/>
      <c r="BZ1211" s="439"/>
      <c r="CA1211" s="439"/>
      <c r="CB1211" s="439"/>
      <c r="CC1211" s="439"/>
      <c r="CD1211" s="439"/>
      <c r="CE1211" s="440"/>
      <c r="CF1211" s="420"/>
      <c r="CG1211" s="420"/>
      <c r="CH1211" s="420"/>
    </row>
    <row r="1212" spans="75:86" s="428" customFormat="1" x14ac:dyDescent="0.2">
      <c r="BW1212" s="439"/>
      <c r="BX1212" s="439"/>
      <c r="BY1212" s="439"/>
      <c r="BZ1212" s="439"/>
      <c r="CA1212" s="439"/>
      <c r="CB1212" s="439"/>
      <c r="CC1212" s="439"/>
      <c r="CD1212" s="439"/>
      <c r="CE1212" s="440"/>
      <c r="CF1212" s="420"/>
      <c r="CG1212" s="420"/>
      <c r="CH1212" s="420"/>
    </row>
    <row r="1213" spans="75:86" s="428" customFormat="1" x14ac:dyDescent="0.2">
      <c r="BW1213" s="439"/>
      <c r="BX1213" s="439"/>
      <c r="BY1213" s="439"/>
      <c r="BZ1213" s="439"/>
      <c r="CA1213" s="439"/>
      <c r="CB1213" s="439"/>
      <c r="CC1213" s="439"/>
      <c r="CD1213" s="439"/>
      <c r="CE1213" s="440"/>
      <c r="CF1213" s="420"/>
      <c r="CG1213" s="420"/>
      <c r="CH1213" s="420"/>
    </row>
    <row r="1214" spans="75:86" s="428" customFormat="1" x14ac:dyDescent="0.2">
      <c r="BW1214" s="439"/>
      <c r="BX1214" s="439"/>
      <c r="BY1214" s="439"/>
      <c r="BZ1214" s="439"/>
      <c r="CA1214" s="439"/>
      <c r="CB1214" s="439"/>
      <c r="CC1214" s="439"/>
      <c r="CD1214" s="439"/>
      <c r="CE1214" s="440"/>
      <c r="CF1214" s="420"/>
      <c r="CG1214" s="420"/>
      <c r="CH1214" s="420"/>
    </row>
    <row r="1215" spans="75:86" s="428" customFormat="1" x14ac:dyDescent="0.2">
      <c r="BW1215" s="439"/>
      <c r="BX1215" s="439"/>
      <c r="BY1215" s="439"/>
      <c r="BZ1215" s="439"/>
      <c r="CA1215" s="439"/>
      <c r="CB1215" s="439"/>
      <c r="CC1215" s="439"/>
      <c r="CD1215" s="439"/>
      <c r="CE1215" s="440"/>
      <c r="CF1215" s="420"/>
      <c r="CG1215" s="420"/>
      <c r="CH1215" s="420"/>
    </row>
    <row r="1216" spans="75:86" s="428" customFormat="1" x14ac:dyDescent="0.2">
      <c r="BW1216" s="439"/>
      <c r="BX1216" s="439"/>
      <c r="BY1216" s="439"/>
      <c r="BZ1216" s="439"/>
      <c r="CA1216" s="439"/>
      <c r="CB1216" s="439"/>
      <c r="CC1216" s="439"/>
      <c r="CD1216" s="439"/>
      <c r="CE1216" s="440"/>
      <c r="CF1216" s="420"/>
      <c r="CG1216" s="420"/>
      <c r="CH1216" s="420"/>
    </row>
    <row r="1217" spans="75:86" s="428" customFormat="1" x14ac:dyDescent="0.2">
      <c r="BW1217" s="439"/>
      <c r="BX1217" s="439"/>
      <c r="BY1217" s="439"/>
      <c r="BZ1217" s="439"/>
      <c r="CA1217" s="439"/>
      <c r="CB1217" s="439"/>
      <c r="CC1217" s="439"/>
      <c r="CD1217" s="439"/>
      <c r="CE1217" s="440"/>
      <c r="CF1217" s="420"/>
      <c r="CG1217" s="420"/>
      <c r="CH1217" s="420"/>
    </row>
    <row r="1218" spans="75:86" s="428" customFormat="1" x14ac:dyDescent="0.2">
      <c r="BW1218" s="439"/>
      <c r="BX1218" s="439"/>
      <c r="BY1218" s="439"/>
      <c r="BZ1218" s="439"/>
      <c r="CA1218" s="439"/>
      <c r="CB1218" s="439"/>
      <c r="CC1218" s="439"/>
      <c r="CD1218" s="439"/>
      <c r="CE1218" s="440"/>
      <c r="CF1218" s="420"/>
      <c r="CG1218" s="420"/>
      <c r="CH1218" s="420"/>
    </row>
    <row r="1219" spans="75:86" s="428" customFormat="1" x14ac:dyDescent="0.2">
      <c r="BW1219" s="439"/>
      <c r="BX1219" s="439"/>
      <c r="BY1219" s="439"/>
      <c r="BZ1219" s="439"/>
      <c r="CA1219" s="439"/>
      <c r="CB1219" s="439"/>
      <c r="CC1219" s="439"/>
      <c r="CD1219" s="439"/>
      <c r="CE1219" s="440"/>
      <c r="CF1219" s="420"/>
      <c r="CG1219" s="420"/>
      <c r="CH1219" s="420"/>
    </row>
    <row r="1220" spans="75:86" s="428" customFormat="1" x14ac:dyDescent="0.2">
      <c r="BW1220" s="439"/>
      <c r="BX1220" s="439"/>
      <c r="BY1220" s="439"/>
      <c r="BZ1220" s="439"/>
      <c r="CA1220" s="439"/>
      <c r="CB1220" s="439"/>
      <c r="CC1220" s="439"/>
      <c r="CD1220" s="439"/>
      <c r="CE1220" s="440"/>
      <c r="CF1220" s="420"/>
      <c r="CG1220" s="420"/>
      <c r="CH1220" s="420"/>
    </row>
    <row r="1221" spans="75:86" s="428" customFormat="1" x14ac:dyDescent="0.2">
      <c r="BW1221" s="439"/>
      <c r="BX1221" s="439"/>
      <c r="BY1221" s="439"/>
      <c r="BZ1221" s="439"/>
      <c r="CA1221" s="439"/>
      <c r="CB1221" s="439"/>
      <c r="CC1221" s="439"/>
      <c r="CD1221" s="439"/>
      <c r="CE1221" s="440"/>
      <c r="CF1221" s="420"/>
      <c r="CG1221" s="420"/>
      <c r="CH1221" s="420"/>
    </row>
    <row r="1222" spans="75:86" s="428" customFormat="1" x14ac:dyDescent="0.2">
      <c r="BW1222" s="439"/>
      <c r="BX1222" s="439"/>
      <c r="BY1222" s="439"/>
      <c r="BZ1222" s="439"/>
      <c r="CA1222" s="439"/>
      <c r="CB1222" s="439"/>
      <c r="CC1222" s="439"/>
      <c r="CD1222" s="439"/>
      <c r="CE1222" s="440"/>
      <c r="CF1222" s="420"/>
      <c r="CG1222" s="420"/>
      <c r="CH1222" s="420"/>
    </row>
    <row r="1223" spans="75:86" s="428" customFormat="1" x14ac:dyDescent="0.2">
      <c r="BW1223" s="439"/>
      <c r="BX1223" s="439"/>
      <c r="BY1223" s="439"/>
      <c r="BZ1223" s="439"/>
      <c r="CA1223" s="439"/>
      <c r="CB1223" s="439"/>
      <c r="CC1223" s="439"/>
      <c r="CD1223" s="439"/>
      <c r="CE1223" s="440"/>
      <c r="CF1223" s="420"/>
      <c r="CG1223" s="420"/>
      <c r="CH1223" s="420"/>
    </row>
    <row r="1224" spans="75:86" s="428" customFormat="1" x14ac:dyDescent="0.2">
      <c r="BW1224" s="439"/>
      <c r="BX1224" s="439"/>
      <c r="BY1224" s="439"/>
      <c r="BZ1224" s="439"/>
      <c r="CA1224" s="439"/>
      <c r="CB1224" s="439"/>
      <c r="CC1224" s="439"/>
      <c r="CD1224" s="439"/>
      <c r="CE1224" s="440"/>
      <c r="CF1224" s="420"/>
      <c r="CG1224" s="420"/>
      <c r="CH1224" s="420"/>
    </row>
    <row r="1225" spans="75:86" s="428" customFormat="1" x14ac:dyDescent="0.2">
      <c r="BW1225" s="439"/>
      <c r="BX1225" s="439"/>
      <c r="BY1225" s="439"/>
      <c r="BZ1225" s="439"/>
      <c r="CA1225" s="439"/>
      <c r="CB1225" s="439"/>
      <c r="CC1225" s="439"/>
      <c r="CD1225" s="439"/>
      <c r="CE1225" s="440"/>
      <c r="CF1225" s="420"/>
      <c r="CG1225" s="420"/>
      <c r="CH1225" s="420"/>
    </row>
    <row r="1226" spans="75:86" s="428" customFormat="1" x14ac:dyDescent="0.2">
      <c r="BW1226" s="439"/>
      <c r="BX1226" s="439"/>
      <c r="BY1226" s="439"/>
      <c r="BZ1226" s="439"/>
      <c r="CA1226" s="439"/>
      <c r="CB1226" s="439"/>
      <c r="CC1226" s="439"/>
      <c r="CD1226" s="439"/>
      <c r="CE1226" s="440"/>
      <c r="CF1226" s="420"/>
      <c r="CG1226" s="420"/>
      <c r="CH1226" s="420"/>
    </row>
    <row r="1227" spans="75:86" s="428" customFormat="1" x14ac:dyDescent="0.2">
      <c r="BW1227" s="439"/>
      <c r="BX1227" s="439"/>
      <c r="BY1227" s="439"/>
      <c r="BZ1227" s="439"/>
      <c r="CA1227" s="439"/>
      <c r="CB1227" s="439"/>
      <c r="CC1227" s="439"/>
      <c r="CD1227" s="439"/>
      <c r="CE1227" s="440"/>
      <c r="CF1227" s="420"/>
      <c r="CG1227" s="420"/>
      <c r="CH1227" s="420"/>
    </row>
    <row r="1228" spans="75:86" s="428" customFormat="1" x14ac:dyDescent="0.2">
      <c r="BW1228" s="439"/>
      <c r="BX1228" s="439"/>
      <c r="BY1228" s="439"/>
      <c r="BZ1228" s="439"/>
      <c r="CA1228" s="439"/>
      <c r="CB1228" s="439"/>
      <c r="CC1228" s="439"/>
      <c r="CD1228" s="439"/>
      <c r="CE1228" s="440"/>
      <c r="CF1228" s="420"/>
      <c r="CG1228" s="420"/>
      <c r="CH1228" s="420"/>
    </row>
    <row r="1229" spans="75:86" s="428" customFormat="1" x14ac:dyDescent="0.2">
      <c r="BW1229" s="439"/>
      <c r="BX1229" s="439"/>
      <c r="BY1229" s="439"/>
      <c r="BZ1229" s="439"/>
      <c r="CA1229" s="439"/>
      <c r="CB1229" s="439"/>
      <c r="CC1229" s="439"/>
      <c r="CD1229" s="439"/>
      <c r="CE1229" s="440"/>
      <c r="CF1229" s="420"/>
      <c r="CG1229" s="420"/>
      <c r="CH1229" s="420"/>
    </row>
    <row r="1230" spans="75:86" s="428" customFormat="1" x14ac:dyDescent="0.2">
      <c r="BW1230" s="439"/>
      <c r="BX1230" s="439"/>
      <c r="BY1230" s="439"/>
      <c r="BZ1230" s="439"/>
      <c r="CA1230" s="439"/>
      <c r="CB1230" s="439"/>
      <c r="CC1230" s="439"/>
      <c r="CD1230" s="439"/>
      <c r="CE1230" s="440"/>
      <c r="CF1230" s="420"/>
      <c r="CG1230" s="420"/>
      <c r="CH1230" s="420"/>
    </row>
    <row r="1231" spans="75:86" s="428" customFormat="1" x14ac:dyDescent="0.2">
      <c r="BW1231" s="439"/>
      <c r="BX1231" s="439"/>
      <c r="BY1231" s="439"/>
      <c r="BZ1231" s="439"/>
      <c r="CA1231" s="439"/>
      <c r="CB1231" s="439"/>
      <c r="CC1231" s="439"/>
      <c r="CD1231" s="439"/>
      <c r="CE1231" s="440"/>
      <c r="CF1231" s="420"/>
      <c r="CG1231" s="420"/>
      <c r="CH1231" s="420"/>
    </row>
    <row r="1232" spans="75:86" s="428" customFormat="1" x14ac:dyDescent="0.2">
      <c r="BW1232" s="439"/>
      <c r="BX1232" s="439"/>
      <c r="BY1232" s="439"/>
      <c r="BZ1232" s="439"/>
      <c r="CA1232" s="439"/>
      <c r="CB1232" s="439"/>
      <c r="CC1232" s="439"/>
      <c r="CD1232" s="439"/>
      <c r="CE1232" s="440"/>
      <c r="CF1232" s="420"/>
      <c r="CG1232" s="420"/>
      <c r="CH1232" s="420"/>
    </row>
    <row r="1233" spans="75:86" s="428" customFormat="1" x14ac:dyDescent="0.2">
      <c r="BW1233" s="439"/>
      <c r="BX1233" s="439"/>
      <c r="BY1233" s="439"/>
      <c r="BZ1233" s="439"/>
      <c r="CA1233" s="439"/>
      <c r="CB1233" s="439"/>
      <c r="CC1233" s="439"/>
      <c r="CD1233" s="439"/>
      <c r="CE1233" s="440"/>
      <c r="CF1233" s="420"/>
      <c r="CG1233" s="420"/>
      <c r="CH1233" s="420"/>
    </row>
    <row r="1234" spans="75:86" s="428" customFormat="1" x14ac:dyDescent="0.2">
      <c r="BW1234" s="439"/>
      <c r="BX1234" s="439"/>
      <c r="BY1234" s="439"/>
      <c r="BZ1234" s="439"/>
      <c r="CA1234" s="439"/>
      <c r="CB1234" s="439"/>
      <c r="CC1234" s="439"/>
      <c r="CD1234" s="439"/>
      <c r="CE1234" s="440"/>
      <c r="CF1234" s="420"/>
      <c r="CG1234" s="420"/>
      <c r="CH1234" s="420"/>
    </row>
    <row r="1235" spans="75:86" s="428" customFormat="1" x14ac:dyDescent="0.2">
      <c r="BW1235" s="439"/>
      <c r="BX1235" s="439"/>
      <c r="BY1235" s="439"/>
      <c r="BZ1235" s="439"/>
      <c r="CA1235" s="439"/>
      <c r="CB1235" s="439"/>
      <c r="CC1235" s="439"/>
      <c r="CD1235" s="439"/>
      <c r="CE1235" s="440"/>
      <c r="CF1235" s="420"/>
      <c r="CG1235" s="420"/>
      <c r="CH1235" s="420"/>
    </row>
    <row r="1236" spans="75:86" s="428" customFormat="1" x14ac:dyDescent="0.2">
      <c r="BW1236" s="439"/>
      <c r="BX1236" s="439"/>
      <c r="BY1236" s="439"/>
      <c r="BZ1236" s="439"/>
      <c r="CA1236" s="439"/>
      <c r="CB1236" s="439"/>
      <c r="CC1236" s="439"/>
      <c r="CD1236" s="439"/>
      <c r="CE1236" s="440"/>
      <c r="CF1236" s="420"/>
      <c r="CG1236" s="420"/>
      <c r="CH1236" s="420"/>
    </row>
    <row r="1237" spans="75:86" s="428" customFormat="1" x14ac:dyDescent="0.2">
      <c r="BW1237" s="439"/>
      <c r="BX1237" s="439"/>
      <c r="BY1237" s="439"/>
      <c r="BZ1237" s="439"/>
      <c r="CA1237" s="439"/>
      <c r="CB1237" s="439"/>
      <c r="CC1237" s="439"/>
      <c r="CD1237" s="439"/>
      <c r="CE1237" s="440"/>
      <c r="CF1237" s="420"/>
      <c r="CG1237" s="420"/>
      <c r="CH1237" s="420"/>
    </row>
    <row r="1238" spans="75:86" s="428" customFormat="1" x14ac:dyDescent="0.2">
      <c r="BW1238" s="439"/>
      <c r="BX1238" s="439"/>
      <c r="BY1238" s="439"/>
      <c r="BZ1238" s="439"/>
      <c r="CA1238" s="439"/>
      <c r="CB1238" s="439"/>
      <c r="CC1238" s="439"/>
      <c r="CD1238" s="439"/>
      <c r="CE1238" s="440"/>
      <c r="CF1238" s="420"/>
      <c r="CG1238" s="420"/>
      <c r="CH1238" s="420"/>
    </row>
    <row r="1239" spans="75:86" s="428" customFormat="1" x14ac:dyDescent="0.2">
      <c r="BW1239" s="439"/>
      <c r="BX1239" s="439"/>
      <c r="BY1239" s="439"/>
      <c r="BZ1239" s="439"/>
      <c r="CA1239" s="439"/>
      <c r="CB1239" s="439"/>
      <c r="CC1239" s="439"/>
      <c r="CD1239" s="439"/>
      <c r="CE1239" s="440"/>
      <c r="CF1239" s="420"/>
      <c r="CG1239" s="420"/>
      <c r="CH1239" s="420"/>
    </row>
    <row r="1240" spans="75:86" s="428" customFormat="1" x14ac:dyDescent="0.2">
      <c r="BW1240" s="439"/>
      <c r="BX1240" s="439"/>
      <c r="BY1240" s="439"/>
      <c r="BZ1240" s="439"/>
      <c r="CA1240" s="439"/>
      <c r="CB1240" s="439"/>
      <c r="CC1240" s="439"/>
      <c r="CD1240" s="439"/>
      <c r="CE1240" s="440"/>
      <c r="CF1240" s="420"/>
      <c r="CG1240" s="420"/>
      <c r="CH1240" s="420"/>
    </row>
    <row r="1241" spans="75:86" s="428" customFormat="1" x14ac:dyDescent="0.2">
      <c r="BW1241" s="439"/>
      <c r="BX1241" s="439"/>
      <c r="BY1241" s="439"/>
      <c r="BZ1241" s="439"/>
      <c r="CA1241" s="439"/>
      <c r="CB1241" s="439"/>
      <c r="CC1241" s="439"/>
      <c r="CD1241" s="439"/>
      <c r="CE1241" s="440"/>
      <c r="CF1241" s="420"/>
      <c r="CG1241" s="420"/>
      <c r="CH1241" s="420"/>
    </row>
    <row r="1242" spans="75:86" s="428" customFormat="1" x14ac:dyDescent="0.2">
      <c r="BW1242" s="439"/>
      <c r="BX1242" s="439"/>
      <c r="BY1242" s="439"/>
      <c r="BZ1242" s="439"/>
      <c r="CA1242" s="439"/>
      <c r="CB1242" s="439"/>
      <c r="CC1242" s="439"/>
      <c r="CD1242" s="439"/>
      <c r="CE1242" s="440"/>
      <c r="CF1242" s="420"/>
      <c r="CG1242" s="420"/>
      <c r="CH1242" s="420"/>
    </row>
    <row r="1243" spans="75:86" s="428" customFormat="1" x14ac:dyDescent="0.2">
      <c r="BW1243" s="439"/>
      <c r="BX1243" s="439"/>
      <c r="BY1243" s="439"/>
      <c r="BZ1243" s="439"/>
      <c r="CA1243" s="439"/>
      <c r="CB1243" s="439"/>
      <c r="CC1243" s="439"/>
      <c r="CD1243" s="439"/>
      <c r="CE1243" s="440"/>
      <c r="CF1243" s="420"/>
      <c r="CG1243" s="420"/>
      <c r="CH1243" s="420"/>
    </row>
    <row r="1244" spans="75:86" s="428" customFormat="1" x14ac:dyDescent="0.2">
      <c r="BW1244" s="439"/>
      <c r="BX1244" s="439"/>
      <c r="BY1244" s="439"/>
      <c r="BZ1244" s="439"/>
      <c r="CA1244" s="439"/>
      <c r="CB1244" s="439"/>
      <c r="CC1244" s="439"/>
      <c r="CD1244" s="439"/>
      <c r="CE1244" s="440"/>
      <c r="CF1244" s="420"/>
      <c r="CG1244" s="420"/>
      <c r="CH1244" s="420"/>
    </row>
    <row r="1245" spans="75:86" s="428" customFormat="1" x14ac:dyDescent="0.2">
      <c r="BW1245" s="439"/>
      <c r="BX1245" s="439"/>
      <c r="BY1245" s="439"/>
      <c r="BZ1245" s="439"/>
      <c r="CA1245" s="439"/>
      <c r="CB1245" s="439"/>
      <c r="CC1245" s="439"/>
      <c r="CD1245" s="439"/>
      <c r="CE1245" s="440"/>
      <c r="CF1245" s="420"/>
      <c r="CG1245" s="420"/>
      <c r="CH1245" s="420"/>
    </row>
    <row r="1246" spans="75:86" s="428" customFormat="1" x14ac:dyDescent="0.2">
      <c r="BW1246" s="439"/>
      <c r="BX1246" s="439"/>
      <c r="BY1246" s="439"/>
      <c r="BZ1246" s="439"/>
      <c r="CA1246" s="439"/>
      <c r="CB1246" s="439"/>
      <c r="CC1246" s="439"/>
      <c r="CD1246" s="439"/>
      <c r="CE1246" s="440"/>
      <c r="CF1246" s="420"/>
      <c r="CG1246" s="420"/>
      <c r="CH1246" s="420"/>
    </row>
    <row r="1247" spans="75:86" s="428" customFormat="1" x14ac:dyDescent="0.2">
      <c r="BW1247" s="439"/>
      <c r="BX1247" s="439"/>
      <c r="BY1247" s="439"/>
      <c r="BZ1247" s="439"/>
      <c r="CA1247" s="439"/>
      <c r="CB1247" s="439"/>
      <c r="CC1247" s="439"/>
      <c r="CD1247" s="439"/>
      <c r="CE1247" s="440"/>
      <c r="CF1247" s="420"/>
      <c r="CG1247" s="420"/>
      <c r="CH1247" s="420"/>
    </row>
    <row r="1248" spans="75:86" s="428" customFormat="1" x14ac:dyDescent="0.2">
      <c r="BW1248" s="439"/>
      <c r="BX1248" s="439"/>
      <c r="BY1248" s="439"/>
      <c r="BZ1248" s="439"/>
      <c r="CA1248" s="439"/>
      <c r="CB1248" s="439"/>
      <c r="CC1248" s="439"/>
      <c r="CD1248" s="439"/>
      <c r="CE1248" s="440"/>
      <c r="CF1248" s="420"/>
      <c r="CG1248" s="420"/>
      <c r="CH1248" s="420"/>
    </row>
    <row r="1249" spans="75:86" s="428" customFormat="1" x14ac:dyDescent="0.2">
      <c r="BW1249" s="439"/>
      <c r="BX1249" s="439"/>
      <c r="BY1249" s="439"/>
      <c r="BZ1249" s="439"/>
      <c r="CA1249" s="439"/>
      <c r="CB1249" s="439"/>
      <c r="CC1249" s="439"/>
      <c r="CD1249" s="439"/>
      <c r="CE1249" s="440"/>
      <c r="CF1249" s="420"/>
      <c r="CG1249" s="420"/>
      <c r="CH1249" s="420"/>
    </row>
    <row r="1250" spans="75:86" s="428" customFormat="1" x14ac:dyDescent="0.2">
      <c r="BW1250" s="439"/>
      <c r="BX1250" s="439"/>
      <c r="BY1250" s="439"/>
      <c r="BZ1250" s="439"/>
      <c r="CA1250" s="439"/>
      <c r="CB1250" s="439"/>
      <c r="CC1250" s="439"/>
      <c r="CD1250" s="439"/>
      <c r="CE1250" s="440"/>
      <c r="CF1250" s="420"/>
      <c r="CG1250" s="420"/>
      <c r="CH1250" s="420"/>
    </row>
    <row r="1251" spans="75:86" s="428" customFormat="1" x14ac:dyDescent="0.2">
      <c r="BW1251" s="439"/>
      <c r="BX1251" s="439"/>
      <c r="BY1251" s="439"/>
      <c r="BZ1251" s="439"/>
      <c r="CA1251" s="439"/>
      <c r="CB1251" s="439"/>
      <c r="CC1251" s="439"/>
      <c r="CD1251" s="439"/>
      <c r="CE1251" s="440"/>
      <c r="CF1251" s="420"/>
      <c r="CG1251" s="420"/>
      <c r="CH1251" s="420"/>
    </row>
    <row r="1252" spans="75:86" s="428" customFormat="1" x14ac:dyDescent="0.2">
      <c r="BW1252" s="439"/>
      <c r="BX1252" s="439"/>
      <c r="BY1252" s="439"/>
      <c r="BZ1252" s="439"/>
      <c r="CA1252" s="439"/>
      <c r="CB1252" s="439"/>
      <c r="CC1252" s="439"/>
      <c r="CD1252" s="439"/>
      <c r="CE1252" s="440"/>
      <c r="CF1252" s="420"/>
      <c r="CG1252" s="420"/>
      <c r="CH1252" s="420"/>
    </row>
    <row r="1253" spans="75:86" s="428" customFormat="1" x14ac:dyDescent="0.2">
      <c r="BW1253" s="439"/>
      <c r="BX1253" s="439"/>
      <c r="BY1253" s="439"/>
      <c r="BZ1253" s="439"/>
      <c r="CA1253" s="439"/>
      <c r="CB1253" s="439"/>
      <c r="CC1253" s="439"/>
      <c r="CD1253" s="439"/>
      <c r="CE1253" s="440"/>
      <c r="CF1253" s="420"/>
      <c r="CG1253" s="420"/>
      <c r="CH1253" s="420"/>
    </row>
    <row r="1254" spans="75:86" s="428" customFormat="1" x14ac:dyDescent="0.2">
      <c r="BW1254" s="439"/>
      <c r="BX1254" s="439"/>
      <c r="BY1254" s="439"/>
      <c r="BZ1254" s="439"/>
      <c r="CA1254" s="439"/>
      <c r="CB1254" s="439"/>
      <c r="CC1254" s="439"/>
      <c r="CD1254" s="439"/>
      <c r="CE1254" s="440"/>
      <c r="CF1254" s="420"/>
      <c r="CG1254" s="420"/>
      <c r="CH1254" s="420"/>
    </row>
    <row r="1255" spans="75:86" s="428" customFormat="1" x14ac:dyDescent="0.2">
      <c r="BW1255" s="439"/>
      <c r="BX1255" s="439"/>
      <c r="BY1255" s="439"/>
      <c r="BZ1255" s="439"/>
      <c r="CA1255" s="439"/>
      <c r="CB1255" s="439"/>
      <c r="CC1255" s="439"/>
      <c r="CD1255" s="439"/>
      <c r="CE1255" s="440"/>
      <c r="CF1255" s="420"/>
      <c r="CG1255" s="420"/>
      <c r="CH1255" s="420"/>
    </row>
    <row r="1256" spans="75:86" s="428" customFormat="1" x14ac:dyDescent="0.2">
      <c r="BW1256" s="439"/>
      <c r="BX1256" s="439"/>
      <c r="BY1256" s="439"/>
      <c r="BZ1256" s="439"/>
      <c r="CA1256" s="439"/>
      <c r="CB1256" s="439"/>
      <c r="CC1256" s="439"/>
      <c r="CD1256" s="439"/>
      <c r="CE1256" s="440"/>
      <c r="CF1256" s="420"/>
      <c r="CG1256" s="420"/>
      <c r="CH1256" s="420"/>
    </row>
    <row r="1257" spans="75:86" s="428" customFormat="1" x14ac:dyDescent="0.2">
      <c r="BW1257" s="439"/>
      <c r="BX1257" s="439"/>
      <c r="BY1257" s="439"/>
      <c r="BZ1257" s="439"/>
      <c r="CA1257" s="439"/>
      <c r="CB1257" s="439"/>
      <c r="CC1257" s="439"/>
      <c r="CD1257" s="439"/>
      <c r="CE1257" s="440"/>
      <c r="CF1257" s="420"/>
      <c r="CG1257" s="420"/>
      <c r="CH1257" s="420"/>
    </row>
    <row r="1258" spans="75:86" s="428" customFormat="1" x14ac:dyDescent="0.2">
      <c r="BW1258" s="439"/>
      <c r="BX1258" s="439"/>
      <c r="BY1258" s="439"/>
      <c r="BZ1258" s="439"/>
      <c r="CA1258" s="439"/>
      <c r="CB1258" s="439"/>
      <c r="CC1258" s="439"/>
      <c r="CD1258" s="439"/>
      <c r="CE1258" s="440"/>
      <c r="CF1258" s="420"/>
      <c r="CG1258" s="420"/>
      <c r="CH1258" s="420"/>
    </row>
    <row r="1259" spans="75:86" s="428" customFormat="1" x14ac:dyDescent="0.2">
      <c r="BW1259" s="439"/>
      <c r="BX1259" s="439"/>
      <c r="BY1259" s="439"/>
      <c r="BZ1259" s="439"/>
      <c r="CA1259" s="439"/>
      <c r="CB1259" s="439"/>
      <c r="CC1259" s="439"/>
      <c r="CD1259" s="439"/>
      <c r="CE1259" s="440"/>
      <c r="CF1259" s="420"/>
      <c r="CG1259" s="420"/>
      <c r="CH1259" s="420"/>
    </row>
    <row r="1260" spans="75:86" s="428" customFormat="1" x14ac:dyDescent="0.2">
      <c r="BW1260" s="439"/>
      <c r="BX1260" s="439"/>
      <c r="BY1260" s="439"/>
      <c r="BZ1260" s="439"/>
      <c r="CA1260" s="439"/>
      <c r="CB1260" s="439"/>
      <c r="CC1260" s="439"/>
      <c r="CD1260" s="439"/>
      <c r="CE1260" s="440"/>
      <c r="CF1260" s="420"/>
      <c r="CG1260" s="420"/>
      <c r="CH1260" s="420"/>
    </row>
    <row r="1261" spans="75:86" s="428" customFormat="1" x14ac:dyDescent="0.2">
      <c r="BW1261" s="439"/>
      <c r="BX1261" s="439"/>
      <c r="BY1261" s="439"/>
      <c r="BZ1261" s="439"/>
      <c r="CA1261" s="439"/>
      <c r="CB1261" s="439"/>
      <c r="CC1261" s="439"/>
      <c r="CD1261" s="439"/>
      <c r="CE1261" s="440"/>
      <c r="CF1261" s="420"/>
      <c r="CG1261" s="420"/>
      <c r="CH1261" s="420"/>
    </row>
    <row r="1262" spans="75:86" s="428" customFormat="1" x14ac:dyDescent="0.2">
      <c r="BW1262" s="439"/>
      <c r="BX1262" s="439"/>
      <c r="BY1262" s="439"/>
      <c r="BZ1262" s="439"/>
      <c r="CA1262" s="439"/>
      <c r="CB1262" s="439"/>
      <c r="CC1262" s="439"/>
      <c r="CD1262" s="439"/>
      <c r="CE1262" s="440"/>
      <c r="CF1262" s="420"/>
      <c r="CG1262" s="420"/>
      <c r="CH1262" s="420"/>
    </row>
    <row r="1263" spans="75:86" s="428" customFormat="1" x14ac:dyDescent="0.2">
      <c r="BW1263" s="439"/>
      <c r="BX1263" s="439"/>
      <c r="BY1263" s="439"/>
      <c r="BZ1263" s="439"/>
      <c r="CA1263" s="439"/>
      <c r="CB1263" s="439"/>
      <c r="CC1263" s="439"/>
      <c r="CD1263" s="439"/>
      <c r="CE1263" s="440"/>
      <c r="CF1263" s="420"/>
      <c r="CG1263" s="420"/>
      <c r="CH1263" s="420"/>
    </row>
    <row r="1264" spans="75:86" s="428" customFormat="1" x14ac:dyDescent="0.2">
      <c r="BW1264" s="439"/>
      <c r="BX1264" s="439"/>
      <c r="BY1264" s="439"/>
      <c r="BZ1264" s="439"/>
      <c r="CA1264" s="439"/>
      <c r="CB1264" s="439"/>
      <c r="CC1264" s="439"/>
      <c r="CD1264" s="439"/>
      <c r="CE1264" s="440"/>
      <c r="CF1264" s="420"/>
      <c r="CG1264" s="420"/>
      <c r="CH1264" s="420"/>
    </row>
    <row r="1265" spans="75:86" s="428" customFormat="1" x14ac:dyDescent="0.2">
      <c r="BW1265" s="439"/>
      <c r="BX1265" s="439"/>
      <c r="BY1265" s="439"/>
      <c r="BZ1265" s="439"/>
      <c r="CA1265" s="439"/>
      <c r="CB1265" s="439"/>
      <c r="CC1265" s="439"/>
      <c r="CD1265" s="439"/>
      <c r="CE1265" s="440"/>
      <c r="CF1265" s="420"/>
      <c r="CG1265" s="420"/>
      <c r="CH1265" s="420"/>
    </row>
    <row r="1266" spans="75:86" s="428" customFormat="1" x14ac:dyDescent="0.2">
      <c r="BW1266" s="439"/>
      <c r="BX1266" s="439"/>
      <c r="BY1266" s="439"/>
      <c r="BZ1266" s="439"/>
      <c r="CA1266" s="439"/>
      <c r="CB1266" s="439"/>
      <c r="CC1266" s="439"/>
      <c r="CD1266" s="439"/>
      <c r="CE1266" s="440"/>
      <c r="CF1266" s="420"/>
      <c r="CG1266" s="420"/>
      <c r="CH1266" s="420"/>
    </row>
    <row r="1267" spans="75:86" s="428" customFormat="1" x14ac:dyDescent="0.2">
      <c r="BW1267" s="439"/>
      <c r="BX1267" s="439"/>
      <c r="BY1267" s="439"/>
      <c r="BZ1267" s="439"/>
      <c r="CA1267" s="439"/>
      <c r="CB1267" s="439"/>
      <c r="CC1267" s="439"/>
      <c r="CD1267" s="439"/>
      <c r="CE1267" s="440"/>
      <c r="CF1267" s="420"/>
      <c r="CG1267" s="420"/>
      <c r="CH1267" s="420"/>
    </row>
    <row r="1268" spans="75:86" s="428" customFormat="1" x14ac:dyDescent="0.2">
      <c r="BW1268" s="439"/>
      <c r="BX1268" s="439"/>
      <c r="BY1268" s="439"/>
      <c r="BZ1268" s="439"/>
      <c r="CA1268" s="439"/>
      <c r="CB1268" s="439"/>
      <c r="CC1268" s="439"/>
      <c r="CD1268" s="439"/>
      <c r="CE1268" s="440"/>
      <c r="CF1268" s="420"/>
      <c r="CG1268" s="420"/>
      <c r="CH1268" s="420"/>
    </row>
    <row r="1269" spans="75:86" s="428" customFormat="1" x14ac:dyDescent="0.2">
      <c r="BW1269" s="439"/>
      <c r="BX1269" s="439"/>
      <c r="BY1269" s="439"/>
      <c r="BZ1269" s="439"/>
      <c r="CA1269" s="439"/>
      <c r="CB1269" s="439"/>
      <c r="CC1269" s="439"/>
      <c r="CD1269" s="439"/>
      <c r="CE1269" s="440"/>
      <c r="CF1269" s="420"/>
      <c r="CG1269" s="420"/>
      <c r="CH1269" s="420"/>
    </row>
    <row r="1270" spans="75:86" s="428" customFormat="1" x14ac:dyDescent="0.2">
      <c r="BW1270" s="439"/>
      <c r="BX1270" s="439"/>
      <c r="BY1270" s="439"/>
      <c r="BZ1270" s="439"/>
      <c r="CA1270" s="439"/>
      <c r="CB1270" s="439"/>
      <c r="CC1270" s="439"/>
      <c r="CD1270" s="439"/>
      <c r="CE1270" s="440"/>
      <c r="CF1270" s="420"/>
      <c r="CG1270" s="420"/>
      <c r="CH1270" s="420"/>
    </row>
    <row r="1271" spans="75:86" s="428" customFormat="1" x14ac:dyDescent="0.2">
      <c r="BW1271" s="439"/>
      <c r="BX1271" s="439"/>
      <c r="BY1271" s="439"/>
      <c r="BZ1271" s="439"/>
      <c r="CA1271" s="439"/>
      <c r="CB1271" s="439"/>
      <c r="CC1271" s="439"/>
      <c r="CD1271" s="439"/>
      <c r="CE1271" s="440"/>
      <c r="CF1271" s="420"/>
      <c r="CG1271" s="420"/>
      <c r="CH1271" s="420"/>
    </row>
    <row r="1272" spans="75:86" s="428" customFormat="1" x14ac:dyDescent="0.2">
      <c r="BW1272" s="439"/>
      <c r="BX1272" s="439"/>
      <c r="BY1272" s="439"/>
      <c r="BZ1272" s="439"/>
      <c r="CA1272" s="439"/>
      <c r="CB1272" s="439"/>
      <c r="CC1272" s="439"/>
      <c r="CD1272" s="439"/>
      <c r="CE1272" s="440"/>
      <c r="CF1272" s="420"/>
      <c r="CG1272" s="420"/>
      <c r="CH1272" s="420"/>
    </row>
    <row r="1273" spans="75:86" s="428" customFormat="1" x14ac:dyDescent="0.2">
      <c r="BW1273" s="439"/>
      <c r="BX1273" s="439"/>
      <c r="BY1273" s="439"/>
      <c r="BZ1273" s="439"/>
      <c r="CA1273" s="439"/>
      <c r="CB1273" s="439"/>
      <c r="CC1273" s="439"/>
      <c r="CD1273" s="439"/>
      <c r="CE1273" s="440"/>
      <c r="CF1273" s="420"/>
      <c r="CG1273" s="420"/>
      <c r="CH1273" s="420"/>
    </row>
    <row r="1274" spans="75:86" s="428" customFormat="1" x14ac:dyDescent="0.2">
      <c r="BW1274" s="439"/>
      <c r="BX1274" s="439"/>
      <c r="BY1274" s="439"/>
      <c r="BZ1274" s="439"/>
      <c r="CA1274" s="439"/>
      <c r="CB1274" s="439"/>
      <c r="CC1274" s="439"/>
      <c r="CD1274" s="439"/>
      <c r="CE1274" s="440"/>
      <c r="CF1274" s="420"/>
      <c r="CG1274" s="420"/>
      <c r="CH1274" s="420"/>
    </row>
    <row r="1275" spans="75:86" s="428" customFormat="1" x14ac:dyDescent="0.2">
      <c r="BW1275" s="439"/>
      <c r="BX1275" s="439"/>
      <c r="BY1275" s="439"/>
      <c r="BZ1275" s="439"/>
      <c r="CA1275" s="439"/>
      <c r="CB1275" s="439"/>
      <c r="CC1275" s="439"/>
      <c r="CD1275" s="439"/>
      <c r="CE1275" s="440"/>
      <c r="CF1275" s="420"/>
      <c r="CG1275" s="420"/>
      <c r="CH1275" s="420"/>
    </row>
    <row r="1276" spans="75:86" s="428" customFormat="1" x14ac:dyDescent="0.2">
      <c r="BW1276" s="439"/>
      <c r="BX1276" s="439"/>
      <c r="BY1276" s="439"/>
      <c r="BZ1276" s="439"/>
      <c r="CA1276" s="439"/>
      <c r="CB1276" s="439"/>
      <c r="CC1276" s="439"/>
      <c r="CD1276" s="439"/>
      <c r="CE1276" s="440"/>
      <c r="CF1276" s="420"/>
      <c r="CG1276" s="420"/>
      <c r="CH1276" s="420"/>
    </row>
    <row r="1277" spans="75:86" s="428" customFormat="1" x14ac:dyDescent="0.2">
      <c r="BW1277" s="439"/>
      <c r="BX1277" s="439"/>
      <c r="BY1277" s="439"/>
      <c r="BZ1277" s="439"/>
      <c r="CA1277" s="439"/>
      <c r="CB1277" s="439"/>
      <c r="CC1277" s="439"/>
      <c r="CD1277" s="439"/>
      <c r="CE1277" s="440"/>
      <c r="CF1277" s="420"/>
      <c r="CG1277" s="420"/>
      <c r="CH1277" s="420"/>
    </row>
    <row r="1278" spans="75:86" s="428" customFormat="1" x14ac:dyDescent="0.2">
      <c r="BW1278" s="439"/>
      <c r="BX1278" s="439"/>
      <c r="BY1278" s="439"/>
      <c r="BZ1278" s="439"/>
      <c r="CA1278" s="439"/>
      <c r="CB1278" s="439"/>
      <c r="CC1278" s="439"/>
      <c r="CD1278" s="439"/>
      <c r="CE1278" s="440"/>
      <c r="CF1278" s="420"/>
      <c r="CG1278" s="420"/>
      <c r="CH1278" s="420"/>
    </row>
    <row r="1279" spans="75:86" s="428" customFormat="1" x14ac:dyDescent="0.2">
      <c r="BW1279" s="439"/>
      <c r="BX1279" s="439"/>
      <c r="BY1279" s="439"/>
      <c r="BZ1279" s="439"/>
      <c r="CA1279" s="439"/>
      <c r="CB1279" s="439"/>
      <c r="CC1279" s="439"/>
      <c r="CD1279" s="439"/>
      <c r="CE1279" s="440"/>
      <c r="CF1279" s="420"/>
      <c r="CG1279" s="420"/>
      <c r="CH1279" s="420"/>
    </row>
    <row r="1280" spans="75:86" s="428" customFormat="1" x14ac:dyDescent="0.2">
      <c r="BW1280" s="439"/>
      <c r="BX1280" s="439"/>
      <c r="BY1280" s="439"/>
      <c r="BZ1280" s="439"/>
      <c r="CA1280" s="439"/>
      <c r="CB1280" s="439"/>
      <c r="CC1280" s="439"/>
      <c r="CD1280" s="439"/>
      <c r="CE1280" s="440"/>
      <c r="CF1280" s="420"/>
      <c r="CG1280" s="420"/>
      <c r="CH1280" s="420"/>
    </row>
    <row r="1281" spans="75:86" s="428" customFormat="1" x14ac:dyDescent="0.2">
      <c r="BW1281" s="439"/>
      <c r="BX1281" s="439"/>
      <c r="BY1281" s="439"/>
      <c r="BZ1281" s="439"/>
      <c r="CA1281" s="439"/>
      <c r="CB1281" s="439"/>
      <c r="CC1281" s="439"/>
      <c r="CD1281" s="439"/>
      <c r="CE1281" s="440"/>
      <c r="CF1281" s="420"/>
      <c r="CG1281" s="420"/>
      <c r="CH1281" s="420"/>
    </row>
    <row r="1282" spans="75:86" s="428" customFormat="1" x14ac:dyDescent="0.2">
      <c r="BW1282" s="439"/>
      <c r="BX1282" s="439"/>
      <c r="BY1282" s="439"/>
      <c r="BZ1282" s="439"/>
      <c r="CA1282" s="439"/>
      <c r="CB1282" s="439"/>
      <c r="CC1282" s="439"/>
      <c r="CD1282" s="439"/>
      <c r="CE1282" s="440"/>
      <c r="CF1282" s="420"/>
      <c r="CG1282" s="420"/>
      <c r="CH1282" s="420"/>
    </row>
    <row r="1283" spans="75:86" s="428" customFormat="1" x14ac:dyDescent="0.2">
      <c r="BW1283" s="439"/>
      <c r="BX1283" s="439"/>
      <c r="BY1283" s="439"/>
      <c r="BZ1283" s="439"/>
      <c r="CA1283" s="439"/>
      <c r="CB1283" s="439"/>
      <c r="CC1283" s="439"/>
      <c r="CD1283" s="439"/>
      <c r="CE1283" s="440"/>
      <c r="CF1283" s="420"/>
      <c r="CG1283" s="420"/>
      <c r="CH1283" s="420"/>
    </row>
    <row r="1284" spans="75:86" s="428" customFormat="1" x14ac:dyDescent="0.2">
      <c r="BW1284" s="439"/>
      <c r="BX1284" s="439"/>
      <c r="BY1284" s="439"/>
      <c r="BZ1284" s="439"/>
      <c r="CA1284" s="439"/>
      <c r="CB1284" s="439"/>
      <c r="CC1284" s="439"/>
      <c r="CD1284" s="439"/>
      <c r="CE1284" s="440"/>
      <c r="CF1284" s="420"/>
      <c r="CG1284" s="420"/>
      <c r="CH1284" s="420"/>
    </row>
    <row r="1285" spans="75:86" s="428" customFormat="1" x14ac:dyDescent="0.2">
      <c r="BW1285" s="439"/>
      <c r="BX1285" s="439"/>
      <c r="BY1285" s="439"/>
      <c r="BZ1285" s="439"/>
      <c r="CA1285" s="439"/>
      <c r="CB1285" s="439"/>
      <c r="CC1285" s="439"/>
      <c r="CD1285" s="439"/>
      <c r="CE1285" s="440"/>
      <c r="CF1285" s="420"/>
      <c r="CG1285" s="420"/>
      <c r="CH1285" s="420"/>
    </row>
    <row r="1286" spans="75:86" s="428" customFormat="1" x14ac:dyDescent="0.2">
      <c r="BW1286" s="439"/>
      <c r="BX1286" s="439"/>
      <c r="BY1286" s="439"/>
      <c r="BZ1286" s="439"/>
      <c r="CA1286" s="439"/>
      <c r="CB1286" s="439"/>
      <c r="CC1286" s="439"/>
      <c r="CD1286" s="439"/>
      <c r="CE1286" s="440"/>
      <c r="CF1286" s="420"/>
      <c r="CG1286" s="420"/>
      <c r="CH1286" s="420"/>
    </row>
    <row r="1287" spans="75:86" s="428" customFormat="1" x14ac:dyDescent="0.2">
      <c r="BW1287" s="439"/>
      <c r="BX1287" s="439"/>
      <c r="BY1287" s="439"/>
      <c r="BZ1287" s="439"/>
      <c r="CA1287" s="439"/>
      <c r="CB1287" s="439"/>
      <c r="CC1287" s="439"/>
      <c r="CD1287" s="439"/>
      <c r="CE1287" s="440"/>
      <c r="CF1287" s="420"/>
      <c r="CG1287" s="420"/>
      <c r="CH1287" s="420"/>
    </row>
    <row r="1288" spans="75:86" s="428" customFormat="1" x14ac:dyDescent="0.2">
      <c r="BW1288" s="439"/>
      <c r="BX1288" s="439"/>
      <c r="BY1288" s="439"/>
      <c r="BZ1288" s="439"/>
      <c r="CA1288" s="439"/>
      <c r="CB1288" s="439"/>
      <c r="CC1288" s="439"/>
      <c r="CD1288" s="439"/>
      <c r="CE1288" s="440"/>
      <c r="CF1288" s="420"/>
      <c r="CG1288" s="420"/>
      <c r="CH1288" s="420"/>
    </row>
    <row r="1289" spans="75:86" s="428" customFormat="1" x14ac:dyDescent="0.2">
      <c r="BW1289" s="439"/>
      <c r="BX1289" s="439"/>
      <c r="BY1289" s="439"/>
      <c r="BZ1289" s="439"/>
      <c r="CA1289" s="439"/>
      <c r="CB1289" s="439"/>
      <c r="CC1289" s="439"/>
      <c r="CD1289" s="439"/>
      <c r="CE1289" s="440"/>
      <c r="CF1289" s="420"/>
      <c r="CG1289" s="420"/>
      <c r="CH1289" s="420"/>
    </row>
    <row r="1290" spans="75:86" s="428" customFormat="1" x14ac:dyDescent="0.2">
      <c r="BW1290" s="439"/>
      <c r="BX1290" s="439"/>
      <c r="BY1290" s="439"/>
      <c r="BZ1290" s="439"/>
      <c r="CA1290" s="439"/>
      <c r="CB1290" s="439"/>
      <c r="CC1290" s="439"/>
      <c r="CD1290" s="439"/>
      <c r="CE1290" s="440"/>
      <c r="CF1290" s="420"/>
      <c r="CG1290" s="420"/>
      <c r="CH1290" s="420"/>
    </row>
    <row r="1291" spans="75:86" s="428" customFormat="1" x14ac:dyDescent="0.2">
      <c r="BW1291" s="439"/>
      <c r="BX1291" s="439"/>
      <c r="BY1291" s="439"/>
      <c r="BZ1291" s="439"/>
      <c r="CA1291" s="439"/>
      <c r="CB1291" s="439"/>
      <c r="CC1291" s="439"/>
      <c r="CD1291" s="439"/>
      <c r="CE1291" s="440"/>
      <c r="CF1291" s="420"/>
      <c r="CG1291" s="420"/>
      <c r="CH1291" s="420"/>
    </row>
    <row r="1292" spans="75:86" s="428" customFormat="1" x14ac:dyDescent="0.2">
      <c r="BW1292" s="439"/>
      <c r="BX1292" s="439"/>
      <c r="BY1292" s="439"/>
      <c r="BZ1292" s="439"/>
      <c r="CA1292" s="439"/>
      <c r="CB1292" s="439"/>
      <c r="CC1292" s="439"/>
      <c r="CD1292" s="439"/>
      <c r="CE1292" s="440"/>
      <c r="CF1292" s="420"/>
      <c r="CG1292" s="420"/>
      <c r="CH1292" s="420"/>
    </row>
    <row r="1293" spans="75:86" s="428" customFormat="1" x14ac:dyDescent="0.2">
      <c r="BW1293" s="439"/>
      <c r="BX1293" s="439"/>
      <c r="BY1293" s="439"/>
      <c r="BZ1293" s="439"/>
      <c r="CA1293" s="439"/>
      <c r="CB1293" s="439"/>
      <c r="CC1293" s="439"/>
      <c r="CD1293" s="439"/>
      <c r="CE1293" s="440"/>
      <c r="CF1293" s="420"/>
      <c r="CG1293" s="420"/>
      <c r="CH1293" s="420"/>
    </row>
    <row r="1294" spans="75:86" s="428" customFormat="1" x14ac:dyDescent="0.2">
      <c r="BW1294" s="439"/>
      <c r="BX1294" s="439"/>
      <c r="BY1294" s="439"/>
      <c r="BZ1294" s="439"/>
      <c r="CA1294" s="439"/>
      <c r="CB1294" s="439"/>
      <c r="CC1294" s="439"/>
      <c r="CD1294" s="439"/>
      <c r="CE1294" s="440"/>
      <c r="CF1294" s="420"/>
      <c r="CG1294" s="420"/>
      <c r="CH1294" s="420"/>
    </row>
    <row r="1295" spans="75:86" s="428" customFormat="1" x14ac:dyDescent="0.2">
      <c r="BW1295" s="439"/>
      <c r="BX1295" s="439"/>
      <c r="BY1295" s="439"/>
      <c r="BZ1295" s="439"/>
      <c r="CA1295" s="439"/>
      <c r="CB1295" s="439"/>
      <c r="CC1295" s="439"/>
      <c r="CD1295" s="439"/>
      <c r="CE1295" s="440"/>
      <c r="CF1295" s="420"/>
      <c r="CG1295" s="420"/>
      <c r="CH1295" s="420"/>
    </row>
    <row r="1296" spans="75:86" s="428" customFormat="1" x14ac:dyDescent="0.2">
      <c r="BW1296" s="439"/>
      <c r="BX1296" s="439"/>
      <c r="BY1296" s="439"/>
      <c r="BZ1296" s="439"/>
      <c r="CA1296" s="439"/>
      <c r="CB1296" s="439"/>
      <c r="CC1296" s="439"/>
      <c r="CD1296" s="439"/>
      <c r="CE1296" s="440"/>
      <c r="CF1296" s="420"/>
      <c r="CG1296" s="420"/>
      <c r="CH1296" s="420"/>
    </row>
    <row r="1297" spans="75:86" s="428" customFormat="1" x14ac:dyDescent="0.2">
      <c r="BW1297" s="439"/>
      <c r="BX1297" s="439"/>
      <c r="BY1297" s="439"/>
      <c r="BZ1297" s="439"/>
      <c r="CA1297" s="439"/>
      <c r="CB1297" s="439"/>
      <c r="CC1297" s="439"/>
      <c r="CD1297" s="439"/>
      <c r="CE1297" s="440"/>
      <c r="CF1297" s="420"/>
      <c r="CG1297" s="420"/>
      <c r="CH1297" s="420"/>
    </row>
    <row r="1298" spans="75:86" s="428" customFormat="1" x14ac:dyDescent="0.2">
      <c r="BW1298" s="439"/>
      <c r="BX1298" s="439"/>
      <c r="BY1298" s="439"/>
      <c r="BZ1298" s="439"/>
      <c r="CA1298" s="439"/>
      <c r="CB1298" s="439"/>
      <c r="CC1298" s="439"/>
      <c r="CD1298" s="439"/>
      <c r="CE1298" s="440"/>
      <c r="CF1298" s="420"/>
      <c r="CG1298" s="420"/>
      <c r="CH1298" s="420"/>
    </row>
    <row r="1299" spans="75:86" s="428" customFormat="1" x14ac:dyDescent="0.2">
      <c r="BW1299" s="439"/>
      <c r="BX1299" s="439"/>
      <c r="BY1299" s="439"/>
      <c r="BZ1299" s="439"/>
      <c r="CA1299" s="439"/>
      <c r="CB1299" s="439"/>
      <c r="CC1299" s="439"/>
      <c r="CD1299" s="439"/>
      <c r="CE1299" s="440"/>
      <c r="CF1299" s="420"/>
      <c r="CG1299" s="420"/>
      <c r="CH1299" s="420"/>
    </row>
    <row r="1300" spans="75:86" s="428" customFormat="1" x14ac:dyDescent="0.2">
      <c r="BW1300" s="439"/>
      <c r="BX1300" s="439"/>
      <c r="BY1300" s="439"/>
      <c r="BZ1300" s="439"/>
      <c r="CA1300" s="439"/>
      <c r="CB1300" s="439"/>
      <c r="CC1300" s="439"/>
      <c r="CD1300" s="439"/>
      <c r="CE1300" s="440"/>
      <c r="CF1300" s="420"/>
      <c r="CG1300" s="420"/>
      <c r="CH1300" s="420"/>
    </row>
    <row r="1301" spans="75:86" s="428" customFormat="1" x14ac:dyDescent="0.2">
      <c r="BW1301" s="439"/>
      <c r="BX1301" s="439"/>
      <c r="BY1301" s="439"/>
      <c r="BZ1301" s="439"/>
      <c r="CA1301" s="439"/>
      <c r="CB1301" s="439"/>
      <c r="CC1301" s="439"/>
      <c r="CD1301" s="439"/>
      <c r="CE1301" s="440"/>
      <c r="CF1301" s="420"/>
      <c r="CG1301" s="420"/>
      <c r="CH1301" s="420"/>
    </row>
    <row r="1302" spans="75:86" s="428" customFormat="1" x14ac:dyDescent="0.2">
      <c r="BW1302" s="439"/>
      <c r="BX1302" s="439"/>
      <c r="BY1302" s="439"/>
      <c r="BZ1302" s="439"/>
      <c r="CA1302" s="439"/>
      <c r="CB1302" s="439"/>
      <c r="CC1302" s="439"/>
      <c r="CD1302" s="439"/>
      <c r="CE1302" s="440"/>
      <c r="CF1302" s="420"/>
      <c r="CG1302" s="420"/>
      <c r="CH1302" s="420"/>
    </row>
    <row r="1303" spans="75:86" s="428" customFormat="1" x14ac:dyDescent="0.2">
      <c r="BW1303" s="439"/>
      <c r="BX1303" s="439"/>
      <c r="BY1303" s="439"/>
      <c r="BZ1303" s="439"/>
      <c r="CA1303" s="439"/>
      <c r="CB1303" s="439"/>
      <c r="CC1303" s="439"/>
      <c r="CD1303" s="439"/>
      <c r="CE1303" s="440"/>
      <c r="CF1303" s="420"/>
      <c r="CG1303" s="420"/>
      <c r="CH1303" s="420"/>
    </row>
    <row r="1304" spans="75:86" s="428" customFormat="1" x14ac:dyDescent="0.2">
      <c r="BW1304" s="439"/>
      <c r="BX1304" s="439"/>
      <c r="BY1304" s="439"/>
      <c r="BZ1304" s="439"/>
      <c r="CA1304" s="439"/>
      <c r="CB1304" s="439"/>
      <c r="CC1304" s="439"/>
      <c r="CD1304" s="439"/>
      <c r="CE1304" s="440"/>
      <c r="CF1304" s="420"/>
      <c r="CG1304" s="420"/>
      <c r="CH1304" s="420"/>
    </row>
    <row r="1305" spans="75:86" s="428" customFormat="1" x14ac:dyDescent="0.2">
      <c r="BW1305" s="439"/>
      <c r="BX1305" s="439"/>
      <c r="BY1305" s="439"/>
      <c r="BZ1305" s="439"/>
      <c r="CA1305" s="439"/>
      <c r="CB1305" s="439"/>
      <c r="CC1305" s="439"/>
      <c r="CD1305" s="439"/>
      <c r="CE1305" s="440"/>
      <c r="CF1305" s="420"/>
      <c r="CG1305" s="420"/>
      <c r="CH1305" s="420"/>
    </row>
    <row r="1306" spans="75:86" s="428" customFormat="1" x14ac:dyDescent="0.2">
      <c r="BW1306" s="439"/>
      <c r="BX1306" s="439"/>
      <c r="BY1306" s="439"/>
      <c r="BZ1306" s="439"/>
      <c r="CA1306" s="439"/>
      <c r="CB1306" s="439"/>
      <c r="CC1306" s="439"/>
      <c r="CD1306" s="439"/>
      <c r="CE1306" s="440"/>
      <c r="CF1306" s="420"/>
      <c r="CG1306" s="420"/>
      <c r="CH1306" s="420"/>
    </row>
    <row r="1307" spans="75:86" s="428" customFormat="1" x14ac:dyDescent="0.2">
      <c r="BW1307" s="439"/>
      <c r="BX1307" s="439"/>
      <c r="BY1307" s="439"/>
      <c r="BZ1307" s="439"/>
      <c r="CA1307" s="439"/>
      <c r="CB1307" s="439"/>
      <c r="CC1307" s="439"/>
      <c r="CD1307" s="439"/>
      <c r="CE1307" s="440"/>
      <c r="CF1307" s="420"/>
      <c r="CG1307" s="420"/>
      <c r="CH1307" s="420"/>
    </row>
    <row r="1308" spans="75:86" s="428" customFormat="1" x14ac:dyDescent="0.2">
      <c r="BW1308" s="439"/>
      <c r="BX1308" s="439"/>
      <c r="BY1308" s="439"/>
      <c r="BZ1308" s="439"/>
      <c r="CA1308" s="439"/>
      <c r="CB1308" s="439"/>
      <c r="CC1308" s="439"/>
      <c r="CD1308" s="439"/>
      <c r="CE1308" s="440"/>
      <c r="CF1308" s="420"/>
      <c r="CG1308" s="420"/>
      <c r="CH1308" s="420"/>
    </row>
    <row r="1309" spans="75:86" s="428" customFormat="1" x14ac:dyDescent="0.2">
      <c r="BW1309" s="439"/>
      <c r="BX1309" s="439"/>
      <c r="BY1309" s="439"/>
      <c r="BZ1309" s="439"/>
      <c r="CA1309" s="439"/>
      <c r="CB1309" s="439"/>
      <c r="CC1309" s="439"/>
      <c r="CD1309" s="439"/>
      <c r="CE1309" s="440"/>
      <c r="CF1309" s="420"/>
      <c r="CG1309" s="420"/>
      <c r="CH1309" s="420"/>
    </row>
    <row r="1310" spans="75:86" s="428" customFormat="1" x14ac:dyDescent="0.2">
      <c r="BW1310" s="439"/>
      <c r="BX1310" s="439"/>
      <c r="BY1310" s="439"/>
      <c r="BZ1310" s="439"/>
      <c r="CA1310" s="439"/>
      <c r="CB1310" s="439"/>
      <c r="CC1310" s="439"/>
      <c r="CD1310" s="439"/>
      <c r="CE1310" s="440"/>
      <c r="CF1310" s="420"/>
      <c r="CG1310" s="420"/>
      <c r="CH1310" s="420"/>
    </row>
    <row r="1311" spans="75:86" s="428" customFormat="1" x14ac:dyDescent="0.2">
      <c r="BW1311" s="439"/>
      <c r="BX1311" s="439"/>
      <c r="BY1311" s="439"/>
      <c r="BZ1311" s="439"/>
      <c r="CA1311" s="439"/>
      <c r="CB1311" s="439"/>
      <c r="CC1311" s="439"/>
      <c r="CD1311" s="439"/>
      <c r="CE1311" s="440"/>
      <c r="CF1311" s="420"/>
      <c r="CG1311" s="420"/>
      <c r="CH1311" s="420"/>
    </row>
    <row r="1312" spans="75:86" s="428" customFormat="1" x14ac:dyDescent="0.2">
      <c r="BW1312" s="439"/>
      <c r="BX1312" s="439"/>
      <c r="BY1312" s="439"/>
      <c r="BZ1312" s="439"/>
      <c r="CA1312" s="439"/>
      <c r="CB1312" s="439"/>
      <c r="CC1312" s="439"/>
      <c r="CD1312" s="439"/>
      <c r="CE1312" s="440"/>
      <c r="CF1312" s="420"/>
      <c r="CG1312" s="420"/>
      <c r="CH1312" s="420"/>
    </row>
    <row r="1313" spans="75:86" s="428" customFormat="1" x14ac:dyDescent="0.2">
      <c r="BW1313" s="439"/>
      <c r="BX1313" s="439"/>
      <c r="BY1313" s="439"/>
      <c r="BZ1313" s="439"/>
      <c r="CA1313" s="439"/>
      <c r="CB1313" s="439"/>
      <c r="CC1313" s="439"/>
      <c r="CD1313" s="439"/>
      <c r="CE1313" s="440"/>
      <c r="CF1313" s="420"/>
      <c r="CG1313" s="420"/>
      <c r="CH1313" s="420"/>
    </row>
    <row r="1314" spans="75:86" s="428" customFormat="1" x14ac:dyDescent="0.2">
      <c r="BW1314" s="439"/>
      <c r="BX1314" s="439"/>
      <c r="BY1314" s="439"/>
      <c r="BZ1314" s="439"/>
      <c r="CA1314" s="439"/>
      <c r="CB1314" s="439"/>
      <c r="CC1314" s="439"/>
      <c r="CD1314" s="439"/>
      <c r="CE1314" s="440"/>
      <c r="CF1314" s="420"/>
      <c r="CG1314" s="420"/>
      <c r="CH1314" s="420"/>
    </row>
    <row r="1315" spans="75:86" s="428" customFormat="1" x14ac:dyDescent="0.2">
      <c r="BW1315" s="439"/>
      <c r="BX1315" s="439"/>
      <c r="BY1315" s="439"/>
      <c r="BZ1315" s="439"/>
      <c r="CA1315" s="439"/>
      <c r="CB1315" s="439"/>
      <c r="CC1315" s="439"/>
      <c r="CD1315" s="439"/>
      <c r="CE1315" s="440"/>
      <c r="CF1315" s="420"/>
      <c r="CG1315" s="420"/>
      <c r="CH1315" s="420"/>
    </row>
    <row r="1316" spans="75:86" s="428" customFormat="1" x14ac:dyDescent="0.2">
      <c r="BW1316" s="439"/>
      <c r="BX1316" s="439"/>
      <c r="BY1316" s="439"/>
      <c r="BZ1316" s="439"/>
      <c r="CA1316" s="439"/>
      <c r="CB1316" s="439"/>
      <c r="CC1316" s="439"/>
      <c r="CD1316" s="439"/>
      <c r="CE1316" s="440"/>
      <c r="CF1316" s="420"/>
      <c r="CG1316" s="420"/>
      <c r="CH1316" s="420"/>
    </row>
    <row r="1317" spans="75:86" s="428" customFormat="1" x14ac:dyDescent="0.2">
      <c r="BW1317" s="439"/>
      <c r="BX1317" s="439"/>
      <c r="BY1317" s="439"/>
      <c r="BZ1317" s="439"/>
      <c r="CA1317" s="439"/>
      <c r="CB1317" s="439"/>
      <c r="CC1317" s="439"/>
      <c r="CD1317" s="439"/>
      <c r="CE1317" s="440"/>
      <c r="CF1317" s="420"/>
      <c r="CG1317" s="420"/>
      <c r="CH1317" s="420"/>
    </row>
    <row r="1318" spans="75:86" s="428" customFormat="1" x14ac:dyDescent="0.2">
      <c r="BW1318" s="439"/>
      <c r="BX1318" s="439"/>
      <c r="BY1318" s="439"/>
      <c r="BZ1318" s="439"/>
      <c r="CA1318" s="439"/>
      <c r="CB1318" s="439"/>
      <c r="CC1318" s="439"/>
      <c r="CD1318" s="439"/>
      <c r="CE1318" s="440"/>
      <c r="CF1318" s="420"/>
      <c r="CG1318" s="420"/>
      <c r="CH1318" s="420"/>
    </row>
    <row r="1319" spans="75:86" s="428" customFormat="1" x14ac:dyDescent="0.2">
      <c r="BW1319" s="439"/>
      <c r="BX1319" s="439"/>
      <c r="BY1319" s="439"/>
      <c r="BZ1319" s="439"/>
      <c r="CA1319" s="439"/>
      <c r="CB1319" s="439"/>
      <c r="CC1319" s="439"/>
      <c r="CD1319" s="439"/>
      <c r="CE1319" s="440"/>
      <c r="CF1319" s="420"/>
      <c r="CG1319" s="420"/>
      <c r="CH1319" s="420"/>
    </row>
    <row r="1320" spans="75:86" s="428" customFormat="1" x14ac:dyDescent="0.2">
      <c r="BW1320" s="439"/>
      <c r="BX1320" s="439"/>
      <c r="BY1320" s="439"/>
      <c r="BZ1320" s="439"/>
      <c r="CA1320" s="439"/>
      <c r="CB1320" s="439"/>
      <c r="CC1320" s="439"/>
      <c r="CD1320" s="439"/>
      <c r="CE1320" s="440"/>
      <c r="CF1320" s="420"/>
      <c r="CG1320" s="420"/>
      <c r="CH1320" s="420"/>
    </row>
    <row r="1321" spans="75:86" s="428" customFormat="1" x14ac:dyDescent="0.2">
      <c r="BW1321" s="439"/>
      <c r="BX1321" s="439"/>
      <c r="BY1321" s="439"/>
      <c r="BZ1321" s="439"/>
      <c r="CA1321" s="439"/>
      <c r="CB1321" s="439"/>
      <c r="CC1321" s="439"/>
      <c r="CD1321" s="439"/>
      <c r="CE1321" s="440"/>
      <c r="CF1321" s="420"/>
      <c r="CG1321" s="420"/>
      <c r="CH1321" s="420"/>
    </row>
    <row r="1322" spans="75:86" s="428" customFormat="1" x14ac:dyDescent="0.2">
      <c r="BW1322" s="439"/>
      <c r="BX1322" s="439"/>
      <c r="BY1322" s="439"/>
      <c r="BZ1322" s="439"/>
      <c r="CA1322" s="439"/>
      <c r="CB1322" s="439"/>
      <c r="CC1322" s="439"/>
      <c r="CD1322" s="439"/>
      <c r="CE1322" s="440"/>
      <c r="CF1322" s="420"/>
      <c r="CG1322" s="420"/>
      <c r="CH1322" s="420"/>
    </row>
    <row r="1323" spans="75:86" s="428" customFormat="1" x14ac:dyDescent="0.2">
      <c r="BW1323" s="439"/>
      <c r="BX1323" s="439"/>
      <c r="BY1323" s="439"/>
      <c r="BZ1323" s="439"/>
      <c r="CA1323" s="439"/>
      <c r="CB1323" s="439"/>
      <c r="CC1323" s="439"/>
      <c r="CD1323" s="439"/>
      <c r="CE1323" s="440"/>
      <c r="CF1323" s="420"/>
      <c r="CG1323" s="420"/>
      <c r="CH1323" s="420"/>
    </row>
    <row r="1324" spans="75:86" s="428" customFormat="1" x14ac:dyDescent="0.2">
      <c r="BW1324" s="439"/>
      <c r="BX1324" s="439"/>
      <c r="BY1324" s="439"/>
      <c r="BZ1324" s="439"/>
      <c r="CA1324" s="439"/>
      <c r="CB1324" s="439"/>
      <c r="CC1324" s="439"/>
      <c r="CD1324" s="439"/>
      <c r="CE1324" s="440"/>
      <c r="CF1324" s="420"/>
      <c r="CG1324" s="420"/>
      <c r="CH1324" s="420"/>
    </row>
    <row r="1325" spans="75:86" s="428" customFormat="1" x14ac:dyDescent="0.2">
      <c r="BW1325" s="439"/>
      <c r="BX1325" s="439"/>
      <c r="BY1325" s="439"/>
      <c r="BZ1325" s="439"/>
      <c r="CA1325" s="439"/>
      <c r="CB1325" s="439"/>
      <c r="CC1325" s="439"/>
      <c r="CD1325" s="439"/>
      <c r="CE1325" s="440"/>
      <c r="CF1325" s="420"/>
      <c r="CG1325" s="420"/>
      <c r="CH1325" s="420"/>
    </row>
    <row r="1326" spans="75:86" s="428" customFormat="1" x14ac:dyDescent="0.2">
      <c r="BW1326" s="439"/>
      <c r="BX1326" s="439"/>
      <c r="BY1326" s="439"/>
      <c r="BZ1326" s="439"/>
      <c r="CA1326" s="439"/>
      <c r="CB1326" s="439"/>
      <c r="CC1326" s="439"/>
      <c r="CD1326" s="439"/>
      <c r="CE1326" s="440"/>
      <c r="CF1326" s="420"/>
      <c r="CG1326" s="420"/>
      <c r="CH1326" s="420"/>
    </row>
    <row r="1327" spans="75:86" s="428" customFormat="1" x14ac:dyDescent="0.2">
      <c r="BW1327" s="439"/>
      <c r="BX1327" s="439"/>
      <c r="BY1327" s="439"/>
      <c r="BZ1327" s="439"/>
      <c r="CA1327" s="439"/>
      <c r="CB1327" s="439"/>
      <c r="CC1327" s="439"/>
      <c r="CD1327" s="439"/>
      <c r="CE1327" s="440"/>
      <c r="CF1327" s="420"/>
      <c r="CG1327" s="420"/>
      <c r="CH1327" s="420"/>
    </row>
    <row r="1328" spans="75:86" s="428" customFormat="1" x14ac:dyDescent="0.2">
      <c r="BW1328" s="439"/>
      <c r="BX1328" s="439"/>
      <c r="BY1328" s="439"/>
      <c r="BZ1328" s="439"/>
      <c r="CA1328" s="439"/>
      <c r="CB1328" s="439"/>
      <c r="CC1328" s="439"/>
      <c r="CD1328" s="439"/>
      <c r="CE1328" s="440"/>
      <c r="CF1328" s="420"/>
      <c r="CG1328" s="420"/>
      <c r="CH1328" s="420"/>
    </row>
    <row r="1329" spans="75:86" s="428" customFormat="1" x14ac:dyDescent="0.2">
      <c r="BW1329" s="439"/>
      <c r="BX1329" s="439"/>
      <c r="BY1329" s="439"/>
      <c r="BZ1329" s="439"/>
      <c r="CA1329" s="439"/>
      <c r="CB1329" s="439"/>
      <c r="CC1329" s="439"/>
      <c r="CD1329" s="439"/>
      <c r="CE1329" s="440"/>
      <c r="CF1329" s="420"/>
      <c r="CG1329" s="420"/>
      <c r="CH1329" s="420"/>
    </row>
    <row r="1330" spans="75:86" s="428" customFormat="1" x14ac:dyDescent="0.2">
      <c r="BW1330" s="439"/>
      <c r="BX1330" s="439"/>
      <c r="BY1330" s="439"/>
      <c r="BZ1330" s="439"/>
      <c r="CA1330" s="439"/>
      <c r="CB1330" s="439"/>
      <c r="CC1330" s="439"/>
      <c r="CD1330" s="439"/>
      <c r="CE1330" s="440"/>
      <c r="CF1330" s="420"/>
      <c r="CG1330" s="420"/>
      <c r="CH1330" s="420"/>
    </row>
    <row r="1331" spans="75:86" s="428" customFormat="1" x14ac:dyDescent="0.2">
      <c r="BW1331" s="439"/>
      <c r="BX1331" s="439"/>
      <c r="BY1331" s="439"/>
      <c r="BZ1331" s="439"/>
      <c r="CA1331" s="439"/>
      <c r="CB1331" s="439"/>
      <c r="CC1331" s="439"/>
      <c r="CD1331" s="439"/>
      <c r="CE1331" s="440"/>
      <c r="CF1331" s="420"/>
      <c r="CG1331" s="420"/>
      <c r="CH1331" s="420"/>
    </row>
    <row r="1332" spans="75:86" s="428" customFormat="1" x14ac:dyDescent="0.2">
      <c r="BW1332" s="439"/>
      <c r="BX1332" s="439"/>
      <c r="BY1332" s="439"/>
      <c r="BZ1332" s="439"/>
      <c r="CA1332" s="439"/>
      <c r="CB1332" s="439"/>
      <c r="CC1332" s="439"/>
      <c r="CD1332" s="439"/>
      <c r="CE1332" s="440"/>
      <c r="CF1332" s="420"/>
      <c r="CG1332" s="420"/>
      <c r="CH1332" s="420"/>
    </row>
    <row r="1333" spans="75:86" s="428" customFormat="1" x14ac:dyDescent="0.2">
      <c r="BW1333" s="439"/>
      <c r="BX1333" s="439"/>
      <c r="BY1333" s="439"/>
      <c r="BZ1333" s="439"/>
      <c r="CA1333" s="439"/>
      <c r="CB1333" s="439"/>
      <c r="CC1333" s="439"/>
      <c r="CD1333" s="439"/>
      <c r="CE1333" s="440"/>
      <c r="CF1333" s="420"/>
      <c r="CG1333" s="420"/>
      <c r="CH1333" s="420"/>
    </row>
    <row r="1334" spans="75:86" s="428" customFormat="1" x14ac:dyDescent="0.2">
      <c r="BW1334" s="439"/>
      <c r="BX1334" s="439"/>
      <c r="BY1334" s="439"/>
      <c r="BZ1334" s="439"/>
      <c r="CA1334" s="439"/>
      <c r="CB1334" s="439"/>
      <c r="CC1334" s="439"/>
      <c r="CD1334" s="439"/>
      <c r="CE1334" s="440"/>
      <c r="CF1334" s="420"/>
      <c r="CG1334" s="420"/>
      <c r="CH1334" s="420"/>
    </row>
    <row r="1335" spans="75:86" s="428" customFormat="1" x14ac:dyDescent="0.2">
      <c r="BW1335" s="439"/>
      <c r="BX1335" s="439"/>
      <c r="BY1335" s="439"/>
      <c r="BZ1335" s="439"/>
      <c r="CA1335" s="439"/>
      <c r="CB1335" s="439"/>
      <c r="CC1335" s="439"/>
      <c r="CD1335" s="439"/>
      <c r="CE1335" s="440"/>
      <c r="CF1335" s="420"/>
      <c r="CG1335" s="420"/>
      <c r="CH1335" s="420"/>
    </row>
    <row r="1336" spans="75:86" s="428" customFormat="1" x14ac:dyDescent="0.2">
      <c r="BW1336" s="439"/>
      <c r="BX1336" s="439"/>
      <c r="BY1336" s="439"/>
      <c r="BZ1336" s="439"/>
      <c r="CA1336" s="439"/>
      <c r="CB1336" s="439"/>
      <c r="CC1336" s="439"/>
      <c r="CD1336" s="439"/>
      <c r="CE1336" s="440"/>
      <c r="CF1336" s="420"/>
      <c r="CG1336" s="420"/>
      <c r="CH1336" s="420"/>
    </row>
    <row r="1337" spans="75:86" s="428" customFormat="1" x14ac:dyDescent="0.2">
      <c r="BW1337" s="439"/>
      <c r="BX1337" s="439"/>
      <c r="BY1337" s="439"/>
      <c r="BZ1337" s="439"/>
      <c r="CA1337" s="439"/>
      <c r="CB1337" s="439"/>
      <c r="CC1337" s="439"/>
      <c r="CD1337" s="439"/>
      <c r="CE1337" s="440"/>
      <c r="CF1337" s="420"/>
      <c r="CG1337" s="420"/>
      <c r="CH1337" s="420"/>
    </row>
    <row r="1338" spans="75:86" s="428" customFormat="1" x14ac:dyDescent="0.2">
      <c r="BW1338" s="439"/>
      <c r="BX1338" s="439"/>
      <c r="BY1338" s="439"/>
      <c r="BZ1338" s="439"/>
      <c r="CA1338" s="439"/>
      <c r="CB1338" s="439"/>
      <c r="CC1338" s="439"/>
      <c r="CD1338" s="439"/>
      <c r="CE1338" s="440"/>
      <c r="CF1338" s="420"/>
      <c r="CG1338" s="420"/>
      <c r="CH1338" s="420"/>
    </row>
    <row r="1339" spans="75:86" s="428" customFormat="1" x14ac:dyDescent="0.2">
      <c r="BW1339" s="439"/>
      <c r="BX1339" s="439"/>
      <c r="BY1339" s="439"/>
      <c r="BZ1339" s="439"/>
      <c r="CA1339" s="439"/>
      <c r="CB1339" s="439"/>
      <c r="CC1339" s="439"/>
      <c r="CD1339" s="439"/>
      <c r="CE1339" s="440"/>
      <c r="CF1339" s="420"/>
      <c r="CG1339" s="420"/>
      <c r="CH1339" s="420"/>
    </row>
    <row r="1340" spans="75:86" s="428" customFormat="1" x14ac:dyDescent="0.2">
      <c r="BW1340" s="439"/>
      <c r="BX1340" s="439"/>
      <c r="BY1340" s="439"/>
      <c r="BZ1340" s="439"/>
      <c r="CA1340" s="439"/>
      <c r="CB1340" s="439"/>
      <c r="CC1340" s="439"/>
      <c r="CD1340" s="439"/>
      <c r="CE1340" s="440"/>
      <c r="CF1340" s="420"/>
      <c r="CG1340" s="420"/>
      <c r="CH1340" s="420"/>
    </row>
    <row r="1341" spans="75:86" s="428" customFormat="1" x14ac:dyDescent="0.2">
      <c r="BW1341" s="439"/>
      <c r="BX1341" s="439"/>
      <c r="BY1341" s="439"/>
      <c r="BZ1341" s="439"/>
      <c r="CA1341" s="439"/>
      <c r="CB1341" s="439"/>
      <c r="CC1341" s="439"/>
      <c r="CD1341" s="439"/>
      <c r="CE1341" s="440"/>
      <c r="CF1341" s="420"/>
      <c r="CG1341" s="420"/>
      <c r="CH1341" s="420"/>
    </row>
    <row r="1342" spans="75:86" s="428" customFormat="1" x14ac:dyDescent="0.2">
      <c r="BW1342" s="439"/>
      <c r="BX1342" s="439"/>
      <c r="BY1342" s="439"/>
      <c r="BZ1342" s="439"/>
      <c r="CA1342" s="439"/>
      <c r="CB1342" s="439"/>
      <c r="CC1342" s="439"/>
      <c r="CD1342" s="439"/>
      <c r="CE1342" s="440"/>
      <c r="CF1342" s="420"/>
      <c r="CG1342" s="420"/>
      <c r="CH1342" s="420"/>
    </row>
    <row r="1343" spans="75:86" s="428" customFormat="1" x14ac:dyDescent="0.2">
      <c r="BW1343" s="439"/>
      <c r="BX1343" s="439"/>
      <c r="BY1343" s="439"/>
      <c r="BZ1343" s="439"/>
      <c r="CA1343" s="439"/>
      <c r="CB1343" s="439"/>
      <c r="CC1343" s="439"/>
      <c r="CD1343" s="439"/>
      <c r="CE1343" s="440"/>
      <c r="CF1343" s="420"/>
      <c r="CG1343" s="420"/>
      <c r="CH1343" s="420"/>
    </row>
    <row r="1344" spans="75:86" s="428" customFormat="1" x14ac:dyDescent="0.2">
      <c r="BW1344" s="439"/>
      <c r="BX1344" s="439"/>
      <c r="BY1344" s="439"/>
      <c r="BZ1344" s="439"/>
      <c r="CA1344" s="439"/>
      <c r="CB1344" s="439"/>
      <c r="CC1344" s="439"/>
      <c r="CD1344" s="439"/>
      <c r="CE1344" s="440"/>
      <c r="CF1344" s="420"/>
      <c r="CG1344" s="420"/>
      <c r="CH1344" s="420"/>
    </row>
    <row r="1345" spans="75:86" s="428" customFormat="1" x14ac:dyDescent="0.2">
      <c r="BW1345" s="439"/>
      <c r="BX1345" s="439"/>
      <c r="BY1345" s="439"/>
      <c r="BZ1345" s="439"/>
      <c r="CA1345" s="439"/>
      <c r="CB1345" s="439"/>
      <c r="CC1345" s="439"/>
      <c r="CD1345" s="439"/>
      <c r="CE1345" s="440"/>
      <c r="CF1345" s="420"/>
      <c r="CG1345" s="420"/>
      <c r="CH1345" s="420"/>
    </row>
    <row r="1346" spans="75:86" s="428" customFormat="1" x14ac:dyDescent="0.2">
      <c r="BW1346" s="439"/>
      <c r="BX1346" s="439"/>
      <c r="BY1346" s="439"/>
      <c r="BZ1346" s="439"/>
      <c r="CA1346" s="439"/>
      <c r="CB1346" s="439"/>
      <c r="CC1346" s="439"/>
      <c r="CD1346" s="439"/>
      <c r="CE1346" s="440"/>
      <c r="CF1346" s="420"/>
      <c r="CG1346" s="420"/>
      <c r="CH1346" s="420"/>
    </row>
    <row r="1347" spans="75:86" s="428" customFormat="1" x14ac:dyDescent="0.2">
      <c r="BW1347" s="439"/>
      <c r="BX1347" s="439"/>
      <c r="BY1347" s="439"/>
      <c r="BZ1347" s="439"/>
      <c r="CA1347" s="439"/>
      <c r="CB1347" s="439"/>
      <c r="CC1347" s="439"/>
      <c r="CD1347" s="439"/>
      <c r="CE1347" s="440"/>
      <c r="CF1347" s="420"/>
      <c r="CG1347" s="420"/>
      <c r="CH1347" s="420"/>
    </row>
    <row r="1348" spans="75:86" s="428" customFormat="1" x14ac:dyDescent="0.2">
      <c r="BW1348" s="439"/>
      <c r="BX1348" s="439"/>
      <c r="BY1348" s="439"/>
      <c r="BZ1348" s="439"/>
      <c r="CA1348" s="439"/>
      <c r="CB1348" s="439"/>
      <c r="CC1348" s="439"/>
      <c r="CD1348" s="439"/>
      <c r="CE1348" s="440"/>
      <c r="CF1348" s="420"/>
      <c r="CG1348" s="420"/>
      <c r="CH1348" s="420"/>
    </row>
    <row r="1349" spans="75:86" s="428" customFormat="1" x14ac:dyDescent="0.2">
      <c r="BW1349" s="439"/>
      <c r="BX1349" s="439"/>
      <c r="BY1349" s="439"/>
      <c r="BZ1349" s="439"/>
      <c r="CA1349" s="439"/>
      <c r="CB1349" s="439"/>
      <c r="CC1349" s="439"/>
      <c r="CD1349" s="439"/>
      <c r="CE1349" s="440"/>
      <c r="CF1349" s="420"/>
      <c r="CG1349" s="420"/>
      <c r="CH1349" s="420"/>
    </row>
    <row r="1350" spans="75:86" s="428" customFormat="1" x14ac:dyDescent="0.2">
      <c r="BW1350" s="439"/>
      <c r="BX1350" s="439"/>
      <c r="BY1350" s="439"/>
      <c r="BZ1350" s="439"/>
      <c r="CA1350" s="439"/>
      <c r="CB1350" s="439"/>
      <c r="CC1350" s="439"/>
      <c r="CD1350" s="439"/>
      <c r="CE1350" s="440"/>
      <c r="CF1350" s="420"/>
      <c r="CG1350" s="420"/>
      <c r="CH1350" s="420"/>
    </row>
    <row r="1351" spans="75:86" s="428" customFormat="1" x14ac:dyDescent="0.2">
      <c r="BW1351" s="439"/>
      <c r="BX1351" s="439"/>
      <c r="BY1351" s="439"/>
      <c r="BZ1351" s="439"/>
      <c r="CA1351" s="439"/>
      <c r="CB1351" s="439"/>
      <c r="CC1351" s="439"/>
      <c r="CD1351" s="439"/>
      <c r="CE1351" s="440"/>
      <c r="CF1351" s="420"/>
      <c r="CG1351" s="420"/>
      <c r="CH1351" s="420"/>
    </row>
    <row r="1352" spans="75:86" s="428" customFormat="1" x14ac:dyDescent="0.2">
      <c r="BW1352" s="439"/>
      <c r="BX1352" s="439"/>
      <c r="BY1352" s="439"/>
      <c r="BZ1352" s="439"/>
      <c r="CA1352" s="439"/>
      <c r="CB1352" s="439"/>
      <c r="CC1352" s="439"/>
      <c r="CD1352" s="439"/>
      <c r="CE1352" s="440"/>
      <c r="CF1352" s="420"/>
      <c r="CG1352" s="420"/>
      <c r="CH1352" s="420"/>
    </row>
    <row r="1353" spans="75:86" s="428" customFormat="1" x14ac:dyDescent="0.2">
      <c r="BW1353" s="439"/>
      <c r="BX1353" s="439"/>
      <c r="BY1353" s="439"/>
      <c r="BZ1353" s="439"/>
      <c r="CA1353" s="439"/>
      <c r="CB1353" s="439"/>
      <c r="CC1353" s="439"/>
      <c r="CD1353" s="439"/>
      <c r="CE1353" s="440"/>
      <c r="CF1353" s="420"/>
      <c r="CG1353" s="420"/>
      <c r="CH1353" s="420"/>
    </row>
    <row r="1354" spans="75:86" s="428" customFormat="1" x14ac:dyDescent="0.2">
      <c r="BW1354" s="439"/>
      <c r="BX1354" s="439"/>
      <c r="BY1354" s="439"/>
      <c r="BZ1354" s="439"/>
      <c r="CA1354" s="439"/>
      <c r="CB1354" s="439"/>
      <c r="CC1354" s="439"/>
      <c r="CD1354" s="439"/>
      <c r="CE1354" s="440"/>
      <c r="CF1354" s="420"/>
      <c r="CG1354" s="420"/>
      <c r="CH1354" s="420"/>
    </row>
    <row r="1355" spans="75:86" s="428" customFormat="1" x14ac:dyDescent="0.2">
      <c r="BW1355" s="439"/>
      <c r="BX1355" s="439"/>
      <c r="BY1355" s="439"/>
      <c r="BZ1355" s="439"/>
      <c r="CA1355" s="439"/>
      <c r="CB1355" s="439"/>
      <c r="CC1355" s="439"/>
      <c r="CD1355" s="439"/>
      <c r="CE1355" s="440"/>
      <c r="CF1355" s="420"/>
      <c r="CG1355" s="420"/>
      <c r="CH1355" s="420"/>
    </row>
    <row r="1356" spans="75:86" s="428" customFormat="1" x14ac:dyDescent="0.2">
      <c r="BW1356" s="439"/>
      <c r="BX1356" s="439"/>
      <c r="BY1356" s="439"/>
      <c r="BZ1356" s="439"/>
      <c r="CA1356" s="439"/>
      <c r="CB1356" s="439"/>
      <c r="CC1356" s="439"/>
      <c r="CD1356" s="439"/>
      <c r="CE1356" s="440"/>
      <c r="CF1356" s="420"/>
      <c r="CG1356" s="420"/>
      <c r="CH1356" s="420"/>
    </row>
    <row r="1357" spans="75:86" s="428" customFormat="1" x14ac:dyDescent="0.2">
      <c r="BW1357" s="439"/>
      <c r="BX1357" s="439"/>
      <c r="BY1357" s="439"/>
      <c r="BZ1357" s="439"/>
      <c r="CA1357" s="439"/>
      <c r="CB1357" s="439"/>
      <c r="CC1357" s="439"/>
      <c r="CD1357" s="439"/>
      <c r="CE1357" s="440"/>
      <c r="CF1357" s="420"/>
      <c r="CG1357" s="420"/>
      <c r="CH1357" s="420"/>
    </row>
    <row r="1358" spans="75:86" s="428" customFormat="1" x14ac:dyDescent="0.2">
      <c r="BW1358" s="439"/>
      <c r="BX1358" s="439"/>
      <c r="BY1358" s="439"/>
      <c r="BZ1358" s="439"/>
      <c r="CA1358" s="439"/>
      <c r="CB1358" s="439"/>
      <c r="CC1358" s="439"/>
      <c r="CD1358" s="439"/>
      <c r="CE1358" s="440"/>
      <c r="CF1358" s="420"/>
      <c r="CG1358" s="420"/>
      <c r="CH1358" s="420"/>
    </row>
    <row r="1359" spans="75:86" s="428" customFormat="1" x14ac:dyDescent="0.2">
      <c r="BW1359" s="439"/>
      <c r="BX1359" s="439"/>
      <c r="BY1359" s="439"/>
      <c r="BZ1359" s="439"/>
      <c r="CA1359" s="439"/>
      <c r="CB1359" s="439"/>
      <c r="CC1359" s="439"/>
      <c r="CD1359" s="439"/>
      <c r="CE1359" s="440"/>
      <c r="CF1359" s="420"/>
      <c r="CG1359" s="420"/>
      <c r="CH1359" s="420"/>
    </row>
    <row r="1360" spans="75:86" s="428" customFormat="1" x14ac:dyDescent="0.2">
      <c r="BW1360" s="439"/>
      <c r="BX1360" s="439"/>
      <c r="BY1360" s="439"/>
      <c r="BZ1360" s="439"/>
      <c r="CA1360" s="439"/>
      <c r="CB1360" s="439"/>
      <c r="CC1360" s="439"/>
      <c r="CD1360" s="439"/>
      <c r="CE1360" s="440"/>
      <c r="CF1360" s="420"/>
      <c r="CG1360" s="420"/>
      <c r="CH1360" s="420"/>
    </row>
    <row r="1361" spans="75:86" s="428" customFormat="1" x14ac:dyDescent="0.2">
      <c r="BW1361" s="439"/>
      <c r="BX1361" s="439"/>
      <c r="BY1361" s="439"/>
      <c r="BZ1361" s="439"/>
      <c r="CA1361" s="439"/>
      <c r="CB1361" s="439"/>
      <c r="CC1361" s="439"/>
      <c r="CD1361" s="439"/>
      <c r="CE1361" s="440"/>
      <c r="CF1361" s="420"/>
      <c r="CG1361" s="420"/>
      <c r="CH1361" s="420"/>
    </row>
    <row r="1362" spans="75:86" s="428" customFormat="1" x14ac:dyDescent="0.2">
      <c r="BW1362" s="439"/>
      <c r="BX1362" s="439"/>
      <c r="BY1362" s="439"/>
      <c r="BZ1362" s="439"/>
      <c r="CA1362" s="439"/>
      <c r="CB1362" s="439"/>
      <c r="CC1362" s="439"/>
      <c r="CD1362" s="439"/>
      <c r="CE1362" s="440"/>
      <c r="CF1362" s="420"/>
      <c r="CG1362" s="420"/>
      <c r="CH1362" s="420"/>
    </row>
    <row r="1363" spans="75:86" s="428" customFormat="1" x14ac:dyDescent="0.2">
      <c r="BW1363" s="439"/>
      <c r="BX1363" s="439"/>
      <c r="BY1363" s="439"/>
      <c r="BZ1363" s="439"/>
      <c r="CA1363" s="439"/>
      <c r="CB1363" s="439"/>
      <c r="CC1363" s="439"/>
      <c r="CD1363" s="439"/>
      <c r="CE1363" s="440"/>
      <c r="CF1363" s="420"/>
      <c r="CG1363" s="420"/>
      <c r="CH1363" s="420"/>
    </row>
    <row r="1364" spans="75:86" s="428" customFormat="1" x14ac:dyDescent="0.2">
      <c r="BW1364" s="439"/>
      <c r="BX1364" s="439"/>
      <c r="BY1364" s="439"/>
      <c r="BZ1364" s="439"/>
      <c r="CA1364" s="439"/>
      <c r="CB1364" s="439"/>
      <c r="CC1364" s="439"/>
      <c r="CD1364" s="439"/>
      <c r="CE1364" s="440"/>
      <c r="CF1364" s="420"/>
      <c r="CG1364" s="420"/>
      <c r="CH1364" s="420"/>
    </row>
    <row r="1365" spans="75:86" s="428" customFormat="1" x14ac:dyDescent="0.2">
      <c r="BW1365" s="439"/>
      <c r="BX1365" s="439"/>
      <c r="BY1365" s="439"/>
      <c r="BZ1365" s="439"/>
      <c r="CA1365" s="439"/>
      <c r="CB1365" s="439"/>
      <c r="CC1365" s="439"/>
      <c r="CD1365" s="439"/>
      <c r="CE1365" s="440"/>
      <c r="CF1365" s="420"/>
      <c r="CG1365" s="420"/>
      <c r="CH1365" s="420"/>
    </row>
    <row r="1366" spans="75:86" s="428" customFormat="1" x14ac:dyDescent="0.2">
      <c r="BW1366" s="439"/>
      <c r="BX1366" s="439"/>
      <c r="BY1366" s="439"/>
      <c r="BZ1366" s="439"/>
      <c r="CA1366" s="439"/>
      <c r="CB1366" s="439"/>
      <c r="CC1366" s="439"/>
      <c r="CD1366" s="439"/>
      <c r="CE1366" s="440"/>
      <c r="CF1366" s="420"/>
      <c r="CG1366" s="420"/>
      <c r="CH1366" s="420"/>
    </row>
    <row r="1367" spans="75:86" s="428" customFormat="1" x14ac:dyDescent="0.2">
      <c r="BW1367" s="439"/>
      <c r="BX1367" s="439"/>
      <c r="BY1367" s="439"/>
      <c r="BZ1367" s="439"/>
      <c r="CA1367" s="439"/>
      <c r="CB1367" s="439"/>
      <c r="CC1367" s="439"/>
      <c r="CD1367" s="439"/>
      <c r="CE1367" s="440"/>
      <c r="CF1367" s="420"/>
      <c r="CG1367" s="420"/>
      <c r="CH1367" s="420"/>
    </row>
    <row r="1368" spans="75:86" s="428" customFormat="1" x14ac:dyDescent="0.2">
      <c r="BW1368" s="439"/>
      <c r="BX1368" s="439"/>
      <c r="BY1368" s="439"/>
      <c r="BZ1368" s="439"/>
      <c r="CA1368" s="439"/>
      <c r="CB1368" s="439"/>
      <c r="CC1368" s="439"/>
      <c r="CD1368" s="439"/>
      <c r="CE1368" s="440"/>
      <c r="CF1368" s="420"/>
      <c r="CG1368" s="420"/>
      <c r="CH1368" s="420"/>
    </row>
    <row r="1369" spans="75:86" s="428" customFormat="1" x14ac:dyDescent="0.2">
      <c r="BW1369" s="439"/>
      <c r="BX1369" s="439"/>
      <c r="BY1369" s="439"/>
      <c r="BZ1369" s="439"/>
      <c r="CA1369" s="439"/>
      <c r="CB1369" s="439"/>
      <c r="CC1369" s="439"/>
      <c r="CD1369" s="439"/>
      <c r="CE1369" s="440"/>
      <c r="CF1369" s="420"/>
      <c r="CG1369" s="420"/>
      <c r="CH1369" s="420"/>
    </row>
    <row r="1370" spans="75:86" s="428" customFormat="1" x14ac:dyDescent="0.2">
      <c r="BW1370" s="439"/>
      <c r="BX1370" s="439"/>
      <c r="BY1370" s="439"/>
      <c r="BZ1370" s="439"/>
      <c r="CA1370" s="439"/>
      <c r="CB1370" s="439"/>
      <c r="CC1370" s="439"/>
      <c r="CD1370" s="439"/>
      <c r="CE1370" s="440"/>
      <c r="CF1370" s="420"/>
      <c r="CG1370" s="420"/>
      <c r="CH1370" s="420"/>
    </row>
    <row r="1371" spans="75:86" s="428" customFormat="1" x14ac:dyDescent="0.2">
      <c r="BW1371" s="439"/>
      <c r="BX1371" s="439"/>
      <c r="BY1371" s="439"/>
      <c r="BZ1371" s="439"/>
      <c r="CA1371" s="439"/>
      <c r="CB1371" s="439"/>
      <c r="CC1371" s="439"/>
      <c r="CD1371" s="439"/>
      <c r="CE1371" s="440"/>
      <c r="CF1371" s="420"/>
      <c r="CG1371" s="420"/>
      <c r="CH1371" s="420"/>
    </row>
    <row r="1372" spans="75:86" s="428" customFormat="1" x14ac:dyDescent="0.2">
      <c r="BW1372" s="439"/>
      <c r="BX1372" s="439"/>
      <c r="BY1372" s="439"/>
      <c r="BZ1372" s="439"/>
      <c r="CA1372" s="439"/>
      <c r="CB1372" s="439"/>
      <c r="CC1372" s="439"/>
      <c r="CD1372" s="439"/>
      <c r="CE1372" s="440"/>
      <c r="CF1372" s="420"/>
      <c r="CG1372" s="420"/>
      <c r="CH1372" s="420"/>
    </row>
    <row r="1373" spans="75:86" s="428" customFormat="1" x14ac:dyDescent="0.2">
      <c r="BW1373" s="439"/>
      <c r="BX1373" s="439"/>
      <c r="BY1373" s="439"/>
      <c r="BZ1373" s="439"/>
      <c r="CA1373" s="439"/>
      <c r="CB1373" s="439"/>
      <c r="CC1373" s="439"/>
      <c r="CD1373" s="439"/>
      <c r="CE1373" s="440"/>
      <c r="CF1373" s="420"/>
      <c r="CG1373" s="420"/>
      <c r="CH1373" s="420"/>
    </row>
    <row r="1374" spans="75:86" s="428" customFormat="1" x14ac:dyDescent="0.2">
      <c r="BW1374" s="439"/>
      <c r="BX1374" s="439"/>
      <c r="BY1374" s="439"/>
      <c r="BZ1374" s="439"/>
      <c r="CA1374" s="439"/>
      <c r="CB1374" s="439"/>
      <c r="CC1374" s="439"/>
      <c r="CD1374" s="439"/>
      <c r="CE1374" s="440"/>
      <c r="CF1374" s="420"/>
      <c r="CG1374" s="420"/>
      <c r="CH1374" s="420"/>
    </row>
    <row r="1375" spans="75:86" s="428" customFormat="1" x14ac:dyDescent="0.2">
      <c r="BW1375" s="439"/>
      <c r="BX1375" s="439"/>
      <c r="BY1375" s="439"/>
      <c r="BZ1375" s="439"/>
      <c r="CA1375" s="439"/>
      <c r="CB1375" s="439"/>
      <c r="CC1375" s="439"/>
      <c r="CD1375" s="439"/>
      <c r="CE1375" s="440"/>
      <c r="CF1375" s="420"/>
      <c r="CG1375" s="420"/>
      <c r="CH1375" s="420"/>
    </row>
    <row r="1376" spans="75:86" s="428" customFormat="1" x14ac:dyDescent="0.2">
      <c r="BW1376" s="439"/>
      <c r="BX1376" s="439"/>
      <c r="BY1376" s="439"/>
      <c r="BZ1376" s="439"/>
      <c r="CA1376" s="439"/>
      <c r="CB1376" s="439"/>
      <c r="CC1376" s="439"/>
      <c r="CD1376" s="439"/>
      <c r="CE1376" s="440"/>
      <c r="CF1376" s="420"/>
      <c r="CG1376" s="420"/>
      <c r="CH1376" s="420"/>
    </row>
    <row r="1377" spans="75:86" s="428" customFormat="1" x14ac:dyDescent="0.2">
      <c r="BW1377" s="439"/>
      <c r="BX1377" s="439"/>
      <c r="BY1377" s="439"/>
      <c r="BZ1377" s="439"/>
      <c r="CA1377" s="439"/>
      <c r="CB1377" s="439"/>
      <c r="CC1377" s="439"/>
      <c r="CD1377" s="439"/>
      <c r="CE1377" s="440"/>
      <c r="CF1377" s="420"/>
      <c r="CG1377" s="420"/>
      <c r="CH1377" s="420"/>
    </row>
    <row r="1378" spans="75:86" s="428" customFormat="1" x14ac:dyDescent="0.2">
      <c r="BW1378" s="439"/>
      <c r="BX1378" s="439"/>
      <c r="BY1378" s="439"/>
      <c r="BZ1378" s="439"/>
      <c r="CA1378" s="439"/>
      <c r="CB1378" s="439"/>
      <c r="CC1378" s="439"/>
      <c r="CD1378" s="439"/>
      <c r="CE1378" s="440"/>
      <c r="CF1378" s="420"/>
      <c r="CG1378" s="420"/>
      <c r="CH1378" s="420"/>
    </row>
    <row r="1379" spans="75:86" s="428" customFormat="1" x14ac:dyDescent="0.2">
      <c r="BW1379" s="439"/>
      <c r="BX1379" s="439"/>
      <c r="BY1379" s="439"/>
      <c r="BZ1379" s="439"/>
      <c r="CA1379" s="439"/>
      <c r="CB1379" s="439"/>
      <c r="CC1379" s="439"/>
      <c r="CD1379" s="439"/>
      <c r="CE1379" s="440"/>
      <c r="CF1379" s="420"/>
      <c r="CG1379" s="420"/>
      <c r="CH1379" s="420"/>
    </row>
    <row r="1380" spans="75:86" s="428" customFormat="1" x14ac:dyDescent="0.2">
      <c r="BW1380" s="439"/>
      <c r="BX1380" s="439"/>
      <c r="BY1380" s="439"/>
      <c r="BZ1380" s="439"/>
      <c r="CA1380" s="439"/>
      <c r="CB1380" s="439"/>
      <c r="CC1380" s="439"/>
      <c r="CD1380" s="439"/>
      <c r="CE1380" s="440"/>
      <c r="CF1380" s="420"/>
      <c r="CG1380" s="420"/>
      <c r="CH1380" s="420"/>
    </row>
    <row r="1381" spans="75:86" s="428" customFormat="1" x14ac:dyDescent="0.2">
      <c r="BW1381" s="439"/>
      <c r="BX1381" s="439"/>
      <c r="BY1381" s="439"/>
      <c r="BZ1381" s="439"/>
      <c r="CA1381" s="439"/>
      <c r="CB1381" s="439"/>
      <c r="CC1381" s="439"/>
      <c r="CD1381" s="439"/>
      <c r="CE1381" s="440"/>
      <c r="CF1381" s="420"/>
      <c r="CG1381" s="420"/>
      <c r="CH1381" s="420"/>
    </row>
    <row r="1382" spans="75:86" s="428" customFormat="1" x14ac:dyDescent="0.2">
      <c r="BW1382" s="439"/>
      <c r="BX1382" s="439"/>
      <c r="BY1382" s="439"/>
      <c r="BZ1382" s="439"/>
      <c r="CA1382" s="439"/>
      <c r="CB1382" s="439"/>
      <c r="CC1382" s="439"/>
      <c r="CD1382" s="439"/>
      <c r="CE1382" s="440"/>
      <c r="CF1382" s="420"/>
      <c r="CG1382" s="420"/>
      <c r="CH1382" s="420"/>
    </row>
    <row r="1383" spans="75:86" s="428" customFormat="1" x14ac:dyDescent="0.2">
      <c r="BW1383" s="439"/>
      <c r="BX1383" s="439"/>
      <c r="BY1383" s="439"/>
      <c r="BZ1383" s="439"/>
      <c r="CA1383" s="439"/>
      <c r="CB1383" s="439"/>
      <c r="CC1383" s="439"/>
      <c r="CD1383" s="439"/>
      <c r="CE1383" s="440"/>
      <c r="CF1383" s="420"/>
      <c r="CG1383" s="420"/>
      <c r="CH1383" s="420"/>
    </row>
    <row r="1384" spans="75:86" s="428" customFormat="1" x14ac:dyDescent="0.2">
      <c r="BW1384" s="439"/>
      <c r="BX1384" s="439"/>
      <c r="BY1384" s="439"/>
      <c r="BZ1384" s="439"/>
      <c r="CA1384" s="439"/>
      <c r="CB1384" s="439"/>
      <c r="CC1384" s="439"/>
      <c r="CD1384" s="439"/>
      <c r="CE1384" s="440"/>
      <c r="CF1384" s="420"/>
      <c r="CG1384" s="420"/>
      <c r="CH1384" s="420"/>
    </row>
    <row r="1385" spans="75:86" s="428" customFormat="1" x14ac:dyDescent="0.2">
      <c r="BW1385" s="439"/>
      <c r="BX1385" s="439"/>
      <c r="BY1385" s="439"/>
      <c r="BZ1385" s="439"/>
      <c r="CA1385" s="439"/>
      <c r="CB1385" s="439"/>
      <c r="CC1385" s="439"/>
      <c r="CD1385" s="439"/>
      <c r="CE1385" s="440"/>
      <c r="CF1385" s="420"/>
      <c r="CG1385" s="420"/>
      <c r="CH1385" s="420"/>
    </row>
    <row r="1386" spans="75:86" s="428" customFormat="1" x14ac:dyDescent="0.2">
      <c r="BW1386" s="439"/>
      <c r="BX1386" s="439"/>
      <c r="BY1386" s="439"/>
      <c r="BZ1386" s="439"/>
      <c r="CA1386" s="439"/>
      <c r="CB1386" s="439"/>
      <c r="CC1386" s="439"/>
      <c r="CD1386" s="439"/>
      <c r="CE1386" s="440"/>
      <c r="CF1386" s="420"/>
      <c r="CG1386" s="420"/>
      <c r="CH1386" s="420"/>
    </row>
    <row r="1387" spans="75:86" s="428" customFormat="1" x14ac:dyDescent="0.2">
      <c r="BW1387" s="439"/>
      <c r="BX1387" s="439"/>
      <c r="BY1387" s="439"/>
      <c r="BZ1387" s="439"/>
      <c r="CA1387" s="439"/>
      <c r="CB1387" s="439"/>
      <c r="CC1387" s="439"/>
      <c r="CD1387" s="439"/>
      <c r="CE1387" s="440"/>
      <c r="CF1387" s="420"/>
      <c r="CG1387" s="420"/>
      <c r="CH1387" s="420"/>
    </row>
    <row r="1388" spans="75:86" s="428" customFormat="1" x14ac:dyDescent="0.2">
      <c r="BW1388" s="439"/>
      <c r="BX1388" s="439"/>
      <c r="BY1388" s="439"/>
      <c r="BZ1388" s="439"/>
      <c r="CA1388" s="439"/>
      <c r="CB1388" s="439"/>
      <c r="CC1388" s="439"/>
      <c r="CD1388" s="439"/>
      <c r="CE1388" s="440"/>
      <c r="CF1388" s="420"/>
      <c r="CG1388" s="420"/>
      <c r="CH1388" s="420"/>
    </row>
    <row r="1389" spans="75:86" s="428" customFormat="1" x14ac:dyDescent="0.2">
      <c r="BW1389" s="439"/>
      <c r="BX1389" s="439"/>
      <c r="BY1389" s="439"/>
      <c r="BZ1389" s="439"/>
      <c r="CA1389" s="439"/>
      <c r="CB1389" s="439"/>
      <c r="CC1389" s="439"/>
      <c r="CD1389" s="439"/>
      <c r="CE1389" s="440"/>
      <c r="CF1389" s="420"/>
      <c r="CG1389" s="420"/>
      <c r="CH1389" s="420"/>
    </row>
    <row r="1390" spans="75:86" s="428" customFormat="1" x14ac:dyDescent="0.2">
      <c r="BW1390" s="439"/>
      <c r="BX1390" s="439"/>
      <c r="BY1390" s="439"/>
      <c r="BZ1390" s="439"/>
      <c r="CA1390" s="439"/>
      <c r="CB1390" s="439"/>
      <c r="CC1390" s="439"/>
      <c r="CD1390" s="439"/>
      <c r="CE1390" s="440"/>
      <c r="CF1390" s="420"/>
      <c r="CG1390" s="420"/>
      <c r="CH1390" s="420"/>
    </row>
    <row r="1391" spans="75:86" s="428" customFormat="1" x14ac:dyDescent="0.2">
      <c r="BW1391" s="439"/>
      <c r="BX1391" s="439"/>
      <c r="BY1391" s="439"/>
      <c r="BZ1391" s="439"/>
      <c r="CA1391" s="439"/>
      <c r="CB1391" s="439"/>
      <c r="CC1391" s="439"/>
      <c r="CD1391" s="439"/>
      <c r="CE1391" s="440"/>
      <c r="CF1391" s="420"/>
      <c r="CG1391" s="420"/>
      <c r="CH1391" s="420"/>
    </row>
    <row r="1392" spans="75:86" s="428" customFormat="1" x14ac:dyDescent="0.2">
      <c r="BW1392" s="439"/>
      <c r="BX1392" s="439"/>
      <c r="BY1392" s="439"/>
      <c r="BZ1392" s="439"/>
      <c r="CA1392" s="439"/>
      <c r="CB1392" s="439"/>
      <c r="CC1392" s="439"/>
      <c r="CD1392" s="439"/>
      <c r="CE1392" s="440"/>
      <c r="CF1392" s="420"/>
      <c r="CG1392" s="420"/>
      <c r="CH1392" s="420"/>
    </row>
    <row r="1393" spans="75:86" s="428" customFormat="1" x14ac:dyDescent="0.2">
      <c r="BW1393" s="439"/>
      <c r="BX1393" s="439"/>
      <c r="BY1393" s="439"/>
      <c r="BZ1393" s="439"/>
      <c r="CA1393" s="439"/>
      <c r="CB1393" s="439"/>
      <c r="CC1393" s="439"/>
      <c r="CD1393" s="439"/>
      <c r="CE1393" s="440"/>
      <c r="CF1393" s="420"/>
      <c r="CG1393" s="420"/>
      <c r="CH1393" s="420"/>
    </row>
    <row r="1394" spans="75:86" s="428" customFormat="1" x14ac:dyDescent="0.2">
      <c r="BW1394" s="439"/>
      <c r="BX1394" s="439"/>
      <c r="BY1394" s="439"/>
      <c r="BZ1394" s="439"/>
      <c r="CA1394" s="439"/>
      <c r="CB1394" s="439"/>
      <c r="CC1394" s="439"/>
      <c r="CD1394" s="439"/>
      <c r="CE1394" s="440"/>
      <c r="CF1394" s="420"/>
      <c r="CG1394" s="420"/>
      <c r="CH1394" s="420"/>
    </row>
    <row r="1395" spans="75:86" s="428" customFormat="1" x14ac:dyDescent="0.2">
      <c r="BW1395" s="439"/>
      <c r="BX1395" s="439"/>
      <c r="BY1395" s="439"/>
      <c r="BZ1395" s="439"/>
      <c r="CA1395" s="439"/>
      <c r="CB1395" s="439"/>
      <c r="CC1395" s="439"/>
      <c r="CD1395" s="439"/>
      <c r="CE1395" s="440"/>
      <c r="CF1395" s="420"/>
      <c r="CG1395" s="420"/>
      <c r="CH1395" s="420"/>
    </row>
    <row r="1396" spans="75:86" s="428" customFormat="1" x14ac:dyDescent="0.2">
      <c r="BW1396" s="439"/>
      <c r="BX1396" s="439"/>
      <c r="BY1396" s="439"/>
      <c r="BZ1396" s="439"/>
      <c r="CA1396" s="439"/>
      <c r="CB1396" s="439"/>
      <c r="CC1396" s="439"/>
      <c r="CD1396" s="439"/>
      <c r="CE1396" s="440"/>
      <c r="CF1396" s="420"/>
      <c r="CG1396" s="420"/>
      <c r="CH1396" s="420"/>
    </row>
    <row r="1397" spans="75:86" s="428" customFormat="1" x14ac:dyDescent="0.2">
      <c r="BW1397" s="439"/>
      <c r="BX1397" s="439"/>
      <c r="BY1397" s="439"/>
      <c r="BZ1397" s="439"/>
      <c r="CA1397" s="439"/>
      <c r="CB1397" s="439"/>
      <c r="CC1397" s="439"/>
      <c r="CD1397" s="439"/>
      <c r="CE1397" s="440"/>
      <c r="CF1397" s="420"/>
      <c r="CG1397" s="420"/>
      <c r="CH1397" s="420"/>
    </row>
    <row r="1398" spans="75:86" s="428" customFormat="1" x14ac:dyDescent="0.2">
      <c r="BW1398" s="439"/>
      <c r="BX1398" s="439"/>
      <c r="BY1398" s="439"/>
      <c r="BZ1398" s="439"/>
      <c r="CA1398" s="439"/>
      <c r="CB1398" s="439"/>
      <c r="CC1398" s="439"/>
      <c r="CD1398" s="439"/>
      <c r="CE1398" s="440"/>
      <c r="CF1398" s="420"/>
      <c r="CG1398" s="420"/>
      <c r="CH1398" s="420"/>
    </row>
    <row r="1399" spans="75:86" s="428" customFormat="1" x14ac:dyDescent="0.2">
      <c r="BW1399" s="439"/>
      <c r="BX1399" s="439"/>
      <c r="BY1399" s="439"/>
      <c r="BZ1399" s="439"/>
      <c r="CA1399" s="439"/>
      <c r="CB1399" s="439"/>
      <c r="CC1399" s="439"/>
      <c r="CD1399" s="439"/>
      <c r="CE1399" s="440"/>
      <c r="CF1399" s="420"/>
      <c r="CG1399" s="420"/>
      <c r="CH1399" s="420"/>
    </row>
    <row r="1400" spans="75:86" s="428" customFormat="1" x14ac:dyDescent="0.2">
      <c r="BW1400" s="439"/>
      <c r="BX1400" s="439"/>
      <c r="BY1400" s="439"/>
      <c r="BZ1400" s="439"/>
      <c r="CA1400" s="439"/>
      <c r="CB1400" s="439"/>
      <c r="CC1400" s="439"/>
      <c r="CD1400" s="439"/>
      <c r="CE1400" s="440"/>
      <c r="CF1400" s="420"/>
      <c r="CG1400" s="420"/>
      <c r="CH1400" s="420"/>
    </row>
    <row r="1401" spans="75:86" s="428" customFormat="1" x14ac:dyDescent="0.2">
      <c r="BW1401" s="439"/>
      <c r="BX1401" s="439"/>
      <c r="BY1401" s="439"/>
      <c r="BZ1401" s="439"/>
      <c r="CA1401" s="439"/>
      <c r="CB1401" s="439"/>
      <c r="CC1401" s="439"/>
      <c r="CD1401" s="439"/>
      <c r="CE1401" s="440"/>
      <c r="CF1401" s="420"/>
      <c r="CG1401" s="420"/>
      <c r="CH1401" s="420"/>
    </row>
    <row r="1402" spans="75:86" s="428" customFormat="1" x14ac:dyDescent="0.2">
      <c r="BW1402" s="439"/>
      <c r="BX1402" s="439"/>
      <c r="BY1402" s="439"/>
      <c r="BZ1402" s="439"/>
      <c r="CA1402" s="439"/>
      <c r="CB1402" s="439"/>
      <c r="CC1402" s="439"/>
      <c r="CD1402" s="439"/>
      <c r="CE1402" s="440"/>
      <c r="CF1402" s="420"/>
      <c r="CG1402" s="420"/>
      <c r="CH1402" s="420"/>
    </row>
    <row r="1403" spans="75:86" s="428" customFormat="1" x14ac:dyDescent="0.2">
      <c r="BW1403" s="439"/>
      <c r="BX1403" s="439"/>
      <c r="BY1403" s="439"/>
      <c r="BZ1403" s="439"/>
      <c r="CA1403" s="439"/>
      <c r="CB1403" s="439"/>
      <c r="CC1403" s="439"/>
      <c r="CD1403" s="439"/>
      <c r="CE1403" s="440"/>
      <c r="CF1403" s="420"/>
      <c r="CG1403" s="420"/>
      <c r="CH1403" s="420"/>
    </row>
    <row r="1404" spans="75:86" s="428" customFormat="1" x14ac:dyDescent="0.2">
      <c r="BW1404" s="439"/>
      <c r="BX1404" s="439"/>
      <c r="BY1404" s="439"/>
      <c r="BZ1404" s="439"/>
      <c r="CA1404" s="439"/>
      <c r="CB1404" s="439"/>
      <c r="CC1404" s="439"/>
      <c r="CD1404" s="439"/>
      <c r="CE1404" s="440"/>
      <c r="CF1404" s="420"/>
      <c r="CG1404" s="420"/>
      <c r="CH1404" s="420"/>
    </row>
    <row r="1405" spans="75:86" s="428" customFormat="1" x14ac:dyDescent="0.2">
      <c r="BW1405" s="439"/>
      <c r="BX1405" s="439"/>
      <c r="BY1405" s="439"/>
      <c r="BZ1405" s="439"/>
      <c r="CA1405" s="439"/>
      <c r="CB1405" s="439"/>
      <c r="CC1405" s="439"/>
      <c r="CD1405" s="439"/>
      <c r="CE1405" s="440"/>
      <c r="CF1405" s="420"/>
      <c r="CG1405" s="420"/>
      <c r="CH1405" s="420"/>
    </row>
    <row r="1406" spans="75:86" s="428" customFormat="1" x14ac:dyDescent="0.2">
      <c r="BW1406" s="439"/>
      <c r="BX1406" s="439"/>
      <c r="BY1406" s="439"/>
      <c r="BZ1406" s="439"/>
      <c r="CA1406" s="439"/>
      <c r="CB1406" s="439"/>
      <c r="CC1406" s="439"/>
      <c r="CD1406" s="439"/>
      <c r="CE1406" s="440"/>
      <c r="CF1406" s="420"/>
      <c r="CG1406" s="420"/>
      <c r="CH1406" s="420"/>
    </row>
    <row r="1407" spans="75:86" s="428" customFormat="1" x14ac:dyDescent="0.2">
      <c r="BW1407" s="439"/>
      <c r="BX1407" s="439"/>
      <c r="BY1407" s="439"/>
      <c r="BZ1407" s="439"/>
      <c r="CA1407" s="439"/>
      <c r="CB1407" s="439"/>
      <c r="CC1407" s="439"/>
      <c r="CD1407" s="439"/>
      <c r="CE1407" s="440"/>
      <c r="CF1407" s="420"/>
      <c r="CG1407" s="420"/>
      <c r="CH1407" s="420"/>
    </row>
    <row r="1408" spans="75:86" s="428" customFormat="1" x14ac:dyDescent="0.2">
      <c r="BW1408" s="439"/>
      <c r="BX1408" s="439"/>
      <c r="BY1408" s="439"/>
      <c r="BZ1408" s="439"/>
      <c r="CA1408" s="439"/>
      <c r="CB1408" s="439"/>
      <c r="CC1408" s="439"/>
      <c r="CD1408" s="439"/>
      <c r="CE1408" s="440"/>
      <c r="CF1408" s="420"/>
      <c r="CG1408" s="420"/>
      <c r="CH1408" s="420"/>
    </row>
    <row r="1409" spans="75:86" s="428" customFormat="1" x14ac:dyDescent="0.2">
      <c r="BW1409" s="439"/>
      <c r="BX1409" s="439"/>
      <c r="BY1409" s="439"/>
      <c r="BZ1409" s="439"/>
      <c r="CA1409" s="439"/>
      <c r="CB1409" s="439"/>
      <c r="CC1409" s="439"/>
      <c r="CD1409" s="439"/>
      <c r="CE1409" s="440"/>
      <c r="CF1409" s="420"/>
      <c r="CG1409" s="420"/>
      <c r="CH1409" s="420"/>
    </row>
    <row r="1410" spans="75:86" s="428" customFormat="1" x14ac:dyDescent="0.2">
      <c r="BW1410" s="439"/>
      <c r="BX1410" s="439"/>
      <c r="BY1410" s="439"/>
      <c r="BZ1410" s="439"/>
      <c r="CA1410" s="439"/>
      <c r="CB1410" s="439"/>
      <c r="CC1410" s="439"/>
      <c r="CD1410" s="439"/>
      <c r="CE1410" s="440"/>
      <c r="CF1410" s="420"/>
      <c r="CG1410" s="420"/>
      <c r="CH1410" s="420"/>
    </row>
    <row r="1411" spans="75:86" s="428" customFormat="1" x14ac:dyDescent="0.2">
      <c r="BW1411" s="439"/>
      <c r="BX1411" s="439"/>
      <c r="BY1411" s="439"/>
      <c r="BZ1411" s="439"/>
      <c r="CA1411" s="439"/>
      <c r="CB1411" s="439"/>
      <c r="CC1411" s="439"/>
      <c r="CD1411" s="439"/>
      <c r="CE1411" s="440"/>
      <c r="CF1411" s="420"/>
      <c r="CG1411" s="420"/>
      <c r="CH1411" s="420"/>
    </row>
    <row r="1412" spans="75:86" s="428" customFormat="1" x14ac:dyDescent="0.2">
      <c r="BW1412" s="439"/>
      <c r="BX1412" s="439"/>
      <c r="BY1412" s="439"/>
      <c r="BZ1412" s="439"/>
      <c r="CA1412" s="439"/>
      <c r="CB1412" s="439"/>
      <c r="CC1412" s="439"/>
      <c r="CD1412" s="439"/>
      <c r="CE1412" s="440"/>
      <c r="CF1412" s="420"/>
      <c r="CG1412" s="420"/>
      <c r="CH1412" s="420"/>
    </row>
    <row r="1413" spans="75:86" s="428" customFormat="1" x14ac:dyDescent="0.2">
      <c r="BW1413" s="439"/>
      <c r="BX1413" s="439"/>
      <c r="BY1413" s="439"/>
      <c r="BZ1413" s="439"/>
      <c r="CA1413" s="439"/>
      <c r="CB1413" s="439"/>
      <c r="CC1413" s="439"/>
      <c r="CD1413" s="439"/>
      <c r="CE1413" s="440"/>
      <c r="CF1413" s="420"/>
      <c r="CG1413" s="420"/>
      <c r="CH1413" s="420"/>
    </row>
    <row r="1414" spans="75:86" s="428" customFormat="1" x14ac:dyDescent="0.2">
      <c r="BW1414" s="439"/>
      <c r="BX1414" s="439"/>
      <c r="BY1414" s="439"/>
      <c r="BZ1414" s="439"/>
      <c r="CA1414" s="439"/>
      <c r="CB1414" s="439"/>
      <c r="CC1414" s="439"/>
      <c r="CD1414" s="439"/>
      <c r="CE1414" s="440"/>
      <c r="CF1414" s="420"/>
      <c r="CG1414" s="420"/>
      <c r="CH1414" s="420"/>
    </row>
    <row r="1415" spans="75:86" s="428" customFormat="1" x14ac:dyDescent="0.2">
      <c r="BW1415" s="439"/>
      <c r="BX1415" s="439"/>
      <c r="BY1415" s="439"/>
      <c r="BZ1415" s="439"/>
      <c r="CA1415" s="439"/>
      <c r="CB1415" s="439"/>
      <c r="CC1415" s="439"/>
      <c r="CD1415" s="439"/>
      <c r="CE1415" s="440"/>
      <c r="CF1415" s="420"/>
      <c r="CG1415" s="420"/>
      <c r="CH1415" s="420"/>
    </row>
    <row r="1416" spans="75:86" s="428" customFormat="1" x14ac:dyDescent="0.2">
      <c r="BW1416" s="439"/>
      <c r="BX1416" s="439"/>
      <c r="BY1416" s="439"/>
      <c r="BZ1416" s="439"/>
      <c r="CA1416" s="439"/>
      <c r="CB1416" s="439"/>
      <c r="CC1416" s="439"/>
      <c r="CD1416" s="439"/>
      <c r="CE1416" s="440"/>
      <c r="CF1416" s="420"/>
      <c r="CG1416" s="420"/>
      <c r="CH1416" s="420"/>
    </row>
    <row r="1417" spans="75:86" s="428" customFormat="1" x14ac:dyDescent="0.2">
      <c r="BW1417" s="439"/>
      <c r="BX1417" s="439"/>
      <c r="BY1417" s="439"/>
      <c r="BZ1417" s="439"/>
      <c r="CA1417" s="439"/>
      <c r="CB1417" s="439"/>
      <c r="CC1417" s="439"/>
      <c r="CD1417" s="439"/>
      <c r="CE1417" s="440"/>
      <c r="CF1417" s="420"/>
      <c r="CG1417" s="420"/>
      <c r="CH1417" s="420"/>
    </row>
    <row r="1418" spans="75:86" s="428" customFormat="1" x14ac:dyDescent="0.2">
      <c r="BW1418" s="439"/>
      <c r="BX1418" s="439"/>
      <c r="BY1418" s="439"/>
      <c r="BZ1418" s="439"/>
      <c r="CA1418" s="439"/>
      <c r="CB1418" s="439"/>
      <c r="CC1418" s="439"/>
      <c r="CD1418" s="439"/>
      <c r="CE1418" s="440"/>
      <c r="CF1418" s="420"/>
      <c r="CG1418" s="420"/>
      <c r="CH1418" s="420"/>
    </row>
    <row r="1419" spans="75:86" s="428" customFormat="1" x14ac:dyDescent="0.2">
      <c r="BW1419" s="439"/>
      <c r="BX1419" s="439"/>
      <c r="BY1419" s="439"/>
      <c r="BZ1419" s="439"/>
      <c r="CA1419" s="439"/>
      <c r="CB1419" s="439"/>
      <c r="CC1419" s="439"/>
      <c r="CD1419" s="439"/>
      <c r="CE1419" s="440"/>
      <c r="CF1419" s="420"/>
      <c r="CG1419" s="420"/>
      <c r="CH1419" s="420"/>
    </row>
    <row r="1420" spans="75:86" s="428" customFormat="1" x14ac:dyDescent="0.2">
      <c r="BW1420" s="439"/>
      <c r="BX1420" s="439"/>
      <c r="BY1420" s="439"/>
      <c r="BZ1420" s="439"/>
      <c r="CA1420" s="439"/>
      <c r="CB1420" s="439"/>
      <c r="CC1420" s="439"/>
      <c r="CD1420" s="439"/>
      <c r="CE1420" s="440"/>
      <c r="CF1420" s="420"/>
      <c r="CG1420" s="420"/>
      <c r="CH1420" s="420"/>
    </row>
    <row r="1421" spans="75:86" s="428" customFormat="1" x14ac:dyDescent="0.2">
      <c r="BW1421" s="439"/>
      <c r="BX1421" s="439"/>
      <c r="BY1421" s="439"/>
      <c r="BZ1421" s="439"/>
      <c r="CA1421" s="439"/>
      <c r="CB1421" s="439"/>
      <c r="CC1421" s="439"/>
      <c r="CD1421" s="439"/>
      <c r="CE1421" s="440"/>
      <c r="CF1421" s="420"/>
      <c r="CG1421" s="420"/>
      <c r="CH1421" s="420"/>
    </row>
    <row r="1422" spans="75:86" s="428" customFormat="1" x14ac:dyDescent="0.2">
      <c r="BW1422" s="439"/>
      <c r="BX1422" s="439"/>
      <c r="BY1422" s="439"/>
      <c r="BZ1422" s="439"/>
      <c r="CA1422" s="439"/>
      <c r="CB1422" s="439"/>
      <c r="CC1422" s="439"/>
      <c r="CD1422" s="439"/>
      <c r="CE1422" s="440"/>
      <c r="CF1422" s="420"/>
      <c r="CG1422" s="420"/>
      <c r="CH1422" s="420"/>
    </row>
    <row r="1423" spans="75:86" s="428" customFormat="1" x14ac:dyDescent="0.2">
      <c r="BW1423" s="439"/>
      <c r="BX1423" s="439"/>
      <c r="BY1423" s="439"/>
      <c r="BZ1423" s="439"/>
      <c r="CA1423" s="439"/>
      <c r="CB1423" s="439"/>
      <c r="CC1423" s="439"/>
      <c r="CD1423" s="439"/>
      <c r="CE1423" s="440"/>
      <c r="CF1423" s="420"/>
      <c r="CG1423" s="420"/>
      <c r="CH1423" s="420"/>
    </row>
    <row r="1424" spans="75:86" s="428" customFormat="1" x14ac:dyDescent="0.2">
      <c r="BW1424" s="439"/>
      <c r="BX1424" s="439"/>
      <c r="BY1424" s="439"/>
      <c r="BZ1424" s="439"/>
      <c r="CA1424" s="439"/>
      <c r="CB1424" s="439"/>
      <c r="CC1424" s="439"/>
      <c r="CD1424" s="439"/>
      <c r="CE1424" s="440"/>
      <c r="CF1424" s="420"/>
      <c r="CG1424" s="420"/>
      <c r="CH1424" s="420"/>
    </row>
    <row r="1425" spans="75:86" s="428" customFormat="1" x14ac:dyDescent="0.2">
      <c r="BW1425" s="439"/>
      <c r="BX1425" s="439"/>
      <c r="BY1425" s="439"/>
      <c r="BZ1425" s="439"/>
      <c r="CA1425" s="439"/>
      <c r="CB1425" s="439"/>
      <c r="CC1425" s="439"/>
      <c r="CD1425" s="439"/>
      <c r="CE1425" s="440"/>
      <c r="CF1425" s="420"/>
      <c r="CG1425" s="420"/>
      <c r="CH1425" s="420"/>
    </row>
    <row r="1426" spans="75:86" s="428" customFormat="1" x14ac:dyDescent="0.2">
      <c r="BW1426" s="439"/>
      <c r="BX1426" s="439"/>
      <c r="BY1426" s="439"/>
      <c r="BZ1426" s="439"/>
      <c r="CA1426" s="439"/>
      <c r="CB1426" s="439"/>
      <c r="CC1426" s="439"/>
      <c r="CD1426" s="439"/>
      <c r="CE1426" s="440"/>
      <c r="CF1426" s="420"/>
      <c r="CG1426" s="420"/>
      <c r="CH1426" s="420"/>
    </row>
    <row r="1427" spans="75:86" s="428" customFormat="1" x14ac:dyDescent="0.2">
      <c r="BW1427" s="439"/>
      <c r="BX1427" s="439"/>
      <c r="BY1427" s="439"/>
      <c r="BZ1427" s="439"/>
      <c r="CA1427" s="439"/>
      <c r="CB1427" s="439"/>
      <c r="CC1427" s="439"/>
      <c r="CD1427" s="439"/>
      <c r="CE1427" s="440"/>
      <c r="CF1427" s="420"/>
      <c r="CG1427" s="420"/>
      <c r="CH1427" s="420"/>
    </row>
    <row r="1428" spans="75:86" s="428" customFormat="1" x14ac:dyDescent="0.2">
      <c r="BW1428" s="439"/>
      <c r="BX1428" s="439"/>
      <c r="BY1428" s="439"/>
      <c r="BZ1428" s="439"/>
      <c r="CA1428" s="439"/>
      <c r="CB1428" s="439"/>
      <c r="CC1428" s="439"/>
      <c r="CD1428" s="439"/>
      <c r="CE1428" s="440"/>
      <c r="CF1428" s="420"/>
      <c r="CG1428" s="420"/>
      <c r="CH1428" s="420"/>
    </row>
    <row r="1429" spans="75:86" s="428" customFormat="1" x14ac:dyDescent="0.2">
      <c r="BW1429" s="439"/>
      <c r="BX1429" s="439"/>
      <c r="BY1429" s="439"/>
      <c r="BZ1429" s="439"/>
      <c r="CA1429" s="439"/>
      <c r="CB1429" s="439"/>
      <c r="CC1429" s="439"/>
      <c r="CD1429" s="439"/>
      <c r="CE1429" s="440"/>
      <c r="CF1429" s="420"/>
      <c r="CG1429" s="420"/>
      <c r="CH1429" s="420"/>
    </row>
    <row r="1430" spans="75:86" s="428" customFormat="1" x14ac:dyDescent="0.2">
      <c r="BW1430" s="439"/>
      <c r="BX1430" s="439"/>
      <c r="BY1430" s="439"/>
      <c r="BZ1430" s="439"/>
      <c r="CA1430" s="439"/>
      <c r="CB1430" s="439"/>
      <c r="CC1430" s="439"/>
      <c r="CD1430" s="439"/>
      <c r="CE1430" s="440"/>
      <c r="CF1430" s="420"/>
      <c r="CG1430" s="420"/>
      <c r="CH1430" s="420"/>
    </row>
    <row r="1431" spans="75:86" s="428" customFormat="1" x14ac:dyDescent="0.2">
      <c r="BW1431" s="439"/>
      <c r="BX1431" s="439"/>
      <c r="BY1431" s="439"/>
      <c r="BZ1431" s="439"/>
      <c r="CA1431" s="439"/>
      <c r="CB1431" s="439"/>
      <c r="CC1431" s="439"/>
      <c r="CD1431" s="439"/>
      <c r="CE1431" s="440"/>
      <c r="CF1431" s="420"/>
      <c r="CG1431" s="420"/>
      <c r="CH1431" s="420"/>
    </row>
    <row r="1432" spans="75:86" s="428" customFormat="1" x14ac:dyDescent="0.2">
      <c r="BW1432" s="439"/>
      <c r="BX1432" s="439"/>
      <c r="BY1432" s="439"/>
      <c r="BZ1432" s="439"/>
      <c r="CA1432" s="439"/>
      <c r="CB1432" s="439"/>
      <c r="CC1432" s="439"/>
      <c r="CD1432" s="439"/>
      <c r="CE1432" s="440"/>
      <c r="CF1432" s="420"/>
      <c r="CG1432" s="420"/>
      <c r="CH1432" s="420"/>
    </row>
    <row r="1433" spans="75:86" s="428" customFormat="1" x14ac:dyDescent="0.2">
      <c r="BW1433" s="439"/>
      <c r="BX1433" s="439"/>
      <c r="BY1433" s="439"/>
      <c r="BZ1433" s="439"/>
      <c r="CA1433" s="439"/>
      <c r="CB1433" s="439"/>
      <c r="CC1433" s="439"/>
      <c r="CD1433" s="439"/>
      <c r="CE1433" s="440"/>
      <c r="CF1433" s="420"/>
      <c r="CG1433" s="420"/>
      <c r="CH1433" s="420"/>
    </row>
    <row r="1434" spans="75:86" s="428" customFormat="1" x14ac:dyDescent="0.2">
      <c r="BW1434" s="439"/>
      <c r="BX1434" s="439"/>
      <c r="BY1434" s="439"/>
      <c r="BZ1434" s="439"/>
      <c r="CA1434" s="439"/>
      <c r="CB1434" s="439"/>
      <c r="CC1434" s="439"/>
      <c r="CD1434" s="439"/>
      <c r="CE1434" s="440"/>
      <c r="CF1434" s="420"/>
      <c r="CG1434" s="420"/>
      <c r="CH1434" s="420"/>
    </row>
    <row r="1435" spans="75:86" s="428" customFormat="1" x14ac:dyDescent="0.2">
      <c r="BW1435" s="439"/>
      <c r="BX1435" s="439"/>
      <c r="BY1435" s="439"/>
      <c r="BZ1435" s="439"/>
      <c r="CA1435" s="439"/>
      <c r="CB1435" s="439"/>
      <c r="CC1435" s="439"/>
      <c r="CD1435" s="439"/>
      <c r="CE1435" s="440"/>
      <c r="CF1435" s="420"/>
      <c r="CG1435" s="420"/>
      <c r="CH1435" s="420"/>
    </row>
    <row r="1436" spans="75:86" s="428" customFormat="1" x14ac:dyDescent="0.2">
      <c r="BW1436" s="439"/>
      <c r="BX1436" s="439"/>
      <c r="BY1436" s="439"/>
      <c r="BZ1436" s="439"/>
      <c r="CA1436" s="439"/>
      <c r="CB1436" s="439"/>
      <c r="CC1436" s="439"/>
      <c r="CD1436" s="439"/>
      <c r="CE1436" s="440"/>
      <c r="CF1436" s="420"/>
      <c r="CG1436" s="420"/>
      <c r="CH1436" s="420"/>
    </row>
    <row r="1437" spans="75:86" s="428" customFormat="1" x14ac:dyDescent="0.2">
      <c r="BW1437" s="439"/>
      <c r="BX1437" s="439"/>
      <c r="BY1437" s="439"/>
      <c r="BZ1437" s="439"/>
      <c r="CA1437" s="439"/>
      <c r="CB1437" s="439"/>
      <c r="CC1437" s="439"/>
      <c r="CD1437" s="439"/>
      <c r="CE1437" s="440"/>
      <c r="CF1437" s="420"/>
      <c r="CG1437" s="420"/>
      <c r="CH1437" s="420"/>
    </row>
    <row r="1438" spans="75:86" s="428" customFormat="1" x14ac:dyDescent="0.2">
      <c r="BW1438" s="439"/>
      <c r="BX1438" s="439"/>
      <c r="BY1438" s="439"/>
      <c r="BZ1438" s="439"/>
      <c r="CA1438" s="439"/>
      <c r="CB1438" s="439"/>
      <c r="CC1438" s="439"/>
      <c r="CD1438" s="439"/>
      <c r="CE1438" s="440"/>
      <c r="CF1438" s="420"/>
      <c r="CG1438" s="420"/>
      <c r="CH1438" s="420"/>
    </row>
    <row r="1439" spans="75:86" s="428" customFormat="1" x14ac:dyDescent="0.2">
      <c r="BW1439" s="439"/>
      <c r="BX1439" s="439"/>
      <c r="BY1439" s="439"/>
      <c r="BZ1439" s="439"/>
      <c r="CA1439" s="439"/>
      <c r="CB1439" s="439"/>
      <c r="CC1439" s="439"/>
      <c r="CD1439" s="439"/>
      <c r="CE1439" s="440"/>
      <c r="CF1439" s="420"/>
      <c r="CG1439" s="420"/>
      <c r="CH1439" s="420"/>
    </row>
    <row r="1440" spans="75:86" s="428" customFormat="1" x14ac:dyDescent="0.2">
      <c r="BW1440" s="439"/>
      <c r="BX1440" s="439"/>
      <c r="BY1440" s="439"/>
      <c r="BZ1440" s="439"/>
      <c r="CA1440" s="439"/>
      <c r="CB1440" s="439"/>
      <c r="CC1440" s="439"/>
      <c r="CD1440" s="439"/>
      <c r="CE1440" s="440"/>
      <c r="CF1440" s="420"/>
      <c r="CG1440" s="420"/>
      <c r="CH1440" s="420"/>
    </row>
    <row r="1441" spans="75:86" s="428" customFormat="1" x14ac:dyDescent="0.2">
      <c r="BW1441" s="439"/>
      <c r="BX1441" s="439"/>
      <c r="BY1441" s="439"/>
      <c r="BZ1441" s="439"/>
      <c r="CA1441" s="439"/>
      <c r="CB1441" s="439"/>
      <c r="CC1441" s="439"/>
      <c r="CD1441" s="439"/>
      <c r="CE1441" s="440"/>
      <c r="CF1441" s="420"/>
      <c r="CG1441" s="420"/>
      <c r="CH1441" s="420"/>
    </row>
    <row r="1442" spans="75:86" s="428" customFormat="1" x14ac:dyDescent="0.2">
      <c r="BW1442" s="439"/>
      <c r="BX1442" s="439"/>
      <c r="BY1442" s="439"/>
      <c r="BZ1442" s="439"/>
      <c r="CA1442" s="439"/>
      <c r="CB1442" s="439"/>
      <c r="CC1442" s="439"/>
      <c r="CD1442" s="439"/>
      <c r="CE1442" s="440"/>
      <c r="CF1442" s="420"/>
      <c r="CG1442" s="420"/>
      <c r="CH1442" s="420"/>
    </row>
    <row r="1443" spans="75:86" s="428" customFormat="1" x14ac:dyDescent="0.2">
      <c r="BW1443" s="439"/>
      <c r="BX1443" s="439"/>
      <c r="BY1443" s="439"/>
      <c r="BZ1443" s="439"/>
      <c r="CA1443" s="439"/>
      <c r="CB1443" s="439"/>
      <c r="CC1443" s="439"/>
      <c r="CD1443" s="439"/>
      <c r="CE1443" s="440"/>
      <c r="CF1443" s="420"/>
      <c r="CG1443" s="420"/>
      <c r="CH1443" s="420"/>
    </row>
    <row r="1444" spans="75:86" s="428" customFormat="1" x14ac:dyDescent="0.2">
      <c r="BW1444" s="439"/>
      <c r="BX1444" s="439"/>
      <c r="BY1444" s="439"/>
      <c r="BZ1444" s="439"/>
      <c r="CA1444" s="439"/>
      <c r="CB1444" s="439"/>
      <c r="CC1444" s="439"/>
      <c r="CD1444" s="439"/>
      <c r="CE1444" s="440"/>
      <c r="CF1444" s="420"/>
      <c r="CG1444" s="420"/>
      <c r="CH1444" s="420"/>
    </row>
    <row r="1445" spans="75:86" s="428" customFormat="1" x14ac:dyDescent="0.2">
      <c r="BW1445" s="439"/>
      <c r="BX1445" s="439"/>
      <c r="BY1445" s="439"/>
      <c r="BZ1445" s="439"/>
      <c r="CA1445" s="439"/>
      <c r="CB1445" s="439"/>
      <c r="CC1445" s="439"/>
      <c r="CD1445" s="439"/>
      <c r="CE1445" s="440"/>
      <c r="CF1445" s="420"/>
      <c r="CG1445" s="420"/>
      <c r="CH1445" s="420"/>
    </row>
    <row r="1446" spans="75:86" s="428" customFormat="1" x14ac:dyDescent="0.2">
      <c r="BW1446" s="439"/>
      <c r="BX1446" s="439"/>
      <c r="BY1446" s="439"/>
      <c r="BZ1446" s="439"/>
      <c r="CA1446" s="439"/>
      <c r="CB1446" s="439"/>
      <c r="CC1446" s="439"/>
      <c r="CD1446" s="439"/>
      <c r="CE1446" s="440"/>
      <c r="CF1446" s="420"/>
      <c r="CG1446" s="420"/>
      <c r="CH1446" s="420"/>
    </row>
    <row r="1447" spans="75:86" s="428" customFormat="1" x14ac:dyDescent="0.2">
      <c r="BW1447" s="439"/>
      <c r="BX1447" s="439"/>
      <c r="BY1447" s="439"/>
      <c r="BZ1447" s="439"/>
      <c r="CA1447" s="439"/>
      <c r="CB1447" s="439"/>
      <c r="CC1447" s="439"/>
      <c r="CD1447" s="439"/>
      <c r="CE1447" s="440"/>
      <c r="CF1447" s="420"/>
      <c r="CG1447" s="420"/>
      <c r="CH1447" s="420"/>
    </row>
    <row r="1448" spans="75:86" s="428" customFormat="1" x14ac:dyDescent="0.2">
      <c r="BW1448" s="439"/>
      <c r="BX1448" s="439"/>
      <c r="BY1448" s="439"/>
      <c r="BZ1448" s="439"/>
      <c r="CA1448" s="439"/>
      <c r="CB1448" s="439"/>
      <c r="CC1448" s="439"/>
      <c r="CD1448" s="439"/>
      <c r="CE1448" s="440"/>
      <c r="CF1448" s="420"/>
      <c r="CG1448" s="420"/>
      <c r="CH1448" s="420"/>
    </row>
    <row r="1449" spans="75:86" s="428" customFormat="1" x14ac:dyDescent="0.2">
      <c r="BW1449" s="439"/>
      <c r="BX1449" s="439"/>
      <c r="BY1449" s="439"/>
      <c r="BZ1449" s="439"/>
      <c r="CA1449" s="439"/>
      <c r="CB1449" s="439"/>
      <c r="CC1449" s="439"/>
      <c r="CD1449" s="439"/>
      <c r="CE1449" s="440"/>
      <c r="CF1449" s="420"/>
      <c r="CG1449" s="420"/>
      <c r="CH1449" s="420"/>
    </row>
    <row r="1450" spans="75:86" s="428" customFormat="1" x14ac:dyDescent="0.2">
      <c r="BW1450" s="439"/>
      <c r="BX1450" s="439"/>
      <c r="BY1450" s="439"/>
      <c r="BZ1450" s="439"/>
      <c r="CA1450" s="439"/>
      <c r="CB1450" s="439"/>
      <c r="CC1450" s="439"/>
      <c r="CD1450" s="439"/>
      <c r="CE1450" s="440"/>
      <c r="CF1450" s="420"/>
      <c r="CG1450" s="420"/>
      <c r="CH1450" s="420"/>
    </row>
    <row r="1451" spans="75:86" s="428" customFormat="1" x14ac:dyDescent="0.2">
      <c r="BW1451" s="439"/>
      <c r="BX1451" s="439"/>
      <c r="BY1451" s="439"/>
      <c r="BZ1451" s="439"/>
      <c r="CA1451" s="439"/>
      <c r="CB1451" s="439"/>
      <c r="CC1451" s="439"/>
      <c r="CD1451" s="439"/>
      <c r="CE1451" s="440"/>
      <c r="CF1451" s="420"/>
      <c r="CG1451" s="420"/>
      <c r="CH1451" s="420"/>
    </row>
    <row r="1452" spans="75:86" s="428" customFormat="1" x14ac:dyDescent="0.2">
      <c r="BW1452" s="439"/>
      <c r="BX1452" s="439"/>
      <c r="BY1452" s="439"/>
      <c r="BZ1452" s="439"/>
      <c r="CA1452" s="439"/>
      <c r="CB1452" s="439"/>
      <c r="CC1452" s="439"/>
      <c r="CD1452" s="439"/>
      <c r="CE1452" s="440"/>
      <c r="CF1452" s="420"/>
      <c r="CG1452" s="420"/>
      <c r="CH1452" s="420"/>
    </row>
    <row r="1453" spans="75:86" s="428" customFormat="1" x14ac:dyDescent="0.2">
      <c r="BW1453" s="439"/>
      <c r="BX1453" s="439"/>
      <c r="BY1453" s="439"/>
      <c r="BZ1453" s="439"/>
      <c r="CA1453" s="439"/>
      <c r="CB1453" s="439"/>
      <c r="CC1453" s="439"/>
      <c r="CD1453" s="439"/>
      <c r="CE1453" s="440"/>
      <c r="CF1453" s="420"/>
      <c r="CG1453" s="420"/>
      <c r="CH1453" s="420"/>
    </row>
    <row r="1454" spans="75:86" s="428" customFormat="1" x14ac:dyDescent="0.2">
      <c r="BW1454" s="439"/>
      <c r="BX1454" s="439"/>
      <c r="BY1454" s="439"/>
      <c r="BZ1454" s="439"/>
      <c r="CA1454" s="439"/>
      <c r="CB1454" s="439"/>
      <c r="CC1454" s="439"/>
      <c r="CD1454" s="439"/>
      <c r="CE1454" s="440"/>
      <c r="CF1454" s="420"/>
      <c r="CG1454" s="420"/>
      <c r="CH1454" s="420"/>
    </row>
    <row r="1455" spans="75:86" s="428" customFormat="1" x14ac:dyDescent="0.2">
      <c r="BW1455" s="439"/>
      <c r="BX1455" s="439"/>
      <c r="BY1455" s="439"/>
      <c r="BZ1455" s="439"/>
      <c r="CA1455" s="439"/>
      <c r="CB1455" s="439"/>
      <c r="CC1455" s="439"/>
      <c r="CD1455" s="439"/>
      <c r="CE1455" s="440"/>
      <c r="CF1455" s="420"/>
      <c r="CG1455" s="420"/>
      <c r="CH1455" s="420"/>
    </row>
    <row r="1456" spans="75:86" s="428" customFormat="1" x14ac:dyDescent="0.2">
      <c r="BW1456" s="439"/>
      <c r="BX1456" s="439"/>
      <c r="BY1456" s="439"/>
      <c r="BZ1456" s="439"/>
      <c r="CA1456" s="439"/>
      <c r="CB1456" s="439"/>
      <c r="CC1456" s="439"/>
      <c r="CD1456" s="439"/>
      <c r="CE1456" s="440"/>
      <c r="CF1456" s="420"/>
      <c r="CG1456" s="420"/>
      <c r="CH1456" s="420"/>
    </row>
    <row r="1457" spans="75:86" s="428" customFormat="1" x14ac:dyDescent="0.2">
      <c r="BW1457" s="439"/>
      <c r="BX1457" s="439"/>
      <c r="BY1457" s="439"/>
      <c r="BZ1457" s="439"/>
      <c r="CA1457" s="439"/>
      <c r="CB1457" s="439"/>
      <c r="CC1457" s="439"/>
      <c r="CD1457" s="439"/>
      <c r="CE1457" s="440"/>
      <c r="CF1457" s="420"/>
      <c r="CG1457" s="420"/>
      <c r="CH1457" s="420"/>
    </row>
    <row r="1458" spans="75:86" s="428" customFormat="1" x14ac:dyDescent="0.2">
      <c r="BW1458" s="439"/>
      <c r="BX1458" s="439"/>
      <c r="BY1458" s="439"/>
      <c r="BZ1458" s="439"/>
      <c r="CA1458" s="439"/>
      <c r="CB1458" s="439"/>
      <c r="CC1458" s="439"/>
      <c r="CD1458" s="439"/>
      <c r="CE1458" s="440"/>
      <c r="CF1458" s="420"/>
      <c r="CG1458" s="420"/>
      <c r="CH1458" s="420"/>
    </row>
    <row r="1459" spans="75:86" s="428" customFormat="1" x14ac:dyDescent="0.2">
      <c r="BW1459" s="439"/>
      <c r="BX1459" s="439"/>
      <c r="BY1459" s="439"/>
      <c r="BZ1459" s="439"/>
      <c r="CA1459" s="439"/>
      <c r="CB1459" s="439"/>
      <c r="CC1459" s="439"/>
      <c r="CD1459" s="439"/>
      <c r="CE1459" s="440"/>
      <c r="CF1459" s="420"/>
      <c r="CG1459" s="420"/>
      <c r="CH1459" s="420"/>
    </row>
    <row r="1460" spans="75:86" s="428" customFormat="1" x14ac:dyDescent="0.2">
      <c r="BW1460" s="439"/>
      <c r="BX1460" s="439"/>
      <c r="BY1460" s="439"/>
      <c r="BZ1460" s="439"/>
      <c r="CA1460" s="439"/>
      <c r="CB1460" s="439"/>
      <c r="CC1460" s="439"/>
      <c r="CD1460" s="439"/>
      <c r="CE1460" s="440"/>
      <c r="CF1460" s="420"/>
      <c r="CG1460" s="420"/>
      <c r="CH1460" s="420"/>
    </row>
    <row r="1461" spans="75:86" s="428" customFormat="1" x14ac:dyDescent="0.2">
      <c r="BW1461" s="439"/>
      <c r="BX1461" s="439"/>
      <c r="BY1461" s="439"/>
      <c r="BZ1461" s="439"/>
      <c r="CA1461" s="439"/>
      <c r="CB1461" s="439"/>
      <c r="CC1461" s="439"/>
      <c r="CD1461" s="439"/>
      <c r="CE1461" s="440"/>
      <c r="CF1461" s="420"/>
      <c r="CG1461" s="420"/>
      <c r="CH1461" s="420"/>
    </row>
    <row r="1462" spans="75:86" s="428" customFormat="1" x14ac:dyDescent="0.2">
      <c r="BW1462" s="439"/>
      <c r="BX1462" s="439"/>
      <c r="BY1462" s="439"/>
      <c r="BZ1462" s="439"/>
      <c r="CA1462" s="439"/>
      <c r="CB1462" s="439"/>
      <c r="CC1462" s="439"/>
      <c r="CD1462" s="439"/>
      <c r="CE1462" s="440"/>
      <c r="CF1462" s="420"/>
      <c r="CG1462" s="420"/>
      <c r="CH1462" s="420"/>
    </row>
    <row r="1463" spans="75:86" s="428" customFormat="1" x14ac:dyDescent="0.2">
      <c r="BW1463" s="439"/>
      <c r="BX1463" s="439"/>
      <c r="BY1463" s="439"/>
      <c r="BZ1463" s="439"/>
      <c r="CA1463" s="439"/>
      <c r="CB1463" s="439"/>
      <c r="CC1463" s="439"/>
      <c r="CD1463" s="439"/>
      <c r="CE1463" s="440"/>
      <c r="CF1463" s="420"/>
      <c r="CG1463" s="420"/>
      <c r="CH1463" s="420"/>
    </row>
    <row r="1464" spans="75:86" s="428" customFormat="1" x14ac:dyDescent="0.2">
      <c r="BW1464" s="439"/>
      <c r="BX1464" s="439"/>
      <c r="BY1464" s="439"/>
      <c r="BZ1464" s="439"/>
      <c r="CA1464" s="439"/>
      <c r="CB1464" s="439"/>
      <c r="CC1464" s="439"/>
      <c r="CD1464" s="439"/>
      <c r="CE1464" s="440"/>
      <c r="CF1464" s="420"/>
      <c r="CG1464" s="420"/>
      <c r="CH1464" s="420"/>
    </row>
    <row r="1465" spans="75:86" s="428" customFormat="1" x14ac:dyDescent="0.2">
      <c r="BW1465" s="439"/>
      <c r="BX1465" s="439"/>
      <c r="BY1465" s="439"/>
      <c r="BZ1465" s="439"/>
      <c r="CA1465" s="439"/>
      <c r="CB1465" s="439"/>
      <c r="CC1465" s="439"/>
      <c r="CD1465" s="439"/>
      <c r="CE1465" s="440"/>
      <c r="CF1465" s="420"/>
      <c r="CG1465" s="420"/>
      <c r="CH1465" s="420"/>
    </row>
    <row r="1466" spans="75:86" s="428" customFormat="1" x14ac:dyDescent="0.2">
      <c r="BW1466" s="439"/>
      <c r="BX1466" s="439"/>
      <c r="BY1466" s="439"/>
      <c r="BZ1466" s="439"/>
      <c r="CA1466" s="439"/>
      <c r="CB1466" s="439"/>
      <c r="CC1466" s="439"/>
      <c r="CD1466" s="439"/>
      <c r="CE1466" s="440"/>
      <c r="CF1466" s="420"/>
      <c r="CG1466" s="420"/>
      <c r="CH1466" s="420"/>
    </row>
    <row r="1467" spans="75:86" s="428" customFormat="1" x14ac:dyDescent="0.2">
      <c r="BW1467" s="439"/>
      <c r="BX1467" s="439"/>
      <c r="BY1467" s="439"/>
      <c r="BZ1467" s="439"/>
      <c r="CA1467" s="439"/>
      <c r="CB1467" s="439"/>
      <c r="CC1467" s="439"/>
      <c r="CD1467" s="439"/>
      <c r="CE1467" s="440"/>
      <c r="CF1467" s="420"/>
      <c r="CG1467" s="420"/>
      <c r="CH1467" s="420"/>
    </row>
    <row r="1468" spans="75:86" s="428" customFormat="1" x14ac:dyDescent="0.2">
      <c r="BW1468" s="439"/>
      <c r="BX1468" s="439"/>
      <c r="BY1468" s="439"/>
      <c r="BZ1468" s="439"/>
      <c r="CA1468" s="439"/>
      <c r="CB1468" s="439"/>
      <c r="CC1468" s="439"/>
      <c r="CD1468" s="439"/>
      <c r="CE1468" s="440"/>
      <c r="CF1468" s="420"/>
      <c r="CG1468" s="420"/>
      <c r="CH1468" s="420"/>
    </row>
    <row r="1469" spans="75:86" s="428" customFormat="1" x14ac:dyDescent="0.2">
      <c r="BW1469" s="439"/>
      <c r="BX1469" s="439"/>
      <c r="BY1469" s="439"/>
      <c r="BZ1469" s="439"/>
      <c r="CA1469" s="439"/>
      <c r="CB1469" s="439"/>
      <c r="CC1469" s="439"/>
      <c r="CD1469" s="439"/>
      <c r="CE1469" s="440"/>
      <c r="CF1469" s="420"/>
      <c r="CG1469" s="420"/>
      <c r="CH1469" s="420"/>
    </row>
    <row r="1470" spans="75:86" s="428" customFormat="1" x14ac:dyDescent="0.2">
      <c r="BW1470" s="439"/>
      <c r="BX1470" s="439"/>
      <c r="BY1470" s="439"/>
      <c r="BZ1470" s="439"/>
      <c r="CA1470" s="439"/>
      <c r="CB1470" s="439"/>
      <c r="CC1470" s="439"/>
      <c r="CD1470" s="439"/>
      <c r="CE1470" s="440"/>
      <c r="CF1470" s="420"/>
      <c r="CG1470" s="420"/>
      <c r="CH1470" s="420"/>
    </row>
    <row r="1471" spans="75:86" s="428" customFormat="1" x14ac:dyDescent="0.2">
      <c r="BW1471" s="439"/>
      <c r="BX1471" s="439"/>
      <c r="BY1471" s="439"/>
      <c r="BZ1471" s="439"/>
      <c r="CA1471" s="439"/>
      <c r="CB1471" s="439"/>
      <c r="CC1471" s="439"/>
      <c r="CD1471" s="439"/>
      <c r="CE1471" s="440"/>
      <c r="CF1471" s="420"/>
      <c r="CG1471" s="420"/>
      <c r="CH1471" s="420"/>
    </row>
    <row r="1472" spans="75:86" s="428" customFormat="1" x14ac:dyDescent="0.2">
      <c r="BW1472" s="439"/>
      <c r="BX1472" s="439"/>
      <c r="BY1472" s="439"/>
      <c r="BZ1472" s="439"/>
      <c r="CA1472" s="439"/>
      <c r="CB1472" s="439"/>
      <c r="CC1472" s="439"/>
      <c r="CD1472" s="439"/>
      <c r="CE1472" s="440"/>
      <c r="CF1472" s="420"/>
      <c r="CG1472" s="420"/>
      <c r="CH1472" s="420"/>
    </row>
    <row r="1473" spans="75:86" s="428" customFormat="1" x14ac:dyDescent="0.2">
      <c r="BW1473" s="439"/>
      <c r="BX1473" s="439"/>
      <c r="BY1473" s="439"/>
      <c r="BZ1473" s="439"/>
      <c r="CA1473" s="439"/>
      <c r="CB1473" s="439"/>
      <c r="CC1473" s="439"/>
      <c r="CD1473" s="439"/>
      <c r="CE1473" s="440"/>
      <c r="CF1473" s="420"/>
      <c r="CG1473" s="420"/>
      <c r="CH1473" s="420"/>
    </row>
    <row r="1474" spans="75:86" s="428" customFormat="1" x14ac:dyDescent="0.2">
      <c r="BW1474" s="439"/>
      <c r="BX1474" s="439"/>
      <c r="BY1474" s="439"/>
      <c r="BZ1474" s="439"/>
      <c r="CA1474" s="439"/>
      <c r="CB1474" s="439"/>
      <c r="CC1474" s="439"/>
      <c r="CD1474" s="439"/>
      <c r="CE1474" s="440"/>
      <c r="CF1474" s="420"/>
      <c r="CG1474" s="420"/>
      <c r="CH1474" s="420"/>
    </row>
    <row r="1475" spans="75:86" s="428" customFormat="1" x14ac:dyDescent="0.2">
      <c r="BW1475" s="439"/>
      <c r="BX1475" s="439"/>
      <c r="BY1475" s="439"/>
      <c r="BZ1475" s="439"/>
      <c r="CA1475" s="439"/>
      <c r="CB1475" s="439"/>
      <c r="CC1475" s="439"/>
      <c r="CD1475" s="439"/>
      <c r="CE1475" s="440"/>
      <c r="CF1475" s="420"/>
      <c r="CG1475" s="420"/>
      <c r="CH1475" s="420"/>
    </row>
    <row r="1476" spans="75:86" s="428" customFormat="1" x14ac:dyDescent="0.2">
      <c r="BW1476" s="439"/>
      <c r="BX1476" s="439"/>
      <c r="BY1476" s="439"/>
      <c r="BZ1476" s="439"/>
      <c r="CA1476" s="439"/>
      <c r="CB1476" s="439"/>
      <c r="CC1476" s="439"/>
      <c r="CD1476" s="439"/>
      <c r="CE1476" s="440"/>
      <c r="CF1476" s="420"/>
      <c r="CG1476" s="420"/>
      <c r="CH1476" s="420"/>
    </row>
    <row r="1477" spans="75:86" s="428" customFormat="1" x14ac:dyDescent="0.2">
      <c r="BW1477" s="439"/>
      <c r="BX1477" s="439"/>
      <c r="BY1477" s="439"/>
      <c r="BZ1477" s="439"/>
      <c r="CA1477" s="439"/>
      <c r="CB1477" s="439"/>
      <c r="CC1477" s="439"/>
      <c r="CD1477" s="439"/>
      <c r="CE1477" s="440"/>
      <c r="CF1477" s="420"/>
      <c r="CG1477" s="420"/>
      <c r="CH1477" s="420"/>
    </row>
    <row r="1478" spans="75:86" s="428" customFormat="1" x14ac:dyDescent="0.2">
      <c r="BW1478" s="439"/>
      <c r="BX1478" s="439"/>
      <c r="BY1478" s="439"/>
      <c r="BZ1478" s="439"/>
      <c r="CA1478" s="439"/>
      <c r="CB1478" s="439"/>
      <c r="CC1478" s="439"/>
      <c r="CD1478" s="439"/>
      <c r="CE1478" s="440"/>
      <c r="CF1478" s="420"/>
      <c r="CG1478" s="420"/>
      <c r="CH1478" s="420"/>
    </row>
    <row r="1479" spans="75:86" s="428" customFormat="1" x14ac:dyDescent="0.2">
      <c r="BW1479" s="439"/>
      <c r="BX1479" s="439"/>
      <c r="BY1479" s="439"/>
      <c r="BZ1479" s="439"/>
      <c r="CA1479" s="439"/>
      <c r="CB1479" s="439"/>
      <c r="CC1479" s="439"/>
      <c r="CD1479" s="439"/>
      <c r="CE1479" s="440"/>
      <c r="CF1479" s="420"/>
      <c r="CG1479" s="420"/>
      <c r="CH1479" s="420"/>
    </row>
    <row r="1480" spans="75:86" s="428" customFormat="1" x14ac:dyDescent="0.2">
      <c r="BW1480" s="439"/>
      <c r="BX1480" s="439"/>
      <c r="BY1480" s="439"/>
      <c r="BZ1480" s="439"/>
      <c r="CA1480" s="439"/>
      <c r="CB1480" s="439"/>
      <c r="CC1480" s="439"/>
      <c r="CD1480" s="439"/>
      <c r="CE1480" s="440"/>
      <c r="CF1480" s="420"/>
      <c r="CG1480" s="420"/>
      <c r="CH1480" s="420"/>
    </row>
    <row r="1481" spans="75:86" s="428" customFormat="1" x14ac:dyDescent="0.2">
      <c r="BW1481" s="439"/>
      <c r="BX1481" s="439"/>
      <c r="BY1481" s="439"/>
      <c r="BZ1481" s="439"/>
      <c r="CA1481" s="439"/>
      <c r="CB1481" s="439"/>
      <c r="CC1481" s="439"/>
      <c r="CD1481" s="439"/>
      <c r="CE1481" s="440"/>
      <c r="CF1481" s="420"/>
      <c r="CG1481" s="420"/>
      <c r="CH1481" s="420"/>
    </row>
    <row r="1482" spans="75:86" s="428" customFormat="1" x14ac:dyDescent="0.2">
      <c r="BW1482" s="439"/>
      <c r="BX1482" s="439"/>
      <c r="BY1482" s="439"/>
      <c r="BZ1482" s="439"/>
      <c r="CA1482" s="439"/>
      <c r="CB1482" s="439"/>
      <c r="CC1482" s="439"/>
      <c r="CD1482" s="439"/>
      <c r="CE1482" s="440"/>
      <c r="CF1482" s="420"/>
      <c r="CG1482" s="420"/>
      <c r="CH1482" s="420"/>
    </row>
    <row r="1483" spans="75:86" s="428" customFormat="1" x14ac:dyDescent="0.2">
      <c r="BW1483" s="439"/>
      <c r="BX1483" s="439"/>
      <c r="BY1483" s="439"/>
      <c r="BZ1483" s="439"/>
      <c r="CA1483" s="439"/>
      <c r="CB1483" s="439"/>
      <c r="CC1483" s="439"/>
      <c r="CD1483" s="439"/>
      <c r="CE1483" s="440"/>
      <c r="CF1483" s="420"/>
      <c r="CG1483" s="420"/>
      <c r="CH1483" s="420"/>
    </row>
    <row r="1484" spans="75:86" s="428" customFormat="1" x14ac:dyDescent="0.2">
      <c r="BW1484" s="439"/>
      <c r="BX1484" s="439"/>
      <c r="BY1484" s="439"/>
      <c r="BZ1484" s="439"/>
      <c r="CA1484" s="439"/>
      <c r="CB1484" s="439"/>
      <c r="CC1484" s="439"/>
      <c r="CD1484" s="439"/>
      <c r="CE1484" s="440"/>
      <c r="CF1484" s="420"/>
      <c r="CG1484" s="420"/>
      <c r="CH1484" s="420"/>
    </row>
    <row r="1485" spans="75:86" s="428" customFormat="1" x14ac:dyDescent="0.2">
      <c r="BW1485" s="439"/>
      <c r="BX1485" s="439"/>
      <c r="BY1485" s="439"/>
      <c r="BZ1485" s="439"/>
      <c r="CA1485" s="439"/>
      <c r="CB1485" s="439"/>
      <c r="CC1485" s="439"/>
      <c r="CD1485" s="439"/>
      <c r="CE1485" s="440"/>
      <c r="CF1485" s="420"/>
      <c r="CG1485" s="420"/>
      <c r="CH1485" s="420"/>
    </row>
    <row r="1486" spans="75:86" s="428" customFormat="1" x14ac:dyDescent="0.2">
      <c r="BW1486" s="439"/>
      <c r="BX1486" s="439"/>
      <c r="BY1486" s="439"/>
      <c r="BZ1486" s="439"/>
      <c r="CA1486" s="439"/>
      <c r="CB1486" s="439"/>
      <c r="CC1486" s="439"/>
      <c r="CD1486" s="439"/>
      <c r="CE1486" s="440"/>
      <c r="CF1486" s="420"/>
      <c r="CG1486" s="420"/>
      <c r="CH1486" s="420"/>
    </row>
    <row r="1487" spans="75:86" s="428" customFormat="1" x14ac:dyDescent="0.2">
      <c r="BW1487" s="439"/>
      <c r="BX1487" s="439"/>
      <c r="BY1487" s="439"/>
      <c r="BZ1487" s="439"/>
      <c r="CA1487" s="439"/>
      <c r="CB1487" s="439"/>
      <c r="CC1487" s="439"/>
      <c r="CD1487" s="439"/>
      <c r="CE1487" s="440"/>
      <c r="CF1487" s="420"/>
      <c r="CG1487" s="420"/>
      <c r="CH1487" s="420"/>
    </row>
    <row r="1488" spans="75:86" s="428" customFormat="1" x14ac:dyDescent="0.2">
      <c r="BW1488" s="439"/>
      <c r="BX1488" s="439"/>
      <c r="BY1488" s="439"/>
      <c r="BZ1488" s="439"/>
      <c r="CA1488" s="439"/>
      <c r="CB1488" s="439"/>
      <c r="CC1488" s="439"/>
      <c r="CD1488" s="439"/>
      <c r="CE1488" s="440"/>
      <c r="CF1488" s="420"/>
      <c r="CG1488" s="420"/>
      <c r="CH1488" s="420"/>
    </row>
    <row r="1489" spans="75:86" s="428" customFormat="1" x14ac:dyDescent="0.2">
      <c r="BW1489" s="439"/>
      <c r="BX1489" s="439"/>
      <c r="BY1489" s="439"/>
      <c r="BZ1489" s="439"/>
      <c r="CA1489" s="439"/>
      <c r="CB1489" s="439"/>
      <c r="CC1489" s="439"/>
      <c r="CD1489" s="439"/>
      <c r="CE1489" s="440"/>
      <c r="CF1489" s="420"/>
      <c r="CG1489" s="420"/>
      <c r="CH1489" s="420"/>
    </row>
    <row r="1490" spans="75:86" s="428" customFormat="1" x14ac:dyDescent="0.2">
      <c r="BW1490" s="439"/>
      <c r="BX1490" s="439"/>
      <c r="BY1490" s="439"/>
      <c r="BZ1490" s="439"/>
      <c r="CA1490" s="439"/>
      <c r="CB1490" s="439"/>
      <c r="CC1490" s="439"/>
      <c r="CD1490" s="439"/>
      <c r="CE1490" s="440"/>
      <c r="CF1490" s="420"/>
      <c r="CG1490" s="420"/>
      <c r="CH1490" s="420"/>
    </row>
    <row r="1491" spans="75:86" s="428" customFormat="1" x14ac:dyDescent="0.2">
      <c r="BW1491" s="439"/>
      <c r="BX1491" s="439"/>
      <c r="BY1491" s="439"/>
      <c r="BZ1491" s="439"/>
      <c r="CA1491" s="439"/>
      <c r="CB1491" s="439"/>
      <c r="CC1491" s="439"/>
      <c r="CD1491" s="439"/>
      <c r="CE1491" s="440"/>
      <c r="CF1491" s="420"/>
      <c r="CG1491" s="420"/>
      <c r="CH1491" s="420"/>
    </row>
    <row r="1492" spans="75:86" s="428" customFormat="1" x14ac:dyDescent="0.2">
      <c r="BW1492" s="439"/>
      <c r="BX1492" s="439"/>
      <c r="BY1492" s="439"/>
      <c r="BZ1492" s="439"/>
      <c r="CA1492" s="439"/>
      <c r="CB1492" s="439"/>
      <c r="CC1492" s="439"/>
      <c r="CD1492" s="439"/>
      <c r="CE1492" s="440"/>
      <c r="CF1492" s="420"/>
      <c r="CG1492" s="420"/>
      <c r="CH1492" s="420"/>
    </row>
    <row r="1493" spans="75:86" s="428" customFormat="1" x14ac:dyDescent="0.2">
      <c r="BW1493" s="439"/>
      <c r="BX1493" s="439"/>
      <c r="BY1493" s="439"/>
      <c r="BZ1493" s="439"/>
      <c r="CA1493" s="439"/>
      <c r="CB1493" s="439"/>
      <c r="CC1493" s="439"/>
      <c r="CD1493" s="439"/>
      <c r="CE1493" s="440"/>
      <c r="CF1493" s="420"/>
      <c r="CG1493" s="420"/>
      <c r="CH1493" s="420"/>
    </row>
    <row r="1494" spans="75:86" s="428" customFormat="1" x14ac:dyDescent="0.2">
      <c r="BW1494" s="439"/>
      <c r="BX1494" s="439"/>
      <c r="BY1494" s="439"/>
      <c r="BZ1494" s="439"/>
      <c r="CA1494" s="439"/>
      <c r="CB1494" s="439"/>
      <c r="CC1494" s="439"/>
      <c r="CD1494" s="439"/>
      <c r="CE1494" s="440"/>
      <c r="CF1494" s="420"/>
      <c r="CG1494" s="420"/>
      <c r="CH1494" s="420"/>
    </row>
    <row r="1495" spans="75:86" s="428" customFormat="1" x14ac:dyDescent="0.2">
      <c r="BW1495" s="439"/>
      <c r="BX1495" s="439"/>
      <c r="BY1495" s="439"/>
      <c r="BZ1495" s="439"/>
      <c r="CA1495" s="439"/>
      <c r="CB1495" s="439"/>
      <c r="CC1495" s="439"/>
      <c r="CD1495" s="439"/>
      <c r="CE1495" s="440"/>
      <c r="CF1495" s="420"/>
      <c r="CG1495" s="420"/>
      <c r="CH1495" s="420"/>
    </row>
    <row r="1496" spans="75:86" s="428" customFormat="1" x14ac:dyDescent="0.2">
      <c r="BW1496" s="439"/>
      <c r="BX1496" s="439"/>
      <c r="BY1496" s="439"/>
      <c r="BZ1496" s="439"/>
      <c r="CA1496" s="439"/>
      <c r="CB1496" s="439"/>
      <c r="CC1496" s="439"/>
      <c r="CD1496" s="439"/>
      <c r="CE1496" s="440"/>
      <c r="CF1496" s="420"/>
      <c r="CG1496" s="420"/>
      <c r="CH1496" s="420"/>
    </row>
    <row r="1497" spans="75:86" s="428" customFormat="1" x14ac:dyDescent="0.2">
      <c r="BW1497" s="439"/>
      <c r="BX1497" s="439"/>
      <c r="BY1497" s="439"/>
      <c r="BZ1497" s="439"/>
      <c r="CA1497" s="439"/>
      <c r="CB1497" s="439"/>
      <c r="CC1497" s="439"/>
      <c r="CD1497" s="439"/>
      <c r="CE1497" s="440"/>
      <c r="CF1497" s="420"/>
      <c r="CG1497" s="420"/>
      <c r="CH1497" s="420"/>
    </row>
    <row r="1498" spans="75:86" s="428" customFormat="1" x14ac:dyDescent="0.2">
      <c r="BW1498" s="439"/>
      <c r="BX1498" s="439"/>
      <c r="BY1498" s="439"/>
      <c r="BZ1498" s="439"/>
      <c r="CA1498" s="439"/>
      <c r="CB1498" s="439"/>
      <c r="CC1498" s="439"/>
      <c r="CD1498" s="439"/>
      <c r="CE1498" s="440"/>
      <c r="CF1498" s="420"/>
      <c r="CG1498" s="420"/>
      <c r="CH1498" s="420"/>
    </row>
    <row r="1499" spans="75:86" s="428" customFormat="1" x14ac:dyDescent="0.2">
      <c r="BW1499" s="439"/>
      <c r="BX1499" s="439"/>
      <c r="BY1499" s="439"/>
      <c r="BZ1499" s="439"/>
      <c r="CA1499" s="439"/>
      <c r="CB1499" s="439"/>
      <c r="CC1499" s="439"/>
      <c r="CD1499" s="439"/>
      <c r="CE1499" s="440"/>
      <c r="CF1499" s="420"/>
      <c r="CG1499" s="420"/>
      <c r="CH1499" s="420"/>
    </row>
    <row r="1500" spans="75:86" s="428" customFormat="1" x14ac:dyDescent="0.2">
      <c r="BW1500" s="439"/>
      <c r="BX1500" s="439"/>
      <c r="BY1500" s="439"/>
      <c r="BZ1500" s="439"/>
      <c r="CA1500" s="439"/>
      <c r="CB1500" s="439"/>
      <c r="CC1500" s="439"/>
      <c r="CD1500" s="439"/>
      <c r="CE1500" s="440"/>
      <c r="CF1500" s="420"/>
      <c r="CG1500" s="420"/>
      <c r="CH1500" s="420"/>
    </row>
    <row r="1501" spans="75:86" s="428" customFormat="1" x14ac:dyDescent="0.2">
      <c r="BW1501" s="439"/>
      <c r="BX1501" s="439"/>
      <c r="BY1501" s="439"/>
      <c r="BZ1501" s="439"/>
      <c r="CA1501" s="439"/>
      <c r="CB1501" s="439"/>
      <c r="CC1501" s="439"/>
      <c r="CD1501" s="439"/>
      <c r="CE1501" s="440"/>
      <c r="CF1501" s="420"/>
      <c r="CG1501" s="420"/>
      <c r="CH1501" s="420"/>
    </row>
    <row r="1502" spans="75:86" s="428" customFormat="1" x14ac:dyDescent="0.2">
      <c r="BW1502" s="439"/>
      <c r="BX1502" s="439"/>
      <c r="BY1502" s="439"/>
      <c r="BZ1502" s="439"/>
      <c r="CA1502" s="439"/>
      <c r="CB1502" s="439"/>
      <c r="CC1502" s="439"/>
      <c r="CD1502" s="439"/>
      <c r="CE1502" s="440"/>
      <c r="CF1502" s="420"/>
      <c r="CG1502" s="420"/>
      <c r="CH1502" s="420"/>
    </row>
    <row r="1503" spans="75:86" s="428" customFormat="1" x14ac:dyDescent="0.2">
      <c r="BW1503" s="439"/>
      <c r="BX1503" s="439"/>
      <c r="BY1503" s="439"/>
      <c r="BZ1503" s="439"/>
      <c r="CA1503" s="439"/>
      <c r="CB1503" s="439"/>
      <c r="CC1503" s="439"/>
      <c r="CD1503" s="439"/>
      <c r="CE1503" s="440"/>
      <c r="CF1503" s="420"/>
      <c r="CG1503" s="420"/>
      <c r="CH1503" s="420"/>
    </row>
    <row r="1504" spans="75:86" s="428" customFormat="1" x14ac:dyDescent="0.2">
      <c r="BW1504" s="439"/>
      <c r="BX1504" s="439"/>
      <c r="BY1504" s="439"/>
      <c r="BZ1504" s="439"/>
      <c r="CA1504" s="439"/>
      <c r="CB1504" s="439"/>
      <c r="CC1504" s="439"/>
      <c r="CD1504" s="439"/>
      <c r="CE1504" s="440"/>
      <c r="CF1504" s="420"/>
      <c r="CG1504" s="420"/>
      <c r="CH1504" s="420"/>
    </row>
    <row r="1505" spans="75:86" s="428" customFormat="1" x14ac:dyDescent="0.2">
      <c r="BW1505" s="439"/>
      <c r="BX1505" s="439"/>
      <c r="BY1505" s="439"/>
      <c r="BZ1505" s="439"/>
      <c r="CA1505" s="439"/>
      <c r="CB1505" s="439"/>
      <c r="CC1505" s="439"/>
      <c r="CD1505" s="439"/>
      <c r="CE1505" s="440"/>
      <c r="CF1505" s="420"/>
      <c r="CG1505" s="420"/>
      <c r="CH1505" s="420"/>
    </row>
    <row r="1506" spans="75:86" s="428" customFormat="1" x14ac:dyDescent="0.2">
      <c r="BW1506" s="439"/>
      <c r="BX1506" s="439"/>
      <c r="BY1506" s="439"/>
      <c r="BZ1506" s="439"/>
      <c r="CA1506" s="439"/>
      <c r="CB1506" s="439"/>
      <c r="CC1506" s="439"/>
      <c r="CD1506" s="439"/>
      <c r="CE1506" s="440"/>
      <c r="CF1506" s="420"/>
      <c r="CG1506" s="420"/>
      <c r="CH1506" s="420"/>
    </row>
  </sheetData>
  <autoFilter ref="A5:CT302" xr:uid="{00000000-0001-0000-0900-000000000000}"/>
  <sortState xmlns:xlrd2="http://schemas.microsoft.com/office/spreadsheetml/2017/richdata2" ref="A6:CK301">
    <sortCondition ref="B6:B301"/>
  </sortState>
  <phoneticPr fontId="7" type="noConversion"/>
  <conditionalFormatting sqref="C6:C301 F6:F301 I6:I301">
    <cfRule type="cellIs" dxfId="11" priority="1" stopIfTrue="1" operator="lessThan">
      <formula>0</formula>
    </cfRule>
  </conditionalFormatting>
  <conditionalFormatting sqref="K6:K301 N6:N301 Q6:Q301">
    <cfRule type="cellIs" dxfId="10" priority="71" stopIfTrue="1" operator="lessThan">
      <formula>0</formula>
    </cfRule>
  </conditionalFormatting>
  <conditionalFormatting sqref="S6:S301 V6:V301 Y6:Y301">
    <cfRule type="cellIs" dxfId="9" priority="5" stopIfTrue="1" operator="lessThan">
      <formula>0</formula>
    </cfRule>
  </conditionalFormatting>
  <conditionalFormatting sqref="AA6:AA301 AD6:AD301 AG6:AG301">
    <cfRule type="cellIs" dxfId="8" priority="29" stopIfTrue="1" operator="lessThan">
      <formula>0</formula>
    </cfRule>
  </conditionalFormatting>
  <conditionalFormatting sqref="AI6:AI301 AL6:AL301 AO6:AO301">
    <cfRule type="cellIs" dxfId="7" priority="26" stopIfTrue="1" operator="lessThan">
      <formula>0</formula>
    </cfRule>
  </conditionalFormatting>
  <conditionalFormatting sqref="AQ6:AQ301 AT6:AT301 AW6:AW301">
    <cfRule type="cellIs" dxfId="6" priority="24" stopIfTrue="1" operator="lessThan">
      <formula>0</formula>
    </cfRule>
  </conditionalFormatting>
  <conditionalFormatting sqref="AY6:AY301 BB6:BB301 BE6:BE301">
    <cfRule type="cellIs" dxfId="5" priority="22" stopIfTrue="1" operator="lessThan">
      <formula>0</formula>
    </cfRule>
  </conditionalFormatting>
  <conditionalFormatting sqref="BG6:BG301 BJ6:BJ301 BM6:BM301">
    <cfRule type="cellIs" dxfId="4" priority="20" stopIfTrue="1" operator="lessThan">
      <formula>0</formula>
    </cfRule>
  </conditionalFormatting>
  <conditionalFormatting sqref="BH6:BH302 BK6:BK302 BN6:BN302">
    <cfRule type="cellIs" dxfId="3" priority="37" stopIfTrue="1" operator="lessThan">
      <formula>0</formula>
    </cfRule>
  </conditionalFormatting>
  <conditionalFormatting sqref="BP6:BP302 BS6:BS302 BV6:BV302">
    <cfRule type="cellIs" dxfId="2" priority="18" stopIfTrue="1" operator="lessThan">
      <formula>0</formula>
    </cfRule>
  </conditionalFormatting>
  <conditionalFormatting sqref="BX6:BX301 CA6:CA301 CD6:CD301">
    <cfRule type="cellIs" dxfId="1" priority="16" stopIfTrue="1" operator="lessThan">
      <formula>0</formula>
    </cfRule>
  </conditionalFormatting>
  <conditionalFormatting sqref="CN6:CN301 CQ6:CQ301">
    <cfRule type="cellIs" dxfId="0" priority="119" stopIfTrue="1" operator="lessThan">
      <formula>0</formula>
    </cfRule>
  </conditionalFormatting>
  <pageMargins left="0.3543307086614173" right="0.3543307086614173" top="0.19685039370078741" bottom="0.19685039370078741" header="0.39370078740157483" footer="0.31496062992125984"/>
  <pageSetup paperSize="9" scale="11" fitToHeight="0" orientation="landscape" r:id="rId1"/>
  <headerFooter alignWithMargins="0">
    <oddHeader>&amp;C&amp;"Calibri"&amp;10&amp;K000000 OFFICIAL&amp;1#_x000D_</oddHeader>
    <oddFooter>&amp;C_x000D_&amp;1#&amp;"Calibri"&amp;10&amp;K000000 OFFICIAL</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92D050"/>
    <pageSetUpPr autoPageBreaks="0" fitToPage="1"/>
  </sheetPr>
  <dimension ref="A1:AI553"/>
  <sheetViews>
    <sheetView zoomScale="80" zoomScaleNormal="80" workbookViewId="0">
      <selection activeCell="R458" sqref="R458"/>
    </sheetView>
  </sheetViews>
  <sheetFormatPr defaultColWidth="9.140625" defaultRowHeight="12.75" x14ac:dyDescent="0.2"/>
  <cols>
    <col min="2" max="2" width="6.5703125" style="255" customWidth="1"/>
    <col min="3" max="3" width="12.28515625" style="255" customWidth="1"/>
    <col min="4" max="4" width="25.7109375" bestFit="1" customWidth="1"/>
    <col min="5" max="5" width="54.5703125" customWidth="1"/>
    <col min="6" max="6" width="13.5703125" customWidth="1"/>
    <col min="7" max="7" width="23.7109375" style="509" customWidth="1"/>
    <col min="8" max="8" width="25.140625" style="509" customWidth="1"/>
    <col min="9" max="9" width="14.7109375" style="509" customWidth="1"/>
    <col min="10" max="10" width="14.28515625" style="509" bestFit="1" customWidth="1"/>
    <col min="11" max="11" width="14.7109375" customWidth="1"/>
    <col min="12" max="12" width="14.28515625" style="261" customWidth="1"/>
    <col min="13" max="13" width="15" style="261" customWidth="1"/>
    <col min="14" max="14" width="13.42578125" style="261" customWidth="1"/>
    <col min="15" max="15" width="14.140625" style="261" customWidth="1"/>
    <col min="16" max="16" width="15.28515625" style="261" customWidth="1"/>
    <col min="17" max="17" width="13" style="261" customWidth="1"/>
    <col min="18" max="18" width="14.140625" style="261" customWidth="1"/>
    <col min="19" max="35" width="9.140625" style="261"/>
  </cols>
  <sheetData>
    <row r="1" spans="1:18" ht="19.5" customHeight="1" thickBot="1" x14ac:dyDescent="0.25">
      <c r="B1" s="509" t="s">
        <v>1209</v>
      </c>
      <c r="D1" s="496"/>
      <c r="E1" s="496"/>
      <c r="F1" s="1603"/>
      <c r="J1" s="509">
        <f>491/480</f>
        <v>1.0229166666666667</v>
      </c>
      <c r="K1" s="137">
        <f>499/491</f>
        <v>1.0162932790224033</v>
      </c>
      <c r="L1" s="509">
        <f>499/499</f>
        <v>1</v>
      </c>
      <c r="M1" s="261">
        <f>499/499</f>
        <v>1</v>
      </c>
      <c r="N1" s="509">
        <v>1</v>
      </c>
      <c r="O1" s="261">
        <f>499/499</f>
        <v>1</v>
      </c>
      <c r="P1" s="261">
        <v>1</v>
      </c>
      <c r="Q1" s="261">
        <f>555/546</f>
        <v>1.0164835164835164</v>
      </c>
    </row>
    <row r="2" spans="1:18" ht="18.75" customHeight="1" x14ac:dyDescent="0.2">
      <c r="D2" s="495">
        <v>1</v>
      </c>
      <c r="E2" s="495">
        <v>2</v>
      </c>
      <c r="F2" s="495"/>
      <c r="G2" s="509">
        <v>3</v>
      </c>
      <c r="H2" s="508">
        <v>4</v>
      </c>
      <c r="I2" s="509">
        <v>5</v>
      </c>
      <c r="J2" s="509">
        <v>6</v>
      </c>
      <c r="K2">
        <v>7</v>
      </c>
      <c r="L2" s="261">
        <v>8</v>
      </c>
      <c r="M2" s="261">
        <v>9</v>
      </c>
      <c r="N2" s="261">
        <v>10</v>
      </c>
      <c r="O2" s="261">
        <v>11</v>
      </c>
      <c r="P2" s="261">
        <v>12</v>
      </c>
      <c r="Q2" s="261">
        <v>13</v>
      </c>
      <c r="R2" s="261">
        <v>14</v>
      </c>
    </row>
    <row r="3" spans="1:18" ht="66.75" customHeight="1" x14ac:dyDescent="0.2">
      <c r="A3" s="594"/>
      <c r="B3" s="595" t="s">
        <v>941</v>
      </c>
      <c r="C3" s="595" t="s">
        <v>940</v>
      </c>
      <c r="D3" s="596" t="s">
        <v>717</v>
      </c>
      <c r="E3" s="596" t="s">
        <v>939</v>
      </c>
      <c r="F3" s="596" t="s">
        <v>5802</v>
      </c>
      <c r="G3" s="594" t="s">
        <v>1152</v>
      </c>
      <c r="H3" s="594" t="s">
        <v>1154</v>
      </c>
      <c r="I3" s="594" t="s">
        <v>1153</v>
      </c>
      <c r="J3" s="594" t="s">
        <v>1204</v>
      </c>
      <c r="K3" s="594" t="s">
        <v>1208</v>
      </c>
      <c r="L3" s="594" t="s">
        <v>1306</v>
      </c>
      <c r="M3" s="594" t="s">
        <v>2223</v>
      </c>
      <c r="N3" s="892" t="s">
        <v>2720</v>
      </c>
      <c r="O3" s="892" t="s">
        <v>2721</v>
      </c>
      <c r="P3" s="892" t="s">
        <v>5803</v>
      </c>
      <c r="Q3" s="892" t="s">
        <v>5804</v>
      </c>
      <c r="R3" s="892" t="s">
        <v>3144</v>
      </c>
    </row>
    <row r="4" spans="1:18" x14ac:dyDescent="0.2">
      <c r="A4" s="261">
        <v>1</v>
      </c>
      <c r="B4" s="422" t="str">
        <f>INDEX('LA List'!B:B,MATCH('EZ list'!D4,'LA List'!A:A,0))</f>
        <v>E3831</v>
      </c>
      <c r="C4" s="422" t="str">
        <f t="shared" ref="C4:C66" si="0">CONCATENATE(B4,"EZ",A4)</f>
        <v>E3831EZ1</v>
      </c>
      <c r="D4" s="261" t="s">
        <v>719</v>
      </c>
      <c r="E4" s="261" t="s">
        <v>1166</v>
      </c>
      <c r="F4" s="261" t="s">
        <v>1166</v>
      </c>
      <c r="G4" s="577" t="s">
        <v>1166</v>
      </c>
      <c r="H4" s="577" t="s">
        <v>1166</v>
      </c>
      <c r="I4" s="577" t="s">
        <v>1166</v>
      </c>
      <c r="J4" s="577" t="str">
        <f t="shared" ref="J4:J9" si="1">IF(I4="","",ROUND(I4*$J$1,0))</f>
        <v/>
      </c>
      <c r="K4" s="577" t="str">
        <f t="shared" ref="K4:K9" si="2">IF(J4="","",ROUND(J4*$K$1,0))</f>
        <v/>
      </c>
      <c r="L4" s="577" t="str">
        <f t="shared" ref="L4:L9" si="3">IF(K4="","",ROUND(K4*$L$1,0))</f>
        <v/>
      </c>
      <c r="N4" s="564" t="s">
        <v>1166</v>
      </c>
      <c r="O4" s="577" t="s">
        <v>1166</v>
      </c>
      <c r="P4" s="577" t="s">
        <v>1166</v>
      </c>
      <c r="Q4" s="577" t="s">
        <v>1166</v>
      </c>
      <c r="R4" s="1604" t="str">
        <f t="shared" ref="R4:R67" si="4">IF($F4 = "","",
IF($F4&lt;2024,O4*$P$1,
IF($F4&gt;=2024,+P4+Q4)))</f>
        <v/>
      </c>
    </row>
    <row r="5" spans="1:18" x14ac:dyDescent="0.2">
      <c r="A5" s="261">
        <f t="shared" ref="A5:A70" si="5">IF(D5=D4,A4+1,1)</f>
        <v>1</v>
      </c>
      <c r="B5" s="422" t="str">
        <f>INDEX('LA List'!B:B,MATCH('EZ list'!D5,'LA List'!A:A,0))</f>
        <v>E1031</v>
      </c>
      <c r="C5" s="422" t="str">
        <f t="shared" si="0"/>
        <v>E1031EZ1</v>
      </c>
      <c r="D5" s="261" t="s">
        <v>721</v>
      </c>
      <c r="E5" s="261" t="s">
        <v>1166</v>
      </c>
      <c r="F5" s="261" t="s">
        <v>1166</v>
      </c>
      <c r="G5" s="577" t="s">
        <v>1166</v>
      </c>
      <c r="H5" s="577" t="s">
        <v>1166</v>
      </c>
      <c r="I5" s="577" t="s">
        <v>1166</v>
      </c>
      <c r="J5" s="577" t="str">
        <f t="shared" si="1"/>
        <v/>
      </c>
      <c r="K5" s="577" t="str">
        <f t="shared" si="2"/>
        <v/>
      </c>
      <c r="L5" s="577" t="str">
        <f t="shared" si="3"/>
        <v/>
      </c>
      <c r="N5" s="564" t="s">
        <v>1166</v>
      </c>
      <c r="O5" s="577" t="s">
        <v>1166</v>
      </c>
      <c r="P5" s="577" t="s">
        <v>1166</v>
      </c>
      <c r="Q5" s="577" t="s">
        <v>1166</v>
      </c>
      <c r="R5" s="1604" t="str">
        <f t="shared" si="4"/>
        <v/>
      </c>
    </row>
    <row r="6" spans="1:18" x14ac:dyDescent="0.2">
      <c r="A6" s="261">
        <f t="shared" si="5"/>
        <v>1</v>
      </c>
      <c r="B6" s="422" t="str">
        <f>INDEX('LA List'!B:B,MATCH('EZ list'!D6,'LA List'!A:A,0))</f>
        <v>E3832</v>
      </c>
      <c r="C6" s="422" t="str">
        <f t="shared" si="0"/>
        <v>E3832EZ1</v>
      </c>
      <c r="D6" s="261" t="s">
        <v>723</v>
      </c>
      <c r="E6" s="261" t="s">
        <v>1166</v>
      </c>
      <c r="F6" s="261" t="s">
        <v>1166</v>
      </c>
      <c r="G6" s="577" t="s">
        <v>1166</v>
      </c>
      <c r="H6" s="577" t="s">
        <v>1166</v>
      </c>
      <c r="I6" s="577" t="s">
        <v>1166</v>
      </c>
      <c r="J6" s="577" t="str">
        <f t="shared" si="1"/>
        <v/>
      </c>
      <c r="K6" s="577" t="str">
        <f t="shared" si="2"/>
        <v/>
      </c>
      <c r="L6" s="577" t="str">
        <f t="shared" si="3"/>
        <v/>
      </c>
      <c r="N6" s="564" t="s">
        <v>1166</v>
      </c>
      <c r="O6" s="577" t="s">
        <v>1166</v>
      </c>
      <c r="P6" s="577" t="s">
        <v>1166</v>
      </c>
      <c r="Q6" s="577" t="s">
        <v>1166</v>
      </c>
      <c r="R6" s="1604" t="str">
        <f t="shared" si="4"/>
        <v/>
      </c>
    </row>
    <row r="7" spans="1:18" x14ac:dyDescent="0.2">
      <c r="A7" s="261">
        <f t="shared" si="5"/>
        <v>1</v>
      </c>
      <c r="B7" s="422" t="str">
        <f>INDEX('LA List'!B:B,MATCH('EZ list'!D7,'LA List'!A:A,0))</f>
        <v>E3031</v>
      </c>
      <c r="C7" s="422" t="str">
        <f t="shared" si="0"/>
        <v>E3031EZ1</v>
      </c>
      <c r="D7" s="261" t="s">
        <v>725</v>
      </c>
      <c r="E7" s="261" t="s">
        <v>1166</v>
      </c>
      <c r="F7" s="261" t="s">
        <v>1166</v>
      </c>
      <c r="G7" s="577" t="s">
        <v>1166</v>
      </c>
      <c r="H7" s="577" t="s">
        <v>1166</v>
      </c>
      <c r="I7" s="577" t="s">
        <v>1166</v>
      </c>
      <c r="J7" s="577" t="str">
        <f t="shared" si="1"/>
        <v/>
      </c>
      <c r="K7" s="577" t="str">
        <f t="shared" si="2"/>
        <v/>
      </c>
      <c r="L7" s="577" t="str">
        <f t="shared" si="3"/>
        <v/>
      </c>
      <c r="N7" s="564" t="s">
        <v>1166</v>
      </c>
      <c r="O7" s="577" t="s">
        <v>1166</v>
      </c>
      <c r="P7" s="577" t="s">
        <v>1166</v>
      </c>
      <c r="Q7" s="577" t="s">
        <v>1166</v>
      </c>
      <c r="R7" s="1604" t="str">
        <f t="shared" si="4"/>
        <v/>
      </c>
    </row>
    <row r="8" spans="1:18" x14ac:dyDescent="0.2">
      <c r="A8" s="261">
        <f t="shared" si="5"/>
        <v>1</v>
      </c>
      <c r="B8" s="422" t="str">
        <f>INDEX('LA List'!B:B,MATCH('EZ list'!D8,'LA List'!A:A,0))</f>
        <v>E2231</v>
      </c>
      <c r="C8" s="422" t="str">
        <f t="shared" si="0"/>
        <v>E2231EZ1</v>
      </c>
      <c r="D8" s="261" t="s">
        <v>727</v>
      </c>
      <c r="E8" s="261" t="s">
        <v>1166</v>
      </c>
      <c r="F8" s="261" t="s">
        <v>1166</v>
      </c>
      <c r="G8" s="577" t="s">
        <v>1166</v>
      </c>
      <c r="H8" s="577" t="s">
        <v>1166</v>
      </c>
      <c r="I8" s="577" t="s">
        <v>1166</v>
      </c>
      <c r="J8" s="577" t="str">
        <f t="shared" si="1"/>
        <v/>
      </c>
      <c r="K8" s="577" t="str">
        <f t="shared" si="2"/>
        <v/>
      </c>
      <c r="L8" s="577" t="str">
        <f t="shared" si="3"/>
        <v/>
      </c>
      <c r="N8" s="564" t="s">
        <v>1166</v>
      </c>
      <c r="O8" s="577" t="s">
        <v>1166</v>
      </c>
      <c r="P8" s="577" t="s">
        <v>1166</v>
      </c>
      <c r="Q8" s="577" t="s">
        <v>1166</v>
      </c>
      <c r="R8" s="1604" t="str">
        <f t="shared" si="4"/>
        <v/>
      </c>
    </row>
    <row r="9" spans="1:18" ht="15" x14ac:dyDescent="0.25">
      <c r="A9" s="261">
        <f t="shared" si="5"/>
        <v>1</v>
      </c>
      <c r="B9" s="422" t="str">
        <f>INDEX('LA List'!B:B,MATCH('EZ list'!D9,'LA List'!A:A,0))</f>
        <v>E3531</v>
      </c>
      <c r="C9" s="422" t="str">
        <f t="shared" si="0"/>
        <v>E3531EZ1</v>
      </c>
      <c r="D9" s="261" t="s">
        <v>729</v>
      </c>
      <c r="E9" s="261" t="s">
        <v>1079</v>
      </c>
      <c r="F9" s="1601">
        <v>2016</v>
      </c>
      <c r="G9" s="577">
        <v>0</v>
      </c>
      <c r="H9" s="577">
        <v>0</v>
      </c>
      <c r="I9" s="577">
        <v>0</v>
      </c>
      <c r="J9" s="577">
        <f t="shared" si="1"/>
        <v>0</v>
      </c>
      <c r="K9" s="577">
        <f t="shared" si="2"/>
        <v>0</v>
      </c>
      <c r="L9" s="577">
        <f t="shared" si="3"/>
        <v>0</v>
      </c>
      <c r="M9" s="577">
        <f>IF(L9="","",ROUND(L9*$M$1,0))</f>
        <v>0</v>
      </c>
      <c r="N9" s="564">
        <v>0</v>
      </c>
      <c r="O9" s="577">
        <v>0</v>
      </c>
      <c r="P9" s="577" t="s">
        <v>1166</v>
      </c>
      <c r="Q9" s="577" t="s">
        <v>1166</v>
      </c>
      <c r="R9" s="1604">
        <f t="shared" si="4"/>
        <v>0</v>
      </c>
    </row>
    <row r="10" spans="1:18" ht="15" x14ac:dyDescent="0.25">
      <c r="A10" s="261">
        <f t="shared" si="5"/>
        <v>1</v>
      </c>
      <c r="B10" s="422" t="str">
        <f>INDEX('LA List'!B:B,MATCH('EZ list'!D10,'LA List'!A:A,0))</f>
        <v>E5030</v>
      </c>
      <c r="C10" s="422" t="str">
        <f t="shared" si="0"/>
        <v>E5030EZ1</v>
      </c>
      <c r="D10" s="261" t="s">
        <v>731</v>
      </c>
      <c r="E10" s="509" t="s">
        <v>5805</v>
      </c>
      <c r="F10" s="1601">
        <v>2024</v>
      </c>
      <c r="G10" s="577">
        <v>0</v>
      </c>
      <c r="H10" s="577">
        <v>0</v>
      </c>
      <c r="I10" s="577">
        <v>0</v>
      </c>
      <c r="J10" s="577">
        <v>0</v>
      </c>
      <c r="K10" s="577">
        <v>0</v>
      </c>
      <c r="L10" s="577">
        <v>0</v>
      </c>
      <c r="M10" s="577">
        <v>3123740</v>
      </c>
      <c r="N10" s="564">
        <v>3123740</v>
      </c>
      <c r="O10" s="577">
        <v>3123740</v>
      </c>
      <c r="P10" s="577">
        <v>0</v>
      </c>
      <c r="Q10" s="577">
        <v>4045993</v>
      </c>
      <c r="R10" s="1604">
        <f t="shared" si="4"/>
        <v>4045993</v>
      </c>
    </row>
    <row r="11" spans="1:18" ht="15" x14ac:dyDescent="0.25">
      <c r="A11" s="261">
        <f t="shared" si="5"/>
        <v>1</v>
      </c>
      <c r="B11" s="422" t="str">
        <f>INDEX('LA List'!B:B,MATCH('EZ list'!D11,'LA List'!A:A,0))</f>
        <v>E5031</v>
      </c>
      <c r="C11" s="422" t="str">
        <f t="shared" si="0"/>
        <v>E5031EZ1</v>
      </c>
      <c r="D11" s="261" t="s">
        <v>733</v>
      </c>
      <c r="E11" s="509" t="s">
        <v>1163</v>
      </c>
      <c r="F11" s="1601">
        <v>2018</v>
      </c>
      <c r="G11" s="577">
        <v>0</v>
      </c>
      <c r="H11" s="577">
        <v>0</v>
      </c>
      <c r="I11" s="577">
        <v>20252290</v>
      </c>
      <c r="J11" s="577">
        <f t="shared" ref="J11:J22" si="6">IF(I11="","",ROUND(I11*$J$1,0))</f>
        <v>20716405</v>
      </c>
      <c r="K11" s="577">
        <f t="shared" ref="K11:K22" si="7">IF(J11="","",ROUND(J11*$K$1,0))</f>
        <v>21053943</v>
      </c>
      <c r="L11" s="577">
        <f t="shared" ref="L11:L22" si="8">IF(K11="","",ROUND(K11*$L$1,0))</f>
        <v>21053943</v>
      </c>
      <c r="M11" s="577">
        <f t="shared" ref="M11:M22" si="9">IF(L11="","",ROUND(L11*$M$1,0))</f>
        <v>21053943</v>
      </c>
      <c r="N11" s="564">
        <v>13587543</v>
      </c>
      <c r="O11" s="577">
        <v>13587543</v>
      </c>
      <c r="P11" s="577" t="s">
        <v>1166</v>
      </c>
      <c r="Q11" s="577" t="s">
        <v>1166</v>
      </c>
      <c r="R11" s="1604">
        <f t="shared" si="4"/>
        <v>13587543</v>
      </c>
    </row>
    <row r="12" spans="1:18" ht="15" x14ac:dyDescent="0.25">
      <c r="A12" s="261">
        <f t="shared" si="5"/>
        <v>1</v>
      </c>
      <c r="B12" s="422" t="str">
        <f>INDEX('LA List'!B:B,MATCH('EZ list'!D12,'LA List'!A:A,0))</f>
        <v>E4401</v>
      </c>
      <c r="C12" s="422" t="str">
        <f t="shared" si="0"/>
        <v>E4401EZ1</v>
      </c>
      <c r="D12" s="261" t="s">
        <v>735</v>
      </c>
      <c r="E12" s="261" t="s">
        <v>833</v>
      </c>
      <c r="F12" s="1601">
        <v>2013</v>
      </c>
      <c r="G12" s="577">
        <v>88251</v>
      </c>
      <c r="H12" s="577">
        <v>88251</v>
      </c>
      <c r="I12" s="577">
        <v>90902</v>
      </c>
      <c r="J12" s="577">
        <f t="shared" si="6"/>
        <v>92985</v>
      </c>
      <c r="K12" s="577">
        <f t="shared" si="7"/>
        <v>94500</v>
      </c>
      <c r="L12" s="577">
        <f t="shared" si="8"/>
        <v>94500</v>
      </c>
      <c r="M12" s="577">
        <f t="shared" si="9"/>
        <v>94500</v>
      </c>
      <c r="N12" s="564">
        <v>99424</v>
      </c>
      <c r="O12" s="577">
        <v>99424</v>
      </c>
      <c r="P12" s="577" t="s">
        <v>1166</v>
      </c>
      <c r="Q12" s="577" t="s">
        <v>1166</v>
      </c>
      <c r="R12" s="1604">
        <f t="shared" si="4"/>
        <v>99424</v>
      </c>
    </row>
    <row r="13" spans="1:18" ht="15" x14ac:dyDescent="0.25">
      <c r="A13" s="261">
        <f t="shared" si="5"/>
        <v>1</v>
      </c>
      <c r="B13" s="422" t="str">
        <f>INDEX('LA List'!B:B,MATCH('EZ list'!D13,'LA List'!A:A,0))</f>
        <v>E1531</v>
      </c>
      <c r="C13" s="422" t="str">
        <f t="shared" si="0"/>
        <v>E1531EZ1</v>
      </c>
      <c r="D13" s="261" t="s">
        <v>737</v>
      </c>
      <c r="E13" s="261" t="s">
        <v>1166</v>
      </c>
      <c r="F13" s="1601" t="s">
        <v>1166</v>
      </c>
      <c r="G13" s="577" t="s">
        <v>1166</v>
      </c>
      <c r="H13" s="577" t="s">
        <v>1166</v>
      </c>
      <c r="I13" s="577" t="s">
        <v>1166</v>
      </c>
      <c r="J13" s="577" t="str">
        <f t="shared" si="6"/>
        <v/>
      </c>
      <c r="K13" s="577" t="str">
        <f t="shared" si="7"/>
        <v/>
      </c>
      <c r="L13" s="577" t="str">
        <f t="shared" si="8"/>
        <v/>
      </c>
      <c r="M13" s="577" t="str">
        <f t="shared" si="9"/>
        <v/>
      </c>
      <c r="N13" s="564" t="s">
        <v>1166</v>
      </c>
      <c r="O13" s="577" t="s">
        <v>1166</v>
      </c>
      <c r="P13" s="577" t="s">
        <v>1166</v>
      </c>
      <c r="Q13" s="577" t="s">
        <v>1166</v>
      </c>
      <c r="R13" s="1604" t="str">
        <f t="shared" si="4"/>
        <v/>
      </c>
    </row>
    <row r="14" spans="1:18" x14ac:dyDescent="0.2">
      <c r="A14" s="261">
        <f t="shared" si="5"/>
        <v>1</v>
      </c>
      <c r="B14" s="422" t="str">
        <f>INDEX('LA List'!B:B,MATCH('EZ list'!D14,'LA List'!A:A,0))</f>
        <v>E1731</v>
      </c>
      <c r="C14" s="422" t="str">
        <f t="shared" si="0"/>
        <v>E1731EZ1</v>
      </c>
      <c r="D14" s="261" t="s">
        <v>739</v>
      </c>
      <c r="E14" s="261" t="s">
        <v>979</v>
      </c>
      <c r="F14" s="261">
        <v>2017</v>
      </c>
      <c r="G14" s="577">
        <v>2131596</v>
      </c>
      <c r="H14" s="577">
        <v>2131596</v>
      </c>
      <c r="I14" s="577">
        <v>2195635</v>
      </c>
      <c r="J14" s="577">
        <f t="shared" si="6"/>
        <v>2245952</v>
      </c>
      <c r="K14" s="577">
        <f t="shared" si="7"/>
        <v>2282546</v>
      </c>
      <c r="L14" s="577">
        <f t="shared" si="8"/>
        <v>2282546</v>
      </c>
      <c r="M14" s="577">
        <f t="shared" si="9"/>
        <v>2282546</v>
      </c>
      <c r="N14" s="564">
        <v>3144053</v>
      </c>
      <c r="O14" s="577">
        <v>3144053</v>
      </c>
      <c r="P14" s="577" t="s">
        <v>1166</v>
      </c>
      <c r="Q14" s="577" t="s">
        <v>1166</v>
      </c>
      <c r="R14" s="1604">
        <f t="shared" si="4"/>
        <v>3144053</v>
      </c>
    </row>
    <row r="15" spans="1:18" x14ac:dyDescent="0.2">
      <c r="A15" s="261">
        <f t="shared" si="5"/>
        <v>1</v>
      </c>
      <c r="B15" s="422" t="str">
        <f>INDEX('LA List'!B:B,MATCH('EZ list'!D15,'LA List'!A:A,0))</f>
        <v>E3032</v>
      </c>
      <c r="C15" s="422" t="str">
        <f t="shared" si="0"/>
        <v>E3032EZ1</v>
      </c>
      <c r="D15" s="261" t="s">
        <v>741</v>
      </c>
      <c r="E15" s="261" t="s">
        <v>1166</v>
      </c>
      <c r="F15" s="261" t="s">
        <v>1166</v>
      </c>
      <c r="G15" s="577" t="s">
        <v>1166</v>
      </c>
      <c r="H15" s="577" t="s">
        <v>1166</v>
      </c>
      <c r="I15" s="577" t="s">
        <v>1166</v>
      </c>
      <c r="J15" s="577" t="str">
        <f t="shared" si="6"/>
        <v/>
      </c>
      <c r="K15" s="577" t="str">
        <f t="shared" si="7"/>
        <v/>
      </c>
      <c r="L15" s="577" t="str">
        <f t="shared" si="8"/>
        <v/>
      </c>
      <c r="M15" s="577" t="str">
        <f t="shared" si="9"/>
        <v/>
      </c>
      <c r="N15" s="564" t="s">
        <v>1166</v>
      </c>
      <c r="O15" s="577" t="s">
        <v>1166</v>
      </c>
      <c r="P15" s="577" t="s">
        <v>1166</v>
      </c>
      <c r="Q15" s="577" t="s">
        <v>1166</v>
      </c>
      <c r="R15" s="1604" t="str">
        <f t="shared" si="4"/>
        <v/>
      </c>
    </row>
    <row r="16" spans="1:18" x14ac:dyDescent="0.2">
      <c r="A16" s="261">
        <f t="shared" si="5"/>
        <v>1</v>
      </c>
      <c r="B16" s="422" t="str">
        <f>INDEX('LA List'!B:B,MATCH('EZ list'!D16,'LA List'!A:A,0))</f>
        <v>E0101</v>
      </c>
      <c r="C16" s="422" t="str">
        <f t="shared" si="0"/>
        <v>E0101EZ1</v>
      </c>
      <c r="D16" s="261" t="s">
        <v>743</v>
      </c>
      <c r="E16" s="261" t="s">
        <v>834</v>
      </c>
      <c r="F16" s="261">
        <v>2014</v>
      </c>
      <c r="G16" s="577">
        <v>5188300</v>
      </c>
      <c r="H16" s="577">
        <v>5188300</v>
      </c>
      <c r="I16" s="577">
        <v>5344172</v>
      </c>
      <c r="J16" s="577">
        <f t="shared" si="6"/>
        <v>5466643</v>
      </c>
      <c r="K16" s="577">
        <f t="shared" si="7"/>
        <v>5555713</v>
      </c>
      <c r="L16" s="577">
        <f t="shared" si="8"/>
        <v>5555713</v>
      </c>
      <c r="M16" s="577">
        <f t="shared" si="9"/>
        <v>5555713</v>
      </c>
      <c r="N16" s="564">
        <v>5530118</v>
      </c>
      <c r="O16" s="577">
        <v>5530118</v>
      </c>
      <c r="P16" s="577" t="s">
        <v>1166</v>
      </c>
      <c r="Q16" s="577" t="s">
        <v>1166</v>
      </c>
      <c r="R16" s="1604">
        <f t="shared" si="4"/>
        <v>5530118</v>
      </c>
    </row>
    <row r="17" spans="1:35" ht="15" x14ac:dyDescent="0.25">
      <c r="A17" s="261">
        <f t="shared" si="5"/>
        <v>2</v>
      </c>
      <c r="B17" s="422" t="str">
        <f>INDEX('LA List'!B:B,MATCH('EZ list'!D17,'LA List'!A:A,0))</f>
        <v>E0101</v>
      </c>
      <c r="C17" s="422" t="str">
        <f t="shared" si="0"/>
        <v>E0101EZ2</v>
      </c>
      <c r="D17" s="261" t="s">
        <v>743</v>
      </c>
      <c r="E17" s="261" t="s">
        <v>980</v>
      </c>
      <c r="F17" s="1601">
        <v>2017</v>
      </c>
      <c r="G17" s="577">
        <v>15431</v>
      </c>
      <c r="H17" s="577">
        <v>15431</v>
      </c>
      <c r="I17" s="577">
        <v>15895</v>
      </c>
      <c r="J17" s="577">
        <f t="shared" si="6"/>
        <v>16259</v>
      </c>
      <c r="K17" s="577">
        <f t="shared" si="7"/>
        <v>16524</v>
      </c>
      <c r="L17" s="577">
        <f t="shared" si="8"/>
        <v>16524</v>
      </c>
      <c r="M17" s="577">
        <f t="shared" si="9"/>
        <v>16524</v>
      </c>
      <c r="N17" s="564">
        <v>16448</v>
      </c>
      <c r="O17" s="577">
        <v>16448</v>
      </c>
      <c r="P17" s="577" t="s">
        <v>1166</v>
      </c>
      <c r="Q17" s="577" t="s">
        <v>1166</v>
      </c>
      <c r="R17" s="1604">
        <f t="shared" si="4"/>
        <v>16448</v>
      </c>
    </row>
    <row r="18" spans="1:35" ht="15" x14ac:dyDescent="0.25">
      <c r="A18" s="261">
        <f t="shared" si="5"/>
        <v>3</v>
      </c>
      <c r="B18" s="422" t="str">
        <f>INDEX('LA List'!B:B,MATCH('EZ list'!D18,'LA List'!A:A,0))</f>
        <v>E0101</v>
      </c>
      <c r="C18" s="422" t="str">
        <f t="shared" si="0"/>
        <v>E0101EZ3</v>
      </c>
      <c r="D18" s="261" t="s">
        <v>743</v>
      </c>
      <c r="E18" s="261" t="s">
        <v>981</v>
      </c>
      <c r="F18" s="1601">
        <v>2017</v>
      </c>
      <c r="G18" s="577">
        <v>0</v>
      </c>
      <c r="H18" s="577">
        <v>0</v>
      </c>
      <c r="I18" s="577">
        <v>0</v>
      </c>
      <c r="J18" s="577">
        <f t="shared" si="6"/>
        <v>0</v>
      </c>
      <c r="K18" s="577">
        <f t="shared" si="7"/>
        <v>0</v>
      </c>
      <c r="L18" s="577">
        <f t="shared" si="8"/>
        <v>0</v>
      </c>
      <c r="M18" s="577">
        <f t="shared" si="9"/>
        <v>0</v>
      </c>
      <c r="N18" s="564">
        <v>0</v>
      </c>
      <c r="O18" s="577">
        <v>0</v>
      </c>
      <c r="P18" s="577" t="s">
        <v>1166</v>
      </c>
      <c r="Q18" s="577" t="s">
        <v>1166</v>
      </c>
      <c r="R18" s="1604">
        <f t="shared" si="4"/>
        <v>0</v>
      </c>
    </row>
    <row r="19" spans="1:35" x14ac:dyDescent="0.2">
      <c r="A19" s="261">
        <f t="shared" si="5"/>
        <v>1</v>
      </c>
      <c r="B19" s="422" t="str">
        <f>INDEX('LA List'!B:B,MATCH('EZ list'!D19,'LA List'!A:A,0))</f>
        <v>E0202</v>
      </c>
      <c r="C19" s="422" t="str">
        <f t="shared" si="0"/>
        <v>E0202EZ1</v>
      </c>
      <c r="D19" s="261" t="s">
        <v>745</v>
      </c>
      <c r="E19" s="261" t="s">
        <v>1166</v>
      </c>
      <c r="F19" s="261" t="s">
        <v>1166</v>
      </c>
      <c r="G19" s="577" t="s">
        <v>1166</v>
      </c>
      <c r="H19" s="577" t="s">
        <v>1166</v>
      </c>
      <c r="I19" s="577" t="s">
        <v>1166</v>
      </c>
      <c r="J19" s="577" t="str">
        <f t="shared" si="6"/>
        <v/>
      </c>
      <c r="K19" s="577" t="str">
        <f t="shared" si="7"/>
        <v/>
      </c>
      <c r="L19" s="577" t="str">
        <f t="shared" si="8"/>
        <v/>
      </c>
      <c r="M19" s="577" t="str">
        <f t="shared" si="9"/>
        <v/>
      </c>
      <c r="N19" s="564" t="s">
        <v>1166</v>
      </c>
      <c r="O19" s="577" t="s">
        <v>1166</v>
      </c>
      <c r="P19" s="577" t="s">
        <v>1166</v>
      </c>
      <c r="Q19" s="577" t="s">
        <v>1166</v>
      </c>
      <c r="R19" s="1604" t="str">
        <f t="shared" si="4"/>
        <v/>
      </c>
    </row>
    <row r="20" spans="1:35" x14ac:dyDescent="0.2">
      <c r="A20" s="261">
        <f t="shared" si="5"/>
        <v>1</v>
      </c>
      <c r="B20" s="422" t="str">
        <f>INDEX('LA List'!B:B,MATCH('EZ list'!D20,'LA List'!A:A,0))</f>
        <v>E5032</v>
      </c>
      <c r="C20" s="422" t="str">
        <f t="shared" si="0"/>
        <v>E5032EZ1</v>
      </c>
      <c r="D20" s="261" t="s">
        <v>747</v>
      </c>
      <c r="E20" s="261" t="s">
        <v>1166</v>
      </c>
      <c r="F20" s="261" t="s">
        <v>1166</v>
      </c>
      <c r="G20" s="577" t="s">
        <v>1166</v>
      </c>
      <c r="H20" s="577" t="s">
        <v>1166</v>
      </c>
      <c r="I20" s="577" t="s">
        <v>1166</v>
      </c>
      <c r="J20" s="577" t="str">
        <f t="shared" si="6"/>
        <v/>
      </c>
      <c r="K20" s="577" t="str">
        <f t="shared" si="7"/>
        <v/>
      </c>
      <c r="L20" s="577" t="str">
        <f t="shared" si="8"/>
        <v/>
      </c>
      <c r="M20" s="577" t="str">
        <f t="shared" si="9"/>
        <v/>
      </c>
      <c r="N20" s="564" t="s">
        <v>1166</v>
      </c>
      <c r="O20" s="577" t="s">
        <v>1166</v>
      </c>
      <c r="P20" s="577" t="s">
        <v>1166</v>
      </c>
      <c r="Q20" s="577" t="s">
        <v>1166</v>
      </c>
      <c r="R20" s="1604" t="str">
        <f t="shared" si="4"/>
        <v/>
      </c>
    </row>
    <row r="21" spans="1:35" ht="15" x14ac:dyDescent="0.25">
      <c r="A21" s="261">
        <f t="shared" si="5"/>
        <v>1</v>
      </c>
      <c r="B21" s="422" t="str">
        <f>INDEX('LA List'!B:B,MATCH('EZ list'!D21,'LA List'!A:A,0))</f>
        <v>E4601</v>
      </c>
      <c r="C21" s="422" t="str">
        <f t="shared" si="0"/>
        <v>E4601EZ1</v>
      </c>
      <c r="D21" s="261" t="s">
        <v>749</v>
      </c>
      <c r="E21" s="261" t="s">
        <v>879</v>
      </c>
      <c r="F21" s="1601">
        <v>2013</v>
      </c>
      <c r="G21" s="577">
        <v>4087232</v>
      </c>
      <c r="H21" s="577">
        <v>4087232</v>
      </c>
      <c r="I21" s="577">
        <v>4210024</v>
      </c>
      <c r="J21" s="577">
        <f t="shared" si="6"/>
        <v>4306504</v>
      </c>
      <c r="K21" s="577">
        <f t="shared" si="7"/>
        <v>4376671</v>
      </c>
      <c r="L21" s="577">
        <f t="shared" si="8"/>
        <v>4376671</v>
      </c>
      <c r="M21" s="577">
        <f t="shared" si="9"/>
        <v>4376671</v>
      </c>
      <c r="N21" s="564">
        <v>4886827</v>
      </c>
      <c r="O21" s="577">
        <v>4886827</v>
      </c>
      <c r="P21" s="577" t="s">
        <v>1166</v>
      </c>
      <c r="Q21" s="577" t="s">
        <v>1166</v>
      </c>
      <c r="R21" s="1604">
        <f t="shared" si="4"/>
        <v>4886827</v>
      </c>
    </row>
    <row r="22" spans="1:35" ht="15" x14ac:dyDescent="0.25">
      <c r="A22" s="261">
        <f t="shared" si="5"/>
        <v>2</v>
      </c>
      <c r="B22" s="422" t="str">
        <f>INDEX('LA List'!B:B,MATCH('EZ list'!D22,'LA List'!A:A,0))</f>
        <v>E4601</v>
      </c>
      <c r="C22" s="422" t="str">
        <f t="shared" si="0"/>
        <v>E4601EZ2</v>
      </c>
      <c r="D22" s="261" t="s">
        <v>749</v>
      </c>
      <c r="E22" s="261" t="s">
        <v>982</v>
      </c>
      <c r="F22" s="1601">
        <v>2016</v>
      </c>
      <c r="G22" s="577">
        <v>6682049</v>
      </c>
      <c r="H22" s="577">
        <v>6682049</v>
      </c>
      <c r="I22" s="577">
        <v>6882797</v>
      </c>
      <c r="J22" s="577">
        <f t="shared" si="6"/>
        <v>7040528</v>
      </c>
      <c r="K22" s="577">
        <f t="shared" si="7"/>
        <v>7155241</v>
      </c>
      <c r="L22" s="577">
        <f t="shared" si="8"/>
        <v>7155241</v>
      </c>
      <c r="M22" s="577">
        <f t="shared" si="9"/>
        <v>7155241</v>
      </c>
      <c r="N22" s="564">
        <v>7989275</v>
      </c>
      <c r="O22" s="577">
        <v>7989275</v>
      </c>
      <c r="P22" s="577" t="s">
        <v>1166</v>
      </c>
      <c r="Q22" s="577" t="s">
        <v>1166</v>
      </c>
      <c r="R22" s="1604">
        <f t="shared" si="4"/>
        <v>7989275</v>
      </c>
    </row>
    <row r="23" spans="1:35" ht="15" x14ac:dyDescent="0.25">
      <c r="A23" s="261">
        <f t="shared" si="5"/>
        <v>3</v>
      </c>
      <c r="B23" s="422" t="str">
        <f>INDEX('LA List'!B:B,MATCH('EZ list'!D23,'LA List'!A:A,0))</f>
        <v>E4601</v>
      </c>
      <c r="C23" s="422" t="str">
        <f t="shared" si="0"/>
        <v>E4601EZ3</v>
      </c>
      <c r="D23" s="261" t="s">
        <v>749</v>
      </c>
      <c r="E23" s="261" t="s">
        <v>5806</v>
      </c>
      <c r="F23" s="1601">
        <v>2024</v>
      </c>
      <c r="G23" s="577"/>
      <c r="H23" s="577"/>
      <c r="I23" s="577"/>
      <c r="J23" s="577"/>
      <c r="K23" s="577"/>
      <c r="L23" s="577"/>
      <c r="M23" s="577"/>
      <c r="N23" s="564"/>
      <c r="O23" s="577">
        <v>8111502.62890625</v>
      </c>
      <c r="P23" s="577">
        <v>2937452</v>
      </c>
      <c r="Q23" s="577">
        <v>5259337</v>
      </c>
      <c r="R23" s="1604">
        <f t="shared" si="4"/>
        <v>8196789</v>
      </c>
    </row>
    <row r="24" spans="1:35" ht="15" x14ac:dyDescent="0.25">
      <c r="A24" s="261">
        <f t="shared" si="5"/>
        <v>4</v>
      </c>
      <c r="B24" s="422" t="str">
        <f>INDEX('LA List'!B:B,MATCH('EZ list'!D24,'LA List'!A:A,0))</f>
        <v>E4601</v>
      </c>
      <c r="C24" s="422" t="str">
        <f t="shared" si="0"/>
        <v>E4601EZ4</v>
      </c>
      <c r="D24" s="261" t="s">
        <v>749</v>
      </c>
      <c r="E24" s="261" t="s">
        <v>5807</v>
      </c>
      <c r="F24" s="1601">
        <v>2024</v>
      </c>
      <c r="G24" s="577"/>
      <c r="H24" s="577"/>
      <c r="I24" s="577"/>
      <c r="J24" s="577"/>
      <c r="K24" s="577"/>
      <c r="L24" s="577"/>
      <c r="M24" s="577"/>
      <c r="N24" s="564"/>
      <c r="O24" s="577">
        <v>8143163.4876609612</v>
      </c>
      <c r="P24" s="577">
        <v>2209930</v>
      </c>
      <c r="Q24" s="577">
        <v>6031034</v>
      </c>
      <c r="R24" s="1604">
        <f t="shared" si="4"/>
        <v>8240964</v>
      </c>
    </row>
    <row r="25" spans="1:35" ht="15" x14ac:dyDescent="0.25">
      <c r="A25" s="261">
        <f t="shared" si="5"/>
        <v>1</v>
      </c>
      <c r="B25" s="422" t="str">
        <f>INDEX('LA List'!B:B,MATCH('EZ list'!D25,'LA List'!A:A,0))</f>
        <v>E2431</v>
      </c>
      <c r="C25" s="422" t="str">
        <f t="shared" si="0"/>
        <v>E2431EZ1</v>
      </c>
      <c r="D25" s="261" t="s">
        <v>751</v>
      </c>
      <c r="E25" s="261" t="s">
        <v>1166</v>
      </c>
      <c r="F25" s="1601" t="s">
        <v>1166</v>
      </c>
      <c r="G25" s="577" t="s">
        <v>1166</v>
      </c>
      <c r="H25" s="577" t="s">
        <v>1166</v>
      </c>
      <c r="I25" s="577" t="s">
        <v>1166</v>
      </c>
      <c r="J25" s="577" t="str">
        <f t="shared" ref="J25:J88" si="10">IF(I25="","",ROUND(I25*$J$1,0))</f>
        <v/>
      </c>
      <c r="K25" s="577" t="str">
        <f t="shared" ref="K25:K88" si="11">IF(J25="","",ROUND(J25*$K$1,0))</f>
        <v/>
      </c>
      <c r="L25" s="577" t="str">
        <f t="shared" ref="L25:L88" si="12">IF(K25="","",ROUND(K25*$L$1,0))</f>
        <v/>
      </c>
      <c r="M25" s="577" t="str">
        <f t="shared" ref="M25:M88" si="13">IF(L25="","",ROUND(L25*$M$1,0))</f>
        <v/>
      </c>
      <c r="N25" s="564" t="s">
        <v>1166</v>
      </c>
      <c r="O25" s="577" t="s">
        <v>1166</v>
      </c>
      <c r="P25" s="577" t="s">
        <v>1166</v>
      </c>
      <c r="Q25" s="577" t="s">
        <v>1166</v>
      </c>
      <c r="R25" s="1604" t="str">
        <f t="shared" si="4"/>
        <v/>
      </c>
    </row>
    <row r="26" spans="1:35" ht="15" x14ac:dyDescent="0.25">
      <c r="A26" s="261">
        <f t="shared" si="5"/>
        <v>1</v>
      </c>
      <c r="B26" s="422" t="str">
        <f>INDEX('LA List'!B:B,MATCH('EZ list'!D26,'LA List'!A:A,0))</f>
        <v>E2301</v>
      </c>
      <c r="C26" s="422" t="str">
        <f t="shared" si="0"/>
        <v>E2301EZ1</v>
      </c>
      <c r="D26" s="261" t="s">
        <v>753</v>
      </c>
      <c r="E26" s="261" t="s">
        <v>1166</v>
      </c>
      <c r="F26" s="1601" t="s">
        <v>1166</v>
      </c>
      <c r="G26" s="577" t="s">
        <v>1166</v>
      </c>
      <c r="H26" s="577" t="s">
        <v>1166</v>
      </c>
      <c r="I26" s="577" t="s">
        <v>1166</v>
      </c>
      <c r="J26" s="577" t="str">
        <f t="shared" si="10"/>
        <v/>
      </c>
      <c r="K26" s="577" t="str">
        <f t="shared" si="11"/>
        <v/>
      </c>
      <c r="L26" s="577" t="str">
        <f t="shared" si="12"/>
        <v/>
      </c>
      <c r="M26" s="577" t="str">
        <f t="shared" si="13"/>
        <v/>
      </c>
      <c r="N26" s="564" t="s">
        <v>1166</v>
      </c>
      <c r="O26" s="577" t="s">
        <v>1166</v>
      </c>
      <c r="P26" s="577" t="s">
        <v>1166</v>
      </c>
      <c r="Q26" s="577" t="s">
        <v>1166</v>
      </c>
      <c r="R26" s="1604" t="str">
        <f t="shared" si="4"/>
        <v/>
      </c>
    </row>
    <row r="27" spans="1:35" ht="15" x14ac:dyDescent="0.25">
      <c r="A27" s="261">
        <f t="shared" si="5"/>
        <v>1</v>
      </c>
      <c r="B27" s="422" t="str">
        <f>INDEX('LA List'!B:B,MATCH('EZ list'!D27,'LA List'!A:A,0))</f>
        <v>E2302</v>
      </c>
      <c r="C27" s="422" t="str">
        <f t="shared" si="0"/>
        <v>E2302EZ1</v>
      </c>
      <c r="D27" s="261" t="s">
        <v>755</v>
      </c>
      <c r="E27" s="261" t="s">
        <v>983</v>
      </c>
      <c r="F27" s="1601">
        <v>2017</v>
      </c>
      <c r="G27" s="577">
        <v>1503000</v>
      </c>
      <c r="H27" s="577">
        <v>1503000</v>
      </c>
      <c r="I27" s="577">
        <v>1548155</v>
      </c>
      <c r="J27" s="577">
        <f t="shared" si="10"/>
        <v>1583634</v>
      </c>
      <c r="K27" s="577">
        <f t="shared" si="11"/>
        <v>1609437</v>
      </c>
      <c r="L27" s="577">
        <f t="shared" si="12"/>
        <v>1609437</v>
      </c>
      <c r="M27" s="577">
        <f t="shared" si="13"/>
        <v>1609437</v>
      </c>
      <c r="N27" s="564">
        <v>1917484</v>
      </c>
      <c r="O27" s="577">
        <v>1917484</v>
      </c>
      <c r="P27" s="577" t="s">
        <v>1166</v>
      </c>
      <c r="Q27" s="577" t="s">
        <v>1166</v>
      </c>
      <c r="R27" s="1604">
        <f t="shared" si="4"/>
        <v>1917484</v>
      </c>
    </row>
    <row r="28" spans="1:35" ht="15" x14ac:dyDescent="0.25">
      <c r="A28" s="261">
        <f t="shared" si="5"/>
        <v>1</v>
      </c>
      <c r="B28" s="422" t="str">
        <f>INDEX('LA List'!B:B,MATCH('EZ list'!D28,'LA List'!A:A,0))</f>
        <v>E1032</v>
      </c>
      <c r="C28" s="422" t="str">
        <f t="shared" si="0"/>
        <v>E1032EZ1</v>
      </c>
      <c r="D28" s="261" t="s">
        <v>757</v>
      </c>
      <c r="E28" s="261" t="s">
        <v>1166</v>
      </c>
      <c r="F28" s="1601" t="s">
        <v>1166</v>
      </c>
      <c r="G28" s="577" t="s">
        <v>1166</v>
      </c>
      <c r="H28" s="577" t="s">
        <v>1166</v>
      </c>
      <c r="I28" s="577" t="s">
        <v>1166</v>
      </c>
      <c r="J28" s="577" t="str">
        <f t="shared" si="10"/>
        <v/>
      </c>
      <c r="K28" s="577" t="str">
        <f t="shared" si="11"/>
        <v/>
      </c>
      <c r="L28" s="577" t="str">
        <f t="shared" si="12"/>
        <v/>
      </c>
      <c r="M28" s="577" t="str">
        <f t="shared" si="13"/>
        <v/>
      </c>
      <c r="N28" s="564" t="s">
        <v>1166</v>
      </c>
      <c r="O28" s="577" t="s">
        <v>1166</v>
      </c>
      <c r="P28" s="577" t="s">
        <v>1166</v>
      </c>
      <c r="Q28" s="577" t="s">
        <v>1166</v>
      </c>
      <c r="R28" s="1604" t="str">
        <f t="shared" si="4"/>
        <v/>
      </c>
    </row>
    <row r="29" spans="1:35" ht="15" x14ac:dyDescent="0.25">
      <c r="A29" s="261">
        <f t="shared" si="5"/>
        <v>1</v>
      </c>
      <c r="B29" s="422" t="str">
        <f>INDEX('LA List'!B:B,MATCH('EZ list'!D29,'LA List'!A:A,0))</f>
        <v>E4201</v>
      </c>
      <c r="C29" s="422" t="str">
        <f t="shared" si="0"/>
        <v>E4201EZ1</v>
      </c>
      <c r="D29" s="261" t="s">
        <v>759</v>
      </c>
      <c r="E29" s="261" t="s">
        <v>1166</v>
      </c>
      <c r="F29" s="1601" t="s">
        <v>1166</v>
      </c>
      <c r="G29" s="577" t="s">
        <v>1166</v>
      </c>
      <c r="H29" s="577" t="s">
        <v>1166</v>
      </c>
      <c r="I29" s="577" t="s">
        <v>1166</v>
      </c>
      <c r="J29" s="577" t="str">
        <f t="shared" si="10"/>
        <v/>
      </c>
      <c r="K29" s="577" t="str">
        <f t="shared" si="11"/>
        <v/>
      </c>
      <c r="L29" s="577" t="str">
        <f t="shared" si="12"/>
        <v/>
      </c>
      <c r="M29" s="577" t="str">
        <f t="shared" si="13"/>
        <v/>
      </c>
      <c r="N29" s="564" t="s">
        <v>1166</v>
      </c>
      <c r="O29" s="577" t="s">
        <v>1166</v>
      </c>
      <c r="P29" s="577" t="s">
        <v>1166</v>
      </c>
      <c r="Q29" s="577" t="s">
        <v>1166</v>
      </c>
      <c r="R29" s="1604" t="str">
        <f t="shared" si="4"/>
        <v/>
      </c>
    </row>
    <row r="30" spans="1:35" x14ac:dyDescent="0.2">
      <c r="A30" s="261">
        <f t="shared" si="5"/>
        <v>1</v>
      </c>
      <c r="B30" s="422" t="str">
        <f>INDEX('LA List'!B:B,MATCH('EZ list'!D30,'LA List'!A:A,0))</f>
        <v>E2531</v>
      </c>
      <c r="C30" s="422" t="str">
        <f t="shared" si="0"/>
        <v>E2531EZ1</v>
      </c>
      <c r="D30" s="261" t="s">
        <v>761</v>
      </c>
      <c r="E30" s="261" t="s">
        <v>1166</v>
      </c>
      <c r="F30" s="261" t="s">
        <v>1166</v>
      </c>
      <c r="G30" s="577" t="s">
        <v>1166</v>
      </c>
      <c r="H30" s="577" t="s">
        <v>1166</v>
      </c>
      <c r="I30" s="577" t="s">
        <v>1166</v>
      </c>
      <c r="J30" s="577" t="str">
        <f t="shared" si="10"/>
        <v/>
      </c>
      <c r="K30" s="577" t="str">
        <f t="shared" si="11"/>
        <v/>
      </c>
      <c r="L30" s="577" t="str">
        <f t="shared" si="12"/>
        <v/>
      </c>
      <c r="M30" s="577" t="str">
        <f t="shared" si="13"/>
        <v/>
      </c>
      <c r="N30" s="564" t="s">
        <v>1166</v>
      </c>
      <c r="O30" s="577" t="s">
        <v>1166</v>
      </c>
      <c r="P30" s="577" t="s">
        <v>1166</v>
      </c>
      <c r="Q30" s="577" t="s">
        <v>1166</v>
      </c>
      <c r="R30" s="1604" t="str">
        <f t="shared" si="4"/>
        <v/>
      </c>
    </row>
    <row r="31" spans="1:35" x14ac:dyDescent="0.2">
      <c r="A31" s="261">
        <f t="shared" si="5"/>
        <v>1</v>
      </c>
      <c r="B31" s="422" t="str">
        <f>INDEX('LA List'!B:B,MATCH('EZ list'!D31,'LA List'!A:A,0))</f>
        <v>E1204</v>
      </c>
      <c r="C31" s="422" t="str">
        <f t="shared" si="0"/>
        <v>E1204EZ1</v>
      </c>
      <c r="D31" s="509" t="s">
        <v>1193</v>
      </c>
      <c r="E31" s="261" t="s">
        <v>1166</v>
      </c>
      <c r="F31" s="261" t="s">
        <v>1166</v>
      </c>
      <c r="G31" s="577" t="s">
        <v>1166</v>
      </c>
      <c r="H31" s="577" t="s">
        <v>1166</v>
      </c>
      <c r="I31" s="577" t="s">
        <v>1166</v>
      </c>
      <c r="J31" s="577" t="str">
        <f t="shared" si="10"/>
        <v/>
      </c>
      <c r="K31" s="577" t="str">
        <f t="shared" si="11"/>
        <v/>
      </c>
      <c r="L31" s="577" t="str">
        <f t="shared" si="12"/>
        <v/>
      </c>
      <c r="M31" s="577" t="str">
        <f t="shared" si="13"/>
        <v/>
      </c>
      <c r="N31" s="564" t="s">
        <v>1166</v>
      </c>
      <c r="O31" s="577" t="s">
        <v>1166</v>
      </c>
      <c r="P31" s="577" t="s">
        <v>1166</v>
      </c>
      <c r="Q31" s="577" t="s">
        <v>1166</v>
      </c>
      <c r="R31" s="1604" t="str">
        <f t="shared" si="4"/>
        <v/>
      </c>
    </row>
    <row r="32" spans="1:35" x14ac:dyDescent="0.2">
      <c r="A32" s="261">
        <f t="shared" si="5"/>
        <v>1</v>
      </c>
      <c r="B32" s="422" t="str">
        <f>INDEX('LA List'!B:B,MATCH('EZ list'!D32,'LA List'!A:A,0))</f>
        <v>E0301</v>
      </c>
      <c r="C32" s="422" t="str">
        <f t="shared" si="0"/>
        <v>E0301EZ1</v>
      </c>
      <c r="D32" s="261" t="s">
        <v>763</v>
      </c>
      <c r="E32" s="261" t="s">
        <v>1166</v>
      </c>
      <c r="F32" s="261" t="s">
        <v>1166</v>
      </c>
      <c r="G32" s="577" t="s">
        <v>1166</v>
      </c>
      <c r="H32" s="577" t="s">
        <v>1166</v>
      </c>
      <c r="I32" s="577" t="s">
        <v>1166</v>
      </c>
      <c r="J32" s="577" t="str">
        <f t="shared" si="10"/>
        <v/>
      </c>
      <c r="K32" s="577" t="str">
        <f t="shared" si="11"/>
        <v/>
      </c>
      <c r="L32" s="577" t="str">
        <f t="shared" si="12"/>
        <v/>
      </c>
      <c r="M32" s="577" t="str">
        <f t="shared" si="13"/>
        <v/>
      </c>
      <c r="N32" s="564" t="s">
        <v>1166</v>
      </c>
      <c r="O32" s="577" t="s">
        <v>1166</v>
      </c>
      <c r="P32" s="577" t="s">
        <v>1166</v>
      </c>
      <c r="Q32" s="577" t="s">
        <v>1166</v>
      </c>
      <c r="R32" s="1604" t="str">
        <f t="shared" si="4"/>
        <v/>
      </c>
      <c r="S32"/>
      <c r="T32"/>
      <c r="U32"/>
      <c r="V32"/>
      <c r="W32"/>
      <c r="X32"/>
      <c r="Y32"/>
      <c r="Z32"/>
      <c r="AA32"/>
      <c r="AB32"/>
      <c r="AC32"/>
      <c r="AD32"/>
      <c r="AE32"/>
      <c r="AF32"/>
      <c r="AG32"/>
      <c r="AH32"/>
      <c r="AI32"/>
    </row>
    <row r="33" spans="1:18" x14ac:dyDescent="0.2">
      <c r="A33" s="261">
        <f t="shared" si="5"/>
        <v>1</v>
      </c>
      <c r="B33" s="422" t="str">
        <f>INDEX('LA List'!B:B,MATCH('EZ list'!D33,'LA List'!A:A,0))</f>
        <v>E4701</v>
      </c>
      <c r="C33" s="422" t="str">
        <f t="shared" si="0"/>
        <v>E4701EZ1</v>
      </c>
      <c r="D33" s="261" t="s">
        <v>765</v>
      </c>
      <c r="E33" s="261" t="s">
        <v>984</v>
      </c>
      <c r="F33" s="261">
        <v>2017</v>
      </c>
      <c r="G33" s="577">
        <v>0</v>
      </c>
      <c r="H33" s="577">
        <v>0</v>
      </c>
      <c r="I33" s="577">
        <v>0</v>
      </c>
      <c r="J33" s="577">
        <f t="shared" si="10"/>
        <v>0</v>
      </c>
      <c r="K33" s="577">
        <f t="shared" si="11"/>
        <v>0</v>
      </c>
      <c r="L33" s="577">
        <f t="shared" si="12"/>
        <v>0</v>
      </c>
      <c r="M33" s="577">
        <f t="shared" si="13"/>
        <v>0</v>
      </c>
      <c r="N33" s="564">
        <v>0</v>
      </c>
      <c r="O33" s="577">
        <v>0</v>
      </c>
      <c r="P33" s="577" t="s">
        <v>1166</v>
      </c>
      <c r="Q33" s="577" t="s">
        <v>1166</v>
      </c>
      <c r="R33" s="1604">
        <f t="shared" si="4"/>
        <v>0</v>
      </c>
    </row>
    <row r="34" spans="1:18" x14ac:dyDescent="0.2">
      <c r="A34" s="261">
        <f t="shared" si="5"/>
        <v>2</v>
      </c>
      <c r="B34" s="422" t="str">
        <f>INDEX('LA List'!B:B,MATCH('EZ list'!D34,'LA List'!A:A,0))</f>
        <v>E4701</v>
      </c>
      <c r="C34" s="422" t="str">
        <f t="shared" si="0"/>
        <v>E4701EZ2</v>
      </c>
      <c r="D34" s="261" t="s">
        <v>765</v>
      </c>
      <c r="E34" s="261" t="s">
        <v>985</v>
      </c>
      <c r="F34" s="261">
        <v>2017</v>
      </c>
      <c r="G34" s="577">
        <v>0</v>
      </c>
      <c r="H34" s="577">
        <v>0</v>
      </c>
      <c r="I34" s="577">
        <v>0</v>
      </c>
      <c r="J34" s="577">
        <f t="shared" si="10"/>
        <v>0</v>
      </c>
      <c r="K34" s="577">
        <f t="shared" si="11"/>
        <v>0</v>
      </c>
      <c r="L34" s="577">
        <f t="shared" si="12"/>
        <v>0</v>
      </c>
      <c r="M34" s="577">
        <f t="shared" si="13"/>
        <v>0</v>
      </c>
      <c r="N34" s="564">
        <v>0</v>
      </c>
      <c r="O34" s="577">
        <v>0</v>
      </c>
      <c r="P34" s="577" t="s">
        <v>1166</v>
      </c>
      <c r="Q34" s="577" t="s">
        <v>1166</v>
      </c>
      <c r="R34" s="1604">
        <f t="shared" si="4"/>
        <v>0</v>
      </c>
    </row>
    <row r="35" spans="1:18" x14ac:dyDescent="0.2">
      <c r="A35" s="261">
        <f t="shared" si="5"/>
        <v>3</v>
      </c>
      <c r="B35" s="422" t="str">
        <f>INDEX('LA List'!B:B,MATCH('EZ list'!D35,'LA List'!A:A,0))</f>
        <v>E4701</v>
      </c>
      <c r="C35" s="422" t="str">
        <f t="shared" si="0"/>
        <v>E4701EZ3</v>
      </c>
      <c r="D35" s="261" t="s">
        <v>765</v>
      </c>
      <c r="E35" s="261" t="s">
        <v>986</v>
      </c>
      <c r="F35" s="261">
        <v>2017</v>
      </c>
      <c r="G35" s="577">
        <v>0</v>
      </c>
      <c r="H35" s="577">
        <v>0</v>
      </c>
      <c r="I35" s="577">
        <v>0</v>
      </c>
      <c r="J35" s="577">
        <f t="shared" si="10"/>
        <v>0</v>
      </c>
      <c r="K35" s="577">
        <f t="shared" si="11"/>
        <v>0</v>
      </c>
      <c r="L35" s="577">
        <f t="shared" si="12"/>
        <v>0</v>
      </c>
      <c r="M35" s="577">
        <f t="shared" si="13"/>
        <v>0</v>
      </c>
      <c r="N35" s="564">
        <v>0</v>
      </c>
      <c r="O35" s="577">
        <v>0</v>
      </c>
      <c r="P35" s="577" t="s">
        <v>1166</v>
      </c>
      <c r="Q35" s="577" t="s">
        <v>1166</v>
      </c>
      <c r="R35" s="1604">
        <f t="shared" si="4"/>
        <v>0</v>
      </c>
    </row>
    <row r="36" spans="1:18" x14ac:dyDescent="0.2">
      <c r="A36" s="261">
        <f t="shared" si="5"/>
        <v>1</v>
      </c>
      <c r="B36" s="422" t="str">
        <f>INDEX('LA List'!B:B,MATCH('EZ list'!D36,'LA List'!A:A,0))</f>
        <v>E1532</v>
      </c>
      <c r="C36" s="422" t="str">
        <f t="shared" si="0"/>
        <v>E1532EZ1</v>
      </c>
      <c r="D36" s="261" t="s">
        <v>767</v>
      </c>
      <c r="E36" s="261" t="s">
        <v>1166</v>
      </c>
      <c r="F36" s="261" t="s">
        <v>1166</v>
      </c>
      <c r="G36" s="577" t="s">
        <v>1166</v>
      </c>
      <c r="H36" s="577" t="s">
        <v>1166</v>
      </c>
      <c r="I36" s="577" t="s">
        <v>1166</v>
      </c>
      <c r="J36" s="577" t="str">
        <f t="shared" si="10"/>
        <v/>
      </c>
      <c r="K36" s="577" t="str">
        <f t="shared" si="11"/>
        <v/>
      </c>
      <c r="L36" s="577" t="str">
        <f t="shared" si="12"/>
        <v/>
      </c>
      <c r="M36" s="577" t="str">
        <f t="shared" si="13"/>
        <v/>
      </c>
      <c r="N36" s="564" t="s">
        <v>1166</v>
      </c>
      <c r="O36" s="577" t="s">
        <v>1166</v>
      </c>
      <c r="P36" s="577" t="s">
        <v>1166</v>
      </c>
      <c r="Q36" s="577" t="s">
        <v>1166</v>
      </c>
      <c r="R36" s="1604" t="str">
        <f t="shared" si="4"/>
        <v/>
      </c>
    </row>
    <row r="37" spans="1:18" x14ac:dyDescent="0.2">
      <c r="A37" s="261">
        <f t="shared" si="5"/>
        <v>1</v>
      </c>
      <c r="B37" s="422" t="str">
        <f>INDEX('LA List'!B:B,MATCH('EZ list'!D37,'LA List'!A:A,0))</f>
        <v>E2631</v>
      </c>
      <c r="C37" s="422" t="str">
        <f t="shared" si="0"/>
        <v>E2631EZ1</v>
      </c>
      <c r="D37" s="261" t="s">
        <v>769</v>
      </c>
      <c r="E37" s="261" t="s">
        <v>1166</v>
      </c>
      <c r="F37" s="261" t="s">
        <v>1166</v>
      </c>
      <c r="G37" s="577" t="s">
        <v>1166</v>
      </c>
      <c r="H37" s="577" t="s">
        <v>1166</v>
      </c>
      <c r="I37" s="577" t="s">
        <v>1166</v>
      </c>
      <c r="J37" s="577" t="str">
        <f t="shared" si="10"/>
        <v/>
      </c>
      <c r="K37" s="577" t="str">
        <f t="shared" si="11"/>
        <v/>
      </c>
      <c r="L37" s="577" t="str">
        <f t="shared" si="12"/>
        <v/>
      </c>
      <c r="M37" s="577" t="str">
        <f t="shared" si="13"/>
        <v/>
      </c>
      <c r="N37" s="564" t="s">
        <v>1166</v>
      </c>
      <c r="O37" s="577" t="s">
        <v>1166</v>
      </c>
      <c r="P37" s="577" t="s">
        <v>1166</v>
      </c>
      <c r="Q37" s="577" t="s">
        <v>1166</v>
      </c>
      <c r="R37" s="1604" t="str">
        <f t="shared" si="4"/>
        <v/>
      </c>
    </row>
    <row r="38" spans="1:18" x14ac:dyDescent="0.2">
      <c r="A38" s="261">
        <f t="shared" si="5"/>
        <v>1</v>
      </c>
      <c r="B38" s="422" t="str">
        <f>INDEX('LA List'!B:B,MATCH('EZ list'!D38,'LA List'!A:A,0))</f>
        <v>E5033</v>
      </c>
      <c r="C38" s="422" t="str">
        <f t="shared" si="0"/>
        <v>E5033EZ1</v>
      </c>
      <c r="D38" s="261" t="s">
        <v>771</v>
      </c>
      <c r="E38" s="261" t="s">
        <v>1166</v>
      </c>
      <c r="F38" s="261" t="s">
        <v>1166</v>
      </c>
      <c r="G38" s="577" t="s">
        <v>1166</v>
      </c>
      <c r="H38" s="577" t="s">
        <v>1166</v>
      </c>
      <c r="I38" s="577" t="s">
        <v>1166</v>
      </c>
      <c r="J38" s="577" t="str">
        <f t="shared" si="10"/>
        <v/>
      </c>
      <c r="K38" s="577" t="str">
        <f t="shared" si="11"/>
        <v/>
      </c>
      <c r="L38" s="577" t="str">
        <f t="shared" si="12"/>
        <v/>
      </c>
      <c r="M38" s="577" t="str">
        <f t="shared" si="13"/>
        <v/>
      </c>
      <c r="N38" s="564" t="s">
        <v>1166</v>
      </c>
      <c r="O38" s="577" t="s">
        <v>1166</v>
      </c>
      <c r="P38" s="577" t="s">
        <v>1166</v>
      </c>
      <c r="Q38" s="577" t="s">
        <v>1166</v>
      </c>
      <c r="R38" s="1604" t="str">
        <f t="shared" si="4"/>
        <v/>
      </c>
    </row>
    <row r="39" spans="1:18" x14ac:dyDescent="0.2">
      <c r="A39" s="261">
        <f t="shared" si="5"/>
        <v>1</v>
      </c>
      <c r="B39" s="422" t="str">
        <f>INDEX('LA List'!B:B,MATCH('EZ list'!D39,'LA List'!A:A,0))</f>
        <v>E1533</v>
      </c>
      <c r="C39" s="422" t="str">
        <f t="shared" si="0"/>
        <v>E1533EZ1</v>
      </c>
      <c r="D39" s="261" t="s">
        <v>773</v>
      </c>
      <c r="E39" s="261" t="s">
        <v>1166</v>
      </c>
      <c r="F39" s="261" t="s">
        <v>1166</v>
      </c>
      <c r="G39" s="577" t="s">
        <v>1166</v>
      </c>
      <c r="H39" s="577" t="s">
        <v>1166</v>
      </c>
      <c r="I39" s="577" t="s">
        <v>1166</v>
      </c>
      <c r="J39" s="577" t="str">
        <f t="shared" si="10"/>
        <v/>
      </c>
      <c r="K39" s="577" t="str">
        <f t="shared" si="11"/>
        <v/>
      </c>
      <c r="L39" s="577" t="str">
        <f t="shared" si="12"/>
        <v/>
      </c>
      <c r="M39" s="577" t="str">
        <f t="shared" si="13"/>
        <v/>
      </c>
      <c r="N39" s="564" t="s">
        <v>1166</v>
      </c>
      <c r="O39" s="577" t="s">
        <v>1166</v>
      </c>
      <c r="P39" s="577" t="s">
        <v>1166</v>
      </c>
      <c r="Q39" s="577" t="s">
        <v>1166</v>
      </c>
      <c r="R39" s="1604" t="str">
        <f t="shared" si="4"/>
        <v/>
      </c>
    </row>
    <row r="40" spans="1:18" x14ac:dyDescent="0.2">
      <c r="A40" s="261">
        <f t="shared" si="5"/>
        <v>1</v>
      </c>
      <c r="B40" s="422" t="str">
        <f>INDEX('LA List'!B:B,MATCH('EZ list'!D40,'LA List'!A:A,0))</f>
        <v>E1401</v>
      </c>
      <c r="C40" s="422" t="str">
        <f t="shared" si="0"/>
        <v>E1401EZ1</v>
      </c>
      <c r="D40" s="261" t="s">
        <v>775</v>
      </c>
      <c r="E40" s="261" t="s">
        <v>1166</v>
      </c>
      <c r="F40" s="261" t="s">
        <v>1166</v>
      </c>
      <c r="G40" s="577" t="s">
        <v>1166</v>
      </c>
      <c r="H40" s="577" t="s">
        <v>1166</v>
      </c>
      <c r="I40" s="577" t="s">
        <v>1166</v>
      </c>
      <c r="J40" s="577" t="str">
        <f t="shared" si="10"/>
        <v/>
      </c>
      <c r="K40" s="577" t="str">
        <f t="shared" si="11"/>
        <v/>
      </c>
      <c r="L40" s="577" t="str">
        <f t="shared" si="12"/>
        <v/>
      </c>
      <c r="M40" s="577" t="str">
        <f t="shared" si="13"/>
        <v/>
      </c>
      <c r="N40" s="564" t="s">
        <v>1166</v>
      </c>
      <c r="O40" s="577" t="s">
        <v>1166</v>
      </c>
      <c r="P40" s="577" t="s">
        <v>1166</v>
      </c>
      <c r="Q40" s="577" t="s">
        <v>1166</v>
      </c>
      <c r="R40" s="1604" t="str">
        <f t="shared" si="4"/>
        <v/>
      </c>
    </row>
    <row r="41" spans="1:18" x14ac:dyDescent="0.2">
      <c r="A41" s="261">
        <f t="shared" si="5"/>
        <v>1</v>
      </c>
      <c r="B41" s="422" t="str">
        <f>INDEX('LA List'!B:B,MATCH('EZ list'!D41,'LA List'!A:A,0))</f>
        <v>E0102</v>
      </c>
      <c r="C41" s="422" t="str">
        <f t="shared" si="0"/>
        <v>E0102EZ1</v>
      </c>
      <c r="D41" s="261" t="s">
        <v>777</v>
      </c>
      <c r="E41" s="261" t="s">
        <v>835</v>
      </c>
      <c r="F41" s="261">
        <v>2013</v>
      </c>
      <c r="G41" s="577">
        <v>14097223</v>
      </c>
      <c r="H41" s="577">
        <v>14097223</v>
      </c>
      <c r="I41" s="577">
        <v>14520745</v>
      </c>
      <c r="J41" s="577">
        <f t="shared" si="10"/>
        <v>14853512</v>
      </c>
      <c r="K41" s="577">
        <f t="shared" si="11"/>
        <v>15095524</v>
      </c>
      <c r="L41" s="577">
        <f t="shared" si="12"/>
        <v>15095524</v>
      </c>
      <c r="M41" s="577">
        <f t="shared" si="13"/>
        <v>15095524</v>
      </c>
      <c r="N41" s="564">
        <v>16434332</v>
      </c>
      <c r="O41" s="577">
        <v>16434332</v>
      </c>
      <c r="P41" s="577" t="s">
        <v>1166</v>
      </c>
      <c r="Q41" s="577" t="s">
        <v>1166</v>
      </c>
      <c r="R41" s="1604">
        <f t="shared" si="4"/>
        <v>16434332</v>
      </c>
    </row>
    <row r="42" spans="1:18" x14ac:dyDescent="0.2">
      <c r="A42" s="261">
        <f t="shared" si="5"/>
        <v>2</v>
      </c>
      <c r="B42" s="422" t="str">
        <f>INDEX('LA List'!B:B,MATCH('EZ list'!D42,'LA List'!A:A,0))</f>
        <v>E0102</v>
      </c>
      <c r="C42" s="422" t="str">
        <f t="shared" si="0"/>
        <v>E0102EZ2</v>
      </c>
      <c r="D42" s="261" t="s">
        <v>777</v>
      </c>
      <c r="E42" s="261" t="s">
        <v>834</v>
      </c>
      <c r="F42" s="261">
        <v>2014</v>
      </c>
      <c r="G42" s="577">
        <v>6924728</v>
      </c>
      <c r="H42" s="577">
        <v>6924728</v>
      </c>
      <c r="I42" s="577">
        <v>7132767</v>
      </c>
      <c r="J42" s="577">
        <f t="shared" si="10"/>
        <v>7296226</v>
      </c>
      <c r="K42" s="577">
        <f t="shared" si="11"/>
        <v>7415105</v>
      </c>
      <c r="L42" s="577">
        <f t="shared" si="12"/>
        <v>7415105</v>
      </c>
      <c r="M42" s="577">
        <f t="shared" si="13"/>
        <v>7415105</v>
      </c>
      <c r="N42" s="564">
        <v>9365077</v>
      </c>
      <c r="O42" s="577">
        <v>9365077</v>
      </c>
      <c r="P42" s="577" t="s">
        <v>1166</v>
      </c>
      <c r="Q42" s="577" t="s">
        <v>1166</v>
      </c>
      <c r="R42" s="1604">
        <f t="shared" si="4"/>
        <v>9365077</v>
      </c>
    </row>
    <row r="43" spans="1:18" x14ac:dyDescent="0.2">
      <c r="A43" s="261">
        <f t="shared" si="5"/>
        <v>3</v>
      </c>
      <c r="B43" s="422" t="str">
        <f>INDEX('LA List'!B:B,MATCH('EZ list'!D43,'LA List'!A:A,0))</f>
        <v>E0102</v>
      </c>
      <c r="C43" s="422" t="str">
        <f t="shared" si="0"/>
        <v>E0102EZ3</v>
      </c>
      <c r="D43" s="261" t="s">
        <v>777</v>
      </c>
      <c r="E43" s="261" t="s">
        <v>987</v>
      </c>
      <c r="F43" s="261">
        <v>2017</v>
      </c>
      <c r="G43" s="577">
        <v>3812784</v>
      </c>
      <c r="H43" s="577">
        <v>3812784</v>
      </c>
      <c r="I43" s="577">
        <v>3927331</v>
      </c>
      <c r="J43" s="577">
        <f t="shared" si="10"/>
        <v>4017332</v>
      </c>
      <c r="K43" s="577">
        <f t="shared" si="11"/>
        <v>4082788</v>
      </c>
      <c r="L43" s="577">
        <f t="shared" si="12"/>
        <v>4082788</v>
      </c>
      <c r="M43" s="577">
        <f t="shared" si="13"/>
        <v>4082788</v>
      </c>
      <c r="N43" s="564">
        <v>4595633</v>
      </c>
      <c r="O43" s="577">
        <v>4595633</v>
      </c>
      <c r="P43" s="577" t="s">
        <v>1166</v>
      </c>
      <c r="Q43" s="577" t="s">
        <v>1166</v>
      </c>
      <c r="R43" s="1604">
        <f t="shared" si="4"/>
        <v>4595633</v>
      </c>
    </row>
    <row r="44" spans="1:18" x14ac:dyDescent="0.2">
      <c r="A44" s="261">
        <f t="shared" si="5"/>
        <v>1</v>
      </c>
      <c r="B44" s="422" t="str">
        <f>INDEX('LA List'!B:B,MATCH('EZ list'!D44,'LA List'!A:A,0))</f>
        <v>E2632</v>
      </c>
      <c r="C44" s="422" t="str">
        <f t="shared" si="0"/>
        <v>E2632EZ1</v>
      </c>
      <c r="D44" s="261" t="s">
        <v>779</v>
      </c>
      <c r="E44" s="261" t="s">
        <v>1166</v>
      </c>
      <c r="F44" s="261" t="s">
        <v>1166</v>
      </c>
      <c r="G44" s="577" t="s">
        <v>1166</v>
      </c>
      <c r="H44" s="577" t="s">
        <v>1166</v>
      </c>
      <c r="I44" s="577" t="s">
        <v>1166</v>
      </c>
      <c r="J44" s="577" t="str">
        <f t="shared" si="10"/>
        <v/>
      </c>
      <c r="K44" s="577" t="str">
        <f t="shared" si="11"/>
        <v/>
      </c>
      <c r="L44" s="577" t="str">
        <f t="shared" si="12"/>
        <v/>
      </c>
      <c r="M44" s="577" t="str">
        <f t="shared" si="13"/>
        <v/>
      </c>
      <c r="N44" s="564" t="s">
        <v>1166</v>
      </c>
      <c r="O44" s="577" t="s">
        <v>1166</v>
      </c>
      <c r="P44" s="577" t="s">
        <v>1166</v>
      </c>
      <c r="Q44" s="577" t="s">
        <v>1166</v>
      </c>
      <c r="R44" s="1604" t="str">
        <f t="shared" si="4"/>
        <v/>
      </c>
    </row>
    <row r="45" spans="1:18" x14ac:dyDescent="0.2">
      <c r="A45" s="261">
        <f t="shared" si="5"/>
        <v>1</v>
      </c>
      <c r="B45" s="422" t="str">
        <f>INDEX('LA List'!B:B,MATCH('EZ list'!D45,'LA List'!A:A,0))</f>
        <v>E5034</v>
      </c>
      <c r="C45" s="422" t="str">
        <f t="shared" si="0"/>
        <v>E5034EZ1</v>
      </c>
      <c r="D45" s="261" t="s">
        <v>781</v>
      </c>
      <c r="E45" s="261" t="s">
        <v>1166</v>
      </c>
      <c r="F45" s="261" t="s">
        <v>1166</v>
      </c>
      <c r="G45" s="577" t="s">
        <v>1166</v>
      </c>
      <c r="H45" s="577" t="s">
        <v>1166</v>
      </c>
      <c r="I45" s="577" t="s">
        <v>1166</v>
      </c>
      <c r="J45" s="577" t="str">
        <f t="shared" si="10"/>
        <v/>
      </c>
      <c r="K45" s="577" t="str">
        <f t="shared" si="11"/>
        <v/>
      </c>
      <c r="L45" s="577" t="str">
        <f t="shared" si="12"/>
        <v/>
      </c>
      <c r="M45" s="577" t="str">
        <f t="shared" si="13"/>
        <v/>
      </c>
      <c r="N45" s="564" t="s">
        <v>1166</v>
      </c>
      <c r="O45" s="577" t="s">
        <v>1166</v>
      </c>
      <c r="P45" s="577" t="s">
        <v>1166</v>
      </c>
      <c r="Q45" s="577" t="s">
        <v>1166</v>
      </c>
      <c r="R45" s="1604" t="str">
        <f t="shared" si="4"/>
        <v/>
      </c>
    </row>
    <row r="46" spans="1:18" x14ac:dyDescent="0.2">
      <c r="A46" s="261">
        <f t="shared" si="5"/>
        <v>1</v>
      </c>
      <c r="B46" s="422" t="str">
        <f>INDEX('LA List'!B:B,MATCH('EZ list'!D46,'LA List'!A:A,0))</f>
        <v>E1831</v>
      </c>
      <c r="C46" s="422" t="str">
        <f t="shared" si="0"/>
        <v>E1831EZ1</v>
      </c>
      <c r="D46" s="261" t="s">
        <v>783</v>
      </c>
      <c r="E46" s="261" t="s">
        <v>1166</v>
      </c>
      <c r="F46" s="261" t="s">
        <v>1166</v>
      </c>
      <c r="G46" s="577" t="s">
        <v>1166</v>
      </c>
      <c r="H46" s="577" t="s">
        <v>1166</v>
      </c>
      <c r="I46" s="577" t="s">
        <v>1166</v>
      </c>
      <c r="J46" s="577" t="str">
        <f t="shared" si="10"/>
        <v/>
      </c>
      <c r="K46" s="577" t="str">
        <f t="shared" si="11"/>
        <v/>
      </c>
      <c r="L46" s="577" t="str">
        <f t="shared" si="12"/>
        <v/>
      </c>
      <c r="M46" s="577" t="str">
        <f t="shared" si="13"/>
        <v/>
      </c>
      <c r="N46" s="564" t="s">
        <v>1166</v>
      </c>
      <c r="O46" s="577" t="s">
        <v>1166</v>
      </c>
      <c r="P46" s="577" t="s">
        <v>1166</v>
      </c>
      <c r="Q46" s="577" t="s">
        <v>1166</v>
      </c>
      <c r="R46" s="1604" t="str">
        <f t="shared" si="4"/>
        <v/>
      </c>
    </row>
    <row r="47" spans="1:18" x14ac:dyDescent="0.2">
      <c r="A47" s="261">
        <f t="shared" si="5"/>
        <v>1</v>
      </c>
      <c r="B47" s="422" t="str">
        <f>INDEX('LA List'!B:B,MATCH('EZ list'!D47,'LA List'!A:A,0))</f>
        <v>E1931</v>
      </c>
      <c r="C47" s="422" t="str">
        <f t="shared" si="0"/>
        <v>E1931EZ1</v>
      </c>
      <c r="D47" s="261" t="s">
        <v>785</v>
      </c>
      <c r="E47" s="261" t="s">
        <v>1166</v>
      </c>
      <c r="F47" s="261" t="s">
        <v>1166</v>
      </c>
      <c r="G47" s="577" t="s">
        <v>1166</v>
      </c>
      <c r="H47" s="577" t="s">
        <v>1166</v>
      </c>
      <c r="I47" s="577" t="s">
        <v>1166</v>
      </c>
      <c r="J47" s="577" t="str">
        <f t="shared" si="10"/>
        <v/>
      </c>
      <c r="K47" s="577" t="str">
        <f t="shared" si="11"/>
        <v/>
      </c>
      <c r="L47" s="577" t="str">
        <f t="shared" si="12"/>
        <v/>
      </c>
      <c r="M47" s="577" t="str">
        <f t="shared" si="13"/>
        <v/>
      </c>
      <c r="N47" s="564" t="s">
        <v>1166</v>
      </c>
      <c r="O47" s="577" t="s">
        <v>1166</v>
      </c>
      <c r="P47" s="577" t="s">
        <v>1166</v>
      </c>
      <c r="Q47" s="577" t="s">
        <v>1166</v>
      </c>
      <c r="R47" s="1604" t="str">
        <f t="shared" si="4"/>
        <v/>
      </c>
    </row>
    <row r="48" spans="1:18" x14ac:dyDescent="0.2">
      <c r="A48" s="261">
        <f t="shared" si="5"/>
        <v>1</v>
      </c>
      <c r="B48" s="422" t="str">
        <f>INDEX('LA List'!B:B,MATCH('EZ list'!D48,'LA List'!A:A,0))</f>
        <v>E3033</v>
      </c>
      <c r="C48" s="422" t="str">
        <f t="shared" si="0"/>
        <v>E3033EZ1</v>
      </c>
      <c r="D48" s="261" t="s">
        <v>787</v>
      </c>
      <c r="E48" s="261" t="s">
        <v>836</v>
      </c>
      <c r="F48" s="261">
        <v>2013</v>
      </c>
      <c r="G48" s="577">
        <v>1182989</v>
      </c>
      <c r="H48" s="577">
        <v>1182989</v>
      </c>
      <c r="I48" s="577">
        <v>1218529</v>
      </c>
      <c r="J48" s="577">
        <f t="shared" si="10"/>
        <v>1246454</v>
      </c>
      <c r="K48" s="577">
        <f t="shared" si="11"/>
        <v>1266763</v>
      </c>
      <c r="L48" s="577">
        <f t="shared" si="12"/>
        <v>1266763</v>
      </c>
      <c r="M48" s="577">
        <f t="shared" si="13"/>
        <v>1266763</v>
      </c>
      <c r="N48" s="564">
        <v>1318907</v>
      </c>
      <c r="O48" s="577">
        <v>1318907</v>
      </c>
      <c r="P48" s="577" t="s">
        <v>1166</v>
      </c>
      <c r="Q48" s="577" t="s">
        <v>1166</v>
      </c>
      <c r="R48" s="1604">
        <f t="shared" si="4"/>
        <v>1318907</v>
      </c>
    </row>
    <row r="49" spans="1:35" x14ac:dyDescent="0.2">
      <c r="A49" s="261">
        <f t="shared" si="5"/>
        <v>1</v>
      </c>
      <c r="B49" s="422" t="str">
        <f>INDEX('LA List'!B:B,MATCH('EZ list'!D49,'LA List'!A:A,0))</f>
        <v>E0402</v>
      </c>
      <c r="C49" s="422" t="str">
        <f t="shared" si="0"/>
        <v>E0402EZ1</v>
      </c>
      <c r="D49" s="509" t="s">
        <v>1212</v>
      </c>
      <c r="E49" s="261" t="s">
        <v>976</v>
      </c>
      <c r="F49" s="261">
        <v>2016</v>
      </c>
      <c r="G49" s="577">
        <v>0</v>
      </c>
      <c r="H49" s="577">
        <v>0</v>
      </c>
      <c r="I49" s="577">
        <v>0</v>
      </c>
      <c r="J49" s="577">
        <f t="shared" si="10"/>
        <v>0</v>
      </c>
      <c r="K49" s="577">
        <f t="shared" si="11"/>
        <v>0</v>
      </c>
      <c r="L49" s="577">
        <f t="shared" si="12"/>
        <v>0</v>
      </c>
      <c r="M49" s="577">
        <f t="shared" si="13"/>
        <v>0</v>
      </c>
      <c r="N49" s="564">
        <v>0</v>
      </c>
      <c r="O49" s="577">
        <v>0</v>
      </c>
      <c r="P49" s="577" t="s">
        <v>1166</v>
      </c>
      <c r="Q49" s="577" t="s">
        <v>1166</v>
      </c>
      <c r="R49" s="1604">
        <f t="shared" si="4"/>
        <v>0</v>
      </c>
    </row>
    <row r="50" spans="1:35" x14ac:dyDescent="0.2">
      <c r="A50" s="261">
        <f t="shared" si="5"/>
        <v>2</v>
      </c>
      <c r="B50" s="422" t="str">
        <f>INDEX('LA List'!B:B,MATCH('EZ list'!D50,'LA List'!A:A,0))</f>
        <v>E0402</v>
      </c>
      <c r="C50" s="422" t="str">
        <f>CONCATENATE(B50,"EZ",A50)</f>
        <v>E0402EZ2</v>
      </c>
      <c r="D50" s="509" t="s">
        <v>1212</v>
      </c>
      <c r="E50" s="261" t="s">
        <v>977</v>
      </c>
      <c r="F50" s="261">
        <v>2016</v>
      </c>
      <c r="G50" s="577">
        <v>0</v>
      </c>
      <c r="H50" s="577">
        <v>0</v>
      </c>
      <c r="I50" s="577">
        <v>0</v>
      </c>
      <c r="J50" s="577">
        <f t="shared" si="10"/>
        <v>0</v>
      </c>
      <c r="K50" s="577">
        <f t="shared" si="11"/>
        <v>0</v>
      </c>
      <c r="L50" s="577">
        <f t="shared" si="12"/>
        <v>0</v>
      </c>
      <c r="M50" s="577">
        <f t="shared" si="13"/>
        <v>0</v>
      </c>
      <c r="N50" s="564">
        <v>0</v>
      </c>
      <c r="O50" s="577">
        <v>0</v>
      </c>
      <c r="P50" s="577" t="s">
        <v>1166</v>
      </c>
      <c r="Q50" s="577" t="s">
        <v>1166</v>
      </c>
      <c r="R50" s="1604">
        <f t="shared" si="4"/>
        <v>0</v>
      </c>
      <c r="S50"/>
      <c r="T50"/>
      <c r="U50"/>
      <c r="V50"/>
      <c r="W50"/>
      <c r="X50"/>
      <c r="Y50"/>
      <c r="Z50"/>
      <c r="AA50"/>
      <c r="AB50"/>
      <c r="AC50"/>
      <c r="AD50"/>
      <c r="AE50"/>
      <c r="AF50"/>
      <c r="AG50"/>
      <c r="AH50"/>
      <c r="AI50"/>
    </row>
    <row r="51" spans="1:35" x14ac:dyDescent="0.2">
      <c r="A51" s="261">
        <f t="shared" si="5"/>
        <v>3</v>
      </c>
      <c r="B51" s="422" t="str">
        <f>INDEX('LA List'!B:B,MATCH('EZ list'!D51,'LA List'!A:A,0))</f>
        <v>E0402</v>
      </c>
      <c r="C51" s="422" t="str">
        <f>CONCATENATE(B51,"EZ",A51)</f>
        <v>E0402EZ3</v>
      </c>
      <c r="D51" s="509" t="s">
        <v>1212</v>
      </c>
      <c r="E51" s="261" t="s">
        <v>978</v>
      </c>
      <c r="F51" s="261">
        <v>2016</v>
      </c>
      <c r="G51" s="577">
        <v>24915</v>
      </c>
      <c r="H51" s="577">
        <v>24915</v>
      </c>
      <c r="I51" s="577">
        <v>25664</v>
      </c>
      <c r="J51" s="577">
        <f t="shared" si="10"/>
        <v>26252</v>
      </c>
      <c r="K51" s="577">
        <f t="shared" si="11"/>
        <v>26680</v>
      </c>
      <c r="L51" s="577">
        <f t="shared" si="12"/>
        <v>26680</v>
      </c>
      <c r="M51" s="577">
        <f t="shared" si="13"/>
        <v>26680</v>
      </c>
      <c r="N51" s="564">
        <v>32393</v>
      </c>
      <c r="O51" s="577">
        <v>32393</v>
      </c>
      <c r="P51" s="577" t="s">
        <v>1166</v>
      </c>
      <c r="Q51" s="577" t="s">
        <v>1166</v>
      </c>
      <c r="R51" s="1604">
        <f t="shared" si="4"/>
        <v>32393</v>
      </c>
      <c r="S51"/>
      <c r="T51"/>
      <c r="U51"/>
      <c r="V51"/>
      <c r="W51"/>
      <c r="X51"/>
      <c r="Y51"/>
      <c r="Z51"/>
      <c r="AA51"/>
      <c r="AB51"/>
      <c r="AC51"/>
      <c r="AD51"/>
      <c r="AE51"/>
      <c r="AF51"/>
      <c r="AG51"/>
      <c r="AH51"/>
      <c r="AI51"/>
    </row>
    <row r="52" spans="1:35" x14ac:dyDescent="0.2">
      <c r="A52" s="261">
        <f t="shared" si="5"/>
        <v>1</v>
      </c>
      <c r="B52" s="422" t="str">
        <f>INDEX('LA List'!B:B,MATCH('EZ list'!D52,'LA List'!A:A,0))</f>
        <v>E2333</v>
      </c>
      <c r="C52" s="422" t="str">
        <f>CONCATENATE(B52,"EZ",A52)</f>
        <v>E2333EZ1</v>
      </c>
      <c r="D52" s="261" t="s">
        <v>789</v>
      </c>
      <c r="E52" s="261" t="s">
        <v>1166</v>
      </c>
      <c r="F52" s="261" t="s">
        <v>1166</v>
      </c>
      <c r="G52" s="577" t="s">
        <v>1166</v>
      </c>
      <c r="H52" s="577" t="s">
        <v>1166</v>
      </c>
      <c r="I52" s="577" t="s">
        <v>1166</v>
      </c>
      <c r="J52" s="577" t="str">
        <f t="shared" si="10"/>
        <v/>
      </c>
      <c r="K52" s="577" t="str">
        <f t="shared" si="11"/>
        <v/>
      </c>
      <c r="L52" s="577" t="str">
        <f t="shared" si="12"/>
        <v/>
      </c>
      <c r="M52" s="577" t="str">
        <f t="shared" si="13"/>
        <v/>
      </c>
      <c r="N52" s="564" t="s">
        <v>1166</v>
      </c>
      <c r="O52" s="577" t="s">
        <v>1166</v>
      </c>
      <c r="P52" s="577" t="s">
        <v>1166</v>
      </c>
      <c r="Q52" s="577" t="s">
        <v>1166</v>
      </c>
      <c r="R52" s="1604" t="str">
        <f t="shared" si="4"/>
        <v/>
      </c>
      <c r="S52"/>
      <c r="T52"/>
      <c r="U52"/>
      <c r="V52"/>
      <c r="W52"/>
      <c r="X52"/>
      <c r="Y52"/>
      <c r="Z52"/>
      <c r="AA52"/>
      <c r="AB52"/>
      <c r="AC52"/>
      <c r="AD52"/>
      <c r="AE52"/>
      <c r="AF52"/>
      <c r="AG52"/>
      <c r="AH52"/>
      <c r="AI52"/>
    </row>
    <row r="53" spans="1:35" x14ac:dyDescent="0.2">
      <c r="A53" s="261">
        <f t="shared" si="5"/>
        <v>1</v>
      </c>
      <c r="B53" s="422" t="str">
        <f>INDEX('LA List'!B:B,MATCH('EZ list'!D53,'LA List'!A:A,0))</f>
        <v>E4202</v>
      </c>
      <c r="C53" s="422" t="str">
        <f t="shared" si="0"/>
        <v>E4202EZ1</v>
      </c>
      <c r="D53" s="261" t="s">
        <v>791</v>
      </c>
      <c r="E53" s="261" t="s">
        <v>5808</v>
      </c>
      <c r="F53" s="261">
        <v>2024</v>
      </c>
      <c r="G53" s="577" t="s">
        <v>1166</v>
      </c>
      <c r="H53" s="577" t="s">
        <v>1166</v>
      </c>
      <c r="I53" s="577" t="s">
        <v>1166</v>
      </c>
      <c r="J53" s="577" t="str">
        <f t="shared" si="10"/>
        <v/>
      </c>
      <c r="K53" s="577" t="str">
        <f t="shared" si="11"/>
        <v/>
      </c>
      <c r="L53" s="577" t="str">
        <f t="shared" si="12"/>
        <v/>
      </c>
      <c r="M53" s="577" t="str">
        <f t="shared" si="13"/>
        <v/>
      </c>
      <c r="N53" s="564" t="s">
        <v>1166</v>
      </c>
      <c r="O53" s="577">
        <v>0</v>
      </c>
      <c r="P53" s="577">
        <v>0</v>
      </c>
      <c r="Q53" s="577">
        <v>0</v>
      </c>
      <c r="R53" s="1604">
        <f t="shared" si="4"/>
        <v>0</v>
      </c>
    </row>
    <row r="54" spans="1:35" x14ac:dyDescent="0.2">
      <c r="A54" s="261">
        <f t="shared" si="5"/>
        <v>1</v>
      </c>
      <c r="B54" s="422" t="str">
        <f>INDEX('LA List'!B:B,MATCH('EZ list'!D54,'LA List'!A:A,0))</f>
        <v>E4702</v>
      </c>
      <c r="C54" s="422" t="str">
        <f t="shared" si="0"/>
        <v>E4702EZ1</v>
      </c>
      <c r="D54" s="261" t="s">
        <v>793</v>
      </c>
      <c r="E54" s="261" t="s">
        <v>988</v>
      </c>
      <c r="F54" s="261">
        <v>2017</v>
      </c>
      <c r="G54" s="577">
        <v>0</v>
      </c>
      <c r="H54" s="577">
        <v>0</v>
      </c>
      <c r="I54" s="577">
        <v>0</v>
      </c>
      <c r="J54" s="577">
        <f t="shared" si="10"/>
        <v>0</v>
      </c>
      <c r="K54" s="577">
        <f t="shared" si="11"/>
        <v>0</v>
      </c>
      <c r="L54" s="577">
        <f t="shared" si="12"/>
        <v>0</v>
      </c>
      <c r="M54" s="577">
        <f t="shared" si="13"/>
        <v>0</v>
      </c>
      <c r="N54" s="564">
        <v>0</v>
      </c>
      <c r="O54" s="577">
        <v>0</v>
      </c>
      <c r="P54" s="577" t="s">
        <v>1166</v>
      </c>
      <c r="Q54" s="577" t="s">
        <v>1166</v>
      </c>
      <c r="R54" s="1604">
        <f t="shared" si="4"/>
        <v>0</v>
      </c>
    </row>
    <row r="55" spans="1:35" x14ac:dyDescent="0.2">
      <c r="A55" s="261">
        <f t="shared" si="5"/>
        <v>1</v>
      </c>
      <c r="B55" s="422" t="str">
        <f>INDEX('LA List'!B:B,MATCH('EZ list'!D55,'LA List'!A:A,0))</f>
        <v>E0531</v>
      </c>
      <c r="C55" s="422" t="str">
        <f t="shared" si="0"/>
        <v>E0531EZ1</v>
      </c>
      <c r="D55" s="261" t="s">
        <v>795</v>
      </c>
      <c r="E55" s="261" t="s">
        <v>1166</v>
      </c>
      <c r="F55" s="261" t="s">
        <v>1166</v>
      </c>
      <c r="G55" s="577" t="s">
        <v>1166</v>
      </c>
      <c r="H55" s="577" t="s">
        <v>1166</v>
      </c>
      <c r="I55" s="577" t="s">
        <v>1166</v>
      </c>
      <c r="J55" s="577" t="str">
        <f t="shared" si="10"/>
        <v/>
      </c>
      <c r="K55" s="577" t="str">
        <f t="shared" si="11"/>
        <v/>
      </c>
      <c r="L55" s="577" t="str">
        <f t="shared" si="12"/>
        <v/>
      </c>
      <c r="M55" s="577" t="str">
        <f t="shared" si="13"/>
        <v/>
      </c>
      <c r="N55" s="564" t="s">
        <v>1166</v>
      </c>
      <c r="O55" s="577" t="s">
        <v>1166</v>
      </c>
      <c r="P55" s="577" t="s">
        <v>1166</v>
      </c>
      <c r="Q55" s="577" t="s">
        <v>1166</v>
      </c>
      <c r="R55" s="1604" t="str">
        <f t="shared" si="4"/>
        <v/>
      </c>
    </row>
    <row r="56" spans="1:35" x14ac:dyDescent="0.2">
      <c r="A56" s="261">
        <f t="shared" si="5"/>
        <v>1</v>
      </c>
      <c r="B56" s="422" t="str">
        <f>INDEX('LA List'!B:B,MATCH('EZ list'!D56,'LA List'!A:A,0))</f>
        <v>E5011</v>
      </c>
      <c r="C56" s="422" t="str">
        <f t="shared" si="0"/>
        <v>E5011EZ1</v>
      </c>
      <c r="D56" s="261" t="s">
        <v>797</v>
      </c>
      <c r="E56" s="261" t="s">
        <v>1166</v>
      </c>
      <c r="F56" s="261" t="s">
        <v>1166</v>
      </c>
      <c r="G56" s="577" t="s">
        <v>1166</v>
      </c>
      <c r="H56" s="577" t="s">
        <v>1166</v>
      </c>
      <c r="I56" s="577" t="s">
        <v>1166</v>
      </c>
      <c r="J56" s="577" t="str">
        <f t="shared" si="10"/>
        <v/>
      </c>
      <c r="K56" s="577" t="str">
        <f t="shared" si="11"/>
        <v/>
      </c>
      <c r="L56" s="577" t="str">
        <f t="shared" si="12"/>
        <v/>
      </c>
      <c r="M56" s="577" t="str">
        <f t="shared" si="13"/>
        <v/>
      </c>
      <c r="N56" s="564" t="s">
        <v>1166</v>
      </c>
      <c r="O56" s="577" t="s">
        <v>1166</v>
      </c>
      <c r="P56" s="577" t="s">
        <v>1166</v>
      </c>
      <c r="Q56" s="577" t="s">
        <v>1166</v>
      </c>
      <c r="R56" s="1604" t="str">
        <f t="shared" si="4"/>
        <v/>
      </c>
    </row>
    <row r="57" spans="1:35" x14ac:dyDescent="0.2">
      <c r="A57" s="261">
        <f t="shared" si="5"/>
        <v>1</v>
      </c>
      <c r="B57" s="422" t="str">
        <f>INDEX('LA List'!B:B,MATCH('EZ list'!D57,'LA List'!A:A,0))</f>
        <v>E3431</v>
      </c>
      <c r="C57" s="422" t="str">
        <f t="shared" si="0"/>
        <v>E3431EZ1</v>
      </c>
      <c r="D57" s="261" t="s">
        <v>799</v>
      </c>
      <c r="E57" s="261" t="s">
        <v>1166</v>
      </c>
      <c r="F57" s="261" t="s">
        <v>1166</v>
      </c>
      <c r="G57" s="577" t="s">
        <v>1166</v>
      </c>
      <c r="H57" s="577" t="s">
        <v>1166</v>
      </c>
      <c r="I57" s="577" t="s">
        <v>1166</v>
      </c>
      <c r="J57" s="577" t="str">
        <f t="shared" si="10"/>
        <v/>
      </c>
      <c r="K57" s="577" t="str">
        <f t="shared" si="11"/>
        <v/>
      </c>
      <c r="L57" s="577" t="str">
        <f t="shared" si="12"/>
        <v/>
      </c>
      <c r="M57" s="577" t="str">
        <f t="shared" si="13"/>
        <v/>
      </c>
      <c r="N57" s="564" t="s">
        <v>1166</v>
      </c>
      <c r="O57" s="577" t="s">
        <v>1166</v>
      </c>
      <c r="P57" s="577" t="s">
        <v>1166</v>
      </c>
      <c r="Q57" s="577" t="s">
        <v>1166</v>
      </c>
      <c r="R57" s="1604" t="str">
        <f t="shared" si="4"/>
        <v/>
      </c>
    </row>
    <row r="58" spans="1:35" x14ac:dyDescent="0.2">
      <c r="A58" s="261">
        <f t="shared" si="5"/>
        <v>1</v>
      </c>
      <c r="B58" s="422" t="str">
        <f>INDEX('LA List'!B:B,MATCH('EZ list'!D58,'LA List'!A:A,0))</f>
        <v>E2232</v>
      </c>
      <c r="C58" s="422" t="str">
        <f t="shared" si="0"/>
        <v>E2232EZ1</v>
      </c>
      <c r="D58" s="261" t="s">
        <v>801</v>
      </c>
      <c r="E58" s="261" t="s">
        <v>1166</v>
      </c>
      <c r="F58" s="261" t="s">
        <v>1166</v>
      </c>
      <c r="G58" s="577" t="s">
        <v>1166</v>
      </c>
      <c r="H58" s="577" t="s">
        <v>1166</v>
      </c>
      <c r="I58" s="577" t="s">
        <v>1166</v>
      </c>
      <c r="J58" s="577" t="str">
        <f t="shared" si="10"/>
        <v/>
      </c>
      <c r="K58" s="577" t="str">
        <f t="shared" si="11"/>
        <v/>
      </c>
      <c r="L58" s="577" t="str">
        <f t="shared" si="12"/>
        <v/>
      </c>
      <c r="M58" s="577" t="str">
        <f t="shared" si="13"/>
        <v/>
      </c>
      <c r="N58" s="564" t="s">
        <v>1166</v>
      </c>
      <c r="O58" s="577" t="s">
        <v>1166</v>
      </c>
      <c r="P58" s="577" t="s">
        <v>1166</v>
      </c>
      <c r="Q58" s="577" t="s">
        <v>1166</v>
      </c>
      <c r="R58" s="1604" t="str">
        <f t="shared" si="4"/>
        <v/>
      </c>
    </row>
    <row r="59" spans="1:35" x14ac:dyDescent="0.2">
      <c r="A59" s="261">
        <f t="shared" si="5"/>
        <v>1</v>
      </c>
      <c r="B59" s="422" t="str">
        <f>INDEX('LA List'!B:B,MATCH('EZ list'!D59,'LA List'!A:A,0))</f>
        <v>E1534</v>
      </c>
      <c r="C59" s="422" t="str">
        <f t="shared" si="0"/>
        <v>E1534EZ1</v>
      </c>
      <c r="D59" s="261" t="s">
        <v>803</v>
      </c>
      <c r="E59" s="261" t="s">
        <v>1166</v>
      </c>
      <c r="F59" s="261" t="s">
        <v>1166</v>
      </c>
      <c r="G59" s="577" t="s">
        <v>1166</v>
      </c>
      <c r="H59" s="577" t="s">
        <v>1166</v>
      </c>
      <c r="I59" s="577" t="s">
        <v>1166</v>
      </c>
      <c r="J59" s="577" t="str">
        <f t="shared" si="10"/>
        <v/>
      </c>
      <c r="K59" s="577" t="str">
        <f t="shared" si="11"/>
        <v/>
      </c>
      <c r="L59" s="577" t="str">
        <f t="shared" si="12"/>
        <v/>
      </c>
      <c r="M59" s="577" t="str">
        <f t="shared" si="13"/>
        <v/>
      </c>
      <c r="N59" s="564" t="s">
        <v>1166</v>
      </c>
      <c r="O59" s="577" t="s">
        <v>1166</v>
      </c>
      <c r="P59" s="577" t="s">
        <v>1166</v>
      </c>
      <c r="Q59" s="577" t="s">
        <v>1166</v>
      </c>
      <c r="R59" s="1604" t="str">
        <f t="shared" si="4"/>
        <v/>
      </c>
    </row>
    <row r="60" spans="1:35" x14ac:dyDescent="0.2">
      <c r="A60" s="261">
        <f t="shared" si="5"/>
        <v>1</v>
      </c>
      <c r="B60" s="422" t="str">
        <f>INDEX('LA List'!B:B,MATCH('EZ list'!D60,'LA List'!A:A,0))</f>
        <v>E0203</v>
      </c>
      <c r="C60" s="422" t="str">
        <f t="shared" si="0"/>
        <v>E0203EZ1</v>
      </c>
      <c r="D60" s="261" t="s">
        <v>805</v>
      </c>
      <c r="E60" s="261" t="s">
        <v>1166</v>
      </c>
      <c r="F60" s="261" t="s">
        <v>1166</v>
      </c>
      <c r="G60" s="577" t="s">
        <v>1166</v>
      </c>
      <c r="H60" s="577" t="s">
        <v>1166</v>
      </c>
      <c r="I60" s="577" t="s">
        <v>1166</v>
      </c>
      <c r="J60" s="577" t="str">
        <f t="shared" si="10"/>
        <v/>
      </c>
      <c r="K60" s="577" t="str">
        <f t="shared" si="11"/>
        <v/>
      </c>
      <c r="L60" s="577" t="str">
        <f t="shared" si="12"/>
        <v/>
      </c>
      <c r="M60" s="577" t="str">
        <f t="shared" si="13"/>
        <v/>
      </c>
      <c r="N60" s="564" t="s">
        <v>1166</v>
      </c>
      <c r="O60" s="577" t="s">
        <v>1166</v>
      </c>
      <c r="P60" s="577" t="s">
        <v>1166</v>
      </c>
      <c r="Q60" s="577" t="s">
        <v>1166</v>
      </c>
      <c r="R60" s="1604" t="str">
        <f t="shared" si="4"/>
        <v/>
      </c>
    </row>
    <row r="61" spans="1:35" x14ac:dyDescent="0.2">
      <c r="A61" s="261">
        <f t="shared" si="5"/>
        <v>1</v>
      </c>
      <c r="B61" s="422" t="str">
        <f>INDEX('LA List'!B:B,MATCH('EZ list'!D61,'LA List'!A:A,0))</f>
        <v>E2432</v>
      </c>
      <c r="C61" s="422" t="str">
        <f t="shared" si="0"/>
        <v>E2432EZ1</v>
      </c>
      <c r="D61" s="261" t="s">
        <v>807</v>
      </c>
      <c r="E61" s="261" t="s">
        <v>990</v>
      </c>
      <c r="F61" s="261">
        <v>2017</v>
      </c>
      <c r="G61" s="577">
        <v>0</v>
      </c>
      <c r="H61" s="577">
        <v>0</v>
      </c>
      <c r="I61" s="577">
        <v>0</v>
      </c>
      <c r="J61" s="577">
        <f t="shared" si="10"/>
        <v>0</v>
      </c>
      <c r="K61" s="577">
        <f t="shared" si="11"/>
        <v>0</v>
      </c>
      <c r="L61" s="577">
        <f t="shared" si="12"/>
        <v>0</v>
      </c>
      <c r="M61" s="577">
        <f t="shared" si="13"/>
        <v>0</v>
      </c>
      <c r="N61" s="564">
        <v>0</v>
      </c>
      <c r="O61" s="577">
        <v>0</v>
      </c>
      <c r="P61" s="577" t="s">
        <v>1166</v>
      </c>
      <c r="Q61" s="577" t="s">
        <v>1166</v>
      </c>
      <c r="R61" s="1604">
        <f t="shared" si="4"/>
        <v>0</v>
      </c>
    </row>
    <row r="62" spans="1:35" x14ac:dyDescent="0.2">
      <c r="A62" s="261">
        <f t="shared" si="5"/>
        <v>2</v>
      </c>
      <c r="B62" s="422" t="str">
        <f>INDEX('LA List'!B:B,MATCH('EZ list'!D62,'LA List'!A:A,0))</f>
        <v>E2432</v>
      </c>
      <c r="C62" s="422" t="str">
        <f t="shared" si="0"/>
        <v>E2432EZ2</v>
      </c>
      <c r="D62" s="261" t="s">
        <v>807</v>
      </c>
      <c r="E62" s="261" t="s">
        <v>991</v>
      </c>
      <c r="F62" s="261">
        <v>2017</v>
      </c>
      <c r="G62" s="577">
        <v>119000</v>
      </c>
      <c r="H62" s="577">
        <v>119000</v>
      </c>
      <c r="I62" s="577">
        <v>122575</v>
      </c>
      <c r="J62" s="577">
        <f t="shared" si="10"/>
        <v>125384</v>
      </c>
      <c r="K62" s="577">
        <f t="shared" si="11"/>
        <v>127427</v>
      </c>
      <c r="L62" s="577">
        <f t="shared" si="12"/>
        <v>127427</v>
      </c>
      <c r="M62" s="577">
        <f t="shared" si="13"/>
        <v>127427</v>
      </c>
      <c r="N62" s="564">
        <v>122719</v>
      </c>
      <c r="O62" s="577">
        <v>122719</v>
      </c>
      <c r="P62" s="577" t="s">
        <v>1166</v>
      </c>
      <c r="Q62" s="577" t="s">
        <v>1166</v>
      </c>
      <c r="R62" s="1604">
        <f t="shared" si="4"/>
        <v>122719</v>
      </c>
    </row>
    <row r="63" spans="1:35" x14ac:dyDescent="0.2">
      <c r="A63" s="261">
        <f t="shared" si="5"/>
        <v>1</v>
      </c>
      <c r="B63" s="422" t="str">
        <f>INDEX('LA List'!B:B,MATCH('EZ list'!D63,'LA List'!A:A,0))</f>
        <v>E1535</v>
      </c>
      <c r="C63" s="422" t="str">
        <f t="shared" si="0"/>
        <v>E1535EZ1</v>
      </c>
      <c r="D63" s="261" t="s">
        <v>809</v>
      </c>
      <c r="E63" s="261" t="s">
        <v>1166</v>
      </c>
      <c r="F63" s="261" t="s">
        <v>1166</v>
      </c>
      <c r="G63" s="577" t="s">
        <v>1166</v>
      </c>
      <c r="H63" s="577" t="s">
        <v>1166</v>
      </c>
      <c r="I63" s="577" t="s">
        <v>1166</v>
      </c>
      <c r="J63" s="577" t="str">
        <f t="shared" si="10"/>
        <v/>
      </c>
      <c r="K63" s="577" t="str">
        <f t="shared" si="11"/>
        <v/>
      </c>
      <c r="L63" s="577" t="str">
        <f t="shared" si="12"/>
        <v/>
      </c>
      <c r="M63" s="577" t="str">
        <f t="shared" si="13"/>
        <v/>
      </c>
      <c r="N63" s="564" t="s">
        <v>1166</v>
      </c>
      <c r="O63" s="577" t="s">
        <v>1166</v>
      </c>
      <c r="P63" s="577" t="s">
        <v>1166</v>
      </c>
      <c r="Q63" s="577" t="s">
        <v>1166</v>
      </c>
      <c r="R63" s="1604" t="str">
        <f t="shared" si="4"/>
        <v/>
      </c>
    </row>
    <row r="64" spans="1:35" x14ac:dyDescent="0.2">
      <c r="A64" s="261">
        <f t="shared" si="5"/>
        <v>1</v>
      </c>
      <c r="B64" s="422" t="str">
        <f>INDEX('LA List'!B:B,MATCH('EZ list'!D64,'LA List'!A:A,0))</f>
        <v>E1631</v>
      </c>
      <c r="C64" s="422" t="str">
        <f t="shared" si="0"/>
        <v>E1631EZ1</v>
      </c>
      <c r="D64" s="261" t="s">
        <v>811</v>
      </c>
      <c r="E64" s="261" t="s">
        <v>1166</v>
      </c>
      <c r="F64" s="261" t="s">
        <v>1166</v>
      </c>
      <c r="G64" s="577" t="s">
        <v>1166</v>
      </c>
      <c r="H64" s="577" t="s">
        <v>1166</v>
      </c>
      <c r="I64" s="577" t="s">
        <v>1166</v>
      </c>
      <c r="J64" s="577" t="str">
        <f t="shared" si="10"/>
        <v/>
      </c>
      <c r="K64" s="577" t="str">
        <f t="shared" si="11"/>
        <v/>
      </c>
      <c r="L64" s="577" t="str">
        <f t="shared" si="12"/>
        <v/>
      </c>
      <c r="M64" s="577" t="str">
        <f t="shared" si="13"/>
        <v/>
      </c>
      <c r="N64" s="564" t="s">
        <v>1166</v>
      </c>
      <c r="O64" s="577" t="s">
        <v>1166</v>
      </c>
      <c r="P64" s="577" t="s">
        <v>1166</v>
      </c>
      <c r="Q64" s="577" t="s">
        <v>1166</v>
      </c>
      <c r="R64" s="1604" t="str">
        <f t="shared" si="4"/>
        <v/>
      </c>
    </row>
    <row r="65" spans="1:18" x14ac:dyDescent="0.2">
      <c r="A65" s="261">
        <f t="shared" si="5"/>
        <v>1</v>
      </c>
      <c r="B65" s="422" t="str">
        <f>INDEX('LA List'!B:B,MATCH('EZ list'!D65,'LA List'!A:A,0))</f>
        <v>E3131</v>
      </c>
      <c r="C65" s="422" t="str">
        <f t="shared" si="0"/>
        <v>E3131EZ1</v>
      </c>
      <c r="D65" s="261" t="s">
        <v>813</v>
      </c>
      <c r="E65" s="261" t="s">
        <v>1166</v>
      </c>
      <c r="F65" s="261" t="s">
        <v>1166</v>
      </c>
      <c r="G65" s="577" t="s">
        <v>1166</v>
      </c>
      <c r="H65" s="577" t="s">
        <v>1166</v>
      </c>
      <c r="I65" s="577" t="s">
        <v>1166</v>
      </c>
      <c r="J65" s="577" t="str">
        <f t="shared" si="10"/>
        <v/>
      </c>
      <c r="K65" s="577" t="str">
        <f t="shared" si="11"/>
        <v/>
      </c>
      <c r="L65" s="577" t="str">
        <f t="shared" si="12"/>
        <v/>
      </c>
      <c r="M65" s="577" t="str">
        <f t="shared" si="13"/>
        <v/>
      </c>
      <c r="N65" s="564" t="s">
        <v>1166</v>
      </c>
      <c r="O65" s="577" t="s">
        <v>1166</v>
      </c>
      <c r="P65" s="577" t="s">
        <v>1166</v>
      </c>
      <c r="Q65" s="577" t="s">
        <v>1166</v>
      </c>
      <c r="R65" s="1604" t="str">
        <f t="shared" si="4"/>
        <v/>
      </c>
    </row>
    <row r="66" spans="1:18" x14ac:dyDescent="0.2">
      <c r="A66" s="261">
        <f t="shared" si="5"/>
        <v>1</v>
      </c>
      <c r="B66" s="422" t="str">
        <f>INDEX('LA List'!B:B,MATCH('EZ list'!D66,'LA List'!A:A,0))</f>
        <v>E0603</v>
      </c>
      <c r="C66" s="422" t="str">
        <f t="shared" si="0"/>
        <v>E0603EZ1</v>
      </c>
      <c r="D66" s="261" t="s">
        <v>815</v>
      </c>
      <c r="E66" s="261" t="s">
        <v>992</v>
      </c>
      <c r="F66" s="261">
        <v>2016</v>
      </c>
      <c r="G66" s="577">
        <v>2253425</v>
      </c>
      <c r="H66" s="577">
        <v>2253425</v>
      </c>
      <c r="I66" s="577">
        <v>2321124</v>
      </c>
      <c r="J66" s="577">
        <f t="shared" si="10"/>
        <v>2374316</v>
      </c>
      <c r="K66" s="577">
        <f t="shared" si="11"/>
        <v>2413001</v>
      </c>
      <c r="L66" s="577">
        <f t="shared" si="12"/>
        <v>2413001</v>
      </c>
      <c r="M66" s="577">
        <f t="shared" si="13"/>
        <v>2413001</v>
      </c>
      <c r="N66" s="564">
        <v>1932743</v>
      </c>
      <c r="O66" s="577">
        <v>1932743</v>
      </c>
      <c r="P66" s="577" t="s">
        <v>1166</v>
      </c>
      <c r="Q66" s="577" t="s">
        <v>1166</v>
      </c>
      <c r="R66" s="1604">
        <f t="shared" si="4"/>
        <v>1932743</v>
      </c>
    </row>
    <row r="67" spans="1:18" x14ac:dyDescent="0.2">
      <c r="A67" s="261">
        <f t="shared" si="5"/>
        <v>1</v>
      </c>
      <c r="B67" s="422" t="str">
        <f>INDEX('LA List'!B:B,MATCH('EZ list'!D67,'LA List'!A:A,0))</f>
        <v>E0604</v>
      </c>
      <c r="C67" s="422" t="str">
        <f t="shared" ref="C67:C125" si="14">CONCATENATE(B67,"EZ",A67)</f>
        <v>E0604EZ1</v>
      </c>
      <c r="D67" s="261" t="s">
        <v>539</v>
      </c>
      <c r="E67" s="261" t="s">
        <v>993</v>
      </c>
      <c r="F67" s="261">
        <v>2016</v>
      </c>
      <c r="G67" s="577">
        <v>143520</v>
      </c>
      <c r="H67" s="577">
        <v>143520</v>
      </c>
      <c r="I67" s="577">
        <v>147832</v>
      </c>
      <c r="J67" s="577">
        <f t="shared" si="10"/>
        <v>151220</v>
      </c>
      <c r="K67" s="577">
        <f t="shared" si="11"/>
        <v>153684</v>
      </c>
      <c r="L67" s="577">
        <f t="shared" si="12"/>
        <v>153684</v>
      </c>
      <c r="M67" s="577">
        <f t="shared" si="13"/>
        <v>153684</v>
      </c>
      <c r="N67" s="564">
        <v>195959</v>
      </c>
      <c r="O67" s="577">
        <v>195959</v>
      </c>
      <c r="P67" s="577" t="s">
        <v>1166</v>
      </c>
      <c r="Q67" s="577" t="s">
        <v>1166</v>
      </c>
      <c r="R67" s="1604">
        <f t="shared" si="4"/>
        <v>195959</v>
      </c>
    </row>
    <row r="68" spans="1:18" x14ac:dyDescent="0.2">
      <c r="A68" s="261">
        <f t="shared" si="5"/>
        <v>2</v>
      </c>
      <c r="B68" s="422" t="str">
        <f>INDEX('LA List'!B:B,MATCH('EZ list'!D68,'LA List'!A:A,0))</f>
        <v>E0604</v>
      </c>
      <c r="C68" s="422" t="str">
        <f t="shared" si="14"/>
        <v>E0604EZ2</v>
      </c>
      <c r="D68" s="261" t="s">
        <v>539</v>
      </c>
      <c r="E68" s="261" t="s">
        <v>994</v>
      </c>
      <c r="F68" s="261">
        <v>2016</v>
      </c>
      <c r="G68" s="577">
        <v>0</v>
      </c>
      <c r="H68" s="577">
        <v>0</v>
      </c>
      <c r="I68" s="577">
        <v>0</v>
      </c>
      <c r="J68" s="577">
        <f t="shared" si="10"/>
        <v>0</v>
      </c>
      <c r="K68" s="577">
        <f t="shared" si="11"/>
        <v>0</v>
      </c>
      <c r="L68" s="577">
        <f t="shared" si="12"/>
        <v>0</v>
      </c>
      <c r="M68" s="577">
        <f t="shared" si="13"/>
        <v>0</v>
      </c>
      <c r="N68" s="564">
        <v>0</v>
      </c>
      <c r="O68" s="577">
        <v>0</v>
      </c>
      <c r="P68" s="577" t="s">
        <v>1166</v>
      </c>
      <c r="Q68" s="577" t="s">
        <v>1166</v>
      </c>
      <c r="R68" s="1604">
        <f t="shared" ref="R68:R131" si="15">IF($F68 = "","",
IF($F68&lt;2024,O68*$P$1,
IF($F68&gt;=2024,+P68+Q68)))</f>
        <v>0</v>
      </c>
    </row>
    <row r="69" spans="1:18" x14ac:dyDescent="0.2">
      <c r="A69" s="261">
        <f t="shared" si="5"/>
        <v>3</v>
      </c>
      <c r="B69" s="422" t="str">
        <f>INDEX('LA List'!B:B,MATCH('EZ list'!D69,'LA List'!A:A,0))</f>
        <v>E0604</v>
      </c>
      <c r="C69" s="422" t="str">
        <f t="shared" si="14"/>
        <v>E0604EZ3</v>
      </c>
      <c r="D69" s="261" t="s">
        <v>539</v>
      </c>
      <c r="E69" s="261" t="s">
        <v>995</v>
      </c>
      <c r="F69" s="261">
        <v>2016</v>
      </c>
      <c r="G69" s="577">
        <v>0</v>
      </c>
      <c r="H69" s="577">
        <v>0</v>
      </c>
      <c r="I69" s="577">
        <v>0</v>
      </c>
      <c r="J69" s="577">
        <f t="shared" si="10"/>
        <v>0</v>
      </c>
      <c r="K69" s="577">
        <f t="shared" si="11"/>
        <v>0</v>
      </c>
      <c r="L69" s="577">
        <f t="shared" si="12"/>
        <v>0</v>
      </c>
      <c r="M69" s="577">
        <f t="shared" si="13"/>
        <v>0</v>
      </c>
      <c r="N69" s="564">
        <v>0</v>
      </c>
      <c r="O69" s="577">
        <v>0</v>
      </c>
      <c r="P69" s="577" t="s">
        <v>1166</v>
      </c>
      <c r="Q69" s="577" t="s">
        <v>1166</v>
      </c>
      <c r="R69" s="1604">
        <f t="shared" si="15"/>
        <v>0</v>
      </c>
    </row>
    <row r="70" spans="1:18" x14ac:dyDescent="0.2">
      <c r="A70" s="261">
        <f t="shared" si="5"/>
        <v>4</v>
      </c>
      <c r="B70" s="422" t="str">
        <f>INDEX('LA List'!B:B,MATCH('EZ list'!D70,'LA List'!A:A,0))</f>
        <v>E0604</v>
      </c>
      <c r="C70" s="422" t="str">
        <f t="shared" si="14"/>
        <v>E0604EZ4</v>
      </c>
      <c r="D70" s="261" t="s">
        <v>539</v>
      </c>
      <c r="E70" s="261" t="s">
        <v>996</v>
      </c>
      <c r="F70" s="261">
        <v>2016</v>
      </c>
      <c r="G70" s="577">
        <v>0</v>
      </c>
      <c r="H70" s="577">
        <v>0</v>
      </c>
      <c r="I70" s="577">
        <v>0</v>
      </c>
      <c r="J70" s="577">
        <f t="shared" si="10"/>
        <v>0</v>
      </c>
      <c r="K70" s="577">
        <f t="shared" si="11"/>
        <v>0</v>
      </c>
      <c r="L70" s="577">
        <f t="shared" si="12"/>
        <v>0</v>
      </c>
      <c r="M70" s="577">
        <f t="shared" si="13"/>
        <v>0</v>
      </c>
      <c r="N70" s="564">
        <v>0</v>
      </c>
      <c r="O70" s="577">
        <v>0</v>
      </c>
      <c r="P70" s="577" t="s">
        <v>1166</v>
      </c>
      <c r="Q70" s="577" t="s">
        <v>1166</v>
      </c>
      <c r="R70" s="1604">
        <f t="shared" si="15"/>
        <v>0</v>
      </c>
    </row>
    <row r="71" spans="1:18" x14ac:dyDescent="0.2">
      <c r="A71" s="261">
        <f t="shared" ref="A71:A134" si="16">IF(D71=D70,A70+1,1)</f>
        <v>5</v>
      </c>
      <c r="B71" s="422" t="str">
        <f>INDEX('LA List'!B:B,MATCH('EZ list'!D71,'LA List'!A:A,0))</f>
        <v>E0604</v>
      </c>
      <c r="C71" s="422" t="str">
        <f t="shared" si="14"/>
        <v>E0604EZ5</v>
      </c>
      <c r="D71" s="261" t="s">
        <v>539</v>
      </c>
      <c r="E71" s="261" t="s">
        <v>997</v>
      </c>
      <c r="F71" s="261">
        <v>2016</v>
      </c>
      <c r="G71" s="577">
        <v>0</v>
      </c>
      <c r="H71" s="577">
        <v>0</v>
      </c>
      <c r="I71" s="577">
        <v>0</v>
      </c>
      <c r="J71" s="577">
        <f t="shared" si="10"/>
        <v>0</v>
      </c>
      <c r="K71" s="577">
        <f t="shared" si="11"/>
        <v>0</v>
      </c>
      <c r="L71" s="577">
        <f t="shared" si="12"/>
        <v>0</v>
      </c>
      <c r="M71" s="577">
        <f t="shared" si="13"/>
        <v>0</v>
      </c>
      <c r="N71" s="564">
        <v>0</v>
      </c>
      <c r="O71" s="577">
        <v>0</v>
      </c>
      <c r="P71" s="577" t="s">
        <v>1166</v>
      </c>
      <c r="Q71" s="577" t="s">
        <v>1166</v>
      </c>
      <c r="R71" s="1604">
        <f t="shared" si="15"/>
        <v>0</v>
      </c>
    </row>
    <row r="72" spans="1:18" x14ac:dyDescent="0.2">
      <c r="A72" s="261">
        <f t="shared" si="16"/>
        <v>6</v>
      </c>
      <c r="B72" s="422" t="str">
        <f>INDEX('LA List'!B:B,MATCH('EZ list'!D72,'LA List'!A:A,0))</f>
        <v>E0604</v>
      </c>
      <c r="C72" s="422" t="str">
        <f t="shared" si="14"/>
        <v>E0604EZ6</v>
      </c>
      <c r="D72" s="261" t="s">
        <v>539</v>
      </c>
      <c r="E72" s="261" t="s">
        <v>998</v>
      </c>
      <c r="F72" s="261">
        <v>2016</v>
      </c>
      <c r="G72" s="577">
        <v>0</v>
      </c>
      <c r="H72" s="577">
        <v>0</v>
      </c>
      <c r="I72" s="577">
        <v>0</v>
      </c>
      <c r="J72" s="577">
        <f t="shared" si="10"/>
        <v>0</v>
      </c>
      <c r="K72" s="577">
        <f t="shared" si="11"/>
        <v>0</v>
      </c>
      <c r="L72" s="577">
        <f t="shared" si="12"/>
        <v>0</v>
      </c>
      <c r="M72" s="577">
        <f t="shared" si="13"/>
        <v>0</v>
      </c>
      <c r="N72" s="564">
        <v>0</v>
      </c>
      <c r="O72" s="577">
        <v>0</v>
      </c>
      <c r="P72" s="577" t="s">
        <v>1166</v>
      </c>
      <c r="Q72" s="577" t="s">
        <v>1166</v>
      </c>
      <c r="R72" s="1604">
        <f t="shared" si="15"/>
        <v>0</v>
      </c>
    </row>
    <row r="73" spans="1:18" x14ac:dyDescent="0.2">
      <c r="A73" s="261">
        <f t="shared" si="16"/>
        <v>7</v>
      </c>
      <c r="B73" s="422" t="str">
        <f>INDEX('LA List'!B:B,MATCH('EZ list'!D73,'LA List'!A:A,0))</f>
        <v>E0604</v>
      </c>
      <c r="C73" s="422" t="str">
        <f t="shared" si="14"/>
        <v>E0604EZ7</v>
      </c>
      <c r="D73" s="261" t="s">
        <v>539</v>
      </c>
      <c r="E73" s="261" t="s">
        <v>999</v>
      </c>
      <c r="F73" s="261">
        <v>2016</v>
      </c>
      <c r="G73" s="577">
        <v>0</v>
      </c>
      <c r="H73" s="577">
        <v>0</v>
      </c>
      <c r="I73" s="577">
        <v>0</v>
      </c>
      <c r="J73" s="577">
        <f t="shared" si="10"/>
        <v>0</v>
      </c>
      <c r="K73" s="577">
        <f t="shared" si="11"/>
        <v>0</v>
      </c>
      <c r="L73" s="577">
        <f t="shared" si="12"/>
        <v>0</v>
      </c>
      <c r="M73" s="577">
        <f t="shared" si="13"/>
        <v>0</v>
      </c>
      <c r="N73" s="564">
        <v>0</v>
      </c>
      <c r="O73" s="577">
        <v>0</v>
      </c>
      <c r="P73" s="577" t="s">
        <v>1166</v>
      </c>
      <c r="Q73" s="577" t="s">
        <v>1166</v>
      </c>
      <c r="R73" s="1604">
        <f t="shared" si="15"/>
        <v>0</v>
      </c>
    </row>
    <row r="74" spans="1:18" x14ac:dyDescent="0.2">
      <c r="A74" s="261">
        <f t="shared" si="16"/>
        <v>8</v>
      </c>
      <c r="B74" s="422" t="str">
        <f>INDEX('LA List'!B:B,MATCH('EZ list'!D74,'LA List'!A:A,0))</f>
        <v>E0604</v>
      </c>
      <c r="C74" s="422" t="str">
        <f t="shared" si="14"/>
        <v>E0604EZ8</v>
      </c>
      <c r="D74" s="261" t="s">
        <v>539</v>
      </c>
      <c r="E74" s="261" t="s">
        <v>1000</v>
      </c>
      <c r="F74" s="261">
        <v>2016</v>
      </c>
      <c r="G74" s="577">
        <v>23901</v>
      </c>
      <c r="H74" s="577">
        <v>23901</v>
      </c>
      <c r="I74" s="577">
        <v>24619</v>
      </c>
      <c r="J74" s="577">
        <f t="shared" si="10"/>
        <v>25183</v>
      </c>
      <c r="K74" s="577">
        <f t="shared" si="11"/>
        <v>25593</v>
      </c>
      <c r="L74" s="577">
        <f t="shared" si="12"/>
        <v>25593</v>
      </c>
      <c r="M74" s="577">
        <f t="shared" si="13"/>
        <v>25593</v>
      </c>
      <c r="N74" s="564">
        <v>20227</v>
      </c>
      <c r="O74" s="577">
        <v>20227</v>
      </c>
      <c r="P74" s="577" t="s">
        <v>1166</v>
      </c>
      <c r="Q74" s="577" t="s">
        <v>1166</v>
      </c>
      <c r="R74" s="1604">
        <f t="shared" si="15"/>
        <v>20227</v>
      </c>
    </row>
    <row r="75" spans="1:18" x14ac:dyDescent="0.2">
      <c r="A75" s="261">
        <f t="shared" si="16"/>
        <v>9</v>
      </c>
      <c r="B75" s="422" t="str">
        <f>INDEX('LA List'!B:B,MATCH('EZ list'!D75,'LA List'!A:A,0))</f>
        <v>E0604</v>
      </c>
      <c r="C75" s="422" t="str">
        <f t="shared" si="14"/>
        <v>E0604EZ9</v>
      </c>
      <c r="D75" s="261" t="s">
        <v>539</v>
      </c>
      <c r="E75" s="261" t="s">
        <v>1001</v>
      </c>
      <c r="F75" s="261">
        <v>2016</v>
      </c>
      <c r="G75" s="577">
        <v>0</v>
      </c>
      <c r="H75" s="577">
        <v>0</v>
      </c>
      <c r="I75" s="577">
        <v>0</v>
      </c>
      <c r="J75" s="577">
        <f t="shared" si="10"/>
        <v>0</v>
      </c>
      <c r="K75" s="577">
        <f t="shared" si="11"/>
        <v>0</v>
      </c>
      <c r="L75" s="577">
        <f t="shared" si="12"/>
        <v>0</v>
      </c>
      <c r="M75" s="577">
        <f t="shared" si="13"/>
        <v>0</v>
      </c>
      <c r="N75" s="564">
        <v>0</v>
      </c>
      <c r="O75" s="577">
        <v>0</v>
      </c>
      <c r="P75" s="577" t="s">
        <v>1166</v>
      </c>
      <c r="Q75" s="577" t="s">
        <v>1166</v>
      </c>
      <c r="R75" s="1604">
        <f t="shared" si="15"/>
        <v>0</v>
      </c>
    </row>
    <row r="76" spans="1:18" x14ac:dyDescent="0.2">
      <c r="A76" s="261">
        <f t="shared" si="16"/>
        <v>10</v>
      </c>
      <c r="B76" s="422" t="str">
        <f>INDEX('LA List'!B:B,MATCH('EZ list'!D76,'LA List'!A:A,0))</f>
        <v>E0604</v>
      </c>
      <c r="C76" s="422" t="str">
        <f t="shared" si="14"/>
        <v>E0604EZ10</v>
      </c>
      <c r="D76" s="261" t="s">
        <v>539</v>
      </c>
      <c r="E76" s="261" t="s">
        <v>1002</v>
      </c>
      <c r="F76" s="261">
        <v>2016</v>
      </c>
      <c r="G76" s="577">
        <v>0</v>
      </c>
      <c r="H76" s="577">
        <v>0</v>
      </c>
      <c r="I76" s="577">
        <v>0</v>
      </c>
      <c r="J76" s="577">
        <f t="shared" si="10"/>
        <v>0</v>
      </c>
      <c r="K76" s="577">
        <f t="shared" si="11"/>
        <v>0</v>
      </c>
      <c r="L76" s="577">
        <f t="shared" si="12"/>
        <v>0</v>
      </c>
      <c r="M76" s="577">
        <f t="shared" si="13"/>
        <v>0</v>
      </c>
      <c r="N76" s="564">
        <v>0</v>
      </c>
      <c r="O76" s="577">
        <v>0</v>
      </c>
      <c r="P76" s="577" t="s">
        <v>1166</v>
      </c>
      <c r="Q76" s="577" t="s">
        <v>1166</v>
      </c>
      <c r="R76" s="1604">
        <f t="shared" si="15"/>
        <v>0</v>
      </c>
    </row>
    <row r="77" spans="1:18" x14ac:dyDescent="0.2">
      <c r="A77" s="261">
        <f t="shared" si="16"/>
        <v>1</v>
      </c>
      <c r="B77" s="422" t="str">
        <f>INDEX('LA List'!B:B,MATCH('EZ list'!D77,'LA List'!A:A,0))</f>
        <v>E1033</v>
      </c>
      <c r="C77" s="422" t="str">
        <f t="shared" si="14"/>
        <v>E1033EZ1</v>
      </c>
      <c r="D77" s="261" t="s">
        <v>818</v>
      </c>
      <c r="E77" s="261" t="s">
        <v>837</v>
      </c>
      <c r="F77" s="261">
        <v>2013</v>
      </c>
      <c r="G77" s="577">
        <v>0</v>
      </c>
      <c r="H77" s="577">
        <v>0</v>
      </c>
      <c r="I77" s="577">
        <v>0</v>
      </c>
      <c r="J77" s="577">
        <f t="shared" si="10"/>
        <v>0</v>
      </c>
      <c r="K77" s="577">
        <f t="shared" si="11"/>
        <v>0</v>
      </c>
      <c r="L77" s="577">
        <f t="shared" si="12"/>
        <v>0</v>
      </c>
      <c r="M77" s="577">
        <f t="shared" si="13"/>
        <v>0</v>
      </c>
      <c r="N77" s="564">
        <v>39820</v>
      </c>
      <c r="O77" s="577">
        <v>39820</v>
      </c>
      <c r="P77" s="577" t="s">
        <v>1166</v>
      </c>
      <c r="Q77" s="577" t="s">
        <v>1166</v>
      </c>
      <c r="R77" s="1604">
        <f t="shared" si="15"/>
        <v>39820</v>
      </c>
    </row>
    <row r="78" spans="1:18" x14ac:dyDescent="0.2">
      <c r="A78" s="261">
        <f t="shared" si="16"/>
        <v>2</v>
      </c>
      <c r="B78" s="422" t="str">
        <f>INDEX('LA List'!B:B,MATCH('EZ list'!D78,'LA List'!A:A,0))</f>
        <v>E1033</v>
      </c>
      <c r="C78" s="422" t="str">
        <f t="shared" si="14"/>
        <v>E1033EZ2</v>
      </c>
      <c r="D78" s="261" t="s">
        <v>818</v>
      </c>
      <c r="E78" s="261" t="s">
        <v>5809</v>
      </c>
      <c r="F78" s="261">
        <v>2025</v>
      </c>
      <c r="G78" s="577"/>
      <c r="H78" s="577"/>
      <c r="I78" s="577"/>
      <c r="J78" s="577"/>
      <c r="K78" s="577"/>
      <c r="L78" s="577"/>
      <c r="M78" s="577"/>
      <c r="N78" s="564"/>
      <c r="O78" s="577"/>
      <c r="P78" s="577">
        <v>13772.4</v>
      </c>
      <c r="Q78" s="577">
        <v>0</v>
      </c>
      <c r="R78" s="1604">
        <f t="shared" si="15"/>
        <v>13772.4</v>
      </c>
    </row>
    <row r="79" spans="1:18" x14ac:dyDescent="0.2">
      <c r="A79" s="261">
        <f t="shared" si="16"/>
        <v>1</v>
      </c>
      <c r="B79" s="422" t="str">
        <f>INDEX('LA List'!B:B,MATCH('EZ list'!D79,'LA List'!A:A,0))</f>
        <v>E3833</v>
      </c>
      <c r="C79" s="422" t="str">
        <f t="shared" si="14"/>
        <v>E3833EZ1</v>
      </c>
      <c r="D79" s="261" t="s">
        <v>820</v>
      </c>
      <c r="E79" s="261" t="s">
        <v>1166</v>
      </c>
      <c r="F79" s="261" t="s">
        <v>1166</v>
      </c>
      <c r="G79" s="577" t="s">
        <v>1166</v>
      </c>
      <c r="H79" s="577" t="s">
        <v>1166</v>
      </c>
      <c r="I79" s="577" t="s">
        <v>1166</v>
      </c>
      <c r="J79" s="577" t="str">
        <f t="shared" si="10"/>
        <v/>
      </c>
      <c r="K79" s="577" t="str">
        <f t="shared" si="11"/>
        <v/>
      </c>
      <c r="L79" s="577" t="str">
        <f t="shared" si="12"/>
        <v/>
      </c>
      <c r="M79" s="577" t="str">
        <f t="shared" si="13"/>
        <v/>
      </c>
      <c r="N79" s="564" t="s">
        <v>1166</v>
      </c>
      <c r="O79" s="577" t="s">
        <v>1166</v>
      </c>
      <c r="P79" s="577" t="s">
        <v>1166</v>
      </c>
      <c r="Q79" s="577" t="s">
        <v>1166</v>
      </c>
      <c r="R79" s="1604" t="str">
        <f t="shared" si="15"/>
        <v/>
      </c>
    </row>
    <row r="80" spans="1:18" x14ac:dyDescent="0.2">
      <c r="A80" s="261">
        <f t="shared" si="16"/>
        <v>1</v>
      </c>
      <c r="B80" s="422" t="str">
        <f>INDEX('LA List'!B:B,MATCH('EZ list'!D80,'LA List'!A:A,0))</f>
        <v>E2334</v>
      </c>
      <c r="C80" s="422" t="str">
        <f t="shared" si="14"/>
        <v>E2334EZ1</v>
      </c>
      <c r="D80" s="261" t="s">
        <v>822</v>
      </c>
      <c r="E80" s="261" t="s">
        <v>1166</v>
      </c>
      <c r="F80" s="261" t="s">
        <v>1166</v>
      </c>
      <c r="G80" s="577" t="s">
        <v>1166</v>
      </c>
      <c r="H80" s="577" t="s">
        <v>1166</v>
      </c>
      <c r="I80" s="577" t="s">
        <v>1166</v>
      </c>
      <c r="J80" s="577" t="str">
        <f t="shared" si="10"/>
        <v/>
      </c>
      <c r="K80" s="577" t="str">
        <f t="shared" si="11"/>
        <v/>
      </c>
      <c r="L80" s="577" t="str">
        <f t="shared" si="12"/>
        <v/>
      </c>
      <c r="M80" s="577" t="str">
        <f t="shared" si="13"/>
        <v/>
      </c>
      <c r="N80" s="564" t="s">
        <v>1166</v>
      </c>
      <c r="O80" s="577" t="s">
        <v>1166</v>
      </c>
      <c r="P80" s="577" t="s">
        <v>1166</v>
      </c>
      <c r="Q80" s="577" t="s">
        <v>1166</v>
      </c>
      <c r="R80" s="1604" t="str">
        <f t="shared" si="15"/>
        <v/>
      </c>
    </row>
    <row r="81" spans="1:18" x14ac:dyDescent="0.2">
      <c r="A81" s="261">
        <f t="shared" si="16"/>
        <v>1</v>
      </c>
      <c r="B81" s="422" t="str">
        <f>INDEX('LA List'!B:B,MATCH('EZ list'!D81,'LA List'!A:A,0))</f>
        <v>E5010</v>
      </c>
      <c r="C81" s="422" t="str">
        <f t="shared" si="14"/>
        <v>E5010EZ1</v>
      </c>
      <c r="D81" s="261" t="s">
        <v>824</v>
      </c>
      <c r="E81" s="261" t="s">
        <v>1166</v>
      </c>
      <c r="F81" s="261" t="s">
        <v>1166</v>
      </c>
      <c r="G81" s="577" t="s">
        <v>1166</v>
      </c>
      <c r="H81" s="577" t="s">
        <v>1166</v>
      </c>
      <c r="I81" s="577" t="s">
        <v>1166</v>
      </c>
      <c r="J81" s="577" t="str">
        <f t="shared" si="10"/>
        <v/>
      </c>
      <c r="K81" s="577" t="str">
        <f t="shared" si="11"/>
        <v/>
      </c>
      <c r="L81" s="577" t="str">
        <f t="shared" si="12"/>
        <v/>
      </c>
      <c r="M81" s="577" t="str">
        <f t="shared" si="13"/>
        <v/>
      </c>
      <c r="N81" s="564" t="s">
        <v>1166</v>
      </c>
      <c r="O81" s="577" t="s">
        <v>1166</v>
      </c>
      <c r="P81" s="577" t="s">
        <v>1166</v>
      </c>
      <c r="Q81" s="577" t="s">
        <v>1166</v>
      </c>
      <c r="R81" s="1604" t="str">
        <f t="shared" si="15"/>
        <v/>
      </c>
    </row>
    <row r="82" spans="1:18" x14ac:dyDescent="0.2">
      <c r="A82" s="261">
        <f t="shared" si="16"/>
        <v>1</v>
      </c>
      <c r="B82" s="422" t="str">
        <f>INDEX('LA List'!B:B,MATCH('EZ list'!D82,'LA List'!A:A,0))</f>
        <v>E1536</v>
      </c>
      <c r="C82" s="422" t="str">
        <f t="shared" si="14"/>
        <v>E1536EZ1</v>
      </c>
      <c r="D82" s="261" t="s">
        <v>1</v>
      </c>
      <c r="E82" s="261" t="s">
        <v>1166</v>
      </c>
      <c r="F82" s="261" t="s">
        <v>1166</v>
      </c>
      <c r="G82" s="577" t="s">
        <v>1166</v>
      </c>
      <c r="H82" s="577" t="s">
        <v>1166</v>
      </c>
      <c r="I82" s="577" t="s">
        <v>1166</v>
      </c>
      <c r="J82" s="577" t="str">
        <f t="shared" si="10"/>
        <v/>
      </c>
      <c r="K82" s="577" t="str">
        <f t="shared" si="11"/>
        <v/>
      </c>
      <c r="L82" s="577" t="str">
        <f t="shared" si="12"/>
        <v/>
      </c>
      <c r="M82" s="577" t="str">
        <f t="shared" si="13"/>
        <v/>
      </c>
      <c r="N82" s="564" t="s">
        <v>1166</v>
      </c>
      <c r="O82" s="577" t="s">
        <v>1166</v>
      </c>
      <c r="P82" s="577" t="s">
        <v>1166</v>
      </c>
      <c r="Q82" s="577" t="s">
        <v>1166</v>
      </c>
      <c r="R82" s="1604" t="str">
        <f t="shared" si="15"/>
        <v/>
      </c>
    </row>
    <row r="83" spans="1:18" x14ac:dyDescent="0.2">
      <c r="A83" s="261">
        <f t="shared" si="16"/>
        <v>1</v>
      </c>
      <c r="B83" s="422" t="str">
        <f>INDEX('LA List'!B:B,MATCH('EZ list'!D83,'LA List'!A:A,0))</f>
        <v>E0801</v>
      </c>
      <c r="C83" s="422" t="str">
        <f t="shared" si="14"/>
        <v>E0801EZ1</v>
      </c>
      <c r="D83" s="261" t="s">
        <v>3</v>
      </c>
      <c r="E83" s="261" t="s">
        <v>838</v>
      </c>
      <c r="F83" s="261">
        <v>2013</v>
      </c>
      <c r="G83" s="577">
        <v>506696</v>
      </c>
      <c r="H83" s="577">
        <v>506696</v>
      </c>
      <c r="I83" s="577">
        <v>521919</v>
      </c>
      <c r="J83" s="577">
        <f t="shared" si="10"/>
        <v>533880</v>
      </c>
      <c r="K83" s="577">
        <f t="shared" si="11"/>
        <v>542579</v>
      </c>
      <c r="L83" s="577">
        <f t="shared" si="12"/>
        <v>542579</v>
      </c>
      <c r="M83" s="577">
        <f t="shared" si="13"/>
        <v>542579</v>
      </c>
      <c r="N83" s="564">
        <v>518319</v>
      </c>
      <c r="O83" s="577">
        <v>518319</v>
      </c>
      <c r="P83" s="577" t="s">
        <v>1166</v>
      </c>
      <c r="Q83" s="577" t="s">
        <v>1166</v>
      </c>
      <c r="R83" s="1604">
        <f t="shared" si="15"/>
        <v>518319</v>
      </c>
    </row>
    <row r="84" spans="1:18" x14ac:dyDescent="0.2">
      <c r="A84" s="261">
        <f t="shared" si="16"/>
        <v>2</v>
      </c>
      <c r="B84" s="422" t="str">
        <f>INDEX('LA List'!B:B,MATCH('EZ list'!D84,'LA List'!A:A,0))</f>
        <v>E0801</v>
      </c>
      <c r="C84" s="422" t="str">
        <f t="shared" si="14"/>
        <v>E0801EZ2</v>
      </c>
      <c r="D84" s="261" t="s">
        <v>3</v>
      </c>
      <c r="E84" s="261" t="s">
        <v>1003</v>
      </c>
      <c r="F84" s="261">
        <v>2016</v>
      </c>
      <c r="G84" s="577">
        <v>68686</v>
      </c>
      <c r="H84" s="577">
        <v>68686</v>
      </c>
      <c r="I84" s="577">
        <v>70750</v>
      </c>
      <c r="J84" s="577">
        <f t="shared" si="10"/>
        <v>72371</v>
      </c>
      <c r="K84" s="577">
        <f t="shared" si="11"/>
        <v>73550</v>
      </c>
      <c r="L84" s="577">
        <f t="shared" si="12"/>
        <v>73550</v>
      </c>
      <c r="M84" s="577">
        <f t="shared" si="13"/>
        <v>73550</v>
      </c>
      <c r="N84" s="564">
        <v>82881</v>
      </c>
      <c r="O84" s="577">
        <v>82881</v>
      </c>
      <c r="P84" s="577" t="s">
        <v>1166</v>
      </c>
      <c r="Q84" s="577" t="s">
        <v>1166</v>
      </c>
      <c r="R84" s="1604">
        <f t="shared" si="15"/>
        <v>82881</v>
      </c>
    </row>
    <row r="85" spans="1:18" x14ac:dyDescent="0.2">
      <c r="A85" s="261">
        <f t="shared" si="16"/>
        <v>3</v>
      </c>
      <c r="B85" s="422" t="str">
        <f>INDEX('LA List'!B:B,MATCH('EZ list'!D85,'LA List'!A:A,0))</f>
        <v>E0801</v>
      </c>
      <c r="C85" s="422" t="str">
        <f t="shared" si="14"/>
        <v>E0801EZ3</v>
      </c>
      <c r="D85" s="261" t="s">
        <v>3</v>
      </c>
      <c r="E85" s="261" t="s">
        <v>1004</v>
      </c>
      <c r="F85" s="261">
        <v>2017</v>
      </c>
      <c r="G85" s="577">
        <v>73887</v>
      </c>
      <c r="H85" s="577">
        <v>73887</v>
      </c>
      <c r="I85" s="577">
        <v>76107</v>
      </c>
      <c r="J85" s="577">
        <f t="shared" si="10"/>
        <v>77851</v>
      </c>
      <c r="K85" s="577">
        <f t="shared" si="11"/>
        <v>79119</v>
      </c>
      <c r="L85" s="577">
        <f t="shared" si="12"/>
        <v>79119</v>
      </c>
      <c r="M85" s="577">
        <f t="shared" si="13"/>
        <v>79119</v>
      </c>
      <c r="N85" s="564">
        <v>80254</v>
      </c>
      <c r="O85" s="577">
        <v>80254</v>
      </c>
      <c r="P85" s="577" t="s">
        <v>1166</v>
      </c>
      <c r="Q85" s="577" t="s">
        <v>1166</v>
      </c>
      <c r="R85" s="1604">
        <f t="shared" si="15"/>
        <v>80254</v>
      </c>
    </row>
    <row r="86" spans="1:18" x14ac:dyDescent="0.2">
      <c r="A86" s="261">
        <f t="shared" si="16"/>
        <v>4</v>
      </c>
      <c r="B86" s="422" t="str">
        <f>INDEX('LA List'!B:B,MATCH('EZ list'!D86,'LA List'!A:A,0))</f>
        <v>E0801</v>
      </c>
      <c r="C86" s="422" t="str">
        <f t="shared" si="14"/>
        <v>E0801EZ4</v>
      </c>
      <c r="D86" s="261" t="s">
        <v>3</v>
      </c>
      <c r="E86" s="261" t="s">
        <v>1005</v>
      </c>
      <c r="F86" s="261">
        <v>2017</v>
      </c>
      <c r="G86" s="577">
        <v>0</v>
      </c>
      <c r="H86" s="577">
        <v>0</v>
      </c>
      <c r="I86" s="577">
        <v>0</v>
      </c>
      <c r="J86" s="577">
        <f t="shared" si="10"/>
        <v>0</v>
      </c>
      <c r="K86" s="577">
        <f t="shared" si="11"/>
        <v>0</v>
      </c>
      <c r="L86" s="577">
        <f t="shared" si="12"/>
        <v>0</v>
      </c>
      <c r="M86" s="577">
        <f t="shared" si="13"/>
        <v>0</v>
      </c>
      <c r="N86" s="564">
        <v>0</v>
      </c>
      <c r="O86" s="577">
        <v>0</v>
      </c>
      <c r="P86" s="577" t="s">
        <v>1166</v>
      </c>
      <c r="Q86" s="577" t="s">
        <v>1166</v>
      </c>
      <c r="R86" s="1604">
        <f t="shared" si="15"/>
        <v>0</v>
      </c>
    </row>
    <row r="87" spans="1:18" x14ac:dyDescent="0.2">
      <c r="A87" s="261">
        <f t="shared" si="16"/>
        <v>5</v>
      </c>
      <c r="B87" s="422" t="str">
        <f>INDEX('LA List'!B:B,MATCH('EZ list'!D87,'LA List'!A:A,0))</f>
        <v>E0801</v>
      </c>
      <c r="C87" s="422" t="str">
        <f t="shared" si="14"/>
        <v>E0801EZ5</v>
      </c>
      <c r="D87" s="261" t="s">
        <v>3</v>
      </c>
      <c r="E87" s="261" t="s">
        <v>1006</v>
      </c>
      <c r="F87" s="261">
        <v>2017</v>
      </c>
      <c r="G87" s="577">
        <v>11855</v>
      </c>
      <c r="H87" s="577">
        <v>11855</v>
      </c>
      <c r="I87" s="577">
        <v>12211</v>
      </c>
      <c r="J87" s="577">
        <f t="shared" si="10"/>
        <v>12491</v>
      </c>
      <c r="K87" s="577">
        <f t="shared" si="11"/>
        <v>12695</v>
      </c>
      <c r="L87" s="577">
        <f t="shared" si="12"/>
        <v>12695</v>
      </c>
      <c r="M87" s="577">
        <f t="shared" si="13"/>
        <v>12695</v>
      </c>
      <c r="N87" s="564">
        <v>0</v>
      </c>
      <c r="O87" s="577">
        <v>0</v>
      </c>
      <c r="P87" s="577" t="s">
        <v>1166</v>
      </c>
      <c r="Q87" s="577" t="s">
        <v>1166</v>
      </c>
      <c r="R87" s="1604">
        <f t="shared" si="15"/>
        <v>0</v>
      </c>
    </row>
    <row r="88" spans="1:18" x14ac:dyDescent="0.2">
      <c r="A88" s="261">
        <f t="shared" si="16"/>
        <v>1</v>
      </c>
      <c r="B88" s="422" t="str">
        <f>INDEX('LA List'!B:B,MATCH('EZ list'!D88,'LA List'!A:A,0))</f>
        <v>E1632</v>
      </c>
      <c r="C88" s="422" t="str">
        <f t="shared" si="14"/>
        <v>E1632EZ1</v>
      </c>
      <c r="D88" s="261" t="s">
        <v>5</v>
      </c>
      <c r="E88" s="261" t="s">
        <v>1166</v>
      </c>
      <c r="F88" s="261" t="s">
        <v>1166</v>
      </c>
      <c r="G88" s="577" t="s">
        <v>1166</v>
      </c>
      <c r="H88" s="577" t="s">
        <v>1166</v>
      </c>
      <c r="I88" s="577" t="s">
        <v>1166</v>
      </c>
      <c r="J88" s="577" t="str">
        <f t="shared" si="10"/>
        <v/>
      </c>
      <c r="K88" s="577" t="str">
        <f t="shared" si="11"/>
        <v/>
      </c>
      <c r="L88" s="577" t="str">
        <f t="shared" si="12"/>
        <v/>
      </c>
      <c r="M88" s="577" t="str">
        <f t="shared" si="13"/>
        <v/>
      </c>
      <c r="N88" s="564" t="s">
        <v>1166</v>
      </c>
      <c r="O88" s="577" t="s">
        <v>1166</v>
      </c>
      <c r="P88" s="577" t="s">
        <v>1166</v>
      </c>
      <c r="Q88" s="577" t="s">
        <v>1166</v>
      </c>
      <c r="R88" s="1604" t="str">
        <f t="shared" si="15"/>
        <v/>
      </c>
    </row>
    <row r="89" spans="1:18" x14ac:dyDescent="0.2">
      <c r="A89" s="261">
        <f t="shared" si="16"/>
        <v>1</v>
      </c>
      <c r="B89" s="422" t="str">
        <f>INDEX('LA List'!B:B,MATCH('EZ list'!D89,'LA List'!A:A,0))</f>
        <v>E4602</v>
      </c>
      <c r="C89" s="422" t="str">
        <f t="shared" si="14"/>
        <v>E4602EZ1</v>
      </c>
      <c r="D89" s="261" t="s">
        <v>7</v>
      </c>
      <c r="E89" s="261" t="s">
        <v>5810</v>
      </c>
      <c r="F89" s="261">
        <v>2024</v>
      </c>
      <c r="G89" s="577" t="s">
        <v>1166</v>
      </c>
      <c r="H89" s="577" t="s">
        <v>1166</v>
      </c>
      <c r="I89" s="577" t="s">
        <v>1166</v>
      </c>
      <c r="J89" s="577" t="str">
        <f t="shared" ref="J89:J91" si="17">IF(I89="","",ROUND(I89*$J$1,0))</f>
        <v/>
      </c>
      <c r="K89" s="577" t="str">
        <f t="shared" ref="K89:K109" si="18">IF(J89="","",ROUND(J89*$K$1,0))</f>
        <v/>
      </c>
      <c r="L89" s="577" t="str">
        <f t="shared" ref="L89:L109" si="19">IF(K89="","",ROUND(K89*$L$1,0))</f>
        <v/>
      </c>
      <c r="M89" s="577" t="str">
        <f t="shared" ref="M89:M109" si="20">IF(L89="","",ROUND(L89*$M$1,0))</f>
        <v/>
      </c>
      <c r="N89" s="564" t="s">
        <v>1166</v>
      </c>
      <c r="O89" s="577">
        <v>1043</v>
      </c>
      <c r="P89" s="577">
        <v>1043</v>
      </c>
      <c r="Q89" s="577">
        <v>0</v>
      </c>
      <c r="R89" s="1604">
        <f t="shared" si="15"/>
        <v>1043</v>
      </c>
    </row>
    <row r="90" spans="1:18" x14ac:dyDescent="0.2">
      <c r="A90" s="261">
        <f t="shared" si="16"/>
        <v>1</v>
      </c>
      <c r="B90" s="422" t="str">
        <f>INDEX('LA List'!B:B,MATCH('EZ list'!D90,'LA List'!A:A,0))</f>
        <v>E3834</v>
      </c>
      <c r="C90" s="422" t="str">
        <f t="shared" si="14"/>
        <v>E3834EZ1</v>
      </c>
      <c r="D90" s="261" t="s">
        <v>9</v>
      </c>
      <c r="E90" s="261" t="s">
        <v>1166</v>
      </c>
      <c r="F90" s="261" t="s">
        <v>1166</v>
      </c>
      <c r="G90" s="577" t="s">
        <v>1166</v>
      </c>
      <c r="H90" s="577" t="s">
        <v>1166</v>
      </c>
      <c r="I90" s="577" t="s">
        <v>1166</v>
      </c>
      <c r="J90" s="577" t="str">
        <f t="shared" si="17"/>
        <v/>
      </c>
      <c r="K90" s="577" t="str">
        <f t="shared" si="18"/>
        <v/>
      </c>
      <c r="L90" s="577" t="str">
        <f t="shared" si="19"/>
        <v/>
      </c>
      <c r="M90" s="577" t="str">
        <f t="shared" si="20"/>
        <v/>
      </c>
      <c r="N90" s="564" t="s">
        <v>1166</v>
      </c>
      <c r="O90" s="577" t="s">
        <v>1166</v>
      </c>
      <c r="P90" s="577" t="s">
        <v>1166</v>
      </c>
      <c r="Q90" s="577" t="s">
        <v>1166</v>
      </c>
      <c r="R90" s="1604" t="str">
        <f t="shared" si="15"/>
        <v/>
      </c>
    </row>
    <row r="91" spans="1:18" x14ac:dyDescent="0.2">
      <c r="A91" s="261">
        <f t="shared" si="16"/>
        <v>1</v>
      </c>
      <c r="B91" s="422" t="str">
        <f>INDEX('LA List'!B:B,MATCH('EZ list'!D91,'LA List'!A:A,0))</f>
        <v>E5035</v>
      </c>
      <c r="C91" s="422" t="str">
        <f t="shared" si="14"/>
        <v>E5035EZ1</v>
      </c>
      <c r="D91" s="261" t="s">
        <v>11</v>
      </c>
      <c r="E91" s="509" t="s">
        <v>1164</v>
      </c>
      <c r="F91" s="509">
        <v>2018</v>
      </c>
      <c r="G91" s="577">
        <v>0</v>
      </c>
      <c r="H91" s="577">
        <v>0</v>
      </c>
      <c r="I91" s="577">
        <v>19952122</v>
      </c>
      <c r="J91" s="577">
        <f t="shared" si="17"/>
        <v>20409358</v>
      </c>
      <c r="K91" s="577">
        <f t="shared" si="18"/>
        <v>20741893</v>
      </c>
      <c r="L91" s="577">
        <f t="shared" si="19"/>
        <v>20741893</v>
      </c>
      <c r="M91" s="577">
        <f t="shared" si="20"/>
        <v>20741893</v>
      </c>
      <c r="N91" s="564">
        <v>20508150</v>
      </c>
      <c r="O91" s="577">
        <v>20508150</v>
      </c>
      <c r="P91" s="577" t="s">
        <v>1166</v>
      </c>
      <c r="Q91" s="577" t="s">
        <v>1166</v>
      </c>
      <c r="R91" s="1604">
        <f t="shared" si="15"/>
        <v>20508150</v>
      </c>
    </row>
    <row r="92" spans="1:18" x14ac:dyDescent="0.2">
      <c r="A92" s="261">
        <f t="shared" si="16"/>
        <v>1</v>
      </c>
      <c r="B92" s="422" t="str">
        <f>INDEX('LA List'!B:B,MATCH('EZ list'!D92,'LA List'!A:A,0))</f>
        <v>E0901</v>
      </c>
      <c r="C92" s="422" t="str">
        <f t="shared" ref="C92" si="21">CONCATENATE(B92,"EZ",A92)</f>
        <v>E0901EZ1</v>
      </c>
      <c r="D92" s="509" t="s">
        <v>2308</v>
      </c>
      <c r="E92" s="261" t="s">
        <v>989</v>
      </c>
      <c r="F92" s="261">
        <v>2016</v>
      </c>
      <c r="G92" s="577">
        <v>1536785</v>
      </c>
      <c r="H92" s="577">
        <v>1536785</v>
      </c>
      <c r="I92" s="577">
        <v>1582955</v>
      </c>
      <c r="J92" s="577">
        <v>1715250</v>
      </c>
      <c r="K92" s="577">
        <f t="shared" si="18"/>
        <v>1743197</v>
      </c>
      <c r="L92" s="577">
        <f t="shared" si="19"/>
        <v>1743197</v>
      </c>
      <c r="M92" s="577">
        <f t="shared" si="20"/>
        <v>1743197</v>
      </c>
      <c r="N92" s="564">
        <v>1914375</v>
      </c>
      <c r="O92" s="577">
        <v>1914375</v>
      </c>
      <c r="P92" s="577" t="s">
        <v>1166</v>
      </c>
      <c r="Q92" s="577" t="s">
        <v>1166</v>
      </c>
      <c r="R92" s="1604">
        <f t="shared" si="15"/>
        <v>1914375</v>
      </c>
    </row>
    <row r="93" spans="1:18" x14ac:dyDescent="0.2">
      <c r="A93" s="261">
        <f t="shared" si="16"/>
        <v>1</v>
      </c>
      <c r="B93" s="422" t="str">
        <f>INDEX('LA List'!B:B,MATCH('EZ list'!D93,'LA List'!A:A,0))</f>
        <v>E1932</v>
      </c>
      <c r="C93" s="422" t="str">
        <f t="shared" si="14"/>
        <v>E1932EZ1</v>
      </c>
      <c r="D93" s="261" t="s">
        <v>13</v>
      </c>
      <c r="E93" s="261" t="s">
        <v>1007</v>
      </c>
      <c r="F93" s="261">
        <v>2017</v>
      </c>
      <c r="G93" s="577">
        <v>0</v>
      </c>
      <c r="H93" s="577">
        <v>0</v>
      </c>
      <c r="I93" s="577">
        <v>0</v>
      </c>
      <c r="J93" s="577">
        <f t="shared" ref="J93:J109" si="22">IF(I93="","",ROUND(I93*$J$1,0))</f>
        <v>0</v>
      </c>
      <c r="K93" s="577">
        <f t="shared" si="18"/>
        <v>0</v>
      </c>
      <c r="L93" s="577">
        <f t="shared" si="19"/>
        <v>0</v>
      </c>
      <c r="M93" s="577">
        <f t="shared" si="20"/>
        <v>0</v>
      </c>
      <c r="N93" s="564">
        <v>0</v>
      </c>
      <c r="O93" s="577">
        <v>0</v>
      </c>
      <c r="P93" s="577" t="s">
        <v>1166</v>
      </c>
      <c r="Q93" s="577" t="s">
        <v>1166</v>
      </c>
      <c r="R93" s="1604">
        <f t="shared" si="15"/>
        <v>0</v>
      </c>
    </row>
    <row r="94" spans="1:18" x14ac:dyDescent="0.2">
      <c r="A94" s="261">
        <f t="shared" si="16"/>
        <v>2</v>
      </c>
      <c r="B94" s="422" t="str">
        <f>INDEX('LA List'!B:B,MATCH('EZ list'!D94,'LA List'!A:A,0))</f>
        <v>E1932</v>
      </c>
      <c r="C94" s="422" t="str">
        <f t="shared" si="14"/>
        <v>E1932EZ2</v>
      </c>
      <c r="D94" s="261" t="s">
        <v>13</v>
      </c>
      <c r="E94" s="261" t="s">
        <v>1008</v>
      </c>
      <c r="F94" s="261">
        <v>2017</v>
      </c>
      <c r="G94" s="577">
        <v>0</v>
      </c>
      <c r="H94" s="577">
        <v>0</v>
      </c>
      <c r="I94" s="577">
        <v>0</v>
      </c>
      <c r="J94" s="577">
        <f t="shared" si="22"/>
        <v>0</v>
      </c>
      <c r="K94" s="577">
        <f t="shared" si="18"/>
        <v>0</v>
      </c>
      <c r="L94" s="577">
        <f t="shared" si="19"/>
        <v>0</v>
      </c>
      <c r="M94" s="577">
        <f t="shared" si="20"/>
        <v>0</v>
      </c>
      <c r="N94" s="564">
        <v>0</v>
      </c>
      <c r="O94" s="577">
        <v>0</v>
      </c>
      <c r="P94" s="577" t="s">
        <v>1166</v>
      </c>
      <c r="Q94" s="577" t="s">
        <v>1166</v>
      </c>
      <c r="R94" s="1604">
        <f t="shared" si="15"/>
        <v>0</v>
      </c>
    </row>
    <row r="95" spans="1:18" x14ac:dyDescent="0.2">
      <c r="A95" s="261">
        <f t="shared" si="16"/>
        <v>3</v>
      </c>
      <c r="B95" s="422" t="str">
        <f>INDEX('LA List'!B:B,MATCH('EZ list'!D95,'LA List'!A:A,0))</f>
        <v>E1932</v>
      </c>
      <c r="C95" s="422" t="str">
        <f t="shared" si="14"/>
        <v>E1932EZ3</v>
      </c>
      <c r="D95" s="261" t="s">
        <v>13</v>
      </c>
      <c r="E95" s="261" t="s">
        <v>1009</v>
      </c>
      <c r="F95" s="261">
        <v>2017</v>
      </c>
      <c r="G95" s="577">
        <v>0</v>
      </c>
      <c r="H95" s="577">
        <v>0</v>
      </c>
      <c r="I95" s="577">
        <v>0</v>
      </c>
      <c r="J95" s="577">
        <f t="shared" si="22"/>
        <v>0</v>
      </c>
      <c r="K95" s="577">
        <f t="shared" si="18"/>
        <v>0</v>
      </c>
      <c r="L95" s="577">
        <f t="shared" si="19"/>
        <v>0</v>
      </c>
      <c r="M95" s="577">
        <f t="shared" si="20"/>
        <v>0</v>
      </c>
      <c r="N95" s="564">
        <v>0</v>
      </c>
      <c r="O95" s="577">
        <v>0</v>
      </c>
      <c r="P95" s="577" t="s">
        <v>1166</v>
      </c>
      <c r="Q95" s="577" t="s">
        <v>1166</v>
      </c>
      <c r="R95" s="1604">
        <f t="shared" si="15"/>
        <v>0</v>
      </c>
    </row>
    <row r="96" spans="1:18" x14ac:dyDescent="0.2">
      <c r="A96" s="261">
        <f t="shared" si="16"/>
        <v>4</v>
      </c>
      <c r="B96" s="422" t="str">
        <f>INDEX('LA List'!B:B,MATCH('EZ list'!D96,'LA List'!A:A,0))</f>
        <v>E1932</v>
      </c>
      <c r="C96" s="422" t="str">
        <f t="shared" si="14"/>
        <v>E1932EZ4</v>
      </c>
      <c r="D96" s="261" t="s">
        <v>13</v>
      </c>
      <c r="E96" s="261" t="s">
        <v>1010</v>
      </c>
      <c r="F96" s="261">
        <v>2017</v>
      </c>
      <c r="G96" s="577">
        <v>61283</v>
      </c>
      <c r="H96" s="577">
        <v>61283</v>
      </c>
      <c r="I96" s="577">
        <v>63124</v>
      </c>
      <c r="J96" s="577">
        <f t="shared" si="22"/>
        <v>64571</v>
      </c>
      <c r="K96" s="577">
        <f t="shared" si="18"/>
        <v>65623</v>
      </c>
      <c r="L96" s="577">
        <f t="shared" si="19"/>
        <v>65623</v>
      </c>
      <c r="M96" s="577">
        <f t="shared" si="20"/>
        <v>65623</v>
      </c>
      <c r="N96" s="564">
        <v>125041</v>
      </c>
      <c r="O96" s="577">
        <v>125041</v>
      </c>
      <c r="P96" s="577" t="s">
        <v>1166</v>
      </c>
      <c r="Q96" s="577" t="s">
        <v>1166</v>
      </c>
      <c r="R96" s="1604">
        <f t="shared" si="15"/>
        <v>125041</v>
      </c>
    </row>
    <row r="97" spans="1:18" x14ac:dyDescent="0.2">
      <c r="A97" s="261">
        <f t="shared" si="16"/>
        <v>1</v>
      </c>
      <c r="B97" s="422" t="str">
        <f>INDEX('LA List'!B:B,MATCH('EZ list'!D97,'LA List'!A:A,0))</f>
        <v>E1301</v>
      </c>
      <c r="C97" s="422" t="str">
        <f t="shared" si="14"/>
        <v>E1301EZ1</v>
      </c>
      <c r="D97" s="261" t="s">
        <v>15</v>
      </c>
      <c r="E97" s="261" t="s">
        <v>1011</v>
      </c>
      <c r="F97" s="261">
        <v>2016</v>
      </c>
      <c r="G97" s="577">
        <v>28576</v>
      </c>
      <c r="H97" s="577">
        <v>28576</v>
      </c>
      <c r="I97" s="577">
        <v>29435</v>
      </c>
      <c r="J97" s="577">
        <f t="shared" si="22"/>
        <v>30110</v>
      </c>
      <c r="K97" s="577">
        <f t="shared" si="18"/>
        <v>30601</v>
      </c>
      <c r="L97" s="577">
        <f t="shared" si="19"/>
        <v>30601</v>
      </c>
      <c r="M97" s="577">
        <f t="shared" si="20"/>
        <v>30601</v>
      </c>
      <c r="N97" s="564">
        <v>30761</v>
      </c>
      <c r="O97" s="577">
        <v>30761</v>
      </c>
      <c r="P97" s="577" t="s">
        <v>1166</v>
      </c>
      <c r="Q97" s="577" t="s">
        <v>1166</v>
      </c>
      <c r="R97" s="1604">
        <f t="shared" si="15"/>
        <v>30761</v>
      </c>
    </row>
    <row r="98" spans="1:18" x14ac:dyDescent="0.2">
      <c r="A98" s="261">
        <f t="shared" si="16"/>
        <v>1</v>
      </c>
      <c r="B98" s="422" t="str">
        <f>INDEX('LA List'!B:B,MATCH('EZ list'!D98,'LA List'!A:A,0))</f>
        <v>E2233</v>
      </c>
      <c r="C98" s="422" t="str">
        <f t="shared" si="14"/>
        <v>E2233EZ1</v>
      </c>
      <c r="D98" s="261" t="s">
        <v>17</v>
      </c>
      <c r="E98" s="261" t="s">
        <v>1012</v>
      </c>
      <c r="F98" s="261">
        <v>2017</v>
      </c>
      <c r="G98" s="577">
        <v>0</v>
      </c>
      <c r="H98" s="577">
        <v>0</v>
      </c>
      <c r="I98" s="577">
        <v>0</v>
      </c>
      <c r="J98" s="577">
        <f t="shared" si="22"/>
        <v>0</v>
      </c>
      <c r="K98" s="577">
        <f t="shared" si="18"/>
        <v>0</v>
      </c>
      <c r="L98" s="577">
        <f t="shared" si="19"/>
        <v>0</v>
      </c>
      <c r="M98" s="577">
        <f t="shared" si="20"/>
        <v>0</v>
      </c>
      <c r="N98" s="564">
        <v>0</v>
      </c>
      <c r="O98" s="577">
        <v>0</v>
      </c>
      <c r="P98" s="577" t="s">
        <v>1166</v>
      </c>
      <c r="Q98" s="577" t="s">
        <v>1166</v>
      </c>
      <c r="R98" s="1604">
        <f t="shared" si="15"/>
        <v>0</v>
      </c>
    </row>
    <row r="99" spans="1:18" x14ac:dyDescent="0.2">
      <c r="A99" s="261">
        <f t="shared" si="16"/>
        <v>1</v>
      </c>
      <c r="B99" s="422" t="str">
        <f>INDEX('LA List'!B:B,MATCH('EZ list'!D99,'LA List'!A:A,0))</f>
        <v>E1001</v>
      </c>
      <c r="C99" s="422" t="str">
        <f t="shared" si="14"/>
        <v>E1001EZ1</v>
      </c>
      <c r="D99" s="261" t="s">
        <v>19</v>
      </c>
      <c r="E99" s="261" t="s">
        <v>5811</v>
      </c>
      <c r="F99" s="261">
        <v>2015</v>
      </c>
      <c r="G99" s="577">
        <v>0</v>
      </c>
      <c r="H99" s="577">
        <v>0</v>
      </c>
      <c r="I99" s="577">
        <v>0</v>
      </c>
      <c r="J99" s="577">
        <f t="shared" si="22"/>
        <v>0</v>
      </c>
      <c r="K99" s="577">
        <f t="shared" si="18"/>
        <v>0</v>
      </c>
      <c r="L99" s="577">
        <f t="shared" si="19"/>
        <v>0</v>
      </c>
      <c r="M99" s="577">
        <f t="shared" si="20"/>
        <v>0</v>
      </c>
      <c r="N99" s="564">
        <v>0</v>
      </c>
      <c r="O99" s="577">
        <v>0</v>
      </c>
      <c r="P99" s="577" t="s">
        <v>1166</v>
      </c>
      <c r="Q99" s="577" t="s">
        <v>1166</v>
      </c>
      <c r="R99" s="1604">
        <f t="shared" si="15"/>
        <v>0</v>
      </c>
    </row>
    <row r="100" spans="1:18" x14ac:dyDescent="0.2">
      <c r="A100" s="261">
        <f t="shared" si="16"/>
        <v>2</v>
      </c>
      <c r="B100" s="422" t="str">
        <f>INDEX('LA List'!B:B,MATCH('EZ list'!D100,'LA List'!A:A,0))</f>
        <v>E1001</v>
      </c>
      <c r="C100" s="422" t="str">
        <f t="shared" si="14"/>
        <v>E1001EZ2</v>
      </c>
      <c r="D100" s="261" t="s">
        <v>19</v>
      </c>
      <c r="E100" s="261" t="s">
        <v>5812</v>
      </c>
      <c r="F100" s="261">
        <v>2025</v>
      </c>
      <c r="G100" s="577"/>
      <c r="H100" s="577"/>
      <c r="I100" s="577"/>
      <c r="J100" s="577"/>
      <c r="K100" s="577"/>
      <c r="L100" s="577"/>
      <c r="M100" s="577"/>
      <c r="N100" s="564"/>
      <c r="O100" s="577"/>
      <c r="P100" s="577">
        <v>0</v>
      </c>
      <c r="Q100" s="577">
        <v>0</v>
      </c>
      <c r="R100" s="1604">
        <f t="shared" si="15"/>
        <v>0</v>
      </c>
    </row>
    <row r="101" spans="1:18" x14ac:dyDescent="0.2">
      <c r="A101" s="261">
        <f t="shared" si="16"/>
        <v>1</v>
      </c>
      <c r="B101" s="422" t="str">
        <f>INDEX('LA List'!B:B,MATCH('EZ list'!D101,'LA List'!A:A,0))</f>
        <v>E1035</v>
      </c>
      <c r="C101" s="422" t="str">
        <f t="shared" si="14"/>
        <v>E1035EZ1</v>
      </c>
      <c r="D101" s="261" t="s">
        <v>21</v>
      </c>
      <c r="E101" s="261" t="s">
        <v>1166</v>
      </c>
      <c r="F101" s="261" t="s">
        <v>1166</v>
      </c>
      <c r="G101" s="577" t="s">
        <v>1166</v>
      </c>
      <c r="H101" s="577" t="s">
        <v>1166</v>
      </c>
      <c r="I101" s="577" t="s">
        <v>1166</v>
      </c>
      <c r="J101" s="577" t="str">
        <f t="shared" si="22"/>
        <v/>
      </c>
      <c r="K101" s="577" t="str">
        <f t="shared" si="18"/>
        <v/>
      </c>
      <c r="L101" s="577" t="str">
        <f t="shared" si="19"/>
        <v/>
      </c>
      <c r="M101" s="577" t="str">
        <f t="shared" si="20"/>
        <v/>
      </c>
      <c r="N101" s="564" t="s">
        <v>1166</v>
      </c>
      <c r="O101" s="577" t="s">
        <v>1166</v>
      </c>
      <c r="P101" s="577" t="s">
        <v>1166</v>
      </c>
      <c r="Q101" s="577" t="s">
        <v>1166</v>
      </c>
      <c r="R101" s="1604" t="str">
        <f t="shared" si="15"/>
        <v/>
      </c>
    </row>
    <row r="102" spans="1:18" x14ac:dyDescent="0.2">
      <c r="A102" s="261">
        <f t="shared" si="16"/>
        <v>1</v>
      </c>
      <c r="B102" s="422" t="str">
        <f>INDEX('LA List'!B:B,MATCH('EZ list'!D102,'LA List'!A:A,0))</f>
        <v>E4402</v>
      </c>
      <c r="C102" s="422" t="str">
        <f t="shared" si="14"/>
        <v>E4402EZ1</v>
      </c>
      <c r="D102" s="261" t="s">
        <v>23</v>
      </c>
      <c r="E102" s="261" t="s">
        <v>5813</v>
      </c>
      <c r="F102" s="261">
        <v>2024</v>
      </c>
      <c r="G102" s="577" t="s">
        <v>1166</v>
      </c>
      <c r="H102" s="577" t="s">
        <v>1166</v>
      </c>
      <c r="I102" s="577" t="s">
        <v>1166</v>
      </c>
      <c r="J102" s="577" t="str">
        <f t="shared" si="22"/>
        <v/>
      </c>
      <c r="K102" s="577" t="str">
        <f t="shared" si="18"/>
        <v/>
      </c>
      <c r="L102" s="577" t="str">
        <f t="shared" si="19"/>
        <v/>
      </c>
      <c r="M102" s="577" t="str">
        <f t="shared" si="20"/>
        <v/>
      </c>
      <c r="N102" s="564" t="s">
        <v>1166</v>
      </c>
      <c r="O102" s="577">
        <v>0</v>
      </c>
      <c r="P102" s="577">
        <v>0</v>
      </c>
      <c r="Q102" s="577">
        <v>0</v>
      </c>
      <c r="R102" s="1604">
        <f t="shared" si="15"/>
        <v>0</v>
      </c>
    </row>
    <row r="103" spans="1:18" s="261" customFormat="1" x14ac:dyDescent="0.2">
      <c r="A103" s="261">
        <f t="shared" si="16"/>
        <v>1</v>
      </c>
      <c r="B103" s="422" t="str">
        <f>INDEX('LA List'!B:B,MATCH('EZ list'!D103,'LA List'!A:A,0))</f>
        <v>E1203</v>
      </c>
      <c r="C103" s="422" t="str">
        <f t="shared" si="14"/>
        <v>E1203EZ1</v>
      </c>
      <c r="D103" s="509" t="s">
        <v>1179</v>
      </c>
      <c r="E103" s="261" t="s">
        <v>1098</v>
      </c>
      <c r="F103" s="261">
        <v>2017</v>
      </c>
      <c r="G103" s="577">
        <v>263396</v>
      </c>
      <c r="H103" s="577">
        <v>263396</v>
      </c>
      <c r="I103" s="577">
        <v>271309</v>
      </c>
      <c r="J103" s="577">
        <f t="shared" si="22"/>
        <v>277526</v>
      </c>
      <c r="K103" s="577">
        <f t="shared" si="18"/>
        <v>282048</v>
      </c>
      <c r="L103" s="577">
        <f t="shared" si="19"/>
        <v>282048</v>
      </c>
      <c r="M103" s="577">
        <f t="shared" si="20"/>
        <v>282048</v>
      </c>
      <c r="N103" s="564">
        <v>310705</v>
      </c>
      <c r="O103" s="577">
        <v>310705</v>
      </c>
      <c r="P103" s="577" t="s">
        <v>1166</v>
      </c>
      <c r="Q103" s="577" t="s">
        <v>1166</v>
      </c>
      <c r="R103" s="1604">
        <f t="shared" si="15"/>
        <v>310705</v>
      </c>
    </row>
    <row r="104" spans="1:18" x14ac:dyDescent="0.2">
      <c r="A104" s="261">
        <f t="shared" si="16"/>
        <v>1</v>
      </c>
      <c r="B104" s="422" t="str">
        <f>INDEX('LA List'!B:B,MATCH('EZ list'!D104,'LA List'!A:A,0))</f>
        <v>E2234</v>
      </c>
      <c r="C104" s="422" t="str">
        <f t="shared" si="14"/>
        <v>E2234EZ1</v>
      </c>
      <c r="D104" s="261" t="s">
        <v>32</v>
      </c>
      <c r="E104" s="261" t="s">
        <v>1166</v>
      </c>
      <c r="F104" s="261" t="s">
        <v>1166</v>
      </c>
      <c r="G104" s="577" t="s">
        <v>1166</v>
      </c>
      <c r="H104" s="577" t="s">
        <v>1166</v>
      </c>
      <c r="I104" s="577" t="s">
        <v>1166</v>
      </c>
      <c r="J104" s="577" t="str">
        <f t="shared" si="22"/>
        <v/>
      </c>
      <c r="K104" s="577" t="str">
        <f t="shared" si="18"/>
        <v/>
      </c>
      <c r="L104" s="577" t="str">
        <f t="shared" si="19"/>
        <v/>
      </c>
      <c r="M104" s="577" t="str">
        <f t="shared" si="20"/>
        <v/>
      </c>
      <c r="N104" s="564" t="s">
        <v>1166</v>
      </c>
      <c r="O104" s="577" t="s">
        <v>1166</v>
      </c>
      <c r="P104" s="577" t="s">
        <v>1166</v>
      </c>
      <c r="Q104" s="577" t="s">
        <v>1166</v>
      </c>
      <c r="R104" s="1604" t="str">
        <f t="shared" si="15"/>
        <v/>
      </c>
    </row>
    <row r="105" spans="1:18" x14ac:dyDescent="0.2">
      <c r="A105" s="261">
        <f t="shared" si="16"/>
        <v>1</v>
      </c>
      <c r="B105" s="422" t="str">
        <f>INDEX('LA List'!B:B,MATCH('EZ list'!D105,'LA List'!A:A,0))</f>
        <v>E4603</v>
      </c>
      <c r="C105" s="422" t="str">
        <f t="shared" si="14"/>
        <v>E4603EZ1</v>
      </c>
      <c r="D105" s="261" t="s">
        <v>34</v>
      </c>
      <c r="E105" s="261" t="s">
        <v>1013</v>
      </c>
      <c r="F105" s="261">
        <v>2017</v>
      </c>
      <c r="G105" s="577">
        <v>14726</v>
      </c>
      <c r="H105" s="577">
        <v>14726</v>
      </c>
      <c r="I105" s="577">
        <v>15168</v>
      </c>
      <c r="J105" s="577">
        <f t="shared" si="22"/>
        <v>15516</v>
      </c>
      <c r="K105" s="577">
        <f t="shared" si="18"/>
        <v>15769</v>
      </c>
      <c r="L105" s="577">
        <f t="shared" si="19"/>
        <v>15769</v>
      </c>
      <c r="M105" s="577">
        <f t="shared" si="20"/>
        <v>15769</v>
      </c>
      <c r="N105" s="564">
        <v>29325</v>
      </c>
      <c r="O105" s="577">
        <v>29325</v>
      </c>
      <c r="P105" s="577" t="s">
        <v>1166</v>
      </c>
      <c r="Q105" s="577" t="s">
        <v>1166</v>
      </c>
      <c r="R105" s="1604">
        <f t="shared" si="15"/>
        <v>29325</v>
      </c>
    </row>
    <row r="106" spans="1:18" x14ac:dyDescent="0.2">
      <c r="A106" s="261">
        <f t="shared" si="16"/>
        <v>2</v>
      </c>
      <c r="B106" s="422" t="str">
        <f>INDEX('LA List'!B:B,MATCH('EZ list'!D106,'LA List'!A:A,0))</f>
        <v>E4603</v>
      </c>
      <c r="C106" s="422" t="str">
        <f t="shared" si="14"/>
        <v>E4603EZ2</v>
      </c>
      <c r="D106" s="261" t="s">
        <v>34</v>
      </c>
      <c r="E106" s="261" t="s">
        <v>1014</v>
      </c>
      <c r="F106" s="261">
        <v>2017</v>
      </c>
      <c r="G106" s="577">
        <v>19222</v>
      </c>
      <c r="H106" s="577">
        <v>19222</v>
      </c>
      <c r="I106" s="577">
        <v>19799</v>
      </c>
      <c r="J106" s="577">
        <f t="shared" si="22"/>
        <v>20253</v>
      </c>
      <c r="K106" s="577">
        <f t="shared" si="18"/>
        <v>20583</v>
      </c>
      <c r="L106" s="577">
        <f t="shared" si="19"/>
        <v>20583</v>
      </c>
      <c r="M106" s="577">
        <f t="shared" si="20"/>
        <v>20583</v>
      </c>
      <c r="N106" s="564">
        <v>32104</v>
      </c>
      <c r="O106" s="577">
        <v>32104</v>
      </c>
      <c r="P106" s="577" t="s">
        <v>1166</v>
      </c>
      <c r="Q106" s="577" t="s">
        <v>1166</v>
      </c>
      <c r="R106" s="1604">
        <f t="shared" si="15"/>
        <v>32104</v>
      </c>
    </row>
    <row r="107" spans="1:18" x14ac:dyDescent="0.2">
      <c r="A107" s="261">
        <f t="shared" si="16"/>
        <v>3</v>
      </c>
      <c r="B107" s="422" t="str">
        <f>INDEX('LA List'!B:B,MATCH('EZ list'!D107,'LA List'!A:A,0))</f>
        <v>E4603</v>
      </c>
      <c r="C107" s="422" t="str">
        <f t="shared" si="14"/>
        <v>E4603EZ3</v>
      </c>
      <c r="D107" s="261" t="s">
        <v>34</v>
      </c>
      <c r="E107" s="261" t="s">
        <v>1015</v>
      </c>
      <c r="F107" s="261">
        <v>2017</v>
      </c>
      <c r="G107" s="577">
        <v>0</v>
      </c>
      <c r="H107" s="577">
        <v>0</v>
      </c>
      <c r="I107" s="577">
        <v>0</v>
      </c>
      <c r="J107" s="577">
        <f t="shared" si="22"/>
        <v>0</v>
      </c>
      <c r="K107" s="577">
        <f t="shared" si="18"/>
        <v>0</v>
      </c>
      <c r="L107" s="577">
        <f t="shared" si="19"/>
        <v>0</v>
      </c>
      <c r="M107" s="577">
        <f t="shared" si="20"/>
        <v>0</v>
      </c>
      <c r="N107" s="564">
        <v>0</v>
      </c>
      <c r="O107" s="577">
        <v>0</v>
      </c>
      <c r="P107" s="577" t="s">
        <v>1166</v>
      </c>
      <c r="Q107" s="577" t="s">
        <v>1166</v>
      </c>
      <c r="R107" s="1604">
        <f t="shared" si="15"/>
        <v>0</v>
      </c>
    </row>
    <row r="108" spans="1:18" x14ac:dyDescent="0.2">
      <c r="A108" s="261">
        <f t="shared" si="16"/>
        <v>4</v>
      </c>
      <c r="B108" s="422" t="str">
        <f>INDEX('LA List'!B:B,MATCH('EZ list'!D108,'LA List'!A:A,0))</f>
        <v>E4603</v>
      </c>
      <c r="C108" s="422" t="str">
        <f t="shared" si="14"/>
        <v>E4603EZ4</v>
      </c>
      <c r="D108" s="261" t="s">
        <v>34</v>
      </c>
      <c r="E108" s="261" t="s">
        <v>1016</v>
      </c>
      <c r="F108" s="261">
        <v>2017</v>
      </c>
      <c r="G108" s="577">
        <v>16574</v>
      </c>
      <c r="H108" s="577">
        <v>16574</v>
      </c>
      <c r="I108" s="577">
        <v>17072</v>
      </c>
      <c r="J108" s="577">
        <f t="shared" si="22"/>
        <v>17463</v>
      </c>
      <c r="K108" s="577">
        <f t="shared" si="18"/>
        <v>17748</v>
      </c>
      <c r="L108" s="577">
        <f t="shared" si="19"/>
        <v>17748</v>
      </c>
      <c r="M108" s="577">
        <f t="shared" si="20"/>
        <v>17748</v>
      </c>
      <c r="N108" s="564">
        <v>0</v>
      </c>
      <c r="O108" s="577">
        <v>0</v>
      </c>
      <c r="P108" s="577" t="s">
        <v>1166</v>
      </c>
      <c r="Q108" s="577" t="s">
        <v>1166</v>
      </c>
      <c r="R108" s="1604">
        <f t="shared" si="15"/>
        <v>0</v>
      </c>
    </row>
    <row r="109" spans="1:18" x14ac:dyDescent="0.2">
      <c r="A109" s="261">
        <f t="shared" si="16"/>
        <v>5</v>
      </c>
      <c r="B109" s="422" t="str">
        <f>INDEX('LA List'!B:B,MATCH('EZ list'!D109,'LA List'!A:A,0))</f>
        <v>E4603</v>
      </c>
      <c r="C109" s="422" t="str">
        <f t="shared" si="14"/>
        <v>E4603EZ5</v>
      </c>
      <c r="D109" s="261" t="s">
        <v>34</v>
      </c>
      <c r="E109" s="261" t="s">
        <v>1017</v>
      </c>
      <c r="F109" s="261">
        <v>2017</v>
      </c>
      <c r="G109" s="577">
        <v>92812</v>
      </c>
      <c r="H109" s="577">
        <v>92812</v>
      </c>
      <c r="I109" s="577">
        <v>95600</v>
      </c>
      <c r="J109" s="577">
        <f t="shared" si="22"/>
        <v>97791</v>
      </c>
      <c r="K109" s="577">
        <f t="shared" si="18"/>
        <v>99384</v>
      </c>
      <c r="L109" s="577">
        <f t="shared" si="19"/>
        <v>99384</v>
      </c>
      <c r="M109" s="577">
        <f t="shared" si="20"/>
        <v>99384</v>
      </c>
      <c r="N109" s="564">
        <v>177637</v>
      </c>
      <c r="O109" s="577">
        <v>177637</v>
      </c>
      <c r="P109" s="577" t="s">
        <v>1166</v>
      </c>
      <c r="Q109" s="577" t="s">
        <v>1166</v>
      </c>
      <c r="R109" s="1604">
        <f t="shared" si="15"/>
        <v>177637</v>
      </c>
    </row>
    <row r="110" spans="1:18" x14ac:dyDescent="0.2">
      <c r="A110" s="261">
        <f t="shared" si="16"/>
        <v>6</v>
      </c>
      <c r="B110" s="422" t="str">
        <f>INDEX('LA List'!B:B,MATCH('EZ list'!D110,'LA List'!A:A,0))</f>
        <v>E4603</v>
      </c>
      <c r="C110" s="422" t="str">
        <f t="shared" si="14"/>
        <v>E4603EZ6</v>
      </c>
      <c r="D110" s="261" t="s">
        <v>34</v>
      </c>
      <c r="E110" s="261" t="s">
        <v>3065</v>
      </c>
      <c r="F110" s="261">
        <v>2024</v>
      </c>
      <c r="G110" s="577"/>
      <c r="H110" s="577"/>
      <c r="I110" s="577"/>
      <c r="J110" s="577"/>
      <c r="K110" s="577"/>
      <c r="L110" s="577"/>
      <c r="M110" s="577"/>
      <c r="N110" s="564"/>
      <c r="O110" s="577">
        <v>42270.923231984831</v>
      </c>
      <c r="P110" s="577">
        <v>42176</v>
      </c>
      <c r="Q110" s="577">
        <v>96</v>
      </c>
      <c r="R110" s="1604">
        <f t="shared" si="15"/>
        <v>42272</v>
      </c>
    </row>
    <row r="111" spans="1:18" x14ac:dyDescent="0.2">
      <c r="A111" s="261">
        <f t="shared" si="16"/>
        <v>1</v>
      </c>
      <c r="B111" s="422" t="str">
        <f>INDEX('LA List'!B:B,MATCH('EZ list'!D111,'LA List'!A:A,0))</f>
        <v>E1302</v>
      </c>
      <c r="C111" s="422" t="str">
        <f t="shared" ref="C111" si="23">CONCATENATE(B111,"EZ",A111)</f>
        <v>E1302EZ1</v>
      </c>
      <c r="D111" s="261" t="s">
        <v>36</v>
      </c>
      <c r="E111" s="261" t="s">
        <v>1018</v>
      </c>
      <c r="F111" s="261">
        <v>2017</v>
      </c>
      <c r="G111" s="577">
        <v>0</v>
      </c>
      <c r="H111" s="577">
        <v>0</v>
      </c>
      <c r="I111" s="577">
        <v>0</v>
      </c>
      <c r="J111" s="577">
        <f t="shared" ref="J111:J127" si="24">IF(I111="","",ROUND(I111*$J$1,0))</f>
        <v>0</v>
      </c>
      <c r="K111" s="577">
        <f t="shared" ref="K111:K127" si="25">IF(J111="","",ROUND(J111*$K$1,0))</f>
        <v>0</v>
      </c>
      <c r="L111" s="577">
        <f t="shared" ref="L111:L127" si="26">IF(K111="","",ROUND(K111*$L$1,0))</f>
        <v>0</v>
      </c>
      <c r="M111" s="577">
        <f t="shared" ref="M111:M127" si="27">IF(L111="","",ROUND(L111*$M$1,0))</f>
        <v>0</v>
      </c>
      <c r="N111" s="564">
        <v>450098</v>
      </c>
      <c r="O111" s="577">
        <v>450098</v>
      </c>
      <c r="P111" s="577" t="s">
        <v>1166</v>
      </c>
      <c r="Q111" s="577" t="s">
        <v>1166</v>
      </c>
      <c r="R111" s="1604">
        <v>0</v>
      </c>
    </row>
    <row r="112" spans="1:18" x14ac:dyDescent="0.2">
      <c r="A112" s="261">
        <f t="shared" si="16"/>
        <v>1</v>
      </c>
      <c r="B112" s="422" t="str">
        <f>INDEX('LA List'!B:B,MATCH('EZ list'!D112,'LA List'!A:A,0))</f>
        <v>E5036</v>
      </c>
      <c r="C112" s="422" t="str">
        <f t="shared" si="14"/>
        <v>E5036EZ1</v>
      </c>
      <c r="D112" s="261" t="s">
        <v>38</v>
      </c>
      <c r="E112" s="261" t="s">
        <v>1166</v>
      </c>
      <c r="F112" s="261" t="s">
        <v>1166</v>
      </c>
      <c r="G112" s="577" t="s">
        <v>1166</v>
      </c>
      <c r="H112" s="577" t="s">
        <v>1166</v>
      </c>
      <c r="I112" s="577" t="s">
        <v>1166</v>
      </c>
      <c r="J112" s="577" t="str">
        <f t="shared" si="24"/>
        <v/>
      </c>
      <c r="K112" s="577" t="str">
        <f t="shared" si="25"/>
        <v/>
      </c>
      <c r="L112" s="577" t="str">
        <f t="shared" si="26"/>
        <v/>
      </c>
      <c r="M112" s="577" t="str">
        <f t="shared" si="27"/>
        <v/>
      </c>
      <c r="N112" s="564" t="s">
        <v>1166</v>
      </c>
      <c r="O112" s="577" t="s">
        <v>1166</v>
      </c>
      <c r="P112" s="577" t="s">
        <v>1166</v>
      </c>
      <c r="Q112" s="577" t="s">
        <v>1166</v>
      </c>
      <c r="R112" s="1604" t="str">
        <f t="shared" si="15"/>
        <v/>
      </c>
    </row>
    <row r="113" spans="1:18" x14ac:dyDescent="0.2">
      <c r="A113" s="261">
        <f t="shared" si="16"/>
        <v>1</v>
      </c>
      <c r="B113" s="422" t="str">
        <f>INDEX('LA List'!B:B,MATCH('EZ list'!D113,'LA List'!A:A,0))</f>
        <v>E0532</v>
      </c>
      <c r="C113" s="422" t="str">
        <f t="shared" si="14"/>
        <v>E0532EZ1</v>
      </c>
      <c r="D113" s="261" t="s">
        <v>40</v>
      </c>
      <c r="E113" s="261" t="s">
        <v>1019</v>
      </c>
      <c r="F113" s="261">
        <v>2016</v>
      </c>
      <c r="G113" s="577">
        <v>0</v>
      </c>
      <c r="H113" s="577">
        <v>195432</v>
      </c>
      <c r="I113" s="577">
        <v>201303</v>
      </c>
      <c r="J113" s="577">
        <f t="shared" si="24"/>
        <v>205916</v>
      </c>
      <c r="K113" s="577">
        <f t="shared" si="25"/>
        <v>209271</v>
      </c>
      <c r="L113" s="577">
        <f t="shared" si="26"/>
        <v>209271</v>
      </c>
      <c r="M113" s="577">
        <f t="shared" si="27"/>
        <v>209271</v>
      </c>
      <c r="N113" s="564">
        <v>227789</v>
      </c>
      <c r="O113" s="577">
        <v>227789</v>
      </c>
      <c r="P113" s="577" t="s">
        <v>1166</v>
      </c>
      <c r="Q113" s="577" t="s">
        <v>1166</v>
      </c>
      <c r="R113" s="1604">
        <f t="shared" si="15"/>
        <v>227789</v>
      </c>
    </row>
    <row r="114" spans="1:18" x14ac:dyDescent="0.2">
      <c r="A114" s="261">
        <f t="shared" si="16"/>
        <v>1</v>
      </c>
      <c r="B114" s="422" t="str">
        <f>INDEX('LA List'!B:B,MATCH('EZ list'!D114,'LA List'!A:A,0))</f>
        <v>E1131</v>
      </c>
      <c r="C114" s="422" t="str">
        <f t="shared" si="14"/>
        <v>E1131EZ1</v>
      </c>
      <c r="D114" s="261" t="s">
        <v>42</v>
      </c>
      <c r="E114" s="261" t="s">
        <v>1020</v>
      </c>
      <c r="F114" s="261">
        <v>2017</v>
      </c>
      <c r="G114" s="577">
        <v>237466</v>
      </c>
      <c r="H114" s="577">
        <v>237466</v>
      </c>
      <c r="I114" s="577">
        <v>244600</v>
      </c>
      <c r="J114" s="577">
        <f t="shared" si="24"/>
        <v>250205</v>
      </c>
      <c r="K114" s="577">
        <f t="shared" si="25"/>
        <v>254282</v>
      </c>
      <c r="L114" s="577">
        <f t="shared" si="26"/>
        <v>254282</v>
      </c>
      <c r="M114" s="577">
        <f t="shared" si="27"/>
        <v>254282</v>
      </c>
      <c r="N114" s="564">
        <v>300501</v>
      </c>
      <c r="O114" s="577">
        <v>300501</v>
      </c>
      <c r="P114" s="577" t="s">
        <v>1166</v>
      </c>
      <c r="Q114" s="577" t="s">
        <v>1166</v>
      </c>
      <c r="R114" s="1604">
        <f t="shared" si="15"/>
        <v>300501</v>
      </c>
    </row>
    <row r="115" spans="1:18" x14ac:dyDescent="0.2">
      <c r="A115" s="261">
        <f t="shared" si="16"/>
        <v>2</v>
      </c>
      <c r="B115" s="422" t="str">
        <f>INDEX('LA List'!B:B,MATCH('EZ list'!D115,'LA List'!A:A,0))</f>
        <v>E1131</v>
      </c>
      <c r="C115" s="422" t="str">
        <f t="shared" si="14"/>
        <v>E1131EZ2</v>
      </c>
      <c r="D115" s="261" t="s">
        <v>42</v>
      </c>
      <c r="E115" s="261" t="s">
        <v>1021</v>
      </c>
      <c r="F115" s="261">
        <v>2017</v>
      </c>
      <c r="G115" s="577">
        <v>401476</v>
      </c>
      <c r="H115" s="577">
        <v>401476</v>
      </c>
      <c r="I115" s="577">
        <v>413538</v>
      </c>
      <c r="J115" s="577">
        <f t="shared" si="24"/>
        <v>423015</v>
      </c>
      <c r="K115" s="577">
        <f t="shared" si="25"/>
        <v>429907</v>
      </c>
      <c r="L115" s="577">
        <f t="shared" si="26"/>
        <v>429907</v>
      </c>
      <c r="M115" s="577">
        <f t="shared" si="27"/>
        <v>429907</v>
      </c>
      <c r="N115" s="564">
        <v>508049</v>
      </c>
      <c r="O115" s="577">
        <v>508049</v>
      </c>
      <c r="P115" s="577" t="s">
        <v>1166</v>
      </c>
      <c r="Q115" s="577" t="s">
        <v>1166</v>
      </c>
      <c r="R115" s="1604">
        <f t="shared" si="15"/>
        <v>508049</v>
      </c>
    </row>
    <row r="116" spans="1:18" x14ac:dyDescent="0.2">
      <c r="A116" s="261">
        <f t="shared" si="16"/>
        <v>3</v>
      </c>
      <c r="B116" s="422" t="str">
        <f>INDEX('LA List'!B:B,MATCH('EZ list'!D116,'LA List'!A:A,0))</f>
        <v>E1131</v>
      </c>
      <c r="C116" s="422" t="str">
        <f t="shared" si="14"/>
        <v>E1131EZ3</v>
      </c>
      <c r="D116" s="261" t="s">
        <v>42</v>
      </c>
      <c r="E116" s="261" t="s">
        <v>1022</v>
      </c>
      <c r="F116" s="261">
        <v>2017</v>
      </c>
      <c r="G116" s="577">
        <v>0</v>
      </c>
      <c r="H116" s="577">
        <v>0</v>
      </c>
      <c r="I116" s="577">
        <v>0</v>
      </c>
      <c r="J116" s="577">
        <f t="shared" si="24"/>
        <v>0</v>
      </c>
      <c r="K116" s="577">
        <f t="shared" si="25"/>
        <v>0</v>
      </c>
      <c r="L116" s="577">
        <f t="shared" si="26"/>
        <v>0</v>
      </c>
      <c r="M116" s="577">
        <f t="shared" si="27"/>
        <v>0</v>
      </c>
      <c r="N116" s="564">
        <v>0</v>
      </c>
      <c r="O116" s="577">
        <v>0</v>
      </c>
      <c r="P116" s="577" t="s">
        <v>1166</v>
      </c>
      <c r="Q116" s="577" t="s">
        <v>1166</v>
      </c>
      <c r="R116" s="1604">
        <f t="shared" si="15"/>
        <v>0</v>
      </c>
    </row>
    <row r="117" spans="1:18" x14ac:dyDescent="0.2">
      <c r="A117" s="261">
        <f t="shared" si="16"/>
        <v>4</v>
      </c>
      <c r="B117" s="422" t="str">
        <f>INDEX('LA List'!B:B,MATCH('EZ list'!D117,'LA List'!A:A,0))</f>
        <v>E1131</v>
      </c>
      <c r="C117" s="422" t="str">
        <f t="shared" si="14"/>
        <v>E1131EZ4</v>
      </c>
      <c r="D117" s="261" t="s">
        <v>42</v>
      </c>
      <c r="E117" s="261" t="s">
        <v>1023</v>
      </c>
      <c r="F117" s="261">
        <v>2017</v>
      </c>
      <c r="G117" s="577">
        <v>0</v>
      </c>
      <c r="H117" s="577">
        <v>0</v>
      </c>
      <c r="I117" s="577">
        <v>0</v>
      </c>
      <c r="J117" s="577">
        <f t="shared" si="24"/>
        <v>0</v>
      </c>
      <c r="K117" s="577">
        <f t="shared" si="25"/>
        <v>0</v>
      </c>
      <c r="L117" s="577">
        <f t="shared" si="26"/>
        <v>0</v>
      </c>
      <c r="M117" s="577">
        <f t="shared" si="27"/>
        <v>0</v>
      </c>
      <c r="N117" s="564">
        <v>0</v>
      </c>
      <c r="O117" s="577">
        <v>0</v>
      </c>
      <c r="P117" s="577" t="s">
        <v>1166</v>
      </c>
      <c r="Q117" s="577" t="s">
        <v>1166</v>
      </c>
      <c r="R117" s="1604">
        <f t="shared" si="15"/>
        <v>0</v>
      </c>
    </row>
    <row r="118" spans="1:18" x14ac:dyDescent="0.2">
      <c r="A118" s="261">
        <f t="shared" si="16"/>
        <v>1</v>
      </c>
      <c r="B118" s="422" t="str">
        <f>INDEX('LA List'!B:B,MATCH('EZ list'!D118,'LA List'!A:A,0))</f>
        <v>E1732</v>
      </c>
      <c r="C118" s="422" t="str">
        <f t="shared" si="14"/>
        <v>E1732EZ1</v>
      </c>
      <c r="D118" s="261" t="s">
        <v>44</v>
      </c>
      <c r="E118" s="261" t="s">
        <v>1024</v>
      </c>
      <c r="F118" s="261">
        <v>2017</v>
      </c>
      <c r="G118" s="577">
        <v>0</v>
      </c>
      <c r="H118" s="577">
        <v>0</v>
      </c>
      <c r="I118" s="577">
        <v>0</v>
      </c>
      <c r="J118" s="577">
        <f t="shared" si="24"/>
        <v>0</v>
      </c>
      <c r="K118" s="577">
        <f t="shared" si="25"/>
        <v>0</v>
      </c>
      <c r="L118" s="577">
        <f t="shared" si="26"/>
        <v>0</v>
      </c>
      <c r="M118" s="577">
        <f t="shared" si="27"/>
        <v>0</v>
      </c>
      <c r="N118" s="564">
        <v>219350</v>
      </c>
      <c r="O118" s="577">
        <v>219350</v>
      </c>
      <c r="P118" s="577" t="s">
        <v>1166</v>
      </c>
      <c r="Q118" s="577" t="s">
        <v>1166</v>
      </c>
      <c r="R118" s="1604">
        <f t="shared" si="15"/>
        <v>219350</v>
      </c>
    </row>
    <row r="119" spans="1:18" x14ac:dyDescent="0.2">
      <c r="A119" s="261">
        <f t="shared" si="16"/>
        <v>1</v>
      </c>
      <c r="B119" s="422" t="str">
        <f>INDEX('LA List'!B:B,MATCH('EZ list'!D119,'LA List'!A:A,0))</f>
        <v>E1933</v>
      </c>
      <c r="C119" s="422" t="str">
        <f t="shared" si="14"/>
        <v>E1933EZ1</v>
      </c>
      <c r="D119" s="261" t="s">
        <v>46</v>
      </c>
      <c r="E119" s="261" t="s">
        <v>1166</v>
      </c>
      <c r="F119" s="261" t="s">
        <v>1166</v>
      </c>
      <c r="G119" s="577" t="s">
        <v>1166</v>
      </c>
      <c r="H119" s="577" t="s">
        <v>1166</v>
      </c>
      <c r="I119" s="577" t="s">
        <v>1166</v>
      </c>
      <c r="J119" s="577" t="str">
        <f t="shared" si="24"/>
        <v/>
      </c>
      <c r="K119" s="577" t="str">
        <f t="shared" si="25"/>
        <v/>
      </c>
      <c r="L119" s="577" t="str">
        <f t="shared" si="26"/>
        <v/>
      </c>
      <c r="M119" s="577" t="str">
        <f t="shared" si="27"/>
        <v/>
      </c>
      <c r="N119" s="564" t="s">
        <v>1166</v>
      </c>
      <c r="O119" s="577" t="s">
        <v>1166</v>
      </c>
      <c r="P119" s="577" t="s">
        <v>1166</v>
      </c>
      <c r="Q119" s="577" t="s">
        <v>1166</v>
      </c>
      <c r="R119" s="1604" t="str">
        <f t="shared" si="15"/>
        <v/>
      </c>
    </row>
    <row r="120" spans="1:18" x14ac:dyDescent="0.2">
      <c r="A120" s="261">
        <f t="shared" si="16"/>
        <v>1</v>
      </c>
      <c r="B120" s="422" t="str">
        <f>INDEX('LA List'!B:B,MATCH('EZ list'!D120,'LA List'!A:A,0))</f>
        <v>E2532</v>
      </c>
      <c r="C120" s="422" t="str">
        <f t="shared" si="14"/>
        <v>E2532EZ1</v>
      </c>
      <c r="D120" s="261" t="s">
        <v>48</v>
      </c>
      <c r="E120" s="261" t="s">
        <v>1166</v>
      </c>
      <c r="F120" s="261" t="s">
        <v>1166</v>
      </c>
      <c r="G120" s="577" t="s">
        <v>1166</v>
      </c>
      <c r="H120" s="577" t="s">
        <v>1166</v>
      </c>
      <c r="I120" s="577" t="s">
        <v>1166</v>
      </c>
      <c r="J120" s="577" t="str">
        <f t="shared" si="24"/>
        <v/>
      </c>
      <c r="K120" s="577" t="str">
        <f t="shared" si="25"/>
        <v/>
      </c>
      <c r="L120" s="577" t="str">
        <f t="shared" si="26"/>
        <v/>
      </c>
      <c r="M120" s="577" t="str">
        <f t="shared" si="27"/>
        <v/>
      </c>
      <c r="N120" s="564" t="s">
        <v>1166</v>
      </c>
      <c r="O120" s="577" t="s">
        <v>1166</v>
      </c>
      <c r="P120" s="577" t="s">
        <v>1166</v>
      </c>
      <c r="Q120" s="577" t="s">
        <v>1166</v>
      </c>
      <c r="R120" s="1604" t="str">
        <f t="shared" si="15"/>
        <v/>
      </c>
    </row>
    <row r="121" spans="1:18" x14ac:dyDescent="0.2">
      <c r="A121" s="261">
        <f t="shared" si="16"/>
        <v>1</v>
      </c>
      <c r="B121" s="422" t="str">
        <f>INDEX('LA List'!B:B,MATCH('EZ list'!D121,'LA List'!A:A,0))</f>
        <v>E2001</v>
      </c>
      <c r="C121" s="422" t="str">
        <f t="shared" si="14"/>
        <v>E2001EZ1</v>
      </c>
      <c r="D121" s="261" t="s">
        <v>50</v>
      </c>
      <c r="E121" s="261" t="s">
        <v>839</v>
      </c>
      <c r="F121" s="261">
        <v>2013</v>
      </c>
      <c r="G121" s="577">
        <v>0</v>
      </c>
      <c r="H121" s="577">
        <v>0</v>
      </c>
      <c r="I121" s="577">
        <v>0</v>
      </c>
      <c r="J121" s="577">
        <f t="shared" si="24"/>
        <v>0</v>
      </c>
      <c r="K121" s="577">
        <f t="shared" si="25"/>
        <v>0</v>
      </c>
      <c r="L121" s="577">
        <f t="shared" si="26"/>
        <v>0</v>
      </c>
      <c r="M121" s="577">
        <f t="shared" si="27"/>
        <v>0</v>
      </c>
      <c r="N121" s="564">
        <v>0</v>
      </c>
      <c r="O121" s="577">
        <v>0</v>
      </c>
      <c r="P121" s="577" t="s">
        <v>1166</v>
      </c>
      <c r="Q121" s="577" t="s">
        <v>1166</v>
      </c>
      <c r="R121" s="1604">
        <f t="shared" si="15"/>
        <v>0</v>
      </c>
    </row>
    <row r="122" spans="1:18" x14ac:dyDescent="0.2">
      <c r="A122" s="261">
        <f t="shared" si="16"/>
        <v>2</v>
      </c>
      <c r="B122" s="422" t="str">
        <f>INDEX('LA List'!B:B,MATCH('EZ list'!D122,'LA List'!A:A,0))</f>
        <v>E2001</v>
      </c>
      <c r="C122" s="422" t="str">
        <f t="shared" si="14"/>
        <v>E2001EZ2</v>
      </c>
      <c r="D122" s="261" t="s">
        <v>50</v>
      </c>
      <c r="E122" s="261" t="s">
        <v>840</v>
      </c>
      <c r="F122" s="261">
        <v>2013</v>
      </c>
      <c r="G122" s="577">
        <v>136350</v>
      </c>
      <c r="H122" s="577">
        <v>136350</v>
      </c>
      <c r="I122" s="577">
        <v>140446</v>
      </c>
      <c r="J122" s="577">
        <f t="shared" si="24"/>
        <v>143665</v>
      </c>
      <c r="K122" s="577">
        <f t="shared" si="25"/>
        <v>146006</v>
      </c>
      <c r="L122" s="577">
        <f t="shared" si="26"/>
        <v>146006</v>
      </c>
      <c r="M122" s="577">
        <f t="shared" si="27"/>
        <v>146006</v>
      </c>
      <c r="N122" s="564">
        <v>165165</v>
      </c>
      <c r="O122" s="577">
        <v>165165</v>
      </c>
      <c r="P122" s="577" t="s">
        <v>1166</v>
      </c>
      <c r="Q122" s="577" t="s">
        <v>1166</v>
      </c>
      <c r="R122" s="1604">
        <f t="shared" si="15"/>
        <v>165165</v>
      </c>
    </row>
    <row r="123" spans="1:18" x14ac:dyDescent="0.2">
      <c r="A123" s="261">
        <f t="shared" si="16"/>
        <v>3</v>
      </c>
      <c r="B123" s="422" t="str">
        <f>INDEX('LA List'!B:B,MATCH('EZ list'!D123,'LA List'!A:A,0))</f>
        <v>E2001</v>
      </c>
      <c r="C123" s="422" t="str">
        <f t="shared" si="14"/>
        <v>E2001EZ3</v>
      </c>
      <c r="D123" s="261" t="s">
        <v>50</v>
      </c>
      <c r="E123" s="261" t="s">
        <v>1025</v>
      </c>
      <c r="F123" s="261">
        <v>2016</v>
      </c>
      <c r="G123" s="577">
        <v>0</v>
      </c>
      <c r="H123" s="577">
        <v>0</v>
      </c>
      <c r="I123" s="577">
        <v>0</v>
      </c>
      <c r="J123" s="577">
        <f t="shared" si="24"/>
        <v>0</v>
      </c>
      <c r="K123" s="577">
        <f t="shared" si="25"/>
        <v>0</v>
      </c>
      <c r="L123" s="577">
        <f t="shared" si="26"/>
        <v>0</v>
      </c>
      <c r="M123" s="577">
        <f t="shared" si="27"/>
        <v>0</v>
      </c>
      <c r="N123" s="564">
        <v>0</v>
      </c>
      <c r="O123" s="577">
        <v>0</v>
      </c>
      <c r="P123" s="577" t="s">
        <v>1166</v>
      </c>
      <c r="Q123" s="577" t="s">
        <v>1166</v>
      </c>
      <c r="R123" s="1604">
        <f t="shared" si="15"/>
        <v>0</v>
      </c>
    </row>
    <row r="124" spans="1:18" x14ac:dyDescent="0.2">
      <c r="A124" s="261">
        <f t="shared" si="16"/>
        <v>4</v>
      </c>
      <c r="B124" s="422" t="str">
        <f>INDEX('LA List'!B:B,MATCH('EZ list'!D124,'LA List'!A:A,0))</f>
        <v>E2001</v>
      </c>
      <c r="C124" s="422" t="str">
        <f t="shared" si="14"/>
        <v>E2001EZ4</v>
      </c>
      <c r="D124" s="261" t="s">
        <v>50</v>
      </c>
      <c r="E124" s="261" t="s">
        <v>1026</v>
      </c>
      <c r="F124" s="261">
        <v>2016</v>
      </c>
      <c r="G124" s="577">
        <v>0</v>
      </c>
      <c r="H124" s="577">
        <v>0</v>
      </c>
      <c r="I124" s="577">
        <v>0</v>
      </c>
      <c r="J124" s="577">
        <f t="shared" si="24"/>
        <v>0</v>
      </c>
      <c r="K124" s="577">
        <f t="shared" si="25"/>
        <v>0</v>
      </c>
      <c r="L124" s="577">
        <f t="shared" si="26"/>
        <v>0</v>
      </c>
      <c r="M124" s="577">
        <f t="shared" si="27"/>
        <v>0</v>
      </c>
      <c r="N124" s="564">
        <v>0</v>
      </c>
      <c r="O124" s="577">
        <v>0</v>
      </c>
      <c r="P124" s="577" t="s">
        <v>1166</v>
      </c>
      <c r="Q124" s="577" t="s">
        <v>1166</v>
      </c>
      <c r="R124" s="1604">
        <f t="shared" si="15"/>
        <v>0</v>
      </c>
    </row>
    <row r="125" spans="1:18" x14ac:dyDescent="0.2">
      <c r="A125" s="261">
        <f t="shared" si="16"/>
        <v>5</v>
      </c>
      <c r="B125" s="422" t="str">
        <f>INDEX('LA List'!B:B,MATCH('EZ list'!D125,'LA List'!A:A,0))</f>
        <v>E2001</v>
      </c>
      <c r="C125" s="422" t="str">
        <f t="shared" si="14"/>
        <v>E2001EZ5</v>
      </c>
      <c r="D125" s="261" t="s">
        <v>50</v>
      </c>
      <c r="E125" s="261" t="s">
        <v>1027</v>
      </c>
      <c r="F125" s="261">
        <v>2016</v>
      </c>
      <c r="G125" s="577">
        <v>0</v>
      </c>
      <c r="H125" s="577">
        <v>0</v>
      </c>
      <c r="I125" s="577">
        <v>0</v>
      </c>
      <c r="J125" s="577">
        <f t="shared" si="24"/>
        <v>0</v>
      </c>
      <c r="K125" s="577">
        <f t="shared" si="25"/>
        <v>0</v>
      </c>
      <c r="L125" s="577">
        <f t="shared" si="26"/>
        <v>0</v>
      </c>
      <c r="M125" s="577">
        <f t="shared" si="27"/>
        <v>0</v>
      </c>
      <c r="N125" s="564">
        <v>0</v>
      </c>
      <c r="O125" s="577">
        <v>0</v>
      </c>
      <c r="P125" s="577" t="s">
        <v>1166</v>
      </c>
      <c r="Q125" s="577" t="s">
        <v>1166</v>
      </c>
      <c r="R125" s="1604">
        <f t="shared" si="15"/>
        <v>0</v>
      </c>
    </row>
    <row r="126" spans="1:18" x14ac:dyDescent="0.2">
      <c r="A126" s="261">
        <f t="shared" si="16"/>
        <v>6</v>
      </c>
      <c r="B126" s="422" t="str">
        <f>INDEX('LA List'!B:B,MATCH('EZ list'!D126,'LA List'!A:A,0))</f>
        <v>E2001</v>
      </c>
      <c r="C126" s="422" t="str">
        <f t="shared" ref="C126:C192" si="28">CONCATENATE(B126,"EZ",A126)</f>
        <v>E2001EZ6</v>
      </c>
      <c r="D126" s="261" t="s">
        <v>50</v>
      </c>
      <c r="E126" s="261" t="s">
        <v>1028</v>
      </c>
      <c r="F126" s="261">
        <v>2016</v>
      </c>
      <c r="G126" s="577">
        <v>0</v>
      </c>
      <c r="H126" s="577">
        <v>0</v>
      </c>
      <c r="I126" s="577">
        <v>0</v>
      </c>
      <c r="J126" s="577">
        <f t="shared" si="24"/>
        <v>0</v>
      </c>
      <c r="K126" s="577">
        <f t="shared" si="25"/>
        <v>0</v>
      </c>
      <c r="L126" s="577">
        <f t="shared" si="26"/>
        <v>0</v>
      </c>
      <c r="M126" s="577">
        <f t="shared" si="27"/>
        <v>0</v>
      </c>
      <c r="N126" s="564">
        <v>0</v>
      </c>
      <c r="O126" s="577">
        <v>0</v>
      </c>
      <c r="P126" s="577" t="s">
        <v>1166</v>
      </c>
      <c r="Q126" s="577" t="s">
        <v>1166</v>
      </c>
      <c r="R126" s="1604">
        <f t="shared" si="15"/>
        <v>0</v>
      </c>
    </row>
    <row r="127" spans="1:18" x14ac:dyDescent="0.2">
      <c r="A127" s="261">
        <f t="shared" si="16"/>
        <v>7</v>
      </c>
      <c r="B127" s="422" t="str">
        <f>INDEX('LA List'!B:B,MATCH('EZ list'!D127,'LA List'!A:A,0))</f>
        <v>E2001</v>
      </c>
      <c r="C127" s="422" t="str">
        <f t="shared" si="28"/>
        <v>E2001EZ7</v>
      </c>
      <c r="D127" s="261" t="s">
        <v>50</v>
      </c>
      <c r="E127" s="261" t="s">
        <v>1029</v>
      </c>
      <c r="F127" s="261">
        <v>2016</v>
      </c>
      <c r="G127" s="577">
        <v>0</v>
      </c>
      <c r="H127" s="577">
        <v>0</v>
      </c>
      <c r="I127" s="577">
        <v>0</v>
      </c>
      <c r="J127" s="577">
        <f t="shared" si="24"/>
        <v>0</v>
      </c>
      <c r="K127" s="577">
        <f t="shared" si="25"/>
        <v>0</v>
      </c>
      <c r="L127" s="577">
        <f t="shared" si="26"/>
        <v>0</v>
      </c>
      <c r="M127" s="577">
        <f t="shared" si="27"/>
        <v>0</v>
      </c>
      <c r="N127" s="564">
        <v>0</v>
      </c>
      <c r="O127" s="577">
        <v>0</v>
      </c>
      <c r="P127" s="577" t="s">
        <v>1166</v>
      </c>
      <c r="Q127" s="577" t="s">
        <v>1166</v>
      </c>
      <c r="R127" s="1604">
        <f t="shared" si="15"/>
        <v>0</v>
      </c>
    </row>
    <row r="128" spans="1:18" x14ac:dyDescent="0.2">
      <c r="A128" s="261">
        <f t="shared" si="16"/>
        <v>8</v>
      </c>
      <c r="B128" s="422" t="str">
        <f>INDEX('LA List'!B:B,MATCH('EZ list'!D128,'LA List'!A:A,0))</f>
        <v>E2001</v>
      </c>
      <c r="C128" s="422" t="str">
        <f t="shared" si="28"/>
        <v>E2001EZ8</v>
      </c>
      <c r="D128" s="509" t="s">
        <v>50</v>
      </c>
      <c r="E128" s="509" t="s">
        <v>5814</v>
      </c>
      <c r="F128" s="509">
        <v>2024</v>
      </c>
      <c r="G128" s="577"/>
      <c r="H128" s="577"/>
      <c r="I128" s="577"/>
      <c r="J128" s="577"/>
      <c r="K128" s="577"/>
      <c r="L128" s="577"/>
      <c r="M128" s="577"/>
      <c r="N128" s="564"/>
      <c r="O128" s="577">
        <v>0</v>
      </c>
      <c r="P128" s="577">
        <v>0</v>
      </c>
      <c r="Q128" s="577">
        <v>0</v>
      </c>
      <c r="R128" s="1604">
        <f t="shared" si="15"/>
        <v>0</v>
      </c>
    </row>
    <row r="129" spans="1:18" x14ac:dyDescent="0.2">
      <c r="A129" s="261">
        <f t="shared" si="16"/>
        <v>9</v>
      </c>
      <c r="B129" s="422" t="str">
        <f>INDEX('LA List'!B:B,MATCH('EZ list'!D129,'LA List'!A:A,0))</f>
        <v>E2001</v>
      </c>
      <c r="C129" s="422" t="str">
        <f>CONCATENATE(B129,"EZ",A129)</f>
        <v>E2001EZ9</v>
      </c>
      <c r="D129" s="509" t="s">
        <v>50</v>
      </c>
      <c r="E129" s="509" t="s">
        <v>5815</v>
      </c>
      <c r="F129" s="509">
        <v>2024</v>
      </c>
      <c r="G129" s="577"/>
      <c r="H129" s="577"/>
      <c r="I129" s="577"/>
      <c r="J129" s="577"/>
      <c r="K129" s="577"/>
      <c r="L129" s="577"/>
      <c r="M129" s="577"/>
      <c r="N129" s="564"/>
      <c r="O129" s="577">
        <v>425900.26171875</v>
      </c>
      <c r="P129" s="577">
        <v>0</v>
      </c>
      <c r="Q129" s="577">
        <v>432921</v>
      </c>
      <c r="R129" s="1604">
        <f t="shared" si="15"/>
        <v>432921</v>
      </c>
    </row>
    <row r="130" spans="1:18" x14ac:dyDescent="0.2">
      <c r="A130" s="261">
        <f t="shared" si="16"/>
        <v>1</v>
      </c>
      <c r="B130" s="422" t="str">
        <f>INDEX('LA List'!B:B,MATCH('EZ list'!D130,'LA List'!A:A,0))</f>
        <v>E3432</v>
      </c>
      <c r="C130" s="422" t="str">
        <f t="shared" ref="C130" si="29">CONCATENATE(B130,"EZ",A130)</f>
        <v>E3432EZ1</v>
      </c>
      <c r="D130" s="261" t="s">
        <v>54</v>
      </c>
      <c r="E130" s="261" t="s">
        <v>1166</v>
      </c>
      <c r="F130" s="261" t="s">
        <v>1166</v>
      </c>
      <c r="G130" s="577" t="s">
        <v>1166</v>
      </c>
      <c r="H130" s="577" t="s">
        <v>1166</v>
      </c>
      <c r="I130" s="577" t="s">
        <v>1166</v>
      </c>
      <c r="J130" s="577" t="str">
        <f>IF(I130="","",ROUND(I130*$J$1,0))</f>
        <v/>
      </c>
      <c r="K130" s="577" t="str">
        <f>IF(J130="","",ROUND(J130*$K$1,0))</f>
        <v/>
      </c>
      <c r="L130" s="577" t="str">
        <f>IF(K130="","",ROUND(K130*$L$1,0))</f>
        <v/>
      </c>
      <c r="M130" s="577" t="str">
        <f>IF(L130="","",ROUND(L130*$M$1,0))</f>
        <v/>
      </c>
      <c r="N130" s="564" t="s">
        <v>1166</v>
      </c>
      <c r="O130" s="577" t="s">
        <v>1166</v>
      </c>
      <c r="P130" s="577" t="s">
        <v>1166</v>
      </c>
      <c r="Q130" s="577" t="s">
        <v>1166</v>
      </c>
      <c r="R130" s="1604" t="str">
        <f t="shared" si="15"/>
        <v/>
      </c>
    </row>
    <row r="131" spans="1:18" x14ac:dyDescent="0.2">
      <c r="A131" s="261">
        <f t="shared" si="16"/>
        <v>1</v>
      </c>
      <c r="B131" s="422" t="str">
        <f>INDEX('LA List'!B:B,MATCH('EZ list'!D131,'LA List'!A:A,0))</f>
        <v>E3538</v>
      </c>
      <c r="C131" s="422" t="str">
        <f t="shared" si="28"/>
        <v>E3538EZ1</v>
      </c>
      <c r="D131" s="509" t="s">
        <v>1181</v>
      </c>
      <c r="E131" s="261" t="s">
        <v>844</v>
      </c>
      <c r="F131" s="261">
        <v>2013</v>
      </c>
      <c r="G131" s="577">
        <v>0</v>
      </c>
      <c r="H131" s="577">
        <v>0</v>
      </c>
      <c r="I131" s="577">
        <v>0</v>
      </c>
      <c r="J131" s="577">
        <f>IF(I131="","",ROUND(I131*$J$1,0))</f>
        <v>0</v>
      </c>
      <c r="K131" s="577">
        <f>IF(J131="","",ROUND(J131*$K$1,0))</f>
        <v>0</v>
      </c>
      <c r="L131" s="577">
        <f>IF(K131="","",ROUND(K131*$L$1,0))</f>
        <v>0</v>
      </c>
      <c r="M131" s="577">
        <f>IF(L131="","",ROUND(L131*$M$1,0))</f>
        <v>0</v>
      </c>
      <c r="N131" s="564">
        <v>0</v>
      </c>
      <c r="O131" s="577">
        <v>0</v>
      </c>
      <c r="P131" s="577" t="s">
        <v>1166</v>
      </c>
      <c r="Q131" s="577" t="s">
        <v>1166</v>
      </c>
      <c r="R131" s="1604">
        <f t="shared" si="15"/>
        <v>0</v>
      </c>
    </row>
    <row r="132" spans="1:18" s="261" customFormat="1" x14ac:dyDescent="0.2">
      <c r="A132" s="261">
        <f t="shared" si="16"/>
        <v>2</v>
      </c>
      <c r="B132" s="422" t="str">
        <f>INDEX('LA List'!B:B,MATCH('EZ list'!D132,'LA List'!A:A,0))</f>
        <v>E3538</v>
      </c>
      <c r="C132" s="422" t="str">
        <f t="shared" ref="C132:C134" si="30">CONCATENATE(B132,"EZ",A132)</f>
        <v>E3538EZ2</v>
      </c>
      <c r="D132" s="509" t="s">
        <v>1181</v>
      </c>
      <c r="E132" s="261" t="s">
        <v>1136</v>
      </c>
      <c r="F132" s="261">
        <v>2017</v>
      </c>
      <c r="G132" s="577">
        <v>13863</v>
      </c>
      <c r="H132" s="577">
        <v>13863</v>
      </c>
      <c r="I132" s="577">
        <v>14279</v>
      </c>
      <c r="J132" s="577">
        <f>IF(I132="","",ROUND(I132*$J$1,0))</f>
        <v>14606</v>
      </c>
      <c r="K132" s="577">
        <f>IF(J132="","",ROUND(J132*$K$1,0))</f>
        <v>14844</v>
      </c>
      <c r="L132" s="577">
        <f>IF(K132="","",ROUND(K132*$L$1,0))</f>
        <v>14844</v>
      </c>
      <c r="M132" s="577">
        <f>IF(L132="","",ROUND(L132*$M$1,0))</f>
        <v>14844</v>
      </c>
      <c r="N132" s="564">
        <v>14844</v>
      </c>
      <c r="O132" s="577">
        <v>14844</v>
      </c>
      <c r="P132" s="577" t="s">
        <v>1166</v>
      </c>
      <c r="Q132" s="577" t="s">
        <v>1166</v>
      </c>
      <c r="R132" s="1604">
        <f t="shared" ref="R132:R194" si="31">IF($F132 = "","",
IF($F132&lt;2024,O132*$P$1,
IF($F132&gt;=2024,+P132+Q132)))</f>
        <v>14844</v>
      </c>
    </row>
    <row r="133" spans="1:18" s="261" customFormat="1" x14ac:dyDescent="0.2">
      <c r="A133" s="261">
        <f t="shared" si="16"/>
        <v>3</v>
      </c>
      <c r="B133" s="422" t="str">
        <f>INDEX('LA List'!B:B,MATCH('EZ list'!D133,'LA List'!A:A,0))</f>
        <v>E3538</v>
      </c>
      <c r="C133" s="422" t="str">
        <f t="shared" si="30"/>
        <v>E3538EZ3</v>
      </c>
      <c r="D133" s="509" t="s">
        <v>1181</v>
      </c>
      <c r="E133" s="261" t="s">
        <v>1137</v>
      </c>
      <c r="F133" s="261">
        <v>2017</v>
      </c>
      <c r="G133" s="577">
        <v>28979</v>
      </c>
      <c r="H133" s="577">
        <v>28979</v>
      </c>
      <c r="I133" s="577">
        <v>29850</v>
      </c>
      <c r="J133" s="577">
        <f>IF(I133="","",ROUND(I133*$J$1,0))</f>
        <v>30534</v>
      </c>
      <c r="K133" s="577">
        <f>IF(J133="","",ROUND(J133*$K$1,0))</f>
        <v>31031</v>
      </c>
      <c r="L133" s="577">
        <f>IF(K133="","",ROUND(K133*$L$1,0))</f>
        <v>31031</v>
      </c>
      <c r="M133" s="577">
        <f>IF(L133="","",ROUND(L133*$M$1,0))</f>
        <v>31031</v>
      </c>
      <c r="N133" s="564">
        <v>37090</v>
      </c>
      <c r="O133" s="577">
        <v>37090</v>
      </c>
      <c r="P133" s="577" t="s">
        <v>1166</v>
      </c>
      <c r="Q133" s="577" t="s">
        <v>1166</v>
      </c>
      <c r="R133" s="1604">
        <f t="shared" si="31"/>
        <v>37090</v>
      </c>
    </row>
    <row r="134" spans="1:18" s="261" customFormat="1" x14ac:dyDescent="0.2">
      <c r="A134" s="261">
        <f t="shared" si="16"/>
        <v>4</v>
      </c>
      <c r="B134" s="422" t="str">
        <f>INDEX('LA List'!B:B,MATCH('EZ list'!D134,'LA List'!A:A,0))</f>
        <v>E3538</v>
      </c>
      <c r="C134" s="422" t="str">
        <f t="shared" si="30"/>
        <v>E3538EZ4</v>
      </c>
      <c r="D134" s="509" t="s">
        <v>1181</v>
      </c>
      <c r="E134" s="509" t="s">
        <v>5816</v>
      </c>
      <c r="F134" s="509">
        <v>2023</v>
      </c>
      <c r="G134" s="577">
        <v>0</v>
      </c>
      <c r="H134" s="577">
        <v>0</v>
      </c>
      <c r="I134" s="577">
        <v>0</v>
      </c>
      <c r="J134" s="577">
        <v>0</v>
      </c>
      <c r="K134" s="577">
        <v>0</v>
      </c>
      <c r="L134" s="577">
        <v>0</v>
      </c>
      <c r="M134" s="577">
        <v>86372.47</v>
      </c>
      <c r="N134" s="564">
        <v>1000985</v>
      </c>
      <c r="O134" s="577">
        <v>1000985</v>
      </c>
      <c r="P134" s="577" t="s">
        <v>1166</v>
      </c>
      <c r="Q134" s="577" t="s">
        <v>1166</v>
      </c>
      <c r="R134" s="1604">
        <f t="shared" si="31"/>
        <v>1000985</v>
      </c>
    </row>
    <row r="135" spans="1:18" s="261" customFormat="1" x14ac:dyDescent="0.2">
      <c r="A135" s="261">
        <f t="shared" ref="A135:A197" si="32">IF(D135=D134,A134+1,1)</f>
        <v>1</v>
      </c>
      <c r="B135" s="422" t="str">
        <f>INDEX('LA List'!B:B,MATCH('EZ list'!D135,'LA List'!A:A,0))</f>
        <v>E1432</v>
      </c>
      <c r="C135" s="422" t="str">
        <f t="shared" ref="C135:C136" si="33">CONCATENATE(B135,"EZ",A135)</f>
        <v>E1432EZ1</v>
      </c>
      <c r="D135" s="261" t="s">
        <v>56</v>
      </c>
      <c r="E135" s="261" t="s">
        <v>1166</v>
      </c>
      <c r="F135" s="261" t="s">
        <v>1166</v>
      </c>
      <c r="G135" s="577" t="s">
        <v>1166</v>
      </c>
      <c r="H135" s="577" t="s">
        <v>1166</v>
      </c>
      <c r="I135" s="577" t="s">
        <v>1166</v>
      </c>
      <c r="J135" s="577" t="str">
        <f t="shared" ref="J135:J164" si="34">IF(I135="","",ROUND(I135*$J$1,0))</f>
        <v/>
      </c>
      <c r="K135" s="577" t="str">
        <f t="shared" ref="K135:K164" si="35">IF(J135="","",ROUND(J135*$K$1,0))</f>
        <v/>
      </c>
      <c r="L135" s="577" t="str">
        <f t="shared" ref="L135:L164" si="36">IF(K135="","",ROUND(K135*$L$1,0))</f>
        <v/>
      </c>
      <c r="M135" s="577" t="str">
        <f t="shared" ref="M135:M164" si="37">IF(L135="","",ROUND(L135*$M$1,0))</f>
        <v/>
      </c>
      <c r="N135" s="564" t="s">
        <v>1166</v>
      </c>
      <c r="O135" s="577" t="s">
        <v>1166</v>
      </c>
      <c r="P135" s="577" t="s">
        <v>1166</v>
      </c>
      <c r="Q135" s="577" t="s">
        <v>1166</v>
      </c>
      <c r="R135" s="1604" t="str">
        <f t="shared" si="31"/>
        <v/>
      </c>
    </row>
    <row r="136" spans="1:18" x14ac:dyDescent="0.2">
      <c r="A136" s="261">
        <f t="shared" si="32"/>
        <v>1</v>
      </c>
      <c r="B136" s="422" t="str">
        <f>INDEX('LA List'!B:B,MATCH('EZ list'!D136,'LA List'!A:A,0))</f>
        <v>E1733</v>
      </c>
      <c r="C136" s="422" t="str">
        <f t="shared" si="33"/>
        <v>E1733EZ1</v>
      </c>
      <c r="D136" s="261" t="s">
        <v>58</v>
      </c>
      <c r="E136" s="509" t="s">
        <v>5817</v>
      </c>
      <c r="F136" s="509">
        <v>2023</v>
      </c>
      <c r="G136" s="577">
        <v>0</v>
      </c>
      <c r="H136" s="577">
        <v>0</v>
      </c>
      <c r="I136" s="577">
        <v>0</v>
      </c>
      <c r="J136" s="577">
        <f t="shared" si="34"/>
        <v>0</v>
      </c>
      <c r="K136" s="577">
        <f t="shared" si="35"/>
        <v>0</v>
      </c>
      <c r="L136" s="577">
        <f t="shared" si="36"/>
        <v>0</v>
      </c>
      <c r="M136" s="577">
        <f t="shared" si="37"/>
        <v>0</v>
      </c>
      <c r="N136" s="564">
        <v>0</v>
      </c>
      <c r="O136" s="577">
        <v>0</v>
      </c>
      <c r="P136" s="577" t="s">
        <v>1166</v>
      </c>
      <c r="Q136" s="577" t="s">
        <v>1166</v>
      </c>
      <c r="R136" s="1604">
        <f t="shared" si="31"/>
        <v>0</v>
      </c>
    </row>
    <row r="137" spans="1:18" x14ac:dyDescent="0.2">
      <c r="A137" s="261">
        <f t="shared" si="32"/>
        <v>1</v>
      </c>
      <c r="B137" s="422" t="str">
        <f>INDEX('LA List'!B:B,MATCH('EZ list'!D137,'LA List'!A:A,0))</f>
        <v>E3631</v>
      </c>
      <c r="C137" s="422" t="str">
        <f t="shared" si="28"/>
        <v>E3631EZ1</v>
      </c>
      <c r="D137" s="261" t="s">
        <v>60</v>
      </c>
      <c r="E137" s="261" t="s">
        <v>1166</v>
      </c>
      <c r="F137" s="261" t="s">
        <v>1166</v>
      </c>
      <c r="G137" s="577" t="s">
        <v>1166</v>
      </c>
      <c r="H137" s="577" t="s">
        <v>1166</v>
      </c>
      <c r="I137" s="577" t="s">
        <v>1166</v>
      </c>
      <c r="J137" s="577" t="str">
        <f t="shared" si="34"/>
        <v/>
      </c>
      <c r="K137" s="577" t="str">
        <f t="shared" si="35"/>
        <v/>
      </c>
      <c r="L137" s="577" t="str">
        <f t="shared" si="36"/>
        <v/>
      </c>
      <c r="M137" s="577" t="str">
        <f t="shared" si="37"/>
        <v/>
      </c>
      <c r="N137" s="564" t="s">
        <v>1166</v>
      </c>
      <c r="O137" s="577" t="s">
        <v>1166</v>
      </c>
      <c r="P137" s="577" t="s">
        <v>1166</v>
      </c>
      <c r="Q137" s="577" t="s">
        <v>1166</v>
      </c>
      <c r="R137" s="1604" t="str">
        <f t="shared" si="31"/>
        <v/>
      </c>
    </row>
    <row r="138" spans="1:18" x14ac:dyDescent="0.2">
      <c r="A138" s="261">
        <f t="shared" si="32"/>
        <v>1</v>
      </c>
      <c r="B138" s="422" t="str">
        <f>INDEX('LA List'!B:B,MATCH('EZ list'!D138,'LA List'!A:A,0))</f>
        <v>E5037</v>
      </c>
      <c r="C138" s="422" t="str">
        <f t="shared" si="28"/>
        <v>E5037EZ1</v>
      </c>
      <c r="D138" s="261" t="s">
        <v>62</v>
      </c>
      <c r="E138" s="261" t="s">
        <v>1166</v>
      </c>
      <c r="F138" s="261" t="s">
        <v>1166</v>
      </c>
      <c r="G138" s="577" t="s">
        <v>1166</v>
      </c>
      <c r="H138" s="577" t="s">
        <v>1166</v>
      </c>
      <c r="I138" s="577" t="s">
        <v>1166</v>
      </c>
      <c r="J138" s="577" t="str">
        <f t="shared" si="34"/>
        <v/>
      </c>
      <c r="K138" s="577" t="str">
        <f t="shared" si="35"/>
        <v/>
      </c>
      <c r="L138" s="577" t="str">
        <f t="shared" si="36"/>
        <v/>
      </c>
      <c r="M138" s="577" t="str">
        <f t="shared" si="37"/>
        <v/>
      </c>
      <c r="N138" s="564" t="s">
        <v>1166</v>
      </c>
      <c r="O138" s="577" t="s">
        <v>1166</v>
      </c>
      <c r="P138" s="577" t="s">
        <v>1166</v>
      </c>
      <c r="Q138" s="577" t="s">
        <v>1166</v>
      </c>
      <c r="R138" s="1604" t="str">
        <f t="shared" si="31"/>
        <v/>
      </c>
    </row>
    <row r="139" spans="1:18" x14ac:dyDescent="0.2">
      <c r="A139" s="261">
        <f t="shared" si="32"/>
        <v>1</v>
      </c>
      <c r="B139" s="422" t="str">
        <f>INDEX('LA List'!B:B,MATCH('EZ list'!D139,'LA List'!A:A,0))</f>
        <v>E1537</v>
      </c>
      <c r="C139" s="422" t="str">
        <f t="shared" si="28"/>
        <v>E1537EZ1</v>
      </c>
      <c r="D139" s="261" t="s">
        <v>64</v>
      </c>
      <c r="E139" s="261" t="s">
        <v>1166</v>
      </c>
      <c r="F139" s="261" t="s">
        <v>1166</v>
      </c>
      <c r="G139" s="577" t="s">
        <v>1166</v>
      </c>
      <c r="H139" s="577" t="s">
        <v>1166</v>
      </c>
      <c r="I139" s="577" t="s">
        <v>1166</v>
      </c>
      <c r="J139" s="577" t="str">
        <f t="shared" si="34"/>
        <v/>
      </c>
      <c r="K139" s="577" t="str">
        <f t="shared" si="35"/>
        <v/>
      </c>
      <c r="L139" s="577" t="str">
        <f t="shared" si="36"/>
        <v/>
      </c>
      <c r="M139" s="577" t="str">
        <f t="shared" si="37"/>
        <v/>
      </c>
      <c r="N139" s="564" t="s">
        <v>1166</v>
      </c>
      <c r="O139" s="577" t="s">
        <v>1166</v>
      </c>
      <c r="P139" s="577" t="s">
        <v>1166</v>
      </c>
      <c r="Q139" s="577" t="s">
        <v>1166</v>
      </c>
      <c r="R139" s="1604" t="str">
        <f t="shared" si="31"/>
        <v/>
      </c>
    </row>
    <row r="140" spans="1:18" x14ac:dyDescent="0.2">
      <c r="A140" s="261">
        <f t="shared" si="32"/>
        <v>1</v>
      </c>
      <c r="B140" s="422" t="str">
        <f>INDEX('LA List'!B:B,MATCH('EZ list'!D140,'LA List'!A:A,0))</f>
        <v>E3632</v>
      </c>
      <c r="C140" s="422" t="str">
        <f t="shared" si="28"/>
        <v>E3632EZ1</v>
      </c>
      <c r="D140" s="261" t="s">
        <v>66</v>
      </c>
      <c r="E140" s="261" t="s">
        <v>1166</v>
      </c>
      <c r="F140" s="261" t="s">
        <v>1166</v>
      </c>
      <c r="G140" s="577" t="s">
        <v>1166</v>
      </c>
      <c r="H140" s="577" t="s">
        <v>1166</v>
      </c>
      <c r="I140" s="577" t="s">
        <v>1166</v>
      </c>
      <c r="J140" s="577" t="str">
        <f t="shared" si="34"/>
        <v/>
      </c>
      <c r="K140" s="577" t="str">
        <f t="shared" si="35"/>
        <v/>
      </c>
      <c r="L140" s="577" t="str">
        <f t="shared" si="36"/>
        <v/>
      </c>
      <c r="M140" s="577" t="str">
        <f t="shared" si="37"/>
        <v/>
      </c>
      <c r="N140" s="564" t="s">
        <v>1166</v>
      </c>
      <c r="O140" s="577" t="s">
        <v>1166</v>
      </c>
      <c r="P140" s="577" t="s">
        <v>1166</v>
      </c>
      <c r="Q140" s="577" t="s">
        <v>1166</v>
      </c>
      <c r="R140" s="1604" t="str">
        <f t="shared" si="31"/>
        <v/>
      </c>
    </row>
    <row r="141" spans="1:18" x14ac:dyDescent="0.2">
      <c r="A141" s="261">
        <f t="shared" si="32"/>
        <v>1</v>
      </c>
      <c r="B141" s="422" t="str">
        <f>INDEX('LA List'!B:B,MATCH('EZ list'!D141,'LA List'!A:A,0))</f>
        <v>E1036</v>
      </c>
      <c r="C141" s="422" t="str">
        <f t="shared" si="28"/>
        <v>E1036EZ1</v>
      </c>
      <c r="D141" s="261" t="s">
        <v>68</v>
      </c>
      <c r="E141" s="261" t="s">
        <v>1166</v>
      </c>
      <c r="F141" s="261" t="s">
        <v>1166</v>
      </c>
      <c r="G141" s="577" t="s">
        <v>1166</v>
      </c>
      <c r="H141" s="577" t="s">
        <v>1166</v>
      </c>
      <c r="I141" s="577" t="s">
        <v>1166</v>
      </c>
      <c r="J141" s="577" t="str">
        <f t="shared" si="34"/>
        <v/>
      </c>
      <c r="K141" s="577" t="str">
        <f t="shared" si="35"/>
        <v/>
      </c>
      <c r="L141" s="577" t="str">
        <f t="shared" si="36"/>
        <v/>
      </c>
      <c r="M141" s="577" t="str">
        <f t="shared" si="37"/>
        <v/>
      </c>
      <c r="N141" s="564" t="s">
        <v>1166</v>
      </c>
      <c r="O141" s="577" t="s">
        <v>1166</v>
      </c>
      <c r="P141" s="577" t="s">
        <v>1166</v>
      </c>
      <c r="Q141" s="577" t="s">
        <v>1166</v>
      </c>
      <c r="R141" s="1604" t="str">
        <f t="shared" si="31"/>
        <v/>
      </c>
    </row>
    <row r="142" spans="1:18" x14ac:dyDescent="0.2">
      <c r="A142" s="261">
        <f t="shared" si="32"/>
        <v>1</v>
      </c>
      <c r="B142" s="422" t="str">
        <f>INDEX('LA List'!B:B,MATCH('EZ list'!D142,'LA List'!A:A,0))</f>
        <v>E1132</v>
      </c>
      <c r="C142" s="422" t="str">
        <f t="shared" si="28"/>
        <v>E1132EZ1</v>
      </c>
      <c r="D142" s="261" t="s">
        <v>70</v>
      </c>
      <c r="E142" s="261" t="s">
        <v>1166</v>
      </c>
      <c r="F142" s="261" t="s">
        <v>1166</v>
      </c>
      <c r="G142" s="577" t="s">
        <v>1166</v>
      </c>
      <c r="H142" s="577" t="s">
        <v>1166</v>
      </c>
      <c r="I142" s="577" t="s">
        <v>1166</v>
      </c>
      <c r="J142" s="577" t="str">
        <f t="shared" si="34"/>
        <v/>
      </c>
      <c r="K142" s="577" t="str">
        <f t="shared" si="35"/>
        <v/>
      </c>
      <c r="L142" s="577" t="str">
        <f t="shared" si="36"/>
        <v/>
      </c>
      <c r="M142" s="577" t="str">
        <f t="shared" si="37"/>
        <v/>
      </c>
      <c r="N142" s="564" t="s">
        <v>1166</v>
      </c>
      <c r="O142" s="577" t="s">
        <v>1166</v>
      </c>
      <c r="P142" s="577" t="s">
        <v>1166</v>
      </c>
      <c r="Q142" s="577" t="s">
        <v>1166</v>
      </c>
      <c r="R142" s="1604" t="str">
        <f t="shared" si="31"/>
        <v/>
      </c>
    </row>
    <row r="143" spans="1:18" x14ac:dyDescent="0.2">
      <c r="A143" s="261">
        <f t="shared" si="32"/>
        <v>1</v>
      </c>
      <c r="B143" s="422" t="str">
        <f>INDEX('LA List'!B:B,MATCH('EZ list'!D143,'LA List'!A:A,0))</f>
        <v>E1734</v>
      </c>
      <c r="C143" s="422" t="str">
        <f t="shared" si="28"/>
        <v>E1734EZ1</v>
      </c>
      <c r="D143" s="261" t="s">
        <v>72</v>
      </c>
      <c r="E143" s="261" t="s">
        <v>841</v>
      </c>
      <c r="F143" s="261">
        <v>2013</v>
      </c>
      <c r="G143" s="577">
        <v>108208</v>
      </c>
      <c r="H143" s="577">
        <v>108208</v>
      </c>
      <c r="I143" s="577">
        <v>111459</v>
      </c>
      <c r="J143" s="577">
        <f t="shared" si="34"/>
        <v>114013</v>
      </c>
      <c r="K143" s="577">
        <f t="shared" si="35"/>
        <v>115871</v>
      </c>
      <c r="L143" s="577">
        <f t="shared" si="36"/>
        <v>115871</v>
      </c>
      <c r="M143" s="577">
        <f t="shared" si="37"/>
        <v>115871</v>
      </c>
      <c r="N143" s="564">
        <v>152498</v>
      </c>
      <c r="O143" s="577">
        <v>152498</v>
      </c>
      <c r="P143" s="577" t="s">
        <v>1166</v>
      </c>
      <c r="Q143" s="577" t="s">
        <v>1166</v>
      </c>
      <c r="R143" s="1604">
        <f t="shared" si="31"/>
        <v>152498</v>
      </c>
    </row>
    <row r="144" spans="1:18" x14ac:dyDescent="0.2">
      <c r="A144" s="261">
        <f t="shared" si="32"/>
        <v>1</v>
      </c>
      <c r="B144" s="422" t="str">
        <f>INDEX('LA List'!B:B,MATCH('EZ list'!D144,'LA List'!A:A,0))</f>
        <v>E0533</v>
      </c>
      <c r="C144" s="422" t="str">
        <f t="shared" si="28"/>
        <v>E0533EZ1</v>
      </c>
      <c r="D144" s="261" t="s">
        <v>74</v>
      </c>
      <c r="E144" s="261" t="s">
        <v>1166</v>
      </c>
      <c r="F144" s="261" t="s">
        <v>1166</v>
      </c>
      <c r="G144" s="577" t="s">
        <v>1166</v>
      </c>
      <c r="H144" s="577" t="s">
        <v>1166</v>
      </c>
      <c r="I144" s="577" t="s">
        <v>1166</v>
      </c>
      <c r="J144" s="577" t="str">
        <f t="shared" si="34"/>
        <v/>
      </c>
      <c r="K144" s="577" t="str">
        <f t="shared" si="35"/>
        <v/>
      </c>
      <c r="L144" s="577" t="str">
        <f t="shared" si="36"/>
        <v/>
      </c>
      <c r="M144" s="577" t="str">
        <f t="shared" si="37"/>
        <v/>
      </c>
      <c r="N144" s="564" t="s">
        <v>1166</v>
      </c>
      <c r="O144" s="577" t="s">
        <v>1166</v>
      </c>
      <c r="P144" s="577" t="s">
        <v>1166</v>
      </c>
      <c r="Q144" s="577" t="s">
        <v>1166</v>
      </c>
      <c r="R144" s="1604" t="str">
        <f t="shared" si="31"/>
        <v/>
      </c>
    </row>
    <row r="145" spans="1:18" x14ac:dyDescent="0.2">
      <c r="A145" s="261">
        <f t="shared" si="32"/>
        <v>1</v>
      </c>
      <c r="B145" s="422" t="str">
        <f>INDEX('LA List'!B:B,MATCH('EZ list'!D145,'LA List'!A:A,0))</f>
        <v>E1633</v>
      </c>
      <c r="C145" s="422" t="str">
        <f t="shared" si="28"/>
        <v>E1633EZ1</v>
      </c>
      <c r="D145" s="261" t="s">
        <v>76</v>
      </c>
      <c r="E145" s="261" t="s">
        <v>1166</v>
      </c>
      <c r="F145" s="261" t="s">
        <v>1166</v>
      </c>
      <c r="G145" s="577" t="s">
        <v>1166</v>
      </c>
      <c r="H145" s="577" t="s">
        <v>1166</v>
      </c>
      <c r="I145" s="577" t="s">
        <v>1166</v>
      </c>
      <c r="J145" s="577" t="str">
        <f t="shared" si="34"/>
        <v/>
      </c>
      <c r="K145" s="577" t="str">
        <f t="shared" si="35"/>
        <v/>
      </c>
      <c r="L145" s="577" t="str">
        <f t="shared" si="36"/>
        <v/>
      </c>
      <c r="M145" s="577" t="str">
        <f t="shared" si="37"/>
        <v/>
      </c>
      <c r="N145" s="564" t="s">
        <v>1166</v>
      </c>
      <c r="O145" s="577" t="s">
        <v>1166</v>
      </c>
      <c r="P145" s="577" t="s">
        <v>1166</v>
      </c>
      <c r="Q145" s="577" t="s">
        <v>1166</v>
      </c>
      <c r="R145" s="1604" t="str">
        <f t="shared" si="31"/>
        <v/>
      </c>
    </row>
    <row r="146" spans="1:18" x14ac:dyDescent="0.2">
      <c r="A146" s="261">
        <f t="shared" si="32"/>
        <v>1</v>
      </c>
      <c r="B146" s="422" t="str">
        <f>INDEX('LA List'!B:B,MATCH('EZ list'!D146,'LA List'!A:A,0))</f>
        <v>E2335</v>
      </c>
      <c r="C146" s="422" t="str">
        <f t="shared" si="28"/>
        <v>E2335EZ1</v>
      </c>
      <c r="D146" s="261" t="s">
        <v>78</v>
      </c>
      <c r="E146" s="261" t="s">
        <v>842</v>
      </c>
      <c r="F146" s="261">
        <v>2013</v>
      </c>
      <c r="G146" s="577">
        <v>1993624</v>
      </c>
      <c r="H146" s="577">
        <v>1993624</v>
      </c>
      <c r="I146" s="577">
        <v>2053518</v>
      </c>
      <c r="J146" s="577">
        <f t="shared" si="34"/>
        <v>2100578</v>
      </c>
      <c r="K146" s="577">
        <f t="shared" si="35"/>
        <v>2134803</v>
      </c>
      <c r="L146" s="577">
        <f t="shared" si="36"/>
        <v>2134803</v>
      </c>
      <c r="M146" s="577">
        <f t="shared" si="37"/>
        <v>2134803</v>
      </c>
      <c r="N146" s="564">
        <v>2358454</v>
      </c>
      <c r="O146" s="577">
        <v>2358454</v>
      </c>
      <c r="P146" s="577" t="s">
        <v>1166</v>
      </c>
      <c r="Q146" s="577" t="s">
        <v>1166</v>
      </c>
      <c r="R146" s="1604">
        <f t="shared" si="31"/>
        <v>2358454</v>
      </c>
    </row>
    <row r="147" spans="1:18" x14ac:dyDescent="0.2">
      <c r="A147" s="261">
        <f t="shared" si="32"/>
        <v>2</v>
      </c>
      <c r="B147" s="422" t="str">
        <f>INDEX('LA List'!B:B,MATCH('EZ list'!D147,'LA List'!A:A,0))</f>
        <v>E2335</v>
      </c>
      <c r="C147" s="422" t="str">
        <f t="shared" si="28"/>
        <v>E2335EZ2</v>
      </c>
      <c r="D147" s="261" t="s">
        <v>78</v>
      </c>
      <c r="E147" s="261" t="s">
        <v>983</v>
      </c>
      <c r="F147" s="261">
        <v>2017</v>
      </c>
      <c r="G147" s="577">
        <v>870000</v>
      </c>
      <c r="H147" s="577">
        <v>870000</v>
      </c>
      <c r="I147" s="577">
        <v>896137</v>
      </c>
      <c r="J147" s="577">
        <f t="shared" si="34"/>
        <v>916673</v>
      </c>
      <c r="K147" s="577">
        <f t="shared" si="35"/>
        <v>931609</v>
      </c>
      <c r="L147" s="577">
        <f t="shared" si="36"/>
        <v>931609</v>
      </c>
      <c r="M147" s="577">
        <f t="shared" si="37"/>
        <v>931609</v>
      </c>
      <c r="N147" s="564">
        <v>974213</v>
      </c>
      <c r="O147" s="577">
        <v>974213</v>
      </c>
      <c r="P147" s="577" t="s">
        <v>1166</v>
      </c>
      <c r="Q147" s="577" t="s">
        <v>1166</v>
      </c>
      <c r="R147" s="1604">
        <f t="shared" si="31"/>
        <v>974213</v>
      </c>
    </row>
    <row r="148" spans="1:18" x14ac:dyDescent="0.2">
      <c r="A148" s="261">
        <f t="shared" si="32"/>
        <v>1</v>
      </c>
      <c r="B148" s="422" t="str">
        <f>INDEX('LA List'!B:B,MATCH('EZ list'!D148,'LA List'!A:A,0))</f>
        <v>E4501</v>
      </c>
      <c r="C148" s="422" t="str">
        <f t="shared" si="28"/>
        <v>E4501EZ1</v>
      </c>
      <c r="D148" s="261" t="s">
        <v>80</v>
      </c>
      <c r="E148" s="509" t="s">
        <v>1155</v>
      </c>
      <c r="F148" s="509">
        <v>2013</v>
      </c>
      <c r="G148" s="577">
        <v>1339272</v>
      </c>
      <c r="H148" s="577">
        <v>1339272</v>
      </c>
      <c r="I148" s="577">
        <v>1379508</v>
      </c>
      <c r="J148" s="577">
        <f t="shared" si="34"/>
        <v>1411122</v>
      </c>
      <c r="K148" s="577">
        <f t="shared" si="35"/>
        <v>1434114</v>
      </c>
      <c r="L148" s="577">
        <f t="shared" si="36"/>
        <v>1434114</v>
      </c>
      <c r="M148" s="577">
        <f t="shared" si="37"/>
        <v>1434114</v>
      </c>
      <c r="N148" s="564">
        <v>1480333</v>
      </c>
      <c r="O148" s="577">
        <v>1480333</v>
      </c>
      <c r="P148" s="577" t="s">
        <v>1166</v>
      </c>
      <c r="Q148" s="577" t="s">
        <v>1166</v>
      </c>
      <c r="R148" s="1604">
        <f t="shared" si="31"/>
        <v>1480333</v>
      </c>
    </row>
    <row r="149" spans="1:18" x14ac:dyDescent="0.2">
      <c r="A149" s="261">
        <f t="shared" si="32"/>
        <v>2</v>
      </c>
      <c r="B149" s="422" t="str">
        <f>INDEX('LA List'!B:B,MATCH('EZ list'!D149,'LA List'!A:A,0))</f>
        <v>E4501</v>
      </c>
      <c r="C149" s="422" t="str">
        <f t="shared" si="28"/>
        <v>E4501EZ2</v>
      </c>
      <c r="D149" s="261" t="s">
        <v>80</v>
      </c>
      <c r="E149" s="261" t="s">
        <v>1030</v>
      </c>
      <c r="F149" s="261">
        <v>2017</v>
      </c>
      <c r="G149" s="577">
        <v>0</v>
      </c>
      <c r="H149" s="577">
        <v>0</v>
      </c>
      <c r="I149" s="577">
        <v>0</v>
      </c>
      <c r="J149" s="577">
        <f t="shared" si="34"/>
        <v>0</v>
      </c>
      <c r="K149" s="577">
        <f t="shared" si="35"/>
        <v>0</v>
      </c>
      <c r="L149" s="577">
        <f t="shared" si="36"/>
        <v>0</v>
      </c>
      <c r="M149" s="577">
        <f t="shared" si="37"/>
        <v>0</v>
      </c>
      <c r="N149" s="564">
        <v>0</v>
      </c>
      <c r="O149" s="577">
        <v>0</v>
      </c>
      <c r="P149" s="577" t="s">
        <v>1166</v>
      </c>
      <c r="Q149" s="577" t="s">
        <v>1166</v>
      </c>
      <c r="R149" s="1604">
        <f t="shared" si="31"/>
        <v>0</v>
      </c>
    </row>
    <row r="150" spans="1:18" x14ac:dyDescent="0.2">
      <c r="A150" s="261">
        <f t="shared" si="32"/>
        <v>1</v>
      </c>
      <c r="B150" s="422" t="str">
        <f>INDEX('LA List'!B:B,MATCH('EZ list'!D150,'LA List'!A:A,0))</f>
        <v>E3034</v>
      </c>
      <c r="C150" s="422" t="str">
        <f t="shared" si="28"/>
        <v>E3034EZ1</v>
      </c>
      <c r="D150" s="261" t="s">
        <v>82</v>
      </c>
      <c r="E150" s="261" t="s">
        <v>1166</v>
      </c>
      <c r="F150" s="261" t="s">
        <v>1166</v>
      </c>
      <c r="G150" s="577" t="s">
        <v>1166</v>
      </c>
      <c r="H150" s="577" t="s">
        <v>1166</v>
      </c>
      <c r="I150" s="577" t="s">
        <v>1166</v>
      </c>
      <c r="J150" s="577" t="str">
        <f t="shared" si="34"/>
        <v/>
      </c>
      <c r="K150" s="577" t="str">
        <f t="shared" si="35"/>
        <v/>
      </c>
      <c r="L150" s="577" t="str">
        <f t="shared" si="36"/>
        <v/>
      </c>
      <c r="M150" s="577" t="str">
        <f t="shared" si="37"/>
        <v/>
      </c>
      <c r="N150" s="564" t="s">
        <v>1166</v>
      </c>
      <c r="O150" s="577" t="s">
        <v>1166</v>
      </c>
      <c r="P150" s="577" t="s">
        <v>1166</v>
      </c>
      <c r="Q150" s="577" t="s">
        <v>1166</v>
      </c>
      <c r="R150" s="1604" t="str">
        <f t="shared" si="31"/>
        <v/>
      </c>
    </row>
    <row r="151" spans="1:18" x14ac:dyDescent="0.2">
      <c r="A151" s="261">
        <f t="shared" si="32"/>
        <v>1</v>
      </c>
      <c r="B151" s="422" t="str">
        <f>INDEX('LA List'!B:B,MATCH('EZ list'!D151,'LA List'!A:A,0))</f>
        <v>E1634</v>
      </c>
      <c r="C151" s="422" t="str">
        <f t="shared" si="28"/>
        <v>E1634EZ1</v>
      </c>
      <c r="D151" s="261" t="s">
        <v>84</v>
      </c>
      <c r="E151" s="261" t="s">
        <v>1166</v>
      </c>
      <c r="F151" s="261" t="s">
        <v>1166</v>
      </c>
      <c r="G151" s="577" t="s">
        <v>1166</v>
      </c>
      <c r="H151" s="577" t="s">
        <v>1166</v>
      </c>
      <c r="I151" s="577" t="s">
        <v>1166</v>
      </c>
      <c r="J151" s="577" t="str">
        <f t="shared" si="34"/>
        <v/>
      </c>
      <c r="K151" s="577" t="str">
        <f t="shared" si="35"/>
        <v/>
      </c>
      <c r="L151" s="577" t="str">
        <f t="shared" si="36"/>
        <v/>
      </c>
      <c r="M151" s="577" t="str">
        <f t="shared" si="37"/>
        <v/>
      </c>
      <c r="N151" s="564" t="s">
        <v>1166</v>
      </c>
      <c r="O151" s="577" t="s">
        <v>1166</v>
      </c>
      <c r="P151" s="577" t="s">
        <v>1166</v>
      </c>
      <c r="Q151" s="577" t="s">
        <v>1166</v>
      </c>
      <c r="R151" s="1604" t="str">
        <f t="shared" si="31"/>
        <v/>
      </c>
    </row>
    <row r="152" spans="1:18" x14ac:dyDescent="0.2">
      <c r="A152" s="261">
        <f t="shared" si="32"/>
        <v>1</v>
      </c>
      <c r="B152" s="422" t="str">
        <f>INDEX('LA List'!B:B,MATCH('EZ list'!D152,'LA List'!A:A,0))</f>
        <v>E1735</v>
      </c>
      <c r="C152" s="422" t="str">
        <f t="shared" si="28"/>
        <v>E1735EZ1</v>
      </c>
      <c r="D152" s="261" t="s">
        <v>86</v>
      </c>
      <c r="E152" s="261" t="s">
        <v>841</v>
      </c>
      <c r="F152" s="261">
        <v>2013</v>
      </c>
      <c r="G152" s="577">
        <v>396937</v>
      </c>
      <c r="H152" s="577">
        <v>396937</v>
      </c>
      <c r="I152" s="577">
        <v>408862</v>
      </c>
      <c r="J152" s="577">
        <f t="shared" si="34"/>
        <v>418232</v>
      </c>
      <c r="K152" s="577">
        <f t="shared" si="35"/>
        <v>425046</v>
      </c>
      <c r="L152" s="577">
        <f t="shared" si="36"/>
        <v>425046</v>
      </c>
      <c r="M152" s="577">
        <f t="shared" si="37"/>
        <v>425046</v>
      </c>
      <c r="N152" s="564">
        <v>588887</v>
      </c>
      <c r="O152" s="577">
        <v>588887</v>
      </c>
      <c r="P152" s="577" t="s">
        <v>1166</v>
      </c>
      <c r="Q152" s="577" t="s">
        <v>1166</v>
      </c>
      <c r="R152" s="1604">
        <f t="shared" si="31"/>
        <v>588887</v>
      </c>
    </row>
    <row r="153" spans="1:18" x14ac:dyDescent="0.2">
      <c r="A153" s="261">
        <f t="shared" si="32"/>
        <v>1</v>
      </c>
      <c r="B153" s="422" t="str">
        <f>INDEX('LA List'!B:B,MATCH('EZ list'!D153,'LA List'!A:A,0))</f>
        <v>E2236</v>
      </c>
      <c r="C153" s="422" t="str">
        <f t="shared" si="28"/>
        <v>E2236EZ1</v>
      </c>
      <c r="D153" s="261" t="s">
        <v>88</v>
      </c>
      <c r="E153" s="261" t="s">
        <v>1031</v>
      </c>
      <c r="F153" s="261">
        <v>2017</v>
      </c>
      <c r="G153" s="577">
        <v>0</v>
      </c>
      <c r="H153" s="577">
        <v>0</v>
      </c>
      <c r="I153" s="577">
        <v>0</v>
      </c>
      <c r="J153" s="577">
        <f t="shared" si="34"/>
        <v>0</v>
      </c>
      <c r="K153" s="577">
        <f t="shared" si="35"/>
        <v>0</v>
      </c>
      <c r="L153" s="577">
        <f t="shared" si="36"/>
        <v>0</v>
      </c>
      <c r="M153" s="577">
        <f t="shared" si="37"/>
        <v>0</v>
      </c>
      <c r="N153" s="564">
        <v>0</v>
      </c>
      <c r="O153" s="577">
        <v>0</v>
      </c>
      <c r="P153" s="577" t="s">
        <v>1166</v>
      </c>
      <c r="Q153" s="577" t="s">
        <v>1166</v>
      </c>
      <c r="R153" s="1604">
        <f t="shared" si="31"/>
        <v>0</v>
      </c>
    </row>
    <row r="154" spans="1:18" x14ac:dyDescent="0.2">
      <c r="A154" s="261">
        <f t="shared" si="32"/>
        <v>2</v>
      </c>
      <c r="B154" s="422" t="str">
        <f>INDEX('LA List'!B:B,MATCH('EZ list'!D154,'LA List'!A:A,0))</f>
        <v>E2236</v>
      </c>
      <c r="C154" s="422" t="str">
        <f t="shared" si="28"/>
        <v>E2236EZ2</v>
      </c>
      <c r="D154" s="261" t="s">
        <v>88</v>
      </c>
      <c r="E154" s="261" t="s">
        <v>1032</v>
      </c>
      <c r="F154" s="261">
        <v>2017</v>
      </c>
      <c r="G154" s="577">
        <v>0</v>
      </c>
      <c r="H154" s="577">
        <v>0</v>
      </c>
      <c r="I154" s="577">
        <v>0</v>
      </c>
      <c r="J154" s="577">
        <f t="shared" si="34"/>
        <v>0</v>
      </c>
      <c r="K154" s="577">
        <f t="shared" si="35"/>
        <v>0</v>
      </c>
      <c r="L154" s="577">
        <f t="shared" si="36"/>
        <v>0</v>
      </c>
      <c r="M154" s="577">
        <f t="shared" si="37"/>
        <v>0</v>
      </c>
      <c r="N154" s="564">
        <v>0</v>
      </c>
      <c r="O154" s="577">
        <v>0</v>
      </c>
      <c r="P154" s="577" t="s">
        <v>1166</v>
      </c>
      <c r="Q154" s="577" t="s">
        <v>1166</v>
      </c>
      <c r="R154" s="1604">
        <f t="shared" si="31"/>
        <v>0</v>
      </c>
    </row>
    <row r="155" spans="1:18" x14ac:dyDescent="0.2">
      <c r="A155" s="261">
        <f t="shared" si="32"/>
        <v>3</v>
      </c>
      <c r="B155" s="422" t="str">
        <f>INDEX('LA List'!B:B,MATCH('EZ list'!D155,'LA List'!A:A,0))</f>
        <v>E2236</v>
      </c>
      <c r="C155" s="422" t="str">
        <f t="shared" si="28"/>
        <v>E2236EZ3</v>
      </c>
      <c r="D155" s="261" t="s">
        <v>88</v>
      </c>
      <c r="E155" s="261" t="s">
        <v>1012</v>
      </c>
      <c r="F155" s="261">
        <v>2017</v>
      </c>
      <c r="G155" s="577">
        <v>0</v>
      </c>
      <c r="H155" s="577">
        <v>0</v>
      </c>
      <c r="I155" s="577">
        <v>0</v>
      </c>
      <c r="J155" s="577">
        <f t="shared" si="34"/>
        <v>0</v>
      </c>
      <c r="K155" s="577">
        <f t="shared" si="35"/>
        <v>0</v>
      </c>
      <c r="L155" s="577">
        <f t="shared" si="36"/>
        <v>0</v>
      </c>
      <c r="M155" s="577">
        <f t="shared" si="37"/>
        <v>0</v>
      </c>
      <c r="N155" s="564">
        <v>0</v>
      </c>
      <c r="O155" s="577">
        <v>0</v>
      </c>
      <c r="P155" s="577" t="s">
        <v>1166</v>
      </c>
      <c r="Q155" s="577" t="s">
        <v>1166</v>
      </c>
      <c r="R155" s="1604">
        <f t="shared" si="31"/>
        <v>0</v>
      </c>
    </row>
    <row r="156" spans="1:18" x14ac:dyDescent="0.2">
      <c r="A156" s="261">
        <f t="shared" si="32"/>
        <v>1</v>
      </c>
      <c r="B156" s="422" t="str">
        <f>INDEX('LA List'!B:B,MATCH('EZ list'!D156,'LA List'!A:A,0))</f>
        <v>E2633</v>
      </c>
      <c r="C156" s="422" t="str">
        <f t="shared" si="28"/>
        <v>E2633EZ1</v>
      </c>
      <c r="D156" s="261" t="s">
        <v>90</v>
      </c>
      <c r="E156" s="261" t="s">
        <v>844</v>
      </c>
      <c r="F156" s="261">
        <v>2013</v>
      </c>
      <c r="G156" s="577">
        <v>293707</v>
      </c>
      <c r="H156" s="577">
        <v>293707</v>
      </c>
      <c r="I156" s="577">
        <v>302531</v>
      </c>
      <c r="J156" s="577">
        <f t="shared" si="34"/>
        <v>309464</v>
      </c>
      <c r="K156" s="577">
        <f t="shared" si="35"/>
        <v>314506</v>
      </c>
      <c r="L156" s="577">
        <f t="shared" si="36"/>
        <v>314506</v>
      </c>
      <c r="M156" s="577">
        <f t="shared" si="37"/>
        <v>314506</v>
      </c>
      <c r="N156" s="564">
        <v>460446</v>
      </c>
      <c r="O156" s="577">
        <v>460446</v>
      </c>
      <c r="P156" s="577" t="s">
        <v>1166</v>
      </c>
      <c r="Q156" s="577" t="s">
        <v>1166</v>
      </c>
      <c r="R156" s="1604">
        <f t="shared" si="31"/>
        <v>460446</v>
      </c>
    </row>
    <row r="157" spans="1:18" x14ac:dyDescent="0.2">
      <c r="A157" s="261">
        <f t="shared" si="32"/>
        <v>2</v>
      </c>
      <c r="B157" s="422" t="str">
        <f>INDEX('LA List'!B:B,MATCH('EZ list'!D157,'LA List'!A:A,0))</f>
        <v>E2633</v>
      </c>
      <c r="C157" s="422" t="str">
        <f t="shared" si="28"/>
        <v>E2633EZ2</v>
      </c>
      <c r="D157" s="261" t="s">
        <v>90</v>
      </c>
      <c r="E157" s="261" t="s">
        <v>1033</v>
      </c>
      <c r="F157" s="261">
        <v>2017</v>
      </c>
      <c r="G157" s="577">
        <v>0</v>
      </c>
      <c r="H157" s="577">
        <v>0</v>
      </c>
      <c r="I157" s="577">
        <v>0</v>
      </c>
      <c r="J157" s="577">
        <f t="shared" si="34"/>
        <v>0</v>
      </c>
      <c r="K157" s="577">
        <f t="shared" si="35"/>
        <v>0</v>
      </c>
      <c r="L157" s="577">
        <f t="shared" si="36"/>
        <v>0</v>
      </c>
      <c r="M157" s="577">
        <f t="shared" si="37"/>
        <v>0</v>
      </c>
      <c r="N157" s="564">
        <v>0</v>
      </c>
      <c r="O157" s="577">
        <v>0</v>
      </c>
      <c r="P157" s="577" t="s">
        <v>1166</v>
      </c>
      <c r="Q157" s="577" t="s">
        <v>1166</v>
      </c>
      <c r="R157" s="1604">
        <f t="shared" si="31"/>
        <v>0</v>
      </c>
    </row>
    <row r="158" spans="1:18" x14ac:dyDescent="0.2">
      <c r="A158" s="261">
        <f t="shared" si="32"/>
        <v>3</v>
      </c>
      <c r="B158" s="422" t="str">
        <f>INDEX('LA List'!B:B,MATCH('EZ list'!D158,'LA List'!A:A,0))</f>
        <v>E2633</v>
      </c>
      <c r="C158" s="422" t="str">
        <f t="shared" si="28"/>
        <v>E2633EZ3</v>
      </c>
      <c r="D158" s="261" t="s">
        <v>90</v>
      </c>
      <c r="E158" s="261" t="s">
        <v>1034</v>
      </c>
      <c r="F158" s="261">
        <v>2017</v>
      </c>
      <c r="G158" s="577">
        <v>6535</v>
      </c>
      <c r="H158" s="577">
        <v>6535</v>
      </c>
      <c r="I158" s="577">
        <v>6731</v>
      </c>
      <c r="J158" s="577">
        <f t="shared" si="34"/>
        <v>6885</v>
      </c>
      <c r="K158" s="577">
        <f t="shared" si="35"/>
        <v>6997</v>
      </c>
      <c r="L158" s="577">
        <f t="shared" si="36"/>
        <v>6997</v>
      </c>
      <c r="M158" s="577">
        <f t="shared" si="37"/>
        <v>6997</v>
      </c>
      <c r="N158" s="564">
        <v>0</v>
      </c>
      <c r="O158" s="577">
        <v>0</v>
      </c>
      <c r="P158" s="577" t="s">
        <v>1166</v>
      </c>
      <c r="Q158" s="577" t="s">
        <v>1166</v>
      </c>
      <c r="R158" s="1604">
        <f t="shared" si="31"/>
        <v>0</v>
      </c>
    </row>
    <row r="159" spans="1:18" x14ac:dyDescent="0.2">
      <c r="A159" s="261">
        <f t="shared" si="32"/>
        <v>4</v>
      </c>
      <c r="B159" s="422" t="str">
        <f>INDEX('LA List'!B:B,MATCH('EZ list'!D159,'LA List'!A:A,0))</f>
        <v>E2633</v>
      </c>
      <c r="C159" s="422" t="str">
        <f t="shared" si="28"/>
        <v>E2633EZ4</v>
      </c>
      <c r="D159" s="261" t="s">
        <v>90</v>
      </c>
      <c r="E159" s="261" t="s">
        <v>1035</v>
      </c>
      <c r="F159" s="261">
        <v>2017</v>
      </c>
      <c r="G159" s="577">
        <v>2709</v>
      </c>
      <c r="H159" s="577">
        <v>2709</v>
      </c>
      <c r="I159" s="577">
        <v>2790</v>
      </c>
      <c r="J159" s="577">
        <f t="shared" si="34"/>
        <v>2854</v>
      </c>
      <c r="K159" s="577">
        <f t="shared" si="35"/>
        <v>2901</v>
      </c>
      <c r="L159" s="577">
        <f t="shared" si="36"/>
        <v>2901</v>
      </c>
      <c r="M159" s="577">
        <f t="shared" si="37"/>
        <v>2901</v>
      </c>
      <c r="N159" s="564">
        <v>0</v>
      </c>
      <c r="O159" s="577">
        <v>0</v>
      </c>
      <c r="P159" s="577" t="s">
        <v>1166</v>
      </c>
      <c r="Q159" s="577" t="s">
        <v>1166</v>
      </c>
      <c r="R159" s="1604">
        <f t="shared" si="31"/>
        <v>0</v>
      </c>
    </row>
    <row r="160" spans="1:18" x14ac:dyDescent="0.2">
      <c r="A160" s="261">
        <f t="shared" si="32"/>
        <v>5</v>
      </c>
      <c r="B160" s="422" t="str">
        <f>INDEX('LA List'!B:B,MATCH('EZ list'!D160,'LA List'!A:A,0))</f>
        <v>E2633</v>
      </c>
      <c r="C160" s="422" t="str">
        <f t="shared" si="28"/>
        <v>E2633EZ5</v>
      </c>
      <c r="D160" s="261" t="s">
        <v>90</v>
      </c>
      <c r="E160" s="261" t="s">
        <v>1036</v>
      </c>
      <c r="F160" s="261">
        <v>2017</v>
      </c>
      <c r="G160" s="577">
        <v>2115</v>
      </c>
      <c r="H160" s="577">
        <v>2115</v>
      </c>
      <c r="I160" s="577">
        <v>2179</v>
      </c>
      <c r="J160" s="577">
        <f t="shared" si="34"/>
        <v>2229</v>
      </c>
      <c r="K160" s="577">
        <f t="shared" si="35"/>
        <v>2265</v>
      </c>
      <c r="L160" s="577">
        <f t="shared" si="36"/>
        <v>2265</v>
      </c>
      <c r="M160" s="577">
        <f t="shared" si="37"/>
        <v>2265</v>
      </c>
      <c r="N160" s="564">
        <v>0</v>
      </c>
      <c r="O160" s="577">
        <v>0</v>
      </c>
      <c r="P160" s="577" t="s">
        <v>1166</v>
      </c>
      <c r="Q160" s="577" t="s">
        <v>1166</v>
      </c>
      <c r="R160" s="1604">
        <f t="shared" si="31"/>
        <v>0</v>
      </c>
    </row>
    <row r="161" spans="1:18" x14ac:dyDescent="0.2">
      <c r="A161" s="261">
        <f t="shared" si="32"/>
        <v>1</v>
      </c>
      <c r="B161" s="422" t="str">
        <f>INDEX('LA List'!B:B,MATCH('EZ list'!D161,'LA List'!A:A,0))</f>
        <v>E5012</v>
      </c>
      <c r="C161" s="422" t="str">
        <f t="shared" si="28"/>
        <v>E5012EZ1</v>
      </c>
      <c r="D161" s="261" t="s">
        <v>92</v>
      </c>
      <c r="E161" s="261" t="s">
        <v>1166</v>
      </c>
      <c r="F161" s="261" t="s">
        <v>1166</v>
      </c>
      <c r="G161" s="577" t="s">
        <v>1166</v>
      </c>
      <c r="H161" s="577" t="s">
        <v>1166</v>
      </c>
      <c r="I161" s="577" t="s">
        <v>1166</v>
      </c>
      <c r="J161" s="577" t="str">
        <f t="shared" si="34"/>
        <v/>
      </c>
      <c r="K161" s="577" t="str">
        <f t="shared" si="35"/>
        <v/>
      </c>
      <c r="L161" s="577" t="str">
        <f t="shared" si="36"/>
        <v/>
      </c>
      <c r="M161" s="577" t="str">
        <f t="shared" si="37"/>
        <v/>
      </c>
      <c r="N161" s="564" t="s">
        <v>1166</v>
      </c>
      <c r="O161" s="577" t="s">
        <v>1166</v>
      </c>
      <c r="P161" s="577" t="s">
        <v>1166</v>
      </c>
      <c r="Q161" s="577" t="s">
        <v>1166</v>
      </c>
      <c r="R161" s="1604" t="str">
        <f t="shared" si="31"/>
        <v/>
      </c>
    </row>
    <row r="162" spans="1:18" x14ac:dyDescent="0.2">
      <c r="A162" s="261">
        <f t="shared" si="32"/>
        <v>1</v>
      </c>
      <c r="B162" s="422" t="str">
        <f>INDEX('LA List'!B:B,MATCH('EZ list'!D162,'LA List'!A:A,0))</f>
        <v>E3633</v>
      </c>
      <c r="C162" s="422" t="str">
        <f t="shared" si="28"/>
        <v>E3633EZ1</v>
      </c>
      <c r="D162" s="261" t="s">
        <v>94</v>
      </c>
      <c r="E162" s="261" t="s">
        <v>1166</v>
      </c>
      <c r="F162" s="261" t="s">
        <v>1166</v>
      </c>
      <c r="G162" s="577" t="s">
        <v>1166</v>
      </c>
      <c r="H162" s="577" t="s">
        <v>1166</v>
      </c>
      <c r="I162" s="577" t="s">
        <v>1166</v>
      </c>
      <c r="J162" s="577" t="str">
        <f t="shared" si="34"/>
        <v/>
      </c>
      <c r="K162" s="577" t="str">
        <f t="shared" si="35"/>
        <v/>
      </c>
      <c r="L162" s="577" t="str">
        <f t="shared" si="36"/>
        <v/>
      </c>
      <c r="M162" s="577" t="str">
        <f t="shared" si="37"/>
        <v/>
      </c>
      <c r="N162" s="564" t="s">
        <v>1166</v>
      </c>
      <c r="O162" s="577" t="s">
        <v>1166</v>
      </c>
      <c r="P162" s="577" t="s">
        <v>1166</v>
      </c>
      <c r="Q162" s="577" t="s">
        <v>1166</v>
      </c>
      <c r="R162" s="1604" t="str">
        <f t="shared" si="31"/>
        <v/>
      </c>
    </row>
    <row r="163" spans="1:18" x14ac:dyDescent="0.2">
      <c r="A163" s="261">
        <f t="shared" si="32"/>
        <v>1</v>
      </c>
      <c r="B163" s="422" t="str">
        <f>INDEX('LA List'!B:B,MATCH('EZ list'!D163,'LA List'!A:A,0))</f>
        <v>E5013</v>
      </c>
      <c r="C163" s="422" t="str">
        <f t="shared" si="28"/>
        <v>E5013EZ1</v>
      </c>
      <c r="D163" s="261" t="s">
        <v>96</v>
      </c>
      <c r="E163" s="261" t="s">
        <v>1166</v>
      </c>
      <c r="F163" s="261" t="s">
        <v>1166</v>
      </c>
      <c r="G163" s="577" t="s">
        <v>1166</v>
      </c>
      <c r="H163" s="577" t="s">
        <v>1166</v>
      </c>
      <c r="I163" s="577" t="s">
        <v>1166</v>
      </c>
      <c r="J163" s="577" t="str">
        <f t="shared" si="34"/>
        <v/>
      </c>
      <c r="K163" s="577" t="str">
        <f t="shared" si="35"/>
        <v/>
      </c>
      <c r="L163" s="577" t="str">
        <f t="shared" si="36"/>
        <v/>
      </c>
      <c r="M163" s="577" t="str">
        <f t="shared" si="37"/>
        <v/>
      </c>
      <c r="N163" s="564" t="s">
        <v>1166</v>
      </c>
      <c r="O163" s="577" t="s">
        <v>1166</v>
      </c>
      <c r="P163" s="577" t="s">
        <v>1166</v>
      </c>
      <c r="Q163" s="577" t="s">
        <v>1166</v>
      </c>
      <c r="R163" s="1604" t="str">
        <f t="shared" si="31"/>
        <v/>
      </c>
    </row>
    <row r="164" spans="1:18" x14ac:dyDescent="0.2">
      <c r="A164" s="261">
        <f t="shared" si="32"/>
        <v>1</v>
      </c>
      <c r="B164" s="422" t="str">
        <f>INDEX('LA List'!B:B,MATCH('EZ list'!D164,'LA List'!A:A,0))</f>
        <v>E0601</v>
      </c>
      <c r="C164" s="422" t="str">
        <f t="shared" si="28"/>
        <v>E0601EZ1</v>
      </c>
      <c r="D164" s="261" t="s">
        <v>98</v>
      </c>
      <c r="E164" s="261" t="s">
        <v>845</v>
      </c>
      <c r="F164" s="261">
        <v>2013</v>
      </c>
      <c r="G164" s="577">
        <v>32282</v>
      </c>
      <c r="H164" s="577">
        <v>32282</v>
      </c>
      <c r="I164" s="577">
        <v>33252</v>
      </c>
      <c r="J164" s="577">
        <f t="shared" si="34"/>
        <v>34014</v>
      </c>
      <c r="K164" s="577">
        <f t="shared" si="35"/>
        <v>34568</v>
      </c>
      <c r="L164" s="577">
        <f t="shared" si="36"/>
        <v>34568</v>
      </c>
      <c r="M164" s="577">
        <f t="shared" si="37"/>
        <v>34568</v>
      </c>
      <c r="N164" s="564">
        <v>34568</v>
      </c>
      <c r="O164" s="577">
        <v>34568</v>
      </c>
      <c r="P164" s="577" t="s">
        <v>1166</v>
      </c>
      <c r="Q164" s="577" t="s">
        <v>1166</v>
      </c>
      <c r="R164" s="1604">
        <f t="shared" si="31"/>
        <v>34568</v>
      </c>
    </row>
    <row r="165" spans="1:18" x14ac:dyDescent="0.2">
      <c r="A165" s="261">
        <f t="shared" si="32"/>
        <v>2</v>
      </c>
      <c r="B165" s="422" t="str">
        <f>INDEX('LA List'!B:B,MATCH('EZ list'!D165,'LA List'!A:A,0))</f>
        <v>E0601</v>
      </c>
      <c r="C165" s="422" t="str">
        <f t="shared" si="28"/>
        <v>E0601EZ2</v>
      </c>
      <c r="D165" s="261" t="s">
        <v>98</v>
      </c>
      <c r="E165" s="509" t="s">
        <v>5818</v>
      </c>
      <c r="F165" s="509">
        <v>2023</v>
      </c>
      <c r="G165" s="577">
        <v>0</v>
      </c>
      <c r="H165" s="577">
        <v>0</v>
      </c>
      <c r="I165" s="577">
        <v>0</v>
      </c>
      <c r="J165" s="577">
        <v>0</v>
      </c>
      <c r="K165" s="577">
        <v>0</v>
      </c>
      <c r="L165" s="577">
        <v>0</v>
      </c>
      <c r="M165" s="577">
        <v>0</v>
      </c>
      <c r="N165" s="564">
        <v>0</v>
      </c>
      <c r="O165" s="577">
        <v>0</v>
      </c>
      <c r="P165" s="577" t="s">
        <v>1166</v>
      </c>
      <c r="Q165" s="577" t="s">
        <v>1166</v>
      </c>
      <c r="R165" s="1604">
        <f t="shared" si="31"/>
        <v>0</v>
      </c>
    </row>
    <row r="166" spans="1:18" x14ac:dyDescent="0.2">
      <c r="A166" s="261">
        <f t="shared" si="32"/>
        <v>1</v>
      </c>
      <c r="B166" s="422" t="str">
        <f>INDEX('LA List'!B:B,MATCH('EZ list'!D166,'LA List'!A:A,0))</f>
        <v>E5014</v>
      </c>
      <c r="C166" s="422" t="str">
        <f t="shared" ref="C166" si="38">CONCATENATE(B166,"EZ",A166)</f>
        <v>E5014EZ1</v>
      </c>
      <c r="D166" s="261" t="s">
        <v>100</v>
      </c>
      <c r="E166" s="261" t="s">
        <v>1166</v>
      </c>
      <c r="F166" s="261" t="s">
        <v>1166</v>
      </c>
      <c r="G166" s="577" t="s">
        <v>1166</v>
      </c>
      <c r="H166" s="577" t="s">
        <v>1166</v>
      </c>
      <c r="I166" s="577" t="s">
        <v>1166</v>
      </c>
      <c r="J166" s="577" t="str">
        <f t="shared" ref="J166:J228" si="39">IF(I166="","",ROUND(I166*$J$1,0))</f>
        <v/>
      </c>
      <c r="K166" s="577" t="str">
        <f t="shared" ref="K166:K228" si="40">IF(J166="","",ROUND(J166*$K$1,0))</f>
        <v/>
      </c>
      <c r="L166" s="577" t="str">
        <f t="shared" ref="L166:L228" si="41">IF(K166="","",ROUND(K166*$L$1,0))</f>
        <v/>
      </c>
      <c r="M166" s="577" t="str">
        <f t="shared" ref="M166:M228" si="42">IF(L166="","",ROUND(L166*$M$1,0))</f>
        <v/>
      </c>
      <c r="N166" s="564" t="s">
        <v>1166</v>
      </c>
      <c r="O166" s="577" t="s">
        <v>1166</v>
      </c>
      <c r="P166" s="577" t="s">
        <v>1166</v>
      </c>
      <c r="Q166" s="577" t="s">
        <v>1166</v>
      </c>
      <c r="R166" s="1604" t="str">
        <f t="shared" si="31"/>
        <v/>
      </c>
    </row>
    <row r="167" spans="1:18" x14ac:dyDescent="0.2">
      <c r="A167" s="261">
        <f t="shared" si="32"/>
        <v>1</v>
      </c>
      <c r="B167" s="422" t="str">
        <f>INDEX('LA List'!B:B,MATCH('EZ list'!D167,'LA List'!A:A,0))</f>
        <v>E2433</v>
      </c>
      <c r="C167" s="422" t="str">
        <f t="shared" si="28"/>
        <v>E2433EZ1</v>
      </c>
      <c r="D167" s="261" t="s">
        <v>102</v>
      </c>
      <c r="E167" s="261" t="s">
        <v>1166</v>
      </c>
      <c r="F167" s="261" t="s">
        <v>1166</v>
      </c>
      <c r="G167" s="577" t="s">
        <v>1166</v>
      </c>
      <c r="H167" s="577" t="s">
        <v>1166</v>
      </c>
      <c r="I167" s="577" t="s">
        <v>1166</v>
      </c>
      <c r="J167" s="577" t="str">
        <f t="shared" si="39"/>
        <v/>
      </c>
      <c r="K167" s="577" t="str">
        <f t="shared" si="40"/>
        <v/>
      </c>
      <c r="L167" s="577" t="str">
        <f t="shared" si="41"/>
        <v/>
      </c>
      <c r="M167" s="577" t="str">
        <f t="shared" si="42"/>
        <v/>
      </c>
      <c r="N167" s="564" t="s">
        <v>1166</v>
      </c>
      <c r="O167" s="577" t="s">
        <v>1166</v>
      </c>
      <c r="P167" s="577" t="s">
        <v>1166</v>
      </c>
      <c r="Q167" s="577" t="s">
        <v>1166</v>
      </c>
      <c r="R167" s="1604" t="str">
        <f t="shared" si="31"/>
        <v/>
      </c>
    </row>
    <row r="168" spans="1:18" x14ac:dyDescent="0.2">
      <c r="A168" s="261">
        <f t="shared" si="32"/>
        <v>1</v>
      </c>
      <c r="B168" s="422" t="str">
        <f>INDEX('LA List'!B:B,MATCH('EZ list'!D168,'LA List'!A:A,0))</f>
        <v>E5038</v>
      </c>
      <c r="C168" s="422" t="str">
        <f t="shared" si="28"/>
        <v>E5038EZ1</v>
      </c>
      <c r="D168" s="261" t="s">
        <v>104</v>
      </c>
      <c r="E168" s="261" t="s">
        <v>1166</v>
      </c>
      <c r="F168" s="261" t="s">
        <v>1166</v>
      </c>
      <c r="G168" s="577" t="s">
        <v>1166</v>
      </c>
      <c r="H168" s="577" t="s">
        <v>1166</v>
      </c>
      <c r="I168" s="577" t="s">
        <v>1166</v>
      </c>
      <c r="J168" s="577" t="str">
        <f t="shared" si="39"/>
        <v/>
      </c>
      <c r="K168" s="577" t="str">
        <f t="shared" si="40"/>
        <v/>
      </c>
      <c r="L168" s="577" t="str">
        <f t="shared" si="41"/>
        <v/>
      </c>
      <c r="M168" s="577" t="str">
        <f t="shared" si="42"/>
        <v/>
      </c>
      <c r="N168" s="564" t="s">
        <v>1166</v>
      </c>
      <c r="O168" s="577" t="s">
        <v>1166</v>
      </c>
      <c r="P168" s="577" t="s">
        <v>1166</v>
      </c>
      <c r="Q168" s="577" t="s">
        <v>1166</v>
      </c>
      <c r="R168" s="1604" t="str">
        <f t="shared" si="31"/>
        <v/>
      </c>
    </row>
    <row r="169" spans="1:18" x14ac:dyDescent="0.2">
      <c r="A169" s="261">
        <f t="shared" si="32"/>
        <v>1</v>
      </c>
      <c r="B169" s="422" t="str">
        <f>INDEX('LA List'!B:B,MATCH('EZ list'!D169,'LA List'!A:A,0))</f>
        <v>E1538</v>
      </c>
      <c r="C169" s="422" t="str">
        <f t="shared" si="28"/>
        <v>E1538EZ1</v>
      </c>
      <c r="D169" s="261" t="s">
        <v>106</v>
      </c>
      <c r="E169" s="261" t="s">
        <v>106</v>
      </c>
      <c r="F169" s="261">
        <v>2013</v>
      </c>
      <c r="G169" s="577">
        <v>3169844</v>
      </c>
      <c r="H169" s="577">
        <v>3169844</v>
      </c>
      <c r="I169" s="577">
        <v>3265075</v>
      </c>
      <c r="J169" s="577">
        <f t="shared" si="39"/>
        <v>3339900</v>
      </c>
      <c r="K169" s="577">
        <f t="shared" si="40"/>
        <v>3394318</v>
      </c>
      <c r="L169" s="577">
        <f t="shared" si="41"/>
        <v>3394318</v>
      </c>
      <c r="M169" s="577">
        <f t="shared" si="42"/>
        <v>3394318</v>
      </c>
      <c r="N169" s="564">
        <v>4349466</v>
      </c>
      <c r="O169" s="577">
        <v>4349466</v>
      </c>
      <c r="P169" s="577" t="s">
        <v>1166</v>
      </c>
      <c r="Q169" s="577" t="s">
        <v>1166</v>
      </c>
      <c r="R169" s="1604">
        <f t="shared" si="31"/>
        <v>4349466</v>
      </c>
    </row>
    <row r="170" spans="1:18" x14ac:dyDescent="0.2">
      <c r="A170" s="261">
        <f t="shared" si="32"/>
        <v>1</v>
      </c>
      <c r="B170" s="422" t="str">
        <f>INDEX('LA List'!B:B,MATCH('EZ list'!D170,'LA List'!A:A,0))</f>
        <v>E5039</v>
      </c>
      <c r="C170" s="422" t="str">
        <f t="shared" si="28"/>
        <v>E5039EZ1</v>
      </c>
      <c r="D170" s="261" t="s">
        <v>108</v>
      </c>
      <c r="E170" s="261" t="s">
        <v>1166</v>
      </c>
      <c r="F170" s="261" t="s">
        <v>1166</v>
      </c>
      <c r="G170" s="577" t="s">
        <v>1166</v>
      </c>
      <c r="H170" s="577" t="s">
        <v>1166</v>
      </c>
      <c r="I170" s="577" t="s">
        <v>1166</v>
      </c>
      <c r="J170" s="577" t="str">
        <f t="shared" si="39"/>
        <v/>
      </c>
      <c r="K170" s="577" t="str">
        <f t="shared" si="40"/>
        <v/>
      </c>
      <c r="L170" s="577" t="str">
        <f t="shared" si="41"/>
        <v/>
      </c>
      <c r="M170" s="577" t="str">
        <f t="shared" si="42"/>
        <v/>
      </c>
      <c r="N170" s="564" t="s">
        <v>1166</v>
      </c>
      <c r="O170" s="577" t="s">
        <v>1166</v>
      </c>
      <c r="P170" s="577" t="s">
        <v>1166</v>
      </c>
      <c r="Q170" s="577" t="s">
        <v>1166</v>
      </c>
      <c r="R170" s="1604" t="str">
        <f t="shared" si="31"/>
        <v/>
      </c>
    </row>
    <row r="171" spans="1:18" x14ac:dyDescent="0.2">
      <c r="A171" s="261">
        <f t="shared" si="32"/>
        <v>1</v>
      </c>
      <c r="B171" s="422" t="str">
        <f>INDEX('LA List'!B:B,MATCH('EZ list'!D171,'LA List'!A:A,0))</f>
        <v>E1736</v>
      </c>
      <c r="C171" s="422" t="str">
        <f t="shared" si="28"/>
        <v>E1736EZ1</v>
      </c>
      <c r="D171" s="261" t="s">
        <v>110</v>
      </c>
      <c r="E171" s="261" t="s">
        <v>1166</v>
      </c>
      <c r="F171" s="261" t="s">
        <v>1166</v>
      </c>
      <c r="G171" s="577" t="s">
        <v>1166</v>
      </c>
      <c r="H171" s="577" t="s">
        <v>1166</v>
      </c>
      <c r="I171" s="577" t="s">
        <v>1166</v>
      </c>
      <c r="J171" s="577" t="str">
        <f t="shared" si="39"/>
        <v/>
      </c>
      <c r="K171" s="577" t="str">
        <f t="shared" si="40"/>
        <v/>
      </c>
      <c r="L171" s="577" t="str">
        <f t="shared" si="41"/>
        <v/>
      </c>
      <c r="M171" s="577" t="str">
        <f t="shared" si="42"/>
        <v/>
      </c>
      <c r="N171" s="564" t="s">
        <v>1166</v>
      </c>
      <c r="O171" s="577" t="s">
        <v>1166</v>
      </c>
      <c r="P171" s="577" t="s">
        <v>1166</v>
      </c>
      <c r="Q171" s="577" t="s">
        <v>1166</v>
      </c>
      <c r="R171" s="1604" t="str">
        <f t="shared" si="31"/>
        <v/>
      </c>
    </row>
    <row r="172" spans="1:18" x14ac:dyDescent="0.2">
      <c r="A172" s="261">
        <f t="shared" si="32"/>
        <v>1</v>
      </c>
      <c r="B172" s="422" t="str">
        <f>INDEX('LA List'!B:B,MATCH('EZ list'!D172,'LA List'!A:A,0))</f>
        <v>E0701</v>
      </c>
      <c r="C172" s="422" t="str">
        <f t="shared" si="28"/>
        <v>E0701EZ1</v>
      </c>
      <c r="D172" s="261" t="s">
        <v>112</v>
      </c>
      <c r="E172" s="261" t="s">
        <v>846</v>
      </c>
      <c r="F172" s="261">
        <v>2013</v>
      </c>
      <c r="G172" s="577">
        <v>0</v>
      </c>
      <c r="H172" s="577">
        <v>0</v>
      </c>
      <c r="I172" s="577">
        <v>0</v>
      </c>
      <c r="J172" s="577">
        <f t="shared" si="39"/>
        <v>0</v>
      </c>
      <c r="K172" s="577">
        <f t="shared" si="40"/>
        <v>0</v>
      </c>
      <c r="L172" s="577">
        <f t="shared" si="41"/>
        <v>0</v>
      </c>
      <c r="M172" s="577">
        <f t="shared" si="42"/>
        <v>0</v>
      </c>
      <c r="N172" s="564">
        <v>0</v>
      </c>
      <c r="O172" s="577">
        <v>0</v>
      </c>
      <c r="P172" s="577" t="s">
        <v>1166</v>
      </c>
      <c r="Q172" s="577" t="s">
        <v>1166</v>
      </c>
      <c r="R172" s="1604">
        <f t="shared" si="31"/>
        <v>0</v>
      </c>
    </row>
    <row r="173" spans="1:18" x14ac:dyDescent="0.2">
      <c r="A173" s="261">
        <f t="shared" si="32"/>
        <v>1</v>
      </c>
      <c r="B173" s="422" t="str">
        <f>INDEX('LA List'!B:B,MATCH('EZ list'!D173,'LA List'!A:A,0))</f>
        <v>E1433</v>
      </c>
      <c r="C173" s="422" t="str">
        <f t="shared" si="28"/>
        <v>E1433EZ1</v>
      </c>
      <c r="D173" s="261" t="s">
        <v>114</v>
      </c>
      <c r="E173" s="261" t="s">
        <v>1166</v>
      </c>
      <c r="F173" s="261" t="s">
        <v>1166</v>
      </c>
      <c r="G173" s="577" t="s">
        <v>1166</v>
      </c>
      <c r="H173" s="577" t="s">
        <v>1166</v>
      </c>
      <c r="I173" s="577" t="s">
        <v>1166</v>
      </c>
      <c r="J173" s="577" t="str">
        <f t="shared" si="39"/>
        <v/>
      </c>
      <c r="K173" s="577" t="str">
        <f t="shared" si="40"/>
        <v/>
      </c>
      <c r="L173" s="577" t="str">
        <f t="shared" si="41"/>
        <v/>
      </c>
      <c r="M173" s="577" t="str">
        <f t="shared" si="42"/>
        <v/>
      </c>
      <c r="N173" s="564" t="s">
        <v>1166</v>
      </c>
      <c r="O173" s="577" t="s">
        <v>1166</v>
      </c>
      <c r="P173" s="577" t="s">
        <v>1166</v>
      </c>
      <c r="Q173" s="577" t="s">
        <v>1166</v>
      </c>
      <c r="R173" s="1604" t="str">
        <f t="shared" si="31"/>
        <v/>
      </c>
    </row>
    <row r="174" spans="1:18" x14ac:dyDescent="0.2">
      <c r="A174" s="261">
        <f t="shared" si="32"/>
        <v>1</v>
      </c>
      <c r="B174" s="422" t="str">
        <f>INDEX('LA List'!B:B,MATCH('EZ list'!D174,'LA List'!A:A,0))</f>
        <v>E1737</v>
      </c>
      <c r="C174" s="422" t="str">
        <f t="shared" si="28"/>
        <v>E1737EZ1</v>
      </c>
      <c r="D174" s="261" t="s">
        <v>116</v>
      </c>
      <c r="E174" s="509" t="s">
        <v>5819</v>
      </c>
      <c r="F174" s="509">
        <v>2023</v>
      </c>
      <c r="G174" s="577">
        <v>0</v>
      </c>
      <c r="H174" s="577">
        <v>0</v>
      </c>
      <c r="I174" s="577">
        <v>0</v>
      </c>
      <c r="J174" s="577">
        <f t="shared" si="39"/>
        <v>0</v>
      </c>
      <c r="K174" s="577">
        <f t="shared" si="40"/>
        <v>0</v>
      </c>
      <c r="L174" s="577">
        <f t="shared" si="41"/>
        <v>0</v>
      </c>
      <c r="M174" s="577">
        <f t="shared" si="42"/>
        <v>0</v>
      </c>
      <c r="N174" s="564">
        <v>2396500</v>
      </c>
      <c r="O174" s="577">
        <v>2396500</v>
      </c>
      <c r="P174" s="577" t="s">
        <v>1166</v>
      </c>
      <c r="Q174" s="577" t="s">
        <v>1166</v>
      </c>
      <c r="R174" s="1604">
        <f t="shared" si="31"/>
        <v>2396500</v>
      </c>
    </row>
    <row r="175" spans="1:18" x14ac:dyDescent="0.2">
      <c r="A175" s="261">
        <f t="shared" si="32"/>
        <v>1</v>
      </c>
      <c r="B175" s="422" t="str">
        <f>INDEX('LA List'!B:B,MATCH('EZ list'!D175,'LA List'!A:A,0))</f>
        <v>E5040</v>
      </c>
      <c r="C175" s="422" t="str">
        <f t="shared" si="28"/>
        <v>E5040EZ1</v>
      </c>
      <c r="D175" s="261" t="s">
        <v>118</v>
      </c>
      <c r="E175" s="261" t="s">
        <v>1166</v>
      </c>
      <c r="F175" s="261" t="s">
        <v>1166</v>
      </c>
      <c r="G175" s="577" t="s">
        <v>1166</v>
      </c>
      <c r="H175" s="577" t="s">
        <v>1166</v>
      </c>
      <c r="I175" s="577" t="s">
        <v>1166</v>
      </c>
      <c r="J175" s="577" t="str">
        <f t="shared" si="39"/>
        <v/>
      </c>
      <c r="K175" s="577" t="str">
        <f t="shared" si="40"/>
        <v/>
      </c>
      <c r="L175" s="577" t="str">
        <f t="shared" si="41"/>
        <v/>
      </c>
      <c r="M175" s="577" t="str">
        <f t="shared" si="42"/>
        <v/>
      </c>
      <c r="N175" s="564" t="s">
        <v>1166</v>
      </c>
      <c r="O175" s="577" t="s">
        <v>1166</v>
      </c>
      <c r="P175" s="577" t="s">
        <v>1166</v>
      </c>
      <c r="Q175" s="577" t="s">
        <v>1166</v>
      </c>
      <c r="R175" s="1604" t="str">
        <f t="shared" si="31"/>
        <v/>
      </c>
    </row>
    <row r="176" spans="1:18" x14ac:dyDescent="0.2">
      <c r="A176" s="261">
        <f t="shared" si="32"/>
        <v>1</v>
      </c>
      <c r="B176" s="422" t="str">
        <f>INDEX('LA List'!B:B,MATCH('EZ list'!D176,'LA List'!A:A,0))</f>
        <v>E1801</v>
      </c>
      <c r="C176" s="422" t="str">
        <f t="shared" si="28"/>
        <v>E1801EZ1</v>
      </c>
      <c r="D176" s="261" t="s">
        <v>120</v>
      </c>
      <c r="E176" s="261" t="s">
        <v>847</v>
      </c>
      <c r="F176" s="261">
        <v>2013</v>
      </c>
      <c r="G176" s="577">
        <v>237033</v>
      </c>
      <c r="H176" s="577">
        <v>237033</v>
      </c>
      <c r="I176" s="577">
        <v>244154</v>
      </c>
      <c r="J176" s="577">
        <f t="shared" si="39"/>
        <v>249749</v>
      </c>
      <c r="K176" s="577">
        <f t="shared" si="40"/>
        <v>253818</v>
      </c>
      <c r="L176" s="577">
        <f t="shared" si="41"/>
        <v>253818</v>
      </c>
      <c r="M176" s="577">
        <f t="shared" si="42"/>
        <v>253818</v>
      </c>
      <c r="N176" s="564">
        <v>300000</v>
      </c>
      <c r="O176" s="577">
        <v>300000</v>
      </c>
      <c r="P176" s="577" t="s">
        <v>1166</v>
      </c>
      <c r="Q176" s="577" t="s">
        <v>1166</v>
      </c>
      <c r="R176" s="1604">
        <f t="shared" si="31"/>
        <v>300000</v>
      </c>
    </row>
    <row r="177" spans="1:18" x14ac:dyDescent="0.2">
      <c r="A177" s="261">
        <f t="shared" si="32"/>
        <v>1</v>
      </c>
      <c r="B177" s="422" t="str">
        <f>INDEX('LA List'!B:B,MATCH('EZ list'!D177,'LA List'!A:A,0))</f>
        <v>E1934</v>
      </c>
      <c r="C177" s="422" t="str">
        <f t="shared" si="28"/>
        <v>E1934EZ1</v>
      </c>
      <c r="D177" s="261" t="s">
        <v>122</v>
      </c>
      <c r="E177" s="261" t="s">
        <v>1166</v>
      </c>
      <c r="F177" s="261" t="s">
        <v>1166</v>
      </c>
      <c r="G177" s="577" t="s">
        <v>1166</v>
      </c>
      <c r="H177" s="577" t="s">
        <v>1166</v>
      </c>
      <c r="I177" s="577" t="s">
        <v>1166</v>
      </c>
      <c r="J177" s="577" t="str">
        <f t="shared" si="39"/>
        <v/>
      </c>
      <c r="K177" s="577" t="str">
        <f t="shared" si="40"/>
        <v/>
      </c>
      <c r="L177" s="577" t="str">
        <f t="shared" si="41"/>
        <v/>
      </c>
      <c r="M177" s="577" t="str">
        <f t="shared" si="42"/>
        <v/>
      </c>
      <c r="N177" s="564" t="s">
        <v>1166</v>
      </c>
      <c r="O177" s="577" t="s">
        <v>1166</v>
      </c>
      <c r="P177" s="577" t="s">
        <v>1166</v>
      </c>
      <c r="Q177" s="577" t="s">
        <v>1166</v>
      </c>
      <c r="R177" s="1604" t="str">
        <f t="shared" si="31"/>
        <v/>
      </c>
    </row>
    <row r="178" spans="1:18" x14ac:dyDescent="0.2">
      <c r="A178" s="261">
        <f t="shared" si="32"/>
        <v>1</v>
      </c>
      <c r="B178" s="422" t="str">
        <f>INDEX('LA List'!B:B,MATCH('EZ list'!D178,'LA List'!A:A,0))</f>
        <v>E1037</v>
      </c>
      <c r="C178" s="422" t="str">
        <f t="shared" si="28"/>
        <v>E1037EZ1</v>
      </c>
      <c r="D178" s="261" t="s">
        <v>124</v>
      </c>
      <c r="E178" s="261" t="s">
        <v>1166</v>
      </c>
      <c r="F178" s="261" t="s">
        <v>1166</v>
      </c>
      <c r="G178" s="577" t="s">
        <v>1166</v>
      </c>
      <c r="H178" s="577" t="s">
        <v>1166</v>
      </c>
      <c r="I178" s="577" t="s">
        <v>1166</v>
      </c>
      <c r="J178" s="577" t="str">
        <f t="shared" si="39"/>
        <v/>
      </c>
      <c r="K178" s="577" t="str">
        <f t="shared" si="40"/>
        <v/>
      </c>
      <c r="L178" s="577" t="str">
        <f t="shared" si="41"/>
        <v/>
      </c>
      <c r="M178" s="577" t="str">
        <f t="shared" si="42"/>
        <v/>
      </c>
      <c r="N178" s="564" t="s">
        <v>1166</v>
      </c>
      <c r="O178" s="577" t="s">
        <v>1166</v>
      </c>
      <c r="P178" s="577" t="s">
        <v>1166</v>
      </c>
      <c r="Q178" s="577" t="s">
        <v>1166</v>
      </c>
      <c r="R178" s="1604" t="str">
        <f t="shared" si="31"/>
        <v/>
      </c>
    </row>
    <row r="179" spans="1:18" x14ac:dyDescent="0.2">
      <c r="A179" s="261">
        <f t="shared" si="32"/>
        <v>1</v>
      </c>
      <c r="B179" s="422" t="str">
        <f>INDEX('LA List'!B:B,MATCH('EZ list'!D179,'LA List'!A:A,0))</f>
        <v>E5041</v>
      </c>
      <c r="C179" s="422" t="str">
        <f t="shared" si="28"/>
        <v>E5041EZ1</v>
      </c>
      <c r="D179" s="261" t="s">
        <v>126</v>
      </c>
      <c r="E179" s="261" t="s">
        <v>1166</v>
      </c>
      <c r="F179" s="261" t="s">
        <v>1166</v>
      </c>
      <c r="G179" s="577" t="s">
        <v>1166</v>
      </c>
      <c r="H179" s="577" t="s">
        <v>1166</v>
      </c>
      <c r="I179" s="577" t="s">
        <v>1166</v>
      </c>
      <c r="J179" s="577" t="str">
        <f t="shared" si="39"/>
        <v/>
      </c>
      <c r="K179" s="577" t="str">
        <f t="shared" si="40"/>
        <v/>
      </c>
      <c r="L179" s="577" t="str">
        <f t="shared" si="41"/>
        <v/>
      </c>
      <c r="M179" s="577" t="str">
        <f t="shared" si="42"/>
        <v/>
      </c>
      <c r="N179" s="564" t="s">
        <v>1166</v>
      </c>
      <c r="O179" s="577" t="s">
        <v>1166</v>
      </c>
      <c r="P179" s="577" t="s">
        <v>1166</v>
      </c>
      <c r="Q179" s="577" t="s">
        <v>1166</v>
      </c>
      <c r="R179" s="1604" t="str">
        <f t="shared" si="31"/>
        <v/>
      </c>
    </row>
    <row r="180" spans="1:18" x14ac:dyDescent="0.2">
      <c r="A180" s="261">
        <f t="shared" si="32"/>
        <v>1</v>
      </c>
      <c r="B180" s="422" t="str">
        <f>INDEX('LA List'!B:B,MATCH('EZ list'!D180,'LA List'!A:A,0))</f>
        <v>E2434</v>
      </c>
      <c r="C180" s="422" t="str">
        <f t="shared" si="28"/>
        <v>E2434EZ1</v>
      </c>
      <c r="D180" s="261" t="s">
        <v>128</v>
      </c>
      <c r="E180" s="261" t="s">
        <v>848</v>
      </c>
      <c r="F180" s="261">
        <v>2013</v>
      </c>
      <c r="G180" s="577">
        <v>843916</v>
      </c>
      <c r="H180" s="577">
        <v>843916</v>
      </c>
      <c r="I180" s="577">
        <v>869270</v>
      </c>
      <c r="J180" s="577">
        <f t="shared" si="39"/>
        <v>889191</v>
      </c>
      <c r="K180" s="577">
        <f t="shared" si="40"/>
        <v>903679</v>
      </c>
      <c r="L180" s="577">
        <f t="shared" si="41"/>
        <v>903679</v>
      </c>
      <c r="M180" s="577">
        <f t="shared" si="42"/>
        <v>903679</v>
      </c>
      <c r="N180" s="564">
        <v>1154319</v>
      </c>
      <c r="O180" s="577">
        <v>1154319</v>
      </c>
      <c r="P180" s="577" t="s">
        <v>1166</v>
      </c>
      <c r="Q180" s="577" t="s">
        <v>1166</v>
      </c>
      <c r="R180" s="1604">
        <f t="shared" si="31"/>
        <v>1154319</v>
      </c>
    </row>
    <row r="181" spans="1:18" x14ac:dyDescent="0.2">
      <c r="A181" s="261">
        <f t="shared" si="32"/>
        <v>2</v>
      </c>
      <c r="B181" s="422" t="str">
        <f>INDEX('LA List'!B:B,MATCH('EZ list'!D181,'LA List'!A:A,0))</f>
        <v>E2434</v>
      </c>
      <c r="C181" s="422" t="str">
        <f t="shared" si="28"/>
        <v>E2434EZ2</v>
      </c>
      <c r="D181" s="261" t="s">
        <v>128</v>
      </c>
      <c r="E181" s="261" t="s">
        <v>921</v>
      </c>
      <c r="F181" s="261">
        <v>2016</v>
      </c>
      <c r="G181" s="577">
        <v>0</v>
      </c>
      <c r="H181" s="577">
        <v>0</v>
      </c>
      <c r="I181" s="577">
        <v>0</v>
      </c>
      <c r="J181" s="577">
        <f t="shared" si="39"/>
        <v>0</v>
      </c>
      <c r="K181" s="577">
        <f t="shared" si="40"/>
        <v>0</v>
      </c>
      <c r="L181" s="577">
        <f t="shared" si="41"/>
        <v>0</v>
      </c>
      <c r="M181" s="577">
        <f t="shared" si="42"/>
        <v>0</v>
      </c>
      <c r="N181" s="564">
        <v>0</v>
      </c>
      <c r="O181" s="577">
        <v>0</v>
      </c>
      <c r="P181" s="577" t="s">
        <v>1166</v>
      </c>
      <c r="Q181" s="577" t="s">
        <v>1166</v>
      </c>
      <c r="R181" s="1604">
        <f t="shared" si="31"/>
        <v>0</v>
      </c>
    </row>
    <row r="182" spans="1:18" x14ac:dyDescent="0.2">
      <c r="A182" s="261">
        <f t="shared" si="32"/>
        <v>1</v>
      </c>
      <c r="B182" s="422" t="str">
        <f>INDEX('LA List'!B:B,MATCH('EZ list'!D182,'LA List'!A:A,0))</f>
        <v>E3835</v>
      </c>
      <c r="C182" s="422" t="str">
        <f t="shared" si="28"/>
        <v>E3835EZ1</v>
      </c>
      <c r="D182" s="261" t="s">
        <v>130</v>
      </c>
      <c r="E182" s="261" t="s">
        <v>1166</v>
      </c>
      <c r="F182" s="261" t="s">
        <v>1166</v>
      </c>
      <c r="G182" s="577" t="s">
        <v>1166</v>
      </c>
      <c r="H182" s="577" t="s">
        <v>1166</v>
      </c>
      <c r="I182" s="577" t="s">
        <v>1166</v>
      </c>
      <c r="J182" s="577" t="str">
        <f t="shared" si="39"/>
        <v/>
      </c>
      <c r="K182" s="577" t="str">
        <f t="shared" si="40"/>
        <v/>
      </c>
      <c r="L182" s="577" t="str">
        <f t="shared" si="41"/>
        <v/>
      </c>
      <c r="M182" s="577" t="str">
        <f t="shared" si="42"/>
        <v/>
      </c>
      <c r="N182" s="564" t="s">
        <v>1166</v>
      </c>
      <c r="O182" s="577" t="s">
        <v>1166</v>
      </c>
      <c r="P182" s="577" t="s">
        <v>1166</v>
      </c>
      <c r="Q182" s="577" t="s">
        <v>1166</v>
      </c>
      <c r="R182" s="1604" t="str">
        <f t="shared" si="31"/>
        <v/>
      </c>
    </row>
    <row r="183" spans="1:18" x14ac:dyDescent="0.2">
      <c r="A183" s="261">
        <f t="shared" si="32"/>
        <v>1</v>
      </c>
      <c r="B183" s="422" t="str">
        <f>INDEX('LA List'!B:B,MATCH('EZ list'!D183,'LA List'!A:A,0))</f>
        <v>E5042</v>
      </c>
      <c r="C183" s="422" t="str">
        <f t="shared" si="28"/>
        <v>E5042EZ1</v>
      </c>
      <c r="D183" s="261" t="s">
        <v>132</v>
      </c>
      <c r="E183" s="261" t="s">
        <v>1166</v>
      </c>
      <c r="F183" s="261" t="s">
        <v>1166</v>
      </c>
      <c r="G183" s="577" t="s">
        <v>1166</v>
      </c>
      <c r="H183" s="577" t="s">
        <v>1166</v>
      </c>
      <c r="I183" s="577" t="s">
        <v>1166</v>
      </c>
      <c r="J183" s="577" t="str">
        <f t="shared" si="39"/>
        <v/>
      </c>
      <c r="K183" s="577" t="str">
        <f t="shared" si="40"/>
        <v/>
      </c>
      <c r="L183" s="577" t="str">
        <f t="shared" si="41"/>
        <v/>
      </c>
      <c r="M183" s="577" t="str">
        <f t="shared" si="42"/>
        <v/>
      </c>
      <c r="N183" s="564" t="s">
        <v>1166</v>
      </c>
      <c r="O183" s="577" t="s">
        <v>1166</v>
      </c>
      <c r="P183" s="577" t="s">
        <v>1166</v>
      </c>
      <c r="Q183" s="577" t="s">
        <v>1166</v>
      </c>
      <c r="R183" s="1604" t="str">
        <f t="shared" si="31"/>
        <v/>
      </c>
    </row>
    <row r="184" spans="1:18" x14ac:dyDescent="0.2">
      <c r="A184" s="261">
        <f t="shared" si="32"/>
        <v>1</v>
      </c>
      <c r="B184" s="422" t="str">
        <f>INDEX('LA List'!B:B,MATCH('EZ list'!D184,'LA List'!A:A,0))</f>
        <v>E0551</v>
      </c>
      <c r="C184" s="422" t="str">
        <f t="shared" si="28"/>
        <v>E0551EZ1</v>
      </c>
      <c r="D184" s="261" t="s">
        <v>134</v>
      </c>
      <c r="E184" s="261" t="s">
        <v>849</v>
      </c>
      <c r="F184" s="261">
        <v>2013</v>
      </c>
      <c r="G184" s="577">
        <v>735767</v>
      </c>
      <c r="H184" s="577">
        <v>735767</v>
      </c>
      <c r="I184" s="577">
        <v>757872</v>
      </c>
      <c r="J184" s="577">
        <f t="shared" si="39"/>
        <v>775240</v>
      </c>
      <c r="K184" s="577">
        <f t="shared" si="40"/>
        <v>787871</v>
      </c>
      <c r="L184" s="577">
        <f t="shared" si="41"/>
        <v>787871</v>
      </c>
      <c r="M184" s="577">
        <f t="shared" si="42"/>
        <v>787871</v>
      </c>
      <c r="N184" s="564">
        <v>1006270</v>
      </c>
      <c r="O184" s="577">
        <v>1006270</v>
      </c>
      <c r="P184" s="577" t="s">
        <v>1166</v>
      </c>
      <c r="Q184" s="577" t="s">
        <v>1166</v>
      </c>
      <c r="R184" s="1604">
        <f t="shared" si="31"/>
        <v>1006270</v>
      </c>
    </row>
    <row r="185" spans="1:18" x14ac:dyDescent="0.2">
      <c r="A185" s="261">
        <f t="shared" si="32"/>
        <v>1</v>
      </c>
      <c r="B185" s="422" t="str">
        <f>INDEX('LA List'!B:B,MATCH('EZ list'!D185,'LA List'!A:A,0))</f>
        <v>E2336</v>
      </c>
      <c r="C185" s="422" t="str">
        <f t="shared" si="28"/>
        <v>E2336EZ1</v>
      </c>
      <c r="D185" s="261" t="s">
        <v>136</v>
      </c>
      <c r="E185" s="261" t="s">
        <v>1166</v>
      </c>
      <c r="F185" s="261" t="s">
        <v>1166</v>
      </c>
      <c r="G185" s="577" t="s">
        <v>1166</v>
      </c>
      <c r="H185" s="577" t="s">
        <v>1166</v>
      </c>
      <c r="I185" s="577" t="s">
        <v>1166</v>
      </c>
      <c r="J185" s="577" t="str">
        <f t="shared" si="39"/>
        <v/>
      </c>
      <c r="K185" s="577" t="str">
        <f t="shared" si="40"/>
        <v/>
      </c>
      <c r="L185" s="577" t="str">
        <f t="shared" si="41"/>
        <v/>
      </c>
      <c r="M185" s="577" t="str">
        <f t="shared" si="42"/>
        <v/>
      </c>
      <c r="N185" s="564" t="s">
        <v>1166</v>
      </c>
      <c r="O185" s="577" t="s">
        <v>1166</v>
      </c>
      <c r="P185" s="577" t="s">
        <v>1166</v>
      </c>
      <c r="Q185" s="577" t="s">
        <v>1166</v>
      </c>
      <c r="R185" s="1604" t="str">
        <f t="shared" si="31"/>
        <v/>
      </c>
    </row>
    <row r="186" spans="1:18" x14ac:dyDescent="0.2">
      <c r="A186" s="261">
        <f t="shared" si="32"/>
        <v>1</v>
      </c>
      <c r="B186" s="422" t="str">
        <f>INDEX('LA List'!B:B,MATCH('EZ list'!D186,'LA List'!A:A,0))</f>
        <v>E3533</v>
      </c>
      <c r="C186" s="422" t="str">
        <f t="shared" si="28"/>
        <v>E3533EZ1</v>
      </c>
      <c r="D186" s="261" t="s">
        <v>138</v>
      </c>
      <c r="E186" s="261" t="s">
        <v>1037</v>
      </c>
      <c r="F186" s="261">
        <v>2016</v>
      </c>
      <c r="G186" s="577">
        <v>0</v>
      </c>
      <c r="H186" s="577">
        <v>0</v>
      </c>
      <c r="I186" s="577">
        <v>0</v>
      </c>
      <c r="J186" s="577">
        <f t="shared" si="39"/>
        <v>0</v>
      </c>
      <c r="K186" s="577">
        <f t="shared" si="40"/>
        <v>0</v>
      </c>
      <c r="L186" s="577">
        <f t="shared" si="41"/>
        <v>0</v>
      </c>
      <c r="M186" s="577">
        <f t="shared" si="42"/>
        <v>0</v>
      </c>
      <c r="N186" s="564">
        <v>0</v>
      </c>
      <c r="O186" s="577">
        <v>0</v>
      </c>
      <c r="P186" s="577" t="s">
        <v>1166</v>
      </c>
      <c r="Q186" s="577" t="s">
        <v>1166</v>
      </c>
      <c r="R186" s="1604">
        <f t="shared" si="31"/>
        <v>0</v>
      </c>
    </row>
    <row r="187" spans="1:18" x14ac:dyDescent="0.2">
      <c r="A187" s="261">
        <f t="shared" si="32"/>
        <v>2</v>
      </c>
      <c r="B187" s="422" t="str">
        <f>INDEX('LA List'!B:B,MATCH('EZ list'!D187,'LA List'!A:A,0))</f>
        <v>E3533</v>
      </c>
      <c r="C187" s="422" t="str">
        <f t="shared" si="28"/>
        <v>E3533EZ2</v>
      </c>
      <c r="D187" s="261" t="s">
        <v>138</v>
      </c>
      <c r="E187" s="261" t="s">
        <v>1038</v>
      </c>
      <c r="F187" s="261">
        <v>2016</v>
      </c>
      <c r="G187" s="577">
        <v>192558</v>
      </c>
      <c r="H187" s="577">
        <v>192558</v>
      </c>
      <c r="I187" s="577">
        <v>198343</v>
      </c>
      <c r="J187" s="577">
        <f t="shared" si="39"/>
        <v>202888</v>
      </c>
      <c r="K187" s="577">
        <f t="shared" si="40"/>
        <v>206194</v>
      </c>
      <c r="L187" s="577">
        <f t="shared" si="41"/>
        <v>206194</v>
      </c>
      <c r="M187" s="577">
        <f t="shared" si="42"/>
        <v>206194</v>
      </c>
      <c r="N187" s="564">
        <v>201633</v>
      </c>
      <c r="O187" s="577">
        <v>201633</v>
      </c>
      <c r="P187" s="577" t="s">
        <v>1166</v>
      </c>
      <c r="Q187" s="577" t="s">
        <v>1166</v>
      </c>
      <c r="R187" s="1604">
        <f t="shared" si="31"/>
        <v>201633</v>
      </c>
    </row>
    <row r="188" spans="1:18" x14ac:dyDescent="0.2">
      <c r="A188" s="261">
        <f t="shared" si="32"/>
        <v>3</v>
      </c>
      <c r="B188" s="422" t="str">
        <f>INDEX('LA List'!B:B,MATCH('EZ list'!D188,'LA List'!A:A,0))</f>
        <v>E3533</v>
      </c>
      <c r="C188" s="422" t="str">
        <f t="shared" si="28"/>
        <v>E3533EZ3</v>
      </c>
      <c r="D188" s="261" t="s">
        <v>138</v>
      </c>
      <c r="E188" s="261" t="s">
        <v>1039</v>
      </c>
      <c r="F188" s="261">
        <v>2016</v>
      </c>
      <c r="G188" s="577">
        <v>0</v>
      </c>
      <c r="H188" s="577">
        <v>0</v>
      </c>
      <c r="I188" s="577">
        <v>0</v>
      </c>
      <c r="J188" s="577">
        <f t="shared" si="39"/>
        <v>0</v>
      </c>
      <c r="K188" s="577">
        <f t="shared" si="40"/>
        <v>0</v>
      </c>
      <c r="L188" s="577">
        <f t="shared" si="41"/>
        <v>0</v>
      </c>
      <c r="M188" s="577">
        <f t="shared" si="42"/>
        <v>0</v>
      </c>
      <c r="N188" s="564">
        <v>0</v>
      </c>
      <c r="O188" s="577">
        <v>0</v>
      </c>
      <c r="P188" s="577" t="s">
        <v>1166</v>
      </c>
      <c r="Q188" s="577" t="s">
        <v>1166</v>
      </c>
      <c r="R188" s="1604">
        <f t="shared" si="31"/>
        <v>0</v>
      </c>
    </row>
    <row r="189" spans="1:18" x14ac:dyDescent="0.2">
      <c r="A189" s="261">
        <f t="shared" si="32"/>
        <v>1</v>
      </c>
      <c r="B189" s="422" t="str">
        <f>INDEX('LA List'!B:B,MATCH('EZ list'!D189,'LA List'!A:A,0))</f>
        <v>E2101</v>
      </c>
      <c r="C189" s="422" t="str">
        <f t="shared" si="28"/>
        <v>E2101EZ1</v>
      </c>
      <c r="D189" s="261" t="s">
        <v>140</v>
      </c>
      <c r="E189" s="261" t="s">
        <v>1166</v>
      </c>
      <c r="F189" s="261" t="s">
        <v>1166</v>
      </c>
      <c r="G189" s="577" t="s">
        <v>1166</v>
      </c>
      <c r="H189" s="577" t="s">
        <v>1166</v>
      </c>
      <c r="I189" s="577" t="s">
        <v>1166</v>
      </c>
      <c r="J189" s="577" t="str">
        <f t="shared" si="39"/>
        <v/>
      </c>
      <c r="K189" s="577" t="str">
        <f t="shared" si="40"/>
        <v/>
      </c>
      <c r="L189" s="577" t="str">
        <f t="shared" si="41"/>
        <v/>
      </c>
      <c r="M189" s="577" t="str">
        <f t="shared" si="42"/>
        <v/>
      </c>
      <c r="N189" s="564" t="s">
        <v>1166</v>
      </c>
      <c r="O189" s="577" t="s">
        <v>1166</v>
      </c>
      <c r="P189" s="577" t="s">
        <v>1166</v>
      </c>
      <c r="Q189" s="577" t="s">
        <v>1166</v>
      </c>
      <c r="R189" s="1604" t="str">
        <f t="shared" si="31"/>
        <v/>
      </c>
    </row>
    <row r="190" spans="1:18" x14ac:dyDescent="0.2">
      <c r="A190" s="261">
        <f t="shared" si="32"/>
        <v>1</v>
      </c>
      <c r="B190" s="422" t="str">
        <f>INDEX('LA List'!B:B,MATCH('EZ list'!D190,'LA List'!A:A,0))</f>
        <v>E4001</v>
      </c>
      <c r="C190" s="422" t="str">
        <f t="shared" si="28"/>
        <v>E4001EZ1</v>
      </c>
      <c r="D190" s="261" t="s">
        <v>142</v>
      </c>
      <c r="E190" s="261" t="s">
        <v>1166</v>
      </c>
      <c r="F190" s="261" t="s">
        <v>1166</v>
      </c>
      <c r="G190" s="577" t="s">
        <v>1166</v>
      </c>
      <c r="H190" s="577" t="s">
        <v>1166</v>
      </c>
      <c r="I190" s="577" t="s">
        <v>1166</v>
      </c>
      <c r="J190" s="577" t="str">
        <f t="shared" si="39"/>
        <v/>
      </c>
      <c r="K190" s="577" t="str">
        <f t="shared" si="40"/>
        <v/>
      </c>
      <c r="L190" s="577" t="str">
        <f t="shared" si="41"/>
        <v/>
      </c>
      <c r="M190" s="577" t="str">
        <f t="shared" si="42"/>
        <v/>
      </c>
      <c r="N190" s="564" t="s">
        <v>1166</v>
      </c>
      <c r="O190" s="577" t="s">
        <v>1166</v>
      </c>
      <c r="P190" s="577" t="s">
        <v>1166</v>
      </c>
      <c r="Q190" s="577" t="s">
        <v>1166</v>
      </c>
      <c r="R190" s="1604" t="str">
        <f t="shared" si="31"/>
        <v/>
      </c>
    </row>
    <row r="191" spans="1:18" x14ac:dyDescent="0.2">
      <c r="A191" s="261">
        <f t="shared" si="32"/>
        <v>1</v>
      </c>
      <c r="B191" s="422" t="str">
        <f>INDEX('LA List'!B:B,MATCH('EZ list'!D191,'LA List'!A:A,0))</f>
        <v>E5015</v>
      </c>
      <c r="C191" s="422" t="str">
        <f t="shared" si="28"/>
        <v>E5015EZ1</v>
      </c>
      <c r="D191" s="261" t="s">
        <v>144</v>
      </c>
      <c r="E191" s="261" t="s">
        <v>1166</v>
      </c>
      <c r="F191" s="261" t="s">
        <v>1166</v>
      </c>
      <c r="G191" s="577" t="s">
        <v>1166</v>
      </c>
      <c r="H191" s="577" t="s">
        <v>1166</v>
      </c>
      <c r="I191" s="577" t="s">
        <v>1166</v>
      </c>
      <c r="J191" s="577" t="str">
        <f t="shared" si="39"/>
        <v/>
      </c>
      <c r="K191" s="577" t="str">
        <f t="shared" si="40"/>
        <v/>
      </c>
      <c r="L191" s="577" t="str">
        <f t="shared" si="41"/>
        <v/>
      </c>
      <c r="M191" s="577" t="str">
        <f t="shared" si="42"/>
        <v/>
      </c>
      <c r="N191" s="564" t="s">
        <v>1166</v>
      </c>
      <c r="O191" s="577" t="s">
        <v>1166</v>
      </c>
      <c r="P191" s="577" t="s">
        <v>1166</v>
      </c>
      <c r="Q191" s="577" t="s">
        <v>1166</v>
      </c>
      <c r="R191" s="1604" t="str">
        <f t="shared" si="31"/>
        <v/>
      </c>
    </row>
    <row r="192" spans="1:18" x14ac:dyDescent="0.2">
      <c r="A192" s="261">
        <f t="shared" si="32"/>
        <v>1</v>
      </c>
      <c r="B192" s="422" t="str">
        <f>INDEX('LA List'!B:B,MATCH('EZ list'!D192,'LA List'!A:A,0))</f>
        <v>E5016</v>
      </c>
      <c r="C192" s="422" t="str">
        <f t="shared" si="28"/>
        <v>E5016EZ1</v>
      </c>
      <c r="D192" s="261" t="s">
        <v>146</v>
      </c>
      <c r="E192" s="261" t="s">
        <v>1166</v>
      </c>
      <c r="F192" s="261" t="s">
        <v>1166</v>
      </c>
      <c r="G192" s="577" t="s">
        <v>1166</v>
      </c>
      <c r="H192" s="577" t="s">
        <v>1166</v>
      </c>
      <c r="I192" s="577" t="s">
        <v>1166</v>
      </c>
      <c r="J192" s="577" t="str">
        <f t="shared" si="39"/>
        <v/>
      </c>
      <c r="K192" s="577" t="str">
        <f t="shared" si="40"/>
        <v/>
      </c>
      <c r="L192" s="577" t="str">
        <f t="shared" si="41"/>
        <v/>
      </c>
      <c r="M192" s="577" t="str">
        <f t="shared" si="42"/>
        <v/>
      </c>
      <c r="N192" s="564" t="s">
        <v>1166</v>
      </c>
      <c r="O192" s="577" t="s">
        <v>1166</v>
      </c>
      <c r="P192" s="577" t="s">
        <v>1166</v>
      </c>
      <c r="Q192" s="577" t="s">
        <v>1166</v>
      </c>
      <c r="R192" s="1604" t="str">
        <f t="shared" si="31"/>
        <v/>
      </c>
    </row>
    <row r="193" spans="1:18" x14ac:dyDescent="0.2">
      <c r="A193" s="261">
        <f t="shared" si="32"/>
        <v>1</v>
      </c>
      <c r="B193" s="422" t="str">
        <f>INDEX('LA List'!B:B,MATCH('EZ list'!D193,'LA List'!A:A,0))</f>
        <v>E2634</v>
      </c>
      <c r="C193" s="422" t="str">
        <f t="shared" ref="C193:C257" si="43">CONCATENATE(B193,"EZ",A193)</f>
        <v>E2634EZ1</v>
      </c>
      <c r="D193" s="261" t="s">
        <v>148</v>
      </c>
      <c r="E193" s="261" t="s">
        <v>1040</v>
      </c>
      <c r="F193" s="261">
        <v>2016</v>
      </c>
      <c r="G193" s="577">
        <v>0</v>
      </c>
      <c r="H193" s="577">
        <v>0</v>
      </c>
      <c r="I193" s="577">
        <v>0</v>
      </c>
      <c r="J193" s="577">
        <f t="shared" si="39"/>
        <v>0</v>
      </c>
      <c r="K193" s="577">
        <f t="shared" si="40"/>
        <v>0</v>
      </c>
      <c r="L193" s="577">
        <f t="shared" si="41"/>
        <v>0</v>
      </c>
      <c r="M193" s="577">
        <f t="shared" si="42"/>
        <v>0</v>
      </c>
      <c r="N193" s="564">
        <v>0</v>
      </c>
      <c r="O193" s="577">
        <v>0</v>
      </c>
      <c r="P193" s="577" t="s">
        <v>1166</v>
      </c>
      <c r="Q193" s="577" t="s">
        <v>1166</v>
      </c>
      <c r="R193" s="1604">
        <f t="shared" si="31"/>
        <v>0</v>
      </c>
    </row>
    <row r="194" spans="1:18" x14ac:dyDescent="0.2">
      <c r="A194" s="261">
        <f t="shared" si="32"/>
        <v>1</v>
      </c>
      <c r="B194" s="422" t="str">
        <f>INDEX('LA List'!B:B,MATCH('EZ list'!D194,'LA List'!A:A,0))</f>
        <v>E2002</v>
      </c>
      <c r="C194" s="422" t="str">
        <f t="shared" si="43"/>
        <v>E2002EZ1</v>
      </c>
      <c r="D194" s="261" t="s">
        <v>150</v>
      </c>
      <c r="E194" s="261" t="s">
        <v>839</v>
      </c>
      <c r="F194" s="261">
        <v>2013</v>
      </c>
      <c r="G194" s="577">
        <v>0</v>
      </c>
      <c r="H194" s="577">
        <v>0</v>
      </c>
      <c r="I194" s="577">
        <v>0</v>
      </c>
      <c r="J194" s="577">
        <f t="shared" si="39"/>
        <v>0</v>
      </c>
      <c r="K194" s="577">
        <f t="shared" si="40"/>
        <v>0</v>
      </c>
      <c r="L194" s="577">
        <f t="shared" si="41"/>
        <v>0</v>
      </c>
      <c r="M194" s="577">
        <f t="shared" si="42"/>
        <v>0</v>
      </c>
      <c r="N194" s="564">
        <v>0</v>
      </c>
      <c r="O194" s="577">
        <v>0</v>
      </c>
      <c r="P194" s="577" t="s">
        <v>1166</v>
      </c>
      <c r="Q194" s="577" t="s">
        <v>1166</v>
      </c>
      <c r="R194" s="1604">
        <f t="shared" si="31"/>
        <v>0</v>
      </c>
    </row>
    <row r="195" spans="1:18" x14ac:dyDescent="0.2">
      <c r="A195" s="261">
        <f t="shared" si="32"/>
        <v>2</v>
      </c>
      <c r="B195" s="422" t="str">
        <f>INDEX('LA List'!B:B,MATCH('EZ list'!D195,'LA List'!A:A,0))</f>
        <v>E2002</v>
      </c>
      <c r="C195" s="422" t="str">
        <f t="shared" si="43"/>
        <v>E2002EZ2</v>
      </c>
      <c r="D195" s="261" t="s">
        <v>150</v>
      </c>
      <c r="E195" s="261" t="s">
        <v>840</v>
      </c>
      <c r="F195" s="261">
        <v>2013</v>
      </c>
      <c r="G195" s="577">
        <v>163232</v>
      </c>
      <c r="H195" s="577">
        <v>163232</v>
      </c>
      <c r="I195" s="577">
        <v>168136</v>
      </c>
      <c r="J195" s="577">
        <f t="shared" si="39"/>
        <v>171989</v>
      </c>
      <c r="K195" s="577">
        <f t="shared" si="40"/>
        <v>174791</v>
      </c>
      <c r="L195" s="577">
        <f t="shared" si="41"/>
        <v>174791</v>
      </c>
      <c r="M195" s="577">
        <f t="shared" si="42"/>
        <v>174791</v>
      </c>
      <c r="N195" s="564">
        <v>185278</v>
      </c>
      <c r="O195" s="577">
        <v>185278</v>
      </c>
      <c r="P195" s="577" t="s">
        <v>1166</v>
      </c>
      <c r="Q195" s="577" t="s">
        <v>1166</v>
      </c>
      <c r="R195" s="1604">
        <f t="shared" ref="R195:R257" si="44">IF($F195 = "","",
IF($F195&lt;2024,O195*$P$1,
IF($F195&gt;=2024,+P195+Q195)))</f>
        <v>185278</v>
      </c>
    </row>
    <row r="196" spans="1:18" x14ac:dyDescent="0.2">
      <c r="A196" s="261">
        <f t="shared" si="32"/>
        <v>3</v>
      </c>
      <c r="B196" s="422" t="str">
        <f>INDEX('LA List'!B:B,MATCH('EZ list'!D196,'LA List'!A:A,0))</f>
        <v>E2002</v>
      </c>
      <c r="C196" s="422" t="str">
        <f t="shared" si="43"/>
        <v>E2002EZ3</v>
      </c>
      <c r="D196" s="261" t="s">
        <v>150</v>
      </c>
      <c r="E196" s="261" t="s">
        <v>1041</v>
      </c>
      <c r="F196" s="261">
        <v>2016</v>
      </c>
      <c r="G196" s="577">
        <v>0</v>
      </c>
      <c r="H196" s="577">
        <v>0</v>
      </c>
      <c r="I196" s="577">
        <v>0</v>
      </c>
      <c r="J196" s="577">
        <f t="shared" si="39"/>
        <v>0</v>
      </c>
      <c r="K196" s="577">
        <f t="shared" si="40"/>
        <v>0</v>
      </c>
      <c r="L196" s="577">
        <f t="shared" si="41"/>
        <v>0</v>
      </c>
      <c r="M196" s="577">
        <f t="shared" si="42"/>
        <v>0</v>
      </c>
      <c r="N196" s="564">
        <v>0</v>
      </c>
      <c r="O196" s="577">
        <v>0</v>
      </c>
      <c r="P196" s="577" t="s">
        <v>1166</v>
      </c>
      <c r="Q196" s="577" t="s">
        <v>1166</v>
      </c>
      <c r="R196" s="1604">
        <f t="shared" si="44"/>
        <v>0</v>
      </c>
    </row>
    <row r="197" spans="1:18" x14ac:dyDescent="0.2">
      <c r="A197" s="261">
        <f t="shared" si="32"/>
        <v>4</v>
      </c>
      <c r="B197" s="422" t="str">
        <f>INDEX('LA List'!B:B,MATCH('EZ list'!D197,'LA List'!A:A,0))</f>
        <v>E2002</v>
      </c>
      <c r="C197" s="422" t="str">
        <f t="shared" si="43"/>
        <v>E2002EZ4</v>
      </c>
      <c r="D197" s="261" t="s">
        <v>150</v>
      </c>
      <c r="E197" s="261" t="s">
        <v>1042</v>
      </c>
      <c r="F197" s="261">
        <v>2016</v>
      </c>
      <c r="G197" s="577">
        <v>0</v>
      </c>
      <c r="H197" s="577">
        <v>0</v>
      </c>
      <c r="I197" s="577">
        <v>0</v>
      </c>
      <c r="J197" s="577">
        <f t="shared" si="39"/>
        <v>0</v>
      </c>
      <c r="K197" s="577">
        <f t="shared" si="40"/>
        <v>0</v>
      </c>
      <c r="L197" s="577">
        <f t="shared" si="41"/>
        <v>0</v>
      </c>
      <c r="M197" s="577">
        <f t="shared" si="42"/>
        <v>0</v>
      </c>
      <c r="N197" s="564">
        <v>0</v>
      </c>
      <c r="O197" s="577">
        <v>0</v>
      </c>
      <c r="P197" s="577" t="s">
        <v>1166</v>
      </c>
      <c r="Q197" s="577" t="s">
        <v>1166</v>
      </c>
      <c r="R197" s="1604">
        <f t="shared" si="44"/>
        <v>0</v>
      </c>
    </row>
    <row r="198" spans="1:18" x14ac:dyDescent="0.2">
      <c r="A198" s="261">
        <f t="shared" ref="A198:A260" si="45">IF(D198=D197,A197+1,1)</f>
        <v>5</v>
      </c>
      <c r="B198" s="422" t="str">
        <f>INDEX('LA List'!B:B,MATCH('EZ list'!D198,'LA List'!A:A,0))</f>
        <v>E2002</v>
      </c>
      <c r="C198" s="422" t="str">
        <f t="shared" si="43"/>
        <v>E2002EZ5</v>
      </c>
      <c r="D198" s="261" t="s">
        <v>150</v>
      </c>
      <c r="E198" s="261" t="s">
        <v>1043</v>
      </c>
      <c r="F198" s="261">
        <v>2016</v>
      </c>
      <c r="G198" s="577">
        <v>0</v>
      </c>
      <c r="H198" s="577">
        <v>0</v>
      </c>
      <c r="I198" s="577">
        <v>0</v>
      </c>
      <c r="J198" s="577">
        <f t="shared" si="39"/>
        <v>0</v>
      </c>
      <c r="K198" s="577">
        <f t="shared" si="40"/>
        <v>0</v>
      </c>
      <c r="L198" s="577">
        <f t="shared" si="41"/>
        <v>0</v>
      </c>
      <c r="M198" s="577">
        <f t="shared" si="42"/>
        <v>0</v>
      </c>
      <c r="N198" s="564">
        <v>0</v>
      </c>
      <c r="O198" s="577">
        <v>0</v>
      </c>
      <c r="P198" s="577" t="s">
        <v>1166</v>
      </c>
      <c r="Q198" s="577" t="s">
        <v>1166</v>
      </c>
      <c r="R198" s="1604">
        <f t="shared" si="44"/>
        <v>0</v>
      </c>
    </row>
    <row r="199" spans="1:18" x14ac:dyDescent="0.2">
      <c r="A199" s="261">
        <f t="shared" si="45"/>
        <v>6</v>
      </c>
      <c r="B199" s="422" t="str">
        <f>INDEX('LA List'!B:B,MATCH('EZ list'!D199,'LA List'!A:A,0))</f>
        <v>E2002</v>
      </c>
      <c r="C199" s="422" t="str">
        <f t="shared" si="43"/>
        <v>E2002EZ6</v>
      </c>
      <c r="D199" s="261" t="s">
        <v>150</v>
      </c>
      <c r="E199" s="261" t="s">
        <v>1044</v>
      </c>
      <c r="F199" s="261">
        <v>2016</v>
      </c>
      <c r="G199" s="577">
        <v>16969</v>
      </c>
      <c r="H199" s="577">
        <v>16969</v>
      </c>
      <c r="I199" s="577">
        <v>17479</v>
      </c>
      <c r="J199" s="577">
        <f t="shared" si="39"/>
        <v>17880</v>
      </c>
      <c r="K199" s="577">
        <f t="shared" si="40"/>
        <v>18171</v>
      </c>
      <c r="L199" s="577">
        <f t="shared" si="41"/>
        <v>18171</v>
      </c>
      <c r="M199" s="577">
        <f t="shared" si="42"/>
        <v>18171</v>
      </c>
      <c r="N199" s="564">
        <v>19261</v>
      </c>
      <c r="O199" s="577">
        <v>19261</v>
      </c>
      <c r="P199" s="577" t="s">
        <v>1166</v>
      </c>
      <c r="Q199" s="577" t="s">
        <v>1166</v>
      </c>
      <c r="R199" s="1604">
        <f t="shared" si="44"/>
        <v>19261</v>
      </c>
    </row>
    <row r="200" spans="1:18" x14ac:dyDescent="0.2">
      <c r="A200" s="261">
        <f t="shared" si="45"/>
        <v>7</v>
      </c>
      <c r="B200" s="422" t="str">
        <f>INDEX('LA List'!B:B,MATCH('EZ list'!D200,'LA List'!A:A,0))</f>
        <v>E2002</v>
      </c>
      <c r="C200" s="422" t="str">
        <f t="shared" si="43"/>
        <v>E2002EZ7</v>
      </c>
      <c r="D200" s="261" t="s">
        <v>150</v>
      </c>
      <c r="E200" s="261" t="s">
        <v>1045</v>
      </c>
      <c r="F200" s="261">
        <v>2016</v>
      </c>
      <c r="G200" s="577">
        <v>0</v>
      </c>
      <c r="H200" s="577">
        <v>0</v>
      </c>
      <c r="I200" s="577">
        <v>0</v>
      </c>
      <c r="J200" s="577">
        <f t="shared" si="39"/>
        <v>0</v>
      </c>
      <c r="K200" s="577">
        <f t="shared" si="40"/>
        <v>0</v>
      </c>
      <c r="L200" s="577">
        <f t="shared" si="41"/>
        <v>0</v>
      </c>
      <c r="M200" s="577">
        <f t="shared" si="42"/>
        <v>0</v>
      </c>
      <c r="N200" s="564">
        <v>0</v>
      </c>
      <c r="O200" s="577">
        <v>0</v>
      </c>
      <c r="P200" s="577" t="s">
        <v>1166</v>
      </c>
      <c r="Q200" s="577" t="s">
        <v>1166</v>
      </c>
      <c r="R200" s="1604">
        <f t="shared" si="44"/>
        <v>0</v>
      </c>
    </row>
    <row r="201" spans="1:18" x14ac:dyDescent="0.2">
      <c r="A201" s="261">
        <f t="shared" si="45"/>
        <v>8</v>
      </c>
      <c r="B201" s="422" t="str">
        <f>INDEX('LA List'!B:B,MATCH('EZ list'!D201,'LA List'!A:A,0))</f>
        <v>E2002</v>
      </c>
      <c r="C201" s="422" t="str">
        <f t="shared" si="43"/>
        <v>E2002EZ8</v>
      </c>
      <c r="D201" s="261" t="s">
        <v>150</v>
      </c>
      <c r="E201" s="261" t="s">
        <v>1046</v>
      </c>
      <c r="F201" s="261">
        <v>2016</v>
      </c>
      <c r="G201" s="577">
        <v>3328</v>
      </c>
      <c r="H201" s="577">
        <v>3328</v>
      </c>
      <c r="I201" s="577">
        <v>3428</v>
      </c>
      <c r="J201" s="577">
        <f t="shared" si="39"/>
        <v>3507</v>
      </c>
      <c r="K201" s="577">
        <f t="shared" si="40"/>
        <v>3564</v>
      </c>
      <c r="L201" s="577">
        <f t="shared" si="41"/>
        <v>3564</v>
      </c>
      <c r="M201" s="577">
        <f t="shared" si="42"/>
        <v>3564</v>
      </c>
      <c r="N201" s="564">
        <v>3777</v>
      </c>
      <c r="O201" s="577">
        <v>3777</v>
      </c>
      <c r="P201" s="577" t="s">
        <v>1166</v>
      </c>
      <c r="Q201" s="577" t="s">
        <v>1166</v>
      </c>
      <c r="R201" s="1604">
        <f t="shared" si="44"/>
        <v>3777</v>
      </c>
    </row>
    <row r="202" spans="1:18" x14ac:dyDescent="0.2">
      <c r="A202" s="261">
        <f t="shared" si="45"/>
        <v>9</v>
      </c>
      <c r="B202" s="422" t="str">
        <f>INDEX('LA List'!B:B,MATCH('EZ list'!D202,'LA List'!A:A,0))</f>
        <v>E2002</v>
      </c>
      <c r="C202" s="422" t="str">
        <f t="shared" si="43"/>
        <v>E2002EZ9</v>
      </c>
      <c r="D202" s="261" t="s">
        <v>150</v>
      </c>
      <c r="E202" s="261" t="s">
        <v>1047</v>
      </c>
      <c r="F202" s="261">
        <v>2016</v>
      </c>
      <c r="G202" s="577">
        <v>31212</v>
      </c>
      <c r="H202" s="577">
        <v>31212</v>
      </c>
      <c r="I202" s="577">
        <v>32150</v>
      </c>
      <c r="J202" s="577">
        <f t="shared" si="39"/>
        <v>32887</v>
      </c>
      <c r="K202" s="577">
        <f t="shared" si="40"/>
        <v>33423</v>
      </c>
      <c r="L202" s="577">
        <f t="shared" si="41"/>
        <v>33423</v>
      </c>
      <c r="M202" s="577">
        <f t="shared" si="42"/>
        <v>33423</v>
      </c>
      <c r="N202" s="564">
        <v>35428</v>
      </c>
      <c r="O202" s="577">
        <v>35428</v>
      </c>
      <c r="P202" s="577" t="s">
        <v>1166</v>
      </c>
      <c r="Q202" s="577" t="s">
        <v>1166</v>
      </c>
      <c r="R202" s="1604">
        <f t="shared" si="44"/>
        <v>35428</v>
      </c>
    </row>
    <row r="203" spans="1:18" x14ac:dyDescent="0.2">
      <c r="A203" s="261">
        <f t="shared" si="45"/>
        <v>10</v>
      </c>
      <c r="B203" s="422" t="str">
        <f>INDEX('LA List'!B:B,MATCH('EZ list'!D203,'LA List'!A:A,0))</f>
        <v>E2002</v>
      </c>
      <c r="C203" s="422" t="str">
        <f t="shared" si="43"/>
        <v>E2002EZ10</v>
      </c>
      <c r="D203" s="261" t="s">
        <v>150</v>
      </c>
      <c r="E203" s="261" t="s">
        <v>1048</v>
      </c>
      <c r="F203" s="261">
        <v>2016</v>
      </c>
      <c r="G203" s="577">
        <v>5842</v>
      </c>
      <c r="H203" s="577">
        <v>5842</v>
      </c>
      <c r="I203" s="577">
        <v>6018</v>
      </c>
      <c r="J203" s="577">
        <f t="shared" si="39"/>
        <v>6156</v>
      </c>
      <c r="K203" s="577">
        <f t="shared" si="40"/>
        <v>6256</v>
      </c>
      <c r="L203" s="577">
        <f t="shared" si="41"/>
        <v>6256</v>
      </c>
      <c r="M203" s="577">
        <f t="shared" si="42"/>
        <v>6256</v>
      </c>
      <c r="N203" s="564">
        <v>6631</v>
      </c>
      <c r="O203" s="577">
        <v>6631</v>
      </c>
      <c r="P203" s="577" t="s">
        <v>1166</v>
      </c>
      <c r="Q203" s="577" t="s">
        <v>1166</v>
      </c>
      <c r="R203" s="1604">
        <f t="shared" si="44"/>
        <v>6631</v>
      </c>
    </row>
    <row r="204" spans="1:18" x14ac:dyDescent="0.2">
      <c r="A204" s="261">
        <f t="shared" si="45"/>
        <v>11</v>
      </c>
      <c r="B204" s="422" t="str">
        <f>INDEX('LA List'!B:B,MATCH('EZ list'!D204,'LA List'!A:A,0))</f>
        <v>E2002</v>
      </c>
      <c r="C204" s="422" t="str">
        <f t="shared" si="43"/>
        <v>E2002EZ11</v>
      </c>
      <c r="D204" s="261" t="s">
        <v>150</v>
      </c>
      <c r="E204" s="261" t="s">
        <v>1049</v>
      </c>
      <c r="F204" s="261">
        <v>2016</v>
      </c>
      <c r="G204" s="577">
        <v>7456</v>
      </c>
      <c r="H204" s="577">
        <v>7456</v>
      </c>
      <c r="I204" s="577">
        <v>7680</v>
      </c>
      <c r="J204" s="577">
        <f t="shared" si="39"/>
        <v>7856</v>
      </c>
      <c r="K204" s="577">
        <f t="shared" si="40"/>
        <v>7984</v>
      </c>
      <c r="L204" s="577">
        <f t="shared" si="41"/>
        <v>7984</v>
      </c>
      <c r="M204" s="577">
        <f t="shared" si="42"/>
        <v>7984</v>
      </c>
      <c r="N204" s="564">
        <v>8463</v>
      </c>
      <c r="O204" s="577">
        <v>8463</v>
      </c>
      <c r="P204" s="577" t="s">
        <v>1166</v>
      </c>
      <c r="Q204" s="577" t="s">
        <v>1166</v>
      </c>
      <c r="R204" s="1604">
        <f t="shared" si="44"/>
        <v>8463</v>
      </c>
    </row>
    <row r="205" spans="1:18" x14ac:dyDescent="0.2">
      <c r="A205" s="261">
        <f t="shared" si="45"/>
        <v>12</v>
      </c>
      <c r="B205" s="422" t="str">
        <f>INDEX('LA List'!B:B,MATCH('EZ list'!D205,'LA List'!A:A,0))</f>
        <v>E2002</v>
      </c>
      <c r="C205" s="422" t="str">
        <f t="shared" si="43"/>
        <v>E2002EZ12</v>
      </c>
      <c r="D205" s="261" t="s">
        <v>150</v>
      </c>
      <c r="E205" s="261" t="s">
        <v>1050</v>
      </c>
      <c r="F205" s="261">
        <v>2016</v>
      </c>
      <c r="G205" s="577">
        <v>3448</v>
      </c>
      <c r="H205" s="577">
        <v>3448</v>
      </c>
      <c r="I205" s="577">
        <v>3552</v>
      </c>
      <c r="J205" s="577">
        <f t="shared" si="39"/>
        <v>3633</v>
      </c>
      <c r="K205" s="577">
        <f t="shared" si="40"/>
        <v>3692</v>
      </c>
      <c r="L205" s="577">
        <f t="shared" si="41"/>
        <v>3692</v>
      </c>
      <c r="M205" s="577">
        <f t="shared" si="42"/>
        <v>3692</v>
      </c>
      <c r="N205" s="564">
        <v>3914</v>
      </c>
      <c r="O205" s="577">
        <v>3914</v>
      </c>
      <c r="P205" s="577" t="s">
        <v>1166</v>
      </c>
      <c r="Q205" s="577" t="s">
        <v>1166</v>
      </c>
      <c r="R205" s="1604">
        <f t="shared" si="44"/>
        <v>3914</v>
      </c>
    </row>
    <row r="206" spans="1:18" x14ac:dyDescent="0.2">
      <c r="A206" s="261">
        <f t="shared" si="45"/>
        <v>13</v>
      </c>
      <c r="B206" s="422" t="str">
        <f>INDEX('LA List'!B:B,MATCH('EZ list'!D206,'LA List'!A:A,0))</f>
        <v>E2002</v>
      </c>
      <c r="C206" s="422" t="str">
        <f t="shared" si="43"/>
        <v>E2002EZ13</v>
      </c>
      <c r="D206" s="261" t="s">
        <v>150</v>
      </c>
      <c r="E206" s="261" t="s">
        <v>1051</v>
      </c>
      <c r="F206" s="261">
        <v>2016</v>
      </c>
      <c r="G206" s="577">
        <v>18771</v>
      </c>
      <c r="H206" s="577">
        <v>18771</v>
      </c>
      <c r="I206" s="577">
        <v>19335</v>
      </c>
      <c r="J206" s="577">
        <f t="shared" si="39"/>
        <v>19778</v>
      </c>
      <c r="K206" s="577">
        <f t="shared" si="40"/>
        <v>20100</v>
      </c>
      <c r="L206" s="577">
        <f t="shared" si="41"/>
        <v>20100</v>
      </c>
      <c r="M206" s="577">
        <f t="shared" si="42"/>
        <v>20100</v>
      </c>
      <c r="N206" s="564">
        <v>31306</v>
      </c>
      <c r="O206" s="577">
        <v>31306</v>
      </c>
      <c r="P206" s="577" t="s">
        <v>1166</v>
      </c>
      <c r="Q206" s="577" t="s">
        <v>1166</v>
      </c>
      <c r="R206" s="1604">
        <f t="shared" si="44"/>
        <v>31306</v>
      </c>
    </row>
    <row r="207" spans="1:18" x14ac:dyDescent="0.2">
      <c r="A207" s="261">
        <f t="shared" si="45"/>
        <v>14</v>
      </c>
      <c r="B207" s="422" t="str">
        <f>INDEX('LA List'!B:B,MATCH('EZ list'!D207,'LA List'!A:A,0))</f>
        <v>E2002</v>
      </c>
      <c r="C207" s="422" t="str">
        <f t="shared" si="43"/>
        <v>E2002EZ14</v>
      </c>
      <c r="D207" s="261" t="s">
        <v>150</v>
      </c>
      <c r="E207" s="261" t="s">
        <v>1052</v>
      </c>
      <c r="F207" s="261">
        <v>2016</v>
      </c>
      <c r="G207" s="577">
        <v>0</v>
      </c>
      <c r="H207" s="577">
        <v>0</v>
      </c>
      <c r="I207" s="577">
        <v>0</v>
      </c>
      <c r="J207" s="577">
        <f t="shared" si="39"/>
        <v>0</v>
      </c>
      <c r="K207" s="577">
        <f t="shared" si="40"/>
        <v>0</v>
      </c>
      <c r="L207" s="577">
        <f t="shared" si="41"/>
        <v>0</v>
      </c>
      <c r="M207" s="577">
        <f t="shared" si="42"/>
        <v>0</v>
      </c>
      <c r="N207" s="564">
        <v>0</v>
      </c>
      <c r="O207" s="577">
        <v>0</v>
      </c>
      <c r="P207" s="577" t="s">
        <v>1166</v>
      </c>
      <c r="Q207" s="577" t="s">
        <v>1166</v>
      </c>
      <c r="R207" s="1604">
        <f t="shared" si="44"/>
        <v>0</v>
      </c>
    </row>
    <row r="208" spans="1:18" x14ac:dyDescent="0.2">
      <c r="A208" s="261">
        <f t="shared" si="45"/>
        <v>15</v>
      </c>
      <c r="B208" s="422" t="str">
        <f>INDEX('LA List'!B:B,MATCH('EZ list'!D208,'LA List'!A:A,0))</f>
        <v>E2002</v>
      </c>
      <c r="C208" s="422" t="str">
        <f t="shared" si="43"/>
        <v>E2002EZ15</v>
      </c>
      <c r="D208" s="261" t="s">
        <v>150</v>
      </c>
      <c r="E208" s="261" t="s">
        <v>1053</v>
      </c>
      <c r="F208" s="261">
        <v>2016</v>
      </c>
      <c r="G208" s="577">
        <v>4730</v>
      </c>
      <c r="H208" s="577">
        <v>4730</v>
      </c>
      <c r="I208" s="577">
        <v>4872</v>
      </c>
      <c r="J208" s="577">
        <f t="shared" si="39"/>
        <v>4984</v>
      </c>
      <c r="K208" s="577">
        <f t="shared" si="40"/>
        <v>5065</v>
      </c>
      <c r="L208" s="577">
        <f t="shared" si="41"/>
        <v>5065</v>
      </c>
      <c r="M208" s="577">
        <f t="shared" si="42"/>
        <v>5065</v>
      </c>
      <c r="N208" s="564">
        <v>5369</v>
      </c>
      <c r="O208" s="577">
        <v>5369</v>
      </c>
      <c r="P208" s="577" t="s">
        <v>1166</v>
      </c>
      <c r="Q208" s="577" t="s">
        <v>1166</v>
      </c>
      <c r="R208" s="1604">
        <f t="shared" si="44"/>
        <v>5369</v>
      </c>
    </row>
    <row r="209" spans="1:18" x14ac:dyDescent="0.2">
      <c r="A209" s="261">
        <f t="shared" si="45"/>
        <v>16</v>
      </c>
      <c r="B209" s="422" t="str">
        <f>INDEX('LA List'!B:B,MATCH('EZ list'!D209,'LA List'!A:A,0))</f>
        <v>E2002</v>
      </c>
      <c r="C209" s="422" t="str">
        <f t="shared" si="43"/>
        <v>E2002EZ16</v>
      </c>
      <c r="D209" s="261" t="s">
        <v>150</v>
      </c>
      <c r="E209" s="261" t="s">
        <v>1054</v>
      </c>
      <c r="F209" s="261">
        <v>2016</v>
      </c>
      <c r="G209" s="577">
        <v>7698</v>
      </c>
      <c r="H209" s="577">
        <v>7698</v>
      </c>
      <c r="I209" s="577">
        <v>7929</v>
      </c>
      <c r="J209" s="577">
        <f t="shared" si="39"/>
        <v>8111</v>
      </c>
      <c r="K209" s="577">
        <f t="shared" si="40"/>
        <v>8243</v>
      </c>
      <c r="L209" s="577">
        <f t="shared" si="41"/>
        <v>8243</v>
      </c>
      <c r="M209" s="577">
        <f t="shared" si="42"/>
        <v>8243</v>
      </c>
      <c r="N209" s="564">
        <v>8738</v>
      </c>
      <c r="O209" s="577">
        <v>8738</v>
      </c>
      <c r="P209" s="577" t="s">
        <v>1166</v>
      </c>
      <c r="Q209" s="577" t="s">
        <v>1166</v>
      </c>
      <c r="R209" s="1604">
        <f t="shared" si="44"/>
        <v>8738</v>
      </c>
    </row>
    <row r="210" spans="1:18" x14ac:dyDescent="0.2">
      <c r="A210" s="261">
        <f t="shared" si="45"/>
        <v>17</v>
      </c>
      <c r="B210" s="422" t="str">
        <f>INDEX('LA List'!B:B,MATCH('EZ list'!D210,'LA List'!A:A,0))</f>
        <v>E2002</v>
      </c>
      <c r="C210" s="422" t="str">
        <f t="shared" si="43"/>
        <v>E2002EZ17</v>
      </c>
      <c r="D210" s="261" t="s">
        <v>150</v>
      </c>
      <c r="E210" s="261" t="s">
        <v>1055</v>
      </c>
      <c r="F210" s="261">
        <v>2016</v>
      </c>
      <c r="G210" s="577">
        <v>0</v>
      </c>
      <c r="H210" s="577">
        <v>0</v>
      </c>
      <c r="I210" s="577">
        <v>0</v>
      </c>
      <c r="J210" s="577">
        <f t="shared" si="39"/>
        <v>0</v>
      </c>
      <c r="K210" s="577">
        <f t="shared" si="40"/>
        <v>0</v>
      </c>
      <c r="L210" s="577">
        <f t="shared" si="41"/>
        <v>0</v>
      </c>
      <c r="M210" s="577">
        <f t="shared" si="42"/>
        <v>0</v>
      </c>
      <c r="N210" s="564">
        <v>0</v>
      </c>
      <c r="O210" s="577">
        <v>0</v>
      </c>
      <c r="P210" s="577" t="s">
        <v>1166</v>
      </c>
      <c r="Q210" s="577" t="s">
        <v>1166</v>
      </c>
      <c r="R210" s="1604">
        <f t="shared" si="44"/>
        <v>0</v>
      </c>
    </row>
    <row r="211" spans="1:18" x14ac:dyDescent="0.2">
      <c r="A211" s="261">
        <f t="shared" si="45"/>
        <v>18</v>
      </c>
      <c r="B211" s="422" t="str">
        <f>INDEX('LA List'!B:B,MATCH('EZ list'!D211,'LA List'!A:A,0))</f>
        <v>E2002</v>
      </c>
      <c r="C211" s="422" t="str">
        <f t="shared" si="43"/>
        <v>E2002EZ18</v>
      </c>
      <c r="D211" s="261" t="s">
        <v>150</v>
      </c>
      <c r="E211" s="261" t="s">
        <v>1056</v>
      </c>
      <c r="F211" s="261">
        <v>2016</v>
      </c>
      <c r="G211" s="577">
        <v>0</v>
      </c>
      <c r="H211" s="577">
        <v>0</v>
      </c>
      <c r="I211" s="577">
        <v>0</v>
      </c>
      <c r="J211" s="577">
        <f t="shared" si="39"/>
        <v>0</v>
      </c>
      <c r="K211" s="577">
        <f t="shared" si="40"/>
        <v>0</v>
      </c>
      <c r="L211" s="577">
        <f t="shared" si="41"/>
        <v>0</v>
      </c>
      <c r="M211" s="577">
        <f t="shared" si="42"/>
        <v>0</v>
      </c>
      <c r="N211" s="564">
        <v>0</v>
      </c>
      <c r="O211" s="577">
        <v>0</v>
      </c>
      <c r="P211" s="577" t="s">
        <v>1166</v>
      </c>
      <c r="Q211" s="577" t="s">
        <v>1166</v>
      </c>
      <c r="R211" s="1604">
        <f t="shared" si="44"/>
        <v>0</v>
      </c>
    </row>
    <row r="212" spans="1:18" x14ac:dyDescent="0.2">
      <c r="A212" s="261">
        <f t="shared" si="45"/>
        <v>19</v>
      </c>
      <c r="B212" s="422" t="str">
        <f>INDEX('LA List'!B:B,MATCH('EZ list'!D212,'LA List'!A:A,0))</f>
        <v>E2002</v>
      </c>
      <c r="C212" s="422" t="str">
        <f t="shared" si="43"/>
        <v>E2002EZ19</v>
      </c>
      <c r="D212" s="261" t="s">
        <v>150</v>
      </c>
      <c r="E212" s="261" t="s">
        <v>1057</v>
      </c>
      <c r="F212" s="261">
        <v>2016</v>
      </c>
      <c r="G212" s="577">
        <v>21006</v>
      </c>
      <c r="H212" s="577">
        <v>21006</v>
      </c>
      <c r="I212" s="577">
        <v>21637</v>
      </c>
      <c r="J212" s="577">
        <f t="shared" si="39"/>
        <v>22133</v>
      </c>
      <c r="K212" s="577">
        <f t="shared" si="40"/>
        <v>22494</v>
      </c>
      <c r="L212" s="577">
        <f t="shared" si="41"/>
        <v>22494</v>
      </c>
      <c r="M212" s="577">
        <f t="shared" si="42"/>
        <v>22494</v>
      </c>
      <c r="N212" s="564">
        <v>23844</v>
      </c>
      <c r="O212" s="577">
        <v>23844</v>
      </c>
      <c r="P212" s="577" t="s">
        <v>1166</v>
      </c>
      <c r="Q212" s="577" t="s">
        <v>1166</v>
      </c>
      <c r="R212" s="1604">
        <f t="shared" si="44"/>
        <v>23844</v>
      </c>
    </row>
    <row r="213" spans="1:18" x14ac:dyDescent="0.2">
      <c r="A213" s="261">
        <f t="shared" si="45"/>
        <v>20</v>
      </c>
      <c r="B213" s="422" t="str">
        <f>INDEX('LA List'!B:B,MATCH('EZ list'!D213,'LA List'!A:A,0))</f>
        <v>E2002</v>
      </c>
      <c r="C213" s="422" t="str">
        <f t="shared" si="43"/>
        <v>E2002EZ20</v>
      </c>
      <c r="D213" s="261" t="s">
        <v>150</v>
      </c>
      <c r="E213" s="261" t="s">
        <v>1058</v>
      </c>
      <c r="F213" s="261">
        <v>2016</v>
      </c>
      <c r="G213" s="577">
        <v>3262</v>
      </c>
      <c r="H213" s="577">
        <v>3262</v>
      </c>
      <c r="I213" s="577">
        <v>3360</v>
      </c>
      <c r="J213" s="577">
        <f t="shared" si="39"/>
        <v>3437</v>
      </c>
      <c r="K213" s="577">
        <f t="shared" si="40"/>
        <v>3493</v>
      </c>
      <c r="L213" s="577">
        <f t="shared" si="41"/>
        <v>3493</v>
      </c>
      <c r="M213" s="577">
        <f t="shared" si="42"/>
        <v>3493</v>
      </c>
      <c r="N213" s="564">
        <v>3703</v>
      </c>
      <c r="O213" s="577">
        <v>3703</v>
      </c>
      <c r="P213" s="577" t="s">
        <v>1166</v>
      </c>
      <c r="Q213" s="577" t="s">
        <v>1166</v>
      </c>
      <c r="R213" s="1604">
        <f t="shared" si="44"/>
        <v>3703</v>
      </c>
    </row>
    <row r="214" spans="1:18" x14ac:dyDescent="0.2">
      <c r="A214" s="261">
        <f t="shared" si="45"/>
        <v>21</v>
      </c>
      <c r="B214" s="422" t="str">
        <f>INDEX('LA List'!B:B,MATCH('EZ list'!D214,'LA List'!A:A,0))</f>
        <v>E2002</v>
      </c>
      <c r="C214" s="422" t="str">
        <f t="shared" si="43"/>
        <v>E2002EZ21</v>
      </c>
      <c r="D214" s="261" t="s">
        <v>150</v>
      </c>
      <c r="E214" s="261" t="s">
        <v>1059</v>
      </c>
      <c r="F214" s="261">
        <v>2016</v>
      </c>
      <c r="G214" s="577">
        <v>47520</v>
      </c>
      <c r="H214" s="577">
        <v>47520</v>
      </c>
      <c r="I214" s="577">
        <v>48948</v>
      </c>
      <c r="J214" s="577">
        <f t="shared" si="39"/>
        <v>50070</v>
      </c>
      <c r="K214" s="577">
        <f t="shared" si="40"/>
        <v>50886</v>
      </c>
      <c r="L214" s="577">
        <f t="shared" si="41"/>
        <v>50886</v>
      </c>
      <c r="M214" s="577">
        <f t="shared" si="42"/>
        <v>50886</v>
      </c>
      <c r="N214" s="564">
        <v>53939</v>
      </c>
      <c r="O214" s="577">
        <v>53939</v>
      </c>
      <c r="P214" s="577" t="s">
        <v>1166</v>
      </c>
      <c r="Q214" s="577" t="s">
        <v>1166</v>
      </c>
      <c r="R214" s="1604">
        <f t="shared" si="44"/>
        <v>53939</v>
      </c>
    </row>
    <row r="215" spans="1:18" x14ac:dyDescent="0.2">
      <c r="A215" s="261">
        <f t="shared" si="45"/>
        <v>22</v>
      </c>
      <c r="B215" s="422" t="str">
        <f>INDEX('LA List'!B:B,MATCH('EZ list'!D215,'LA List'!A:A,0))</f>
        <v>E2002</v>
      </c>
      <c r="C215" s="422" t="str">
        <f t="shared" si="43"/>
        <v>E2002EZ22</v>
      </c>
      <c r="D215" s="261" t="s">
        <v>150</v>
      </c>
      <c r="E215" s="261" t="s">
        <v>1060</v>
      </c>
      <c r="F215" s="261">
        <v>2016</v>
      </c>
      <c r="G215" s="577">
        <v>0</v>
      </c>
      <c r="H215" s="577">
        <v>0</v>
      </c>
      <c r="I215" s="577">
        <v>0</v>
      </c>
      <c r="J215" s="577">
        <f t="shared" si="39"/>
        <v>0</v>
      </c>
      <c r="K215" s="577">
        <f t="shared" si="40"/>
        <v>0</v>
      </c>
      <c r="L215" s="577">
        <f t="shared" si="41"/>
        <v>0</v>
      </c>
      <c r="M215" s="577">
        <f t="shared" si="42"/>
        <v>0</v>
      </c>
      <c r="N215" s="564">
        <v>0</v>
      </c>
      <c r="O215" s="577">
        <v>0</v>
      </c>
      <c r="P215" s="577" t="s">
        <v>1166</v>
      </c>
      <c r="Q215" s="577" t="s">
        <v>1166</v>
      </c>
      <c r="R215" s="1604">
        <f t="shared" si="44"/>
        <v>0</v>
      </c>
    </row>
    <row r="216" spans="1:18" x14ac:dyDescent="0.2">
      <c r="A216" s="261">
        <f t="shared" si="45"/>
        <v>1</v>
      </c>
      <c r="B216" s="422" t="str">
        <f>INDEX('LA List'!B:B,MATCH('EZ list'!D216,'LA List'!A:A,0))</f>
        <v>E5043</v>
      </c>
      <c r="C216" s="422" t="str">
        <f t="shared" ref="C216" si="46">CONCATENATE(B216,"EZ",A216)</f>
        <v>E5043EZ1</v>
      </c>
      <c r="D216" s="261" t="s">
        <v>152</v>
      </c>
      <c r="E216" s="261" t="s">
        <v>1166</v>
      </c>
      <c r="F216" s="261" t="s">
        <v>1166</v>
      </c>
      <c r="G216" s="577" t="s">
        <v>1166</v>
      </c>
      <c r="H216" s="577" t="s">
        <v>1166</v>
      </c>
      <c r="I216" s="577" t="s">
        <v>1166</v>
      </c>
      <c r="J216" s="577" t="str">
        <f t="shared" si="39"/>
        <v/>
      </c>
      <c r="K216" s="577" t="str">
        <f t="shared" si="40"/>
        <v/>
      </c>
      <c r="L216" s="577" t="str">
        <f t="shared" si="41"/>
        <v/>
      </c>
      <c r="M216" s="577" t="str">
        <f t="shared" si="42"/>
        <v/>
      </c>
      <c r="N216" s="564" t="s">
        <v>1166</v>
      </c>
      <c r="O216" s="577" t="s">
        <v>1166</v>
      </c>
      <c r="P216" s="577" t="s">
        <v>1166</v>
      </c>
      <c r="Q216" s="577" t="s">
        <v>1166</v>
      </c>
      <c r="R216" s="1604" t="str">
        <f t="shared" si="44"/>
        <v/>
      </c>
    </row>
    <row r="217" spans="1:18" x14ac:dyDescent="0.2">
      <c r="A217" s="261">
        <f t="shared" si="45"/>
        <v>1</v>
      </c>
      <c r="B217" s="422" t="str">
        <f>INDEX('LA List'!B:B,MATCH('EZ list'!D217,'LA List'!A:A,0))</f>
        <v>E4703</v>
      </c>
      <c r="C217" s="422" t="str">
        <f t="shared" si="43"/>
        <v>E4703EZ1</v>
      </c>
      <c r="D217" s="261" t="s">
        <v>154</v>
      </c>
      <c r="E217" s="261" t="s">
        <v>1061</v>
      </c>
      <c r="F217" s="261">
        <v>2017</v>
      </c>
      <c r="G217" s="577">
        <v>0</v>
      </c>
      <c r="H217" s="577">
        <v>0</v>
      </c>
      <c r="I217" s="577">
        <v>0</v>
      </c>
      <c r="J217" s="577">
        <f t="shared" si="39"/>
        <v>0</v>
      </c>
      <c r="K217" s="577">
        <f t="shared" si="40"/>
        <v>0</v>
      </c>
      <c r="L217" s="577">
        <f t="shared" si="41"/>
        <v>0</v>
      </c>
      <c r="M217" s="577">
        <f t="shared" si="42"/>
        <v>0</v>
      </c>
      <c r="N217" s="564">
        <v>0</v>
      </c>
      <c r="O217" s="577">
        <v>0</v>
      </c>
      <c r="P217" s="577" t="s">
        <v>1166</v>
      </c>
      <c r="Q217" s="577" t="s">
        <v>1166</v>
      </c>
      <c r="R217" s="1604">
        <f t="shared" si="44"/>
        <v>0</v>
      </c>
    </row>
    <row r="218" spans="1:18" x14ac:dyDescent="0.2">
      <c r="A218" s="261">
        <f t="shared" si="45"/>
        <v>2</v>
      </c>
      <c r="B218" s="422" t="str">
        <f>INDEX('LA List'!B:B,MATCH('EZ list'!D218,'LA List'!A:A,0))</f>
        <v>E4703</v>
      </c>
      <c r="C218" s="422" t="str">
        <f t="shared" si="43"/>
        <v>E4703EZ2</v>
      </c>
      <c r="D218" s="261" t="s">
        <v>154</v>
      </c>
      <c r="E218" s="261" t="s">
        <v>1062</v>
      </c>
      <c r="F218" s="261">
        <v>2017</v>
      </c>
      <c r="G218" s="577">
        <v>0</v>
      </c>
      <c r="H218" s="577">
        <v>0</v>
      </c>
      <c r="I218" s="577">
        <v>0</v>
      </c>
      <c r="J218" s="577">
        <f t="shared" si="39"/>
        <v>0</v>
      </c>
      <c r="K218" s="577">
        <f t="shared" si="40"/>
        <v>0</v>
      </c>
      <c r="L218" s="577">
        <f t="shared" si="41"/>
        <v>0</v>
      </c>
      <c r="M218" s="577">
        <f t="shared" si="42"/>
        <v>0</v>
      </c>
      <c r="N218" s="564">
        <v>0</v>
      </c>
      <c r="O218" s="577">
        <v>0</v>
      </c>
      <c r="P218" s="577" t="s">
        <v>1166</v>
      </c>
      <c r="Q218" s="577" t="s">
        <v>1166</v>
      </c>
      <c r="R218" s="1604">
        <f t="shared" si="44"/>
        <v>0</v>
      </c>
    </row>
    <row r="219" spans="1:18" x14ac:dyDescent="0.2">
      <c r="A219" s="261">
        <f t="shared" si="45"/>
        <v>3</v>
      </c>
      <c r="B219" s="422" t="str">
        <f>INDEX('LA List'!B:B,MATCH('EZ list'!D219,'LA List'!A:A,0))</f>
        <v>E4703</v>
      </c>
      <c r="C219" s="422" t="str">
        <f t="shared" si="43"/>
        <v>E4703EZ3</v>
      </c>
      <c r="D219" s="261" t="s">
        <v>154</v>
      </c>
      <c r="E219" s="261" t="s">
        <v>1063</v>
      </c>
      <c r="F219" s="261">
        <v>2017</v>
      </c>
      <c r="G219" s="577">
        <v>0</v>
      </c>
      <c r="H219" s="577">
        <v>0</v>
      </c>
      <c r="I219" s="577">
        <v>0</v>
      </c>
      <c r="J219" s="577">
        <f t="shared" si="39"/>
        <v>0</v>
      </c>
      <c r="K219" s="577">
        <f t="shared" si="40"/>
        <v>0</v>
      </c>
      <c r="L219" s="577">
        <f t="shared" si="41"/>
        <v>0</v>
      </c>
      <c r="M219" s="577">
        <f t="shared" si="42"/>
        <v>0</v>
      </c>
      <c r="N219" s="564">
        <v>0</v>
      </c>
      <c r="O219" s="577">
        <v>0</v>
      </c>
      <c r="P219" s="577" t="s">
        <v>1166</v>
      </c>
      <c r="Q219" s="577" t="s">
        <v>1166</v>
      </c>
      <c r="R219" s="1604">
        <f t="shared" si="44"/>
        <v>0</v>
      </c>
    </row>
    <row r="220" spans="1:18" x14ac:dyDescent="0.2">
      <c r="A220" s="261">
        <f t="shared" si="45"/>
        <v>1</v>
      </c>
      <c r="B220" s="422" t="str">
        <f>INDEX('LA List'!B:B,MATCH('EZ list'!D220,'LA List'!A:A,0))</f>
        <v>E4301</v>
      </c>
      <c r="C220" s="422" t="str">
        <f t="shared" si="43"/>
        <v>E4301EZ1</v>
      </c>
      <c r="D220" s="261" t="s">
        <v>156</v>
      </c>
      <c r="E220" s="261" t="s">
        <v>1166</v>
      </c>
      <c r="F220" s="261" t="s">
        <v>1166</v>
      </c>
      <c r="G220" s="577" t="s">
        <v>1166</v>
      </c>
      <c r="H220" s="577" t="s">
        <v>1166</v>
      </c>
      <c r="I220" s="577" t="s">
        <v>1166</v>
      </c>
      <c r="J220" s="577" t="str">
        <f t="shared" si="39"/>
        <v/>
      </c>
      <c r="K220" s="577" t="str">
        <f t="shared" si="40"/>
        <v/>
      </c>
      <c r="L220" s="577" t="str">
        <f t="shared" si="41"/>
        <v/>
      </c>
      <c r="M220" s="577" t="str">
        <f t="shared" si="42"/>
        <v/>
      </c>
      <c r="N220" s="564" t="s">
        <v>1166</v>
      </c>
      <c r="O220" s="577" t="s">
        <v>1166</v>
      </c>
      <c r="P220" s="577" t="s">
        <v>1166</v>
      </c>
      <c r="Q220" s="577" t="s">
        <v>1166</v>
      </c>
      <c r="R220" s="1604" t="str">
        <f t="shared" si="44"/>
        <v/>
      </c>
    </row>
    <row r="221" spans="1:18" x14ac:dyDescent="0.2">
      <c r="A221" s="261">
        <f t="shared" si="45"/>
        <v>1</v>
      </c>
      <c r="B221" s="422" t="str">
        <f>INDEX('LA List'!B:B,MATCH('EZ list'!D221,'LA List'!A:A,0))</f>
        <v>E5017</v>
      </c>
      <c r="C221" s="422" t="str">
        <f t="shared" si="43"/>
        <v>E5017EZ1</v>
      </c>
      <c r="D221" s="261" t="s">
        <v>158</v>
      </c>
      <c r="E221" s="261" t="s">
        <v>925</v>
      </c>
      <c r="F221" s="261">
        <v>2015</v>
      </c>
      <c r="G221" s="577">
        <v>1605555</v>
      </c>
      <c r="H221" s="577">
        <v>1605555</v>
      </c>
      <c r="I221" s="577">
        <v>1653791</v>
      </c>
      <c r="J221" s="577">
        <f t="shared" si="39"/>
        <v>1691690</v>
      </c>
      <c r="K221" s="577">
        <f t="shared" si="40"/>
        <v>1719253</v>
      </c>
      <c r="L221" s="577">
        <f t="shared" si="41"/>
        <v>1719253</v>
      </c>
      <c r="M221" s="577">
        <f t="shared" si="42"/>
        <v>1719253</v>
      </c>
      <c r="N221" s="564">
        <v>1466410</v>
      </c>
      <c r="O221" s="577">
        <v>1466410</v>
      </c>
      <c r="P221" s="577" t="s">
        <v>1166</v>
      </c>
      <c r="Q221" s="577" t="s">
        <v>1166</v>
      </c>
      <c r="R221" s="1604">
        <f t="shared" si="44"/>
        <v>1466410</v>
      </c>
    </row>
    <row r="222" spans="1:18" x14ac:dyDescent="0.2">
      <c r="A222" s="261">
        <f t="shared" si="45"/>
        <v>1</v>
      </c>
      <c r="B222" s="422" t="str">
        <f>INDEX('LA List'!B:B,MATCH('EZ list'!D222,'LA List'!A:A,0))</f>
        <v>E2337</v>
      </c>
      <c r="C222" s="422" t="str">
        <f t="shared" si="43"/>
        <v>E2337EZ1</v>
      </c>
      <c r="D222" s="261" t="s">
        <v>160</v>
      </c>
      <c r="E222" s="261" t="s">
        <v>1166</v>
      </c>
      <c r="F222" s="261" t="s">
        <v>1166</v>
      </c>
      <c r="G222" s="577" t="s">
        <v>1166</v>
      </c>
      <c r="H222" s="577" t="s">
        <v>1166</v>
      </c>
      <c r="I222" s="577" t="s">
        <v>1166</v>
      </c>
      <c r="J222" s="577" t="str">
        <f t="shared" si="39"/>
        <v/>
      </c>
      <c r="K222" s="577" t="str">
        <f t="shared" si="40"/>
        <v/>
      </c>
      <c r="L222" s="577" t="str">
        <f t="shared" si="41"/>
        <v/>
      </c>
      <c r="M222" s="577" t="str">
        <f t="shared" si="42"/>
        <v/>
      </c>
      <c r="N222" s="564" t="s">
        <v>1166</v>
      </c>
      <c r="O222" s="577" t="s">
        <v>1166</v>
      </c>
      <c r="P222" s="577" t="s">
        <v>1166</v>
      </c>
      <c r="Q222" s="577" t="s">
        <v>1166</v>
      </c>
      <c r="R222" s="1604" t="str">
        <f t="shared" si="44"/>
        <v/>
      </c>
    </row>
    <row r="223" spans="1:18" x14ac:dyDescent="0.2">
      <c r="A223" s="261">
        <f t="shared" si="45"/>
        <v>1</v>
      </c>
      <c r="B223" s="422" t="str">
        <f>INDEX('LA List'!B:B,MATCH('EZ list'!D223,'LA List'!A:A,0))</f>
        <v>E4704</v>
      </c>
      <c r="C223" s="422" t="str">
        <f t="shared" si="43"/>
        <v>E4704EZ1</v>
      </c>
      <c r="D223" s="261" t="s">
        <v>162</v>
      </c>
      <c r="E223" s="261" t="s">
        <v>850</v>
      </c>
      <c r="F223" s="261">
        <v>2013</v>
      </c>
      <c r="G223" s="577">
        <v>982004</v>
      </c>
      <c r="H223" s="577">
        <v>982004</v>
      </c>
      <c r="I223" s="577">
        <v>1011506</v>
      </c>
      <c r="J223" s="577">
        <f t="shared" si="39"/>
        <v>1034686</v>
      </c>
      <c r="K223" s="577">
        <f t="shared" si="40"/>
        <v>1051544</v>
      </c>
      <c r="L223" s="577">
        <f t="shared" si="41"/>
        <v>1051544</v>
      </c>
      <c r="M223" s="577">
        <f t="shared" si="42"/>
        <v>1051544</v>
      </c>
      <c r="N223" s="564">
        <v>1402322</v>
      </c>
      <c r="O223" s="577">
        <v>1402322</v>
      </c>
      <c r="P223" s="577" t="s">
        <v>1166</v>
      </c>
      <c r="Q223" s="577" t="s">
        <v>1166</v>
      </c>
      <c r="R223" s="1604">
        <f t="shared" si="44"/>
        <v>1402322</v>
      </c>
    </row>
    <row r="224" spans="1:18" x14ac:dyDescent="0.2">
      <c r="A224" s="261">
        <f t="shared" si="45"/>
        <v>1</v>
      </c>
      <c r="B224" s="422" t="str">
        <f>INDEX('LA List'!B:B,MATCH('EZ list'!D224,'LA List'!A:A,0))</f>
        <v>E2401</v>
      </c>
      <c r="C224" s="422" t="str">
        <f t="shared" si="43"/>
        <v>E2401EZ1</v>
      </c>
      <c r="D224" s="261" t="s">
        <v>164</v>
      </c>
      <c r="E224" s="261" t="s">
        <v>1064</v>
      </c>
      <c r="F224" s="261">
        <v>2017</v>
      </c>
      <c r="G224" s="577">
        <v>2334075</v>
      </c>
      <c r="H224" s="577">
        <v>2334075</v>
      </c>
      <c r="I224" s="577">
        <v>2404197</v>
      </c>
      <c r="J224" s="577">
        <f t="shared" si="39"/>
        <v>2459293</v>
      </c>
      <c r="K224" s="577">
        <f t="shared" si="40"/>
        <v>2499363</v>
      </c>
      <c r="L224" s="577">
        <f t="shared" si="41"/>
        <v>2499363</v>
      </c>
      <c r="M224" s="577">
        <f t="shared" si="42"/>
        <v>2499363</v>
      </c>
      <c r="N224" s="564">
        <v>2761219</v>
      </c>
      <c r="O224" s="577">
        <v>2761219</v>
      </c>
      <c r="P224" s="577" t="s">
        <v>1166</v>
      </c>
      <c r="Q224" s="577" t="s">
        <v>1166</v>
      </c>
      <c r="R224" s="1604">
        <f t="shared" si="44"/>
        <v>2761219</v>
      </c>
    </row>
    <row r="225" spans="1:18" x14ac:dyDescent="0.2">
      <c r="A225" s="261">
        <f t="shared" si="45"/>
        <v>1</v>
      </c>
      <c r="B225" s="422" t="str">
        <f>INDEX('LA List'!B:B,MATCH('EZ list'!D225,'LA List'!A:A,0))</f>
        <v>E1435</v>
      </c>
      <c r="C225" s="422" t="str">
        <f t="shared" si="43"/>
        <v>E1435EZ1</v>
      </c>
      <c r="D225" s="261" t="s">
        <v>166</v>
      </c>
      <c r="E225" s="261" t="s">
        <v>1065</v>
      </c>
      <c r="F225" s="261">
        <v>2017</v>
      </c>
      <c r="G225" s="577">
        <v>249858</v>
      </c>
      <c r="H225" s="577">
        <v>249858</v>
      </c>
      <c r="I225" s="577">
        <v>257364</v>
      </c>
      <c r="J225" s="577">
        <f t="shared" si="39"/>
        <v>263262</v>
      </c>
      <c r="K225" s="577">
        <f t="shared" si="40"/>
        <v>267551</v>
      </c>
      <c r="L225" s="577">
        <f t="shared" si="41"/>
        <v>267551</v>
      </c>
      <c r="M225" s="577">
        <f t="shared" si="42"/>
        <v>267551</v>
      </c>
      <c r="N225" s="564">
        <v>178538</v>
      </c>
      <c r="O225" s="577">
        <v>178538</v>
      </c>
      <c r="P225" s="577" t="s">
        <v>1166</v>
      </c>
      <c r="Q225" s="577" t="s">
        <v>1166</v>
      </c>
      <c r="R225" s="1604">
        <f t="shared" si="44"/>
        <v>178538</v>
      </c>
    </row>
    <row r="226" spans="1:18" x14ac:dyDescent="0.2">
      <c r="A226" s="261">
        <f t="shared" si="45"/>
        <v>2</v>
      </c>
      <c r="B226" s="422" t="str">
        <f>INDEX('LA List'!B:B,MATCH('EZ list'!D226,'LA List'!A:A,0))</f>
        <v>E1435</v>
      </c>
      <c r="C226" s="422" t="str">
        <f t="shared" si="43"/>
        <v>E1435EZ2</v>
      </c>
      <c r="D226" s="261" t="s">
        <v>166</v>
      </c>
      <c r="E226" s="261" t="s">
        <v>1066</v>
      </c>
      <c r="F226" s="261">
        <v>2017</v>
      </c>
      <c r="G226" s="577">
        <v>0</v>
      </c>
      <c r="H226" s="577">
        <v>0</v>
      </c>
      <c r="I226" s="577">
        <v>0</v>
      </c>
      <c r="J226" s="577">
        <f t="shared" si="39"/>
        <v>0</v>
      </c>
      <c r="K226" s="577">
        <f t="shared" si="40"/>
        <v>0</v>
      </c>
      <c r="L226" s="577">
        <f t="shared" si="41"/>
        <v>0</v>
      </c>
      <c r="M226" s="577">
        <f t="shared" si="42"/>
        <v>0</v>
      </c>
      <c r="N226" s="564">
        <v>0</v>
      </c>
      <c r="O226" s="577">
        <v>0</v>
      </c>
      <c r="P226" s="577" t="s">
        <v>1166</v>
      </c>
      <c r="Q226" s="577" t="s">
        <v>1166</v>
      </c>
      <c r="R226" s="1604">
        <f t="shared" si="44"/>
        <v>0</v>
      </c>
    </row>
    <row r="227" spans="1:18" x14ac:dyDescent="0.2">
      <c r="A227" s="261">
        <f t="shared" si="45"/>
        <v>3</v>
      </c>
      <c r="B227" s="422" t="str">
        <f>INDEX('LA List'!B:B,MATCH('EZ list'!D227,'LA List'!A:A,0))</f>
        <v>E1435</v>
      </c>
      <c r="C227" s="422" t="str">
        <f t="shared" si="43"/>
        <v>E1435EZ3</v>
      </c>
      <c r="D227" s="261" t="s">
        <v>166</v>
      </c>
      <c r="E227" s="261" t="s">
        <v>1067</v>
      </c>
      <c r="F227" s="261">
        <v>2017</v>
      </c>
      <c r="G227" s="577">
        <v>0</v>
      </c>
      <c r="H227" s="577">
        <v>0</v>
      </c>
      <c r="I227" s="577">
        <v>0</v>
      </c>
      <c r="J227" s="577">
        <f t="shared" si="39"/>
        <v>0</v>
      </c>
      <c r="K227" s="577">
        <f t="shared" si="40"/>
        <v>0</v>
      </c>
      <c r="L227" s="577">
        <f t="shared" si="41"/>
        <v>0</v>
      </c>
      <c r="M227" s="577">
        <f t="shared" si="42"/>
        <v>0</v>
      </c>
      <c r="N227" s="564">
        <v>0</v>
      </c>
      <c r="O227" s="577">
        <v>0</v>
      </c>
      <c r="P227" s="577" t="s">
        <v>1166</v>
      </c>
      <c r="Q227" s="577" t="s">
        <v>1166</v>
      </c>
      <c r="R227" s="1604">
        <f t="shared" si="44"/>
        <v>0</v>
      </c>
    </row>
    <row r="228" spans="1:18" x14ac:dyDescent="0.2">
      <c r="A228" s="261">
        <f t="shared" si="45"/>
        <v>4</v>
      </c>
      <c r="B228" s="422" t="str">
        <f>INDEX('LA List'!B:B,MATCH('EZ list'!D228,'LA List'!A:A,0))</f>
        <v>E1435</v>
      </c>
      <c r="C228" s="422" t="str">
        <f t="shared" si="43"/>
        <v>E1435EZ4</v>
      </c>
      <c r="D228" s="261" t="s">
        <v>166</v>
      </c>
      <c r="E228" s="261" t="s">
        <v>1068</v>
      </c>
      <c r="F228" s="261">
        <v>2017</v>
      </c>
      <c r="G228" s="577">
        <v>169680</v>
      </c>
      <c r="H228" s="577">
        <v>169680</v>
      </c>
      <c r="I228" s="577">
        <v>174778</v>
      </c>
      <c r="J228" s="577">
        <f t="shared" si="39"/>
        <v>178783</v>
      </c>
      <c r="K228" s="577">
        <f t="shared" si="40"/>
        <v>181696</v>
      </c>
      <c r="L228" s="577">
        <f t="shared" si="41"/>
        <v>181696</v>
      </c>
      <c r="M228" s="577">
        <f t="shared" si="42"/>
        <v>181696</v>
      </c>
      <c r="N228" s="564">
        <v>225551</v>
      </c>
      <c r="O228" s="577">
        <v>225551</v>
      </c>
      <c r="P228" s="577" t="s">
        <v>1166</v>
      </c>
      <c r="Q228" s="577" t="s">
        <v>1166</v>
      </c>
      <c r="R228" s="1604">
        <f t="shared" si="44"/>
        <v>225551</v>
      </c>
    </row>
    <row r="229" spans="1:18" x14ac:dyDescent="0.2">
      <c r="A229" s="261">
        <f t="shared" si="45"/>
        <v>5</v>
      </c>
      <c r="B229" s="422" t="str">
        <f>INDEX('LA List'!B:B,MATCH('EZ list'!D229,'LA List'!A:A,0))</f>
        <v>E1435</v>
      </c>
      <c r="C229" s="422" t="str">
        <f t="shared" si="43"/>
        <v>E1435EZ5</v>
      </c>
      <c r="D229" s="261" t="s">
        <v>166</v>
      </c>
      <c r="E229" s="261" t="s">
        <v>1069</v>
      </c>
      <c r="F229" s="261">
        <v>2017</v>
      </c>
      <c r="G229" s="577">
        <v>1291</v>
      </c>
      <c r="H229" s="577">
        <v>1291</v>
      </c>
      <c r="I229" s="577">
        <v>1330</v>
      </c>
      <c r="J229" s="577">
        <f t="shared" ref="J229:J245" si="47">IF(I229="","",ROUND(I229*$J$1,0))</f>
        <v>1360</v>
      </c>
      <c r="K229" s="577">
        <f t="shared" ref="K229:K245" si="48">IF(J229="","",ROUND(J229*$K$1,0))</f>
        <v>1382</v>
      </c>
      <c r="L229" s="577">
        <f t="shared" ref="L229:L245" si="49">IF(K229="","",ROUND(K229*$L$1,0))</f>
        <v>1382</v>
      </c>
      <c r="M229" s="577">
        <f t="shared" ref="M229:M245" si="50">IF(L229="","",ROUND(L229*$M$1,0))</f>
        <v>1382</v>
      </c>
      <c r="N229" s="564">
        <v>1479</v>
      </c>
      <c r="O229" s="577">
        <v>1479</v>
      </c>
      <c r="P229" s="577" t="s">
        <v>1166</v>
      </c>
      <c r="Q229" s="577" t="s">
        <v>1166</v>
      </c>
      <c r="R229" s="1604">
        <f t="shared" si="44"/>
        <v>1479</v>
      </c>
    </row>
    <row r="230" spans="1:18" x14ac:dyDescent="0.2">
      <c r="A230" s="261">
        <f t="shared" si="45"/>
        <v>6</v>
      </c>
      <c r="B230" s="422" t="str">
        <f>INDEX('LA List'!B:B,MATCH('EZ list'!D230,'LA List'!A:A,0))</f>
        <v>E1435</v>
      </c>
      <c r="C230" s="422" t="str">
        <f t="shared" si="43"/>
        <v>E1435EZ6</v>
      </c>
      <c r="D230" s="261" t="s">
        <v>166</v>
      </c>
      <c r="E230" s="261" t="s">
        <v>1070</v>
      </c>
      <c r="F230" s="261">
        <v>2017</v>
      </c>
      <c r="G230" s="577">
        <v>61903</v>
      </c>
      <c r="H230" s="577">
        <v>61903</v>
      </c>
      <c r="I230" s="577">
        <v>63763</v>
      </c>
      <c r="J230" s="577">
        <f t="shared" si="47"/>
        <v>65224</v>
      </c>
      <c r="K230" s="577">
        <f t="shared" si="48"/>
        <v>66287</v>
      </c>
      <c r="L230" s="577">
        <f t="shared" si="49"/>
        <v>66287</v>
      </c>
      <c r="M230" s="577">
        <f t="shared" si="50"/>
        <v>66287</v>
      </c>
      <c r="N230" s="564">
        <v>82380</v>
      </c>
      <c r="O230" s="577">
        <v>82380</v>
      </c>
      <c r="P230" s="577" t="s">
        <v>1166</v>
      </c>
      <c r="Q230" s="577" t="s">
        <v>1166</v>
      </c>
      <c r="R230" s="1604">
        <f t="shared" si="44"/>
        <v>82380</v>
      </c>
    </row>
    <row r="231" spans="1:18" x14ac:dyDescent="0.2">
      <c r="A231" s="261">
        <f t="shared" si="45"/>
        <v>7</v>
      </c>
      <c r="B231" s="422" t="str">
        <f>INDEX('LA List'!B:B,MATCH('EZ list'!D231,'LA List'!A:A,0))</f>
        <v>E1435</v>
      </c>
      <c r="C231" s="422" t="str">
        <f t="shared" si="43"/>
        <v>E1435EZ7</v>
      </c>
      <c r="D231" s="261" t="s">
        <v>166</v>
      </c>
      <c r="E231" s="261" t="s">
        <v>1071</v>
      </c>
      <c r="F231" s="261">
        <v>2017</v>
      </c>
      <c r="G231" s="577">
        <v>290163</v>
      </c>
      <c r="H231" s="577">
        <v>290163</v>
      </c>
      <c r="I231" s="577">
        <v>298880</v>
      </c>
      <c r="J231" s="577">
        <f t="shared" si="47"/>
        <v>305729</v>
      </c>
      <c r="K231" s="577">
        <f t="shared" si="48"/>
        <v>310710</v>
      </c>
      <c r="L231" s="577">
        <f t="shared" si="49"/>
        <v>310710</v>
      </c>
      <c r="M231" s="577">
        <f t="shared" si="50"/>
        <v>310710</v>
      </c>
      <c r="N231" s="564">
        <v>25103</v>
      </c>
      <c r="O231" s="577">
        <v>25103</v>
      </c>
      <c r="P231" s="577" t="s">
        <v>1166</v>
      </c>
      <c r="Q231" s="577" t="s">
        <v>1166</v>
      </c>
      <c r="R231" s="1604">
        <f t="shared" si="44"/>
        <v>25103</v>
      </c>
    </row>
    <row r="232" spans="1:18" x14ac:dyDescent="0.2">
      <c r="A232" s="261">
        <f t="shared" si="45"/>
        <v>8</v>
      </c>
      <c r="B232" s="422" t="str">
        <f>INDEX('LA List'!B:B,MATCH('EZ list'!D232,'LA List'!A:A,0))</f>
        <v>E1435</v>
      </c>
      <c r="C232" s="422" t="str">
        <f t="shared" si="43"/>
        <v>E1435EZ8</v>
      </c>
      <c r="D232" s="261" t="s">
        <v>166</v>
      </c>
      <c r="E232" s="261" t="s">
        <v>1072</v>
      </c>
      <c r="F232" s="261">
        <v>2017</v>
      </c>
      <c r="G232" s="577">
        <v>1226456</v>
      </c>
      <c r="H232" s="577">
        <v>1226456</v>
      </c>
      <c r="I232" s="577">
        <v>1263302</v>
      </c>
      <c r="J232" s="577">
        <f t="shared" si="47"/>
        <v>1292253</v>
      </c>
      <c r="K232" s="577">
        <f t="shared" si="48"/>
        <v>1313308</v>
      </c>
      <c r="L232" s="577">
        <f t="shared" si="49"/>
        <v>1313308</v>
      </c>
      <c r="M232" s="577">
        <f t="shared" si="50"/>
        <v>1313308</v>
      </c>
      <c r="N232" s="564">
        <v>1974290</v>
      </c>
      <c r="O232" s="577">
        <v>1974290</v>
      </c>
      <c r="P232" s="577" t="s">
        <v>1166</v>
      </c>
      <c r="Q232" s="577" t="s">
        <v>1166</v>
      </c>
      <c r="R232" s="1604">
        <f t="shared" si="44"/>
        <v>1974290</v>
      </c>
    </row>
    <row r="233" spans="1:18" x14ac:dyDescent="0.2">
      <c r="A233" s="261">
        <f t="shared" si="45"/>
        <v>1</v>
      </c>
      <c r="B233" s="422" t="str">
        <f>INDEX('LA List'!B:B,MATCH('EZ list'!D233,'LA List'!A:A,0))</f>
        <v>E5018</v>
      </c>
      <c r="C233" s="422" t="str">
        <f t="shared" si="43"/>
        <v>E5018EZ1</v>
      </c>
      <c r="D233" s="261" t="s">
        <v>168</v>
      </c>
      <c r="E233" s="261" t="s">
        <v>1166</v>
      </c>
      <c r="F233" s="261" t="s">
        <v>1166</v>
      </c>
      <c r="G233" s="577" t="s">
        <v>1166</v>
      </c>
      <c r="H233" s="577" t="s">
        <v>1166</v>
      </c>
      <c r="I233" s="577" t="s">
        <v>1166</v>
      </c>
      <c r="J233" s="577" t="str">
        <f t="shared" si="47"/>
        <v/>
      </c>
      <c r="K233" s="577" t="str">
        <f t="shared" si="48"/>
        <v/>
      </c>
      <c r="L233" s="577" t="str">
        <f t="shared" si="49"/>
        <v/>
      </c>
      <c r="M233" s="577" t="str">
        <f t="shared" si="50"/>
        <v/>
      </c>
      <c r="N233" s="564" t="s">
        <v>1166</v>
      </c>
      <c r="O233" s="577" t="s">
        <v>1166</v>
      </c>
      <c r="P233" s="577" t="s">
        <v>1166</v>
      </c>
      <c r="Q233" s="577" t="s">
        <v>1166</v>
      </c>
      <c r="R233" s="1604" t="str">
        <f t="shared" si="44"/>
        <v/>
      </c>
    </row>
    <row r="234" spans="1:18" x14ac:dyDescent="0.2">
      <c r="A234" s="261">
        <f t="shared" si="45"/>
        <v>1</v>
      </c>
      <c r="B234" s="422" t="str">
        <f>INDEX('LA List'!B:B,MATCH('EZ list'!D234,'LA List'!A:A,0))</f>
        <v>E3433</v>
      </c>
      <c r="C234" s="422" t="str">
        <f t="shared" si="43"/>
        <v>E3433EZ1</v>
      </c>
      <c r="D234" s="261" t="s">
        <v>170</v>
      </c>
      <c r="E234" s="261" t="s">
        <v>1166</v>
      </c>
      <c r="F234" s="261" t="s">
        <v>1166</v>
      </c>
      <c r="G234" s="577" t="s">
        <v>1166</v>
      </c>
      <c r="H234" s="577" t="s">
        <v>1166</v>
      </c>
      <c r="I234" s="577" t="s">
        <v>1166</v>
      </c>
      <c r="J234" s="577" t="str">
        <f t="shared" si="47"/>
        <v/>
      </c>
      <c r="K234" s="577" t="str">
        <f t="shared" si="48"/>
        <v/>
      </c>
      <c r="L234" s="577" t="str">
        <f t="shared" si="49"/>
        <v/>
      </c>
      <c r="M234" s="577" t="str">
        <f t="shared" si="50"/>
        <v/>
      </c>
      <c r="N234" s="564" t="s">
        <v>1166</v>
      </c>
      <c r="O234" s="577" t="s">
        <v>1166</v>
      </c>
      <c r="P234" s="577" t="s">
        <v>1166</v>
      </c>
      <c r="Q234" s="577" t="s">
        <v>1166</v>
      </c>
      <c r="R234" s="1604" t="str">
        <f t="shared" si="44"/>
        <v/>
      </c>
    </row>
    <row r="235" spans="1:18" x14ac:dyDescent="0.2">
      <c r="A235" s="261">
        <f t="shared" si="45"/>
        <v>1</v>
      </c>
      <c r="B235" s="422" t="str">
        <f>INDEX('LA List'!B:B,MATCH('EZ list'!D235,'LA List'!A:A,0))</f>
        <v>E2533</v>
      </c>
      <c r="C235" s="422" t="str">
        <f t="shared" si="43"/>
        <v>E2533EZ1</v>
      </c>
      <c r="D235" s="261" t="s">
        <v>172</v>
      </c>
      <c r="E235" s="261" t="s">
        <v>1166</v>
      </c>
      <c r="F235" s="261" t="s">
        <v>1166</v>
      </c>
      <c r="G235" s="577" t="s">
        <v>1166</v>
      </c>
      <c r="H235" s="577" t="s">
        <v>1166</v>
      </c>
      <c r="I235" s="577" t="s">
        <v>1166</v>
      </c>
      <c r="J235" s="577" t="str">
        <f t="shared" si="47"/>
        <v/>
      </c>
      <c r="K235" s="577" t="str">
        <f t="shared" si="48"/>
        <v/>
      </c>
      <c r="L235" s="577" t="str">
        <f t="shared" si="49"/>
        <v/>
      </c>
      <c r="M235" s="577" t="str">
        <f t="shared" si="50"/>
        <v/>
      </c>
      <c r="N235" s="564" t="s">
        <v>1166</v>
      </c>
      <c r="O235" s="577" t="s">
        <v>1166</v>
      </c>
      <c r="P235" s="577" t="s">
        <v>1166</v>
      </c>
      <c r="Q235" s="577" t="s">
        <v>1166</v>
      </c>
      <c r="R235" s="1604" t="str">
        <f t="shared" si="44"/>
        <v/>
      </c>
    </row>
    <row r="236" spans="1:18" x14ac:dyDescent="0.2">
      <c r="A236" s="261">
        <f t="shared" si="45"/>
        <v>1</v>
      </c>
      <c r="B236" s="422" t="str">
        <f>INDEX('LA List'!B:B,MATCH('EZ list'!D236,'LA List'!A:A,0))</f>
        <v>E4302</v>
      </c>
      <c r="C236" s="422" t="str">
        <f t="shared" si="43"/>
        <v>E4302EZ1</v>
      </c>
      <c r="D236" s="261" t="s">
        <v>174</v>
      </c>
      <c r="E236" s="261" t="s">
        <v>851</v>
      </c>
      <c r="F236" s="261">
        <v>2013</v>
      </c>
      <c r="G236" s="577">
        <v>3434396</v>
      </c>
      <c r="H236" s="577">
        <v>3434396</v>
      </c>
      <c r="I236" s="577">
        <v>3537575</v>
      </c>
      <c r="J236" s="577">
        <f t="shared" si="47"/>
        <v>3618644</v>
      </c>
      <c r="K236" s="577">
        <f t="shared" si="48"/>
        <v>3677604</v>
      </c>
      <c r="L236" s="577">
        <f t="shared" si="49"/>
        <v>3677604</v>
      </c>
      <c r="M236" s="577">
        <f t="shared" si="50"/>
        <v>3677604</v>
      </c>
      <c r="N236" s="564">
        <v>3677604</v>
      </c>
      <c r="O236" s="577">
        <v>3677604</v>
      </c>
      <c r="P236" s="577" t="s">
        <v>1166</v>
      </c>
      <c r="Q236" s="577" t="s">
        <v>1166</v>
      </c>
      <c r="R236" s="1604">
        <f t="shared" si="44"/>
        <v>3677604</v>
      </c>
    </row>
    <row r="237" spans="1:18" x14ac:dyDescent="0.2">
      <c r="A237" s="261">
        <f t="shared" si="45"/>
        <v>2</v>
      </c>
      <c r="B237" s="422" t="str">
        <f>INDEX('LA List'!B:B,MATCH('EZ list'!D237,'LA List'!A:A,0))</f>
        <v>E4302</v>
      </c>
      <c r="C237" s="422" t="str">
        <f t="shared" si="43"/>
        <v>E4302EZ2</v>
      </c>
      <c r="D237" s="261" t="s">
        <v>174</v>
      </c>
      <c r="E237" s="261" t="s">
        <v>852</v>
      </c>
      <c r="F237" s="261">
        <v>2013</v>
      </c>
      <c r="G237" s="577">
        <v>29424797</v>
      </c>
      <c r="H237" s="577">
        <v>29424797</v>
      </c>
      <c r="I237" s="577">
        <v>30308804</v>
      </c>
      <c r="J237" s="577">
        <f t="shared" si="47"/>
        <v>31003381</v>
      </c>
      <c r="K237" s="577">
        <f t="shared" si="48"/>
        <v>31508528</v>
      </c>
      <c r="L237" s="577">
        <f t="shared" si="49"/>
        <v>31508528</v>
      </c>
      <c r="M237" s="577">
        <f t="shared" si="50"/>
        <v>31508528</v>
      </c>
      <c r="N237" s="564">
        <v>31508528</v>
      </c>
      <c r="O237" s="577">
        <v>31508528</v>
      </c>
      <c r="P237" s="577" t="s">
        <v>1166</v>
      </c>
      <c r="Q237" s="577" t="s">
        <v>1166</v>
      </c>
      <c r="R237" s="1604">
        <f t="shared" si="44"/>
        <v>31508528</v>
      </c>
    </row>
    <row r="238" spans="1:18" x14ac:dyDescent="0.2">
      <c r="A238" s="261">
        <f t="shared" si="45"/>
        <v>1</v>
      </c>
      <c r="B238" s="422" t="str">
        <f>INDEX('LA List'!B:B,MATCH('EZ list'!D238,'LA List'!A:A,0))</f>
        <v>E0201</v>
      </c>
      <c r="C238" s="422" t="str">
        <f t="shared" si="43"/>
        <v>E0201EZ1</v>
      </c>
      <c r="D238" s="261" t="s">
        <v>176</v>
      </c>
      <c r="E238" s="261" t="s">
        <v>1073</v>
      </c>
      <c r="F238" s="261">
        <v>2016</v>
      </c>
      <c r="G238" s="577">
        <v>4525992</v>
      </c>
      <c r="H238" s="577">
        <v>4525992</v>
      </c>
      <c r="I238" s="577">
        <v>4661966</v>
      </c>
      <c r="J238" s="577">
        <f t="shared" si="47"/>
        <v>4768803</v>
      </c>
      <c r="K238" s="577">
        <f t="shared" si="48"/>
        <v>4846502</v>
      </c>
      <c r="L238" s="577">
        <f t="shared" si="49"/>
        <v>4846502</v>
      </c>
      <c r="M238" s="577">
        <f t="shared" si="50"/>
        <v>4846502</v>
      </c>
      <c r="N238" s="564">
        <v>5544581</v>
      </c>
      <c r="O238" s="577">
        <v>5544581</v>
      </c>
      <c r="P238" s="577" t="s">
        <v>1166</v>
      </c>
      <c r="Q238" s="577" t="s">
        <v>1166</v>
      </c>
      <c r="R238" s="1604">
        <f t="shared" si="44"/>
        <v>5544581</v>
      </c>
    </row>
    <row r="239" spans="1:18" x14ac:dyDescent="0.2">
      <c r="A239" s="261">
        <f t="shared" si="45"/>
        <v>1</v>
      </c>
      <c r="B239" s="422" t="str">
        <f>INDEX('LA List'!B:B,MATCH('EZ list'!D239,'LA List'!A:A,0))</f>
        <v>E2237</v>
      </c>
      <c r="C239" s="422" t="str">
        <f t="shared" si="43"/>
        <v>E2237EZ1</v>
      </c>
      <c r="D239" s="261" t="s">
        <v>178</v>
      </c>
      <c r="E239" s="261" t="s">
        <v>1074</v>
      </c>
      <c r="F239" s="261">
        <v>2017</v>
      </c>
      <c r="G239" s="577">
        <v>0</v>
      </c>
      <c r="H239" s="577">
        <v>0</v>
      </c>
      <c r="I239" s="577">
        <v>0</v>
      </c>
      <c r="J239" s="577">
        <f t="shared" si="47"/>
        <v>0</v>
      </c>
      <c r="K239" s="577">
        <f t="shared" si="48"/>
        <v>0</v>
      </c>
      <c r="L239" s="577">
        <f t="shared" si="49"/>
        <v>0</v>
      </c>
      <c r="M239" s="577">
        <f t="shared" si="50"/>
        <v>0</v>
      </c>
      <c r="N239" s="564">
        <v>1</v>
      </c>
      <c r="O239" s="577">
        <v>1</v>
      </c>
      <c r="P239" s="577" t="s">
        <v>1166</v>
      </c>
      <c r="Q239" s="577" t="s">
        <v>1166</v>
      </c>
      <c r="R239" s="1604">
        <f t="shared" si="44"/>
        <v>1</v>
      </c>
    </row>
    <row r="240" spans="1:18" x14ac:dyDescent="0.2">
      <c r="A240" s="261">
        <f t="shared" si="45"/>
        <v>1</v>
      </c>
      <c r="B240" s="422" t="str">
        <f>INDEX('LA List'!B:B,MATCH('EZ list'!D240,'LA List'!A:A,0))</f>
        <v>E1539</v>
      </c>
      <c r="C240" s="422" t="str">
        <f t="shared" si="43"/>
        <v>E1539EZ1</v>
      </c>
      <c r="D240" s="261" t="s">
        <v>180</v>
      </c>
      <c r="E240" s="261" t="s">
        <v>1166</v>
      </c>
      <c r="F240" s="261" t="s">
        <v>1166</v>
      </c>
      <c r="G240" s="577" t="s">
        <v>1166</v>
      </c>
      <c r="H240" s="577" t="s">
        <v>1166</v>
      </c>
      <c r="I240" s="577" t="s">
        <v>1166</v>
      </c>
      <c r="J240" s="577" t="str">
        <f t="shared" si="47"/>
        <v/>
      </c>
      <c r="K240" s="577" t="str">
        <f t="shared" si="48"/>
        <v/>
      </c>
      <c r="L240" s="577" t="str">
        <f t="shared" si="49"/>
        <v/>
      </c>
      <c r="M240" s="577" t="str">
        <f t="shared" si="50"/>
        <v/>
      </c>
      <c r="N240" s="564" t="s">
        <v>1166</v>
      </c>
      <c r="O240" s="577" t="s">
        <v>1166</v>
      </c>
      <c r="P240" s="577" t="s">
        <v>1166</v>
      </c>
      <c r="Q240" s="577" t="s">
        <v>1166</v>
      </c>
      <c r="R240" s="1604" t="str">
        <f t="shared" si="44"/>
        <v/>
      </c>
    </row>
    <row r="241" spans="1:18" x14ac:dyDescent="0.2">
      <c r="A241" s="261">
        <f t="shared" si="45"/>
        <v>1</v>
      </c>
      <c r="B241" s="422" t="str">
        <f>INDEX('LA List'!B:B,MATCH('EZ list'!D241,'LA List'!A:A,0))</f>
        <v>E1851</v>
      </c>
      <c r="C241" s="422" t="str">
        <f t="shared" si="43"/>
        <v>E1851EZ1</v>
      </c>
      <c r="D241" s="261" t="s">
        <v>182</v>
      </c>
      <c r="E241" s="261" t="s">
        <v>1166</v>
      </c>
      <c r="F241" s="261" t="s">
        <v>1166</v>
      </c>
      <c r="G241" s="577" t="s">
        <v>1166</v>
      </c>
      <c r="H241" s="577" t="s">
        <v>1166</v>
      </c>
      <c r="I241" s="577" t="s">
        <v>1166</v>
      </c>
      <c r="J241" s="577" t="str">
        <f t="shared" si="47"/>
        <v/>
      </c>
      <c r="K241" s="577" t="str">
        <f t="shared" si="48"/>
        <v/>
      </c>
      <c r="L241" s="577" t="str">
        <f t="shared" si="49"/>
        <v/>
      </c>
      <c r="M241" s="577" t="str">
        <f t="shared" si="50"/>
        <v/>
      </c>
      <c r="N241" s="564" t="s">
        <v>1166</v>
      </c>
      <c r="O241" s="577" t="s">
        <v>1166</v>
      </c>
      <c r="P241" s="577" t="s">
        <v>1166</v>
      </c>
      <c r="Q241" s="577" t="s">
        <v>1166</v>
      </c>
      <c r="R241" s="1604" t="str">
        <f t="shared" si="44"/>
        <v/>
      </c>
    </row>
    <row r="242" spans="1:18" x14ac:dyDescent="0.2">
      <c r="A242" s="261">
        <f t="shared" si="45"/>
        <v>1</v>
      </c>
      <c r="B242" s="422" t="str">
        <f>INDEX('LA List'!B:B,MATCH('EZ list'!D242,'LA List'!A:A,0))</f>
        <v>E4203</v>
      </c>
      <c r="C242" s="422" t="str">
        <f t="shared" si="43"/>
        <v>E4203EZ1</v>
      </c>
      <c r="D242" s="261" t="s">
        <v>184</v>
      </c>
      <c r="E242" s="261" t="s">
        <v>1075</v>
      </c>
      <c r="F242" s="261">
        <v>2013</v>
      </c>
      <c r="G242" s="577">
        <v>5378269</v>
      </c>
      <c r="H242" s="577">
        <v>5378269</v>
      </c>
      <c r="I242" s="577">
        <v>5539848</v>
      </c>
      <c r="J242" s="577">
        <f t="shared" si="47"/>
        <v>5666803</v>
      </c>
      <c r="K242" s="577">
        <f t="shared" si="48"/>
        <v>5759134</v>
      </c>
      <c r="L242" s="577">
        <f t="shared" si="49"/>
        <v>5759134</v>
      </c>
      <c r="M242" s="577">
        <f t="shared" si="50"/>
        <v>5759134</v>
      </c>
      <c r="N242" s="564">
        <v>7499070</v>
      </c>
      <c r="O242" s="577">
        <v>7499070</v>
      </c>
      <c r="P242" s="577" t="s">
        <v>1166</v>
      </c>
      <c r="Q242" s="577" t="s">
        <v>1166</v>
      </c>
      <c r="R242" s="1604">
        <f t="shared" si="44"/>
        <v>7499070</v>
      </c>
    </row>
    <row r="243" spans="1:18" x14ac:dyDescent="0.2">
      <c r="A243" s="261">
        <f t="shared" si="45"/>
        <v>2</v>
      </c>
      <c r="B243" s="422" t="str">
        <f>INDEX('LA List'!B:B,MATCH('EZ list'!D243,'LA List'!A:A,0))</f>
        <v>E4203</v>
      </c>
      <c r="C243" s="422" t="str">
        <f t="shared" si="43"/>
        <v>E4203EZ2</v>
      </c>
      <c r="D243" s="261" t="s">
        <v>184</v>
      </c>
      <c r="E243" s="261" t="s">
        <v>1076</v>
      </c>
      <c r="F243" s="261">
        <v>2016</v>
      </c>
      <c r="G243" s="577">
        <v>731916</v>
      </c>
      <c r="H243" s="577">
        <v>731916</v>
      </c>
      <c r="I243" s="577">
        <v>753905</v>
      </c>
      <c r="J243" s="577">
        <f t="shared" si="47"/>
        <v>771182</v>
      </c>
      <c r="K243" s="577">
        <f t="shared" si="48"/>
        <v>783747</v>
      </c>
      <c r="L243" s="577">
        <f t="shared" si="49"/>
        <v>783747</v>
      </c>
      <c r="M243" s="577">
        <f t="shared" si="50"/>
        <v>783747</v>
      </c>
      <c r="N243" s="564">
        <v>935933</v>
      </c>
      <c r="O243" s="577">
        <v>935933</v>
      </c>
      <c r="P243" s="577" t="s">
        <v>1166</v>
      </c>
      <c r="Q243" s="577" t="s">
        <v>1166</v>
      </c>
      <c r="R243" s="1604">
        <f t="shared" si="44"/>
        <v>935933</v>
      </c>
    </row>
    <row r="244" spans="1:18" x14ac:dyDescent="0.2">
      <c r="A244" s="261">
        <f t="shared" si="45"/>
        <v>3</v>
      </c>
      <c r="B244" s="422" t="str">
        <f>INDEX('LA List'!B:B,MATCH('EZ list'!D244,'LA List'!A:A,0))</f>
        <v>E4203</v>
      </c>
      <c r="C244" s="422" t="str">
        <f t="shared" si="43"/>
        <v>E4203EZ3</v>
      </c>
      <c r="D244" s="261" t="s">
        <v>184</v>
      </c>
      <c r="E244" s="261" t="s">
        <v>1077</v>
      </c>
      <c r="F244" s="261">
        <v>2016</v>
      </c>
      <c r="G244" s="577">
        <v>4953780</v>
      </c>
      <c r="H244" s="577">
        <v>4953780</v>
      </c>
      <c r="I244" s="577">
        <v>5102606</v>
      </c>
      <c r="J244" s="577">
        <f t="shared" si="47"/>
        <v>5219541</v>
      </c>
      <c r="K244" s="577">
        <f t="shared" si="48"/>
        <v>5304584</v>
      </c>
      <c r="L244" s="577">
        <f t="shared" si="49"/>
        <v>5304584</v>
      </c>
      <c r="M244" s="577">
        <f t="shared" si="50"/>
        <v>5304584</v>
      </c>
      <c r="N244" s="564">
        <v>6490726</v>
      </c>
      <c r="O244" s="577">
        <v>6490726</v>
      </c>
      <c r="P244" s="577" t="s">
        <v>1166</v>
      </c>
      <c r="Q244" s="577" t="s">
        <v>1166</v>
      </c>
      <c r="R244" s="1604">
        <f t="shared" si="44"/>
        <v>6490726</v>
      </c>
    </row>
    <row r="245" spans="1:18" x14ac:dyDescent="0.2">
      <c r="A245" s="261">
        <f t="shared" si="45"/>
        <v>4</v>
      </c>
      <c r="B245" s="422" t="str">
        <f>INDEX('LA List'!B:B,MATCH('EZ list'!D245,'LA List'!A:A,0))</f>
        <v>E4203</v>
      </c>
      <c r="C245" s="422" t="str">
        <f t="shared" si="43"/>
        <v>E4203EZ4</v>
      </c>
      <c r="D245" s="261" t="s">
        <v>184</v>
      </c>
      <c r="E245" s="261" t="s">
        <v>1156</v>
      </c>
      <c r="F245" s="261">
        <v>2016</v>
      </c>
      <c r="G245" s="577">
        <v>688519</v>
      </c>
      <c r="H245" s="577">
        <v>688519</v>
      </c>
      <c r="I245" s="577">
        <v>709204</v>
      </c>
      <c r="J245" s="577">
        <f t="shared" si="47"/>
        <v>725457</v>
      </c>
      <c r="K245" s="577">
        <f t="shared" si="48"/>
        <v>737277</v>
      </c>
      <c r="L245" s="577">
        <f t="shared" si="49"/>
        <v>737277</v>
      </c>
      <c r="M245" s="577">
        <f t="shared" si="50"/>
        <v>737277</v>
      </c>
      <c r="N245" s="564">
        <v>1024334</v>
      </c>
      <c r="O245" s="577">
        <v>1024334</v>
      </c>
      <c r="P245" s="577" t="s">
        <v>1166</v>
      </c>
      <c r="Q245" s="577" t="s">
        <v>1166</v>
      </c>
      <c r="R245" s="1604">
        <f t="shared" si="44"/>
        <v>1024334</v>
      </c>
    </row>
    <row r="246" spans="1:18" x14ac:dyDescent="0.2">
      <c r="A246" s="261">
        <f t="shared" si="45"/>
        <v>5</v>
      </c>
      <c r="B246" s="422" t="str">
        <f>INDEX('LA List'!B:B,MATCH('EZ list'!D246,'LA List'!A:A,0))</f>
        <v>E4203</v>
      </c>
      <c r="C246" s="422" t="str">
        <f t="shared" si="43"/>
        <v>E4203EZ5</v>
      </c>
      <c r="D246" s="261" t="s">
        <v>184</v>
      </c>
      <c r="E246" s="261" t="s">
        <v>5820</v>
      </c>
      <c r="F246" s="261">
        <v>2024</v>
      </c>
      <c r="G246" s="577"/>
      <c r="H246" s="577"/>
      <c r="I246" s="577"/>
      <c r="J246" s="577"/>
      <c r="K246" s="577"/>
      <c r="L246" s="577"/>
      <c r="M246" s="577"/>
      <c r="N246" s="564"/>
      <c r="O246" s="577">
        <v>16703077.370265592</v>
      </c>
      <c r="P246" s="577">
        <v>2701045</v>
      </c>
      <c r="Q246" s="577">
        <v>14232835</v>
      </c>
      <c r="R246" s="1604">
        <f t="shared" si="44"/>
        <v>16933880</v>
      </c>
    </row>
    <row r="247" spans="1:18" x14ac:dyDescent="0.2">
      <c r="A247" s="261">
        <f t="shared" si="45"/>
        <v>6</v>
      </c>
      <c r="B247" s="422" t="str">
        <f>INDEX('LA List'!B:B,MATCH('EZ list'!D247,'LA List'!A:A,0))</f>
        <v>E4203</v>
      </c>
      <c r="C247" s="422" t="str">
        <f t="shared" ref="C247:C248" si="51">CONCATENATE(B247,"EZ",A247)</f>
        <v>E4203EZ6</v>
      </c>
      <c r="D247" s="261" t="s">
        <v>184</v>
      </c>
      <c r="E247" s="261" t="s">
        <v>5821</v>
      </c>
      <c r="F247" s="261">
        <v>2024</v>
      </c>
      <c r="G247" s="577"/>
      <c r="H247" s="577"/>
      <c r="I247" s="577"/>
      <c r="J247" s="577"/>
      <c r="K247" s="577"/>
      <c r="L247" s="577"/>
      <c r="M247" s="577"/>
      <c r="N247" s="564"/>
      <c r="O247" s="577">
        <v>22464354.198375072</v>
      </c>
      <c r="P247" s="577">
        <v>3626815</v>
      </c>
      <c r="Q247" s="577">
        <v>19148048</v>
      </c>
      <c r="R247" s="1604">
        <f t="shared" si="44"/>
        <v>22774863</v>
      </c>
    </row>
    <row r="248" spans="1:18" x14ac:dyDescent="0.2">
      <c r="A248" s="261">
        <f t="shared" si="45"/>
        <v>1</v>
      </c>
      <c r="B248" s="422" t="str">
        <f>INDEX('LA List'!B:B,MATCH('EZ list'!D248,'LA List'!A:A,0))</f>
        <v>E3035</v>
      </c>
      <c r="C248" s="422" t="str">
        <f t="shared" si="51"/>
        <v>E3035EZ1</v>
      </c>
      <c r="D248" s="261" t="s">
        <v>186</v>
      </c>
      <c r="E248" s="261" t="s">
        <v>1166</v>
      </c>
      <c r="F248" s="261" t="s">
        <v>1166</v>
      </c>
      <c r="G248" s="577" t="s">
        <v>1166</v>
      </c>
      <c r="H248" s="577" t="s">
        <v>1166</v>
      </c>
      <c r="I248" s="577" t="s">
        <v>1166</v>
      </c>
      <c r="J248" s="577" t="str">
        <f t="shared" ref="J248:J253" si="52">IF(I248="","",ROUND(I248*$J$1,0))</f>
        <v/>
      </c>
      <c r="K248" s="577" t="str">
        <f t="shared" ref="K248:K253" si="53">IF(J248="","",ROUND(J248*$K$1,0))</f>
        <v/>
      </c>
      <c r="L248" s="577" t="str">
        <f t="shared" ref="L248:L253" si="54">IF(K248="","",ROUND(K248*$L$1,0))</f>
        <v/>
      </c>
      <c r="M248" s="577" t="str">
        <f t="shared" ref="M248:M253" si="55">IF(L248="","",ROUND(L248*$M$1,0))</f>
        <v/>
      </c>
      <c r="N248" s="564" t="s">
        <v>1166</v>
      </c>
      <c r="O248" s="577" t="s">
        <v>1166</v>
      </c>
      <c r="P248" s="577" t="s">
        <v>1166</v>
      </c>
      <c r="Q248" s="577" t="s">
        <v>1166</v>
      </c>
      <c r="R248" s="1604" t="str">
        <f t="shared" si="44"/>
        <v/>
      </c>
    </row>
    <row r="249" spans="1:18" x14ac:dyDescent="0.2">
      <c r="A249" s="261">
        <f t="shared" si="45"/>
        <v>1</v>
      </c>
      <c r="B249" s="422" t="str">
        <f>INDEX('LA List'!B:B,MATCH('EZ list'!D249,'LA List'!A:A,0))</f>
        <v>E2201</v>
      </c>
      <c r="C249" s="422" t="str">
        <f t="shared" si="43"/>
        <v>E2201EZ1</v>
      </c>
      <c r="D249" s="261" t="s">
        <v>188</v>
      </c>
      <c r="E249" s="261" t="s">
        <v>1078</v>
      </c>
      <c r="F249" s="261">
        <v>2017</v>
      </c>
      <c r="G249" s="577">
        <v>10890</v>
      </c>
      <c r="H249" s="577">
        <v>10890</v>
      </c>
      <c r="I249" s="577">
        <v>11217</v>
      </c>
      <c r="J249" s="577">
        <f t="shared" si="52"/>
        <v>11474</v>
      </c>
      <c r="K249" s="577">
        <f t="shared" si="53"/>
        <v>11661</v>
      </c>
      <c r="L249" s="577">
        <f t="shared" si="54"/>
        <v>11661</v>
      </c>
      <c r="M249" s="577">
        <f t="shared" si="55"/>
        <v>11661</v>
      </c>
      <c r="N249" s="564">
        <v>16342</v>
      </c>
      <c r="O249" s="577">
        <v>16342</v>
      </c>
      <c r="P249" s="577" t="s">
        <v>1166</v>
      </c>
      <c r="Q249" s="577" t="s">
        <v>1166</v>
      </c>
      <c r="R249" s="1604">
        <f t="shared" si="44"/>
        <v>16342</v>
      </c>
    </row>
    <row r="250" spans="1:18" x14ac:dyDescent="0.2">
      <c r="A250" s="261">
        <f t="shared" si="45"/>
        <v>1</v>
      </c>
      <c r="B250" s="422" t="str">
        <f>INDEX('LA List'!B:B,MATCH('EZ list'!D250,'LA List'!A:A,0))</f>
        <v>E2436</v>
      </c>
      <c r="C250" s="422" t="str">
        <f t="shared" si="43"/>
        <v>E2436EZ1</v>
      </c>
      <c r="D250" s="261" t="s">
        <v>190</v>
      </c>
      <c r="E250" s="261" t="s">
        <v>1166</v>
      </c>
      <c r="F250" s="261" t="s">
        <v>1166</v>
      </c>
      <c r="G250" s="577" t="s">
        <v>1166</v>
      </c>
      <c r="H250" s="577" t="s">
        <v>1166</v>
      </c>
      <c r="I250" s="577" t="s">
        <v>1166</v>
      </c>
      <c r="J250" s="577" t="str">
        <f t="shared" si="52"/>
        <v/>
      </c>
      <c r="K250" s="577" t="str">
        <f t="shared" si="53"/>
        <v/>
      </c>
      <c r="L250" s="577" t="str">
        <f t="shared" si="54"/>
        <v/>
      </c>
      <c r="M250" s="577" t="str">
        <f t="shared" si="55"/>
        <v/>
      </c>
      <c r="N250" s="564" t="s">
        <v>1166</v>
      </c>
      <c r="O250" s="577" t="s">
        <v>1166</v>
      </c>
      <c r="P250" s="577" t="s">
        <v>1166</v>
      </c>
      <c r="Q250" s="577" t="s">
        <v>1166</v>
      </c>
      <c r="R250" s="1604" t="str">
        <f t="shared" si="44"/>
        <v/>
      </c>
    </row>
    <row r="251" spans="1:18" x14ac:dyDescent="0.2">
      <c r="A251" s="261">
        <f t="shared" si="45"/>
        <v>1</v>
      </c>
      <c r="B251" s="422" t="str">
        <f>INDEX('LA List'!B:B,MATCH('EZ list'!D251,'LA List'!A:A,0))</f>
        <v>E5044</v>
      </c>
      <c r="C251" s="422" t="str">
        <f t="shared" si="43"/>
        <v>E5044EZ1</v>
      </c>
      <c r="D251" s="261" t="s">
        <v>192</v>
      </c>
      <c r="E251" s="261" t="s">
        <v>1166</v>
      </c>
      <c r="F251" s="261" t="s">
        <v>1166</v>
      </c>
      <c r="G251" s="577" t="s">
        <v>1166</v>
      </c>
      <c r="H251" s="577" t="s">
        <v>1166</v>
      </c>
      <c r="I251" s="577" t="s">
        <v>1166</v>
      </c>
      <c r="J251" s="577" t="str">
        <f t="shared" si="52"/>
        <v/>
      </c>
      <c r="K251" s="577" t="str">
        <f t="shared" si="53"/>
        <v/>
      </c>
      <c r="L251" s="577" t="str">
        <f t="shared" si="54"/>
        <v/>
      </c>
      <c r="M251" s="577" t="str">
        <f t="shared" si="55"/>
        <v/>
      </c>
      <c r="N251" s="564" t="s">
        <v>1166</v>
      </c>
      <c r="O251" s="577" t="s">
        <v>1166</v>
      </c>
      <c r="P251" s="577" t="s">
        <v>1166</v>
      </c>
      <c r="Q251" s="577" t="s">
        <v>1166</v>
      </c>
      <c r="R251" s="1604" t="str">
        <f t="shared" si="44"/>
        <v/>
      </c>
    </row>
    <row r="252" spans="1:18" x14ac:dyDescent="0.2">
      <c r="A252" s="261">
        <f t="shared" si="45"/>
        <v>1</v>
      </c>
      <c r="B252" s="422" t="str">
        <f>INDEX('LA List'!B:B,MATCH('EZ list'!D252,'LA List'!A:A,0))</f>
        <v>E1133</v>
      </c>
      <c r="C252" s="422" t="str">
        <f t="shared" si="43"/>
        <v>E1133EZ1</v>
      </c>
      <c r="D252" s="261" t="s">
        <v>194</v>
      </c>
      <c r="E252" s="261" t="s">
        <v>1166</v>
      </c>
      <c r="F252" s="261" t="s">
        <v>1166</v>
      </c>
      <c r="G252" s="577" t="s">
        <v>1166</v>
      </c>
      <c r="H252" s="577" t="s">
        <v>1166</v>
      </c>
      <c r="I252" s="577" t="s">
        <v>1166</v>
      </c>
      <c r="J252" s="577" t="str">
        <f t="shared" si="52"/>
        <v/>
      </c>
      <c r="K252" s="577" t="str">
        <f t="shared" si="53"/>
        <v/>
      </c>
      <c r="L252" s="577" t="str">
        <f t="shared" si="54"/>
        <v/>
      </c>
      <c r="M252" s="577" t="str">
        <f t="shared" si="55"/>
        <v/>
      </c>
      <c r="N252" s="564" t="s">
        <v>1166</v>
      </c>
      <c r="O252" s="577" t="s">
        <v>1166</v>
      </c>
      <c r="P252" s="577" t="s">
        <v>1166</v>
      </c>
      <c r="Q252" s="577" t="s">
        <v>1166</v>
      </c>
      <c r="R252" s="1604" t="str">
        <f t="shared" si="44"/>
        <v/>
      </c>
    </row>
    <row r="253" spans="1:18" x14ac:dyDescent="0.2">
      <c r="A253" s="261">
        <f t="shared" si="45"/>
        <v>1</v>
      </c>
      <c r="B253" s="422" t="str">
        <f>INDEX('LA List'!B:B,MATCH('EZ list'!D253,'LA List'!A:A,0))</f>
        <v>E3534</v>
      </c>
      <c r="C253" s="422" t="str">
        <f t="shared" si="43"/>
        <v>E3534EZ1</v>
      </c>
      <c r="D253" s="261" t="s">
        <v>196</v>
      </c>
      <c r="E253" s="261" t="s">
        <v>1080</v>
      </c>
      <c r="F253" s="261">
        <v>2016</v>
      </c>
      <c r="G253" s="577">
        <v>0</v>
      </c>
      <c r="H253" s="577">
        <v>0</v>
      </c>
      <c r="I253" s="577">
        <v>0</v>
      </c>
      <c r="J253" s="577">
        <f t="shared" si="52"/>
        <v>0</v>
      </c>
      <c r="K253" s="577">
        <f t="shared" si="53"/>
        <v>0</v>
      </c>
      <c r="L253" s="577">
        <f t="shared" si="54"/>
        <v>0</v>
      </c>
      <c r="M253" s="577">
        <f t="shared" si="55"/>
        <v>0</v>
      </c>
      <c r="N253" s="564">
        <v>0</v>
      </c>
      <c r="O253" s="577">
        <v>0</v>
      </c>
      <c r="P253" s="577" t="s">
        <v>1166</v>
      </c>
      <c r="Q253" s="577" t="s">
        <v>1166</v>
      </c>
      <c r="R253" s="1604">
        <f t="shared" si="44"/>
        <v>0</v>
      </c>
    </row>
    <row r="254" spans="1:18" x14ac:dyDescent="0.2">
      <c r="A254" s="261">
        <f t="shared" si="45"/>
        <v>2</v>
      </c>
      <c r="B254" s="422" t="str">
        <f>INDEX('LA List'!B:B,MATCH('EZ list'!D254,'LA List'!A:A,0))</f>
        <v>E3534</v>
      </c>
      <c r="C254" s="422" t="str">
        <f t="shared" si="43"/>
        <v>E3534EZ2</v>
      </c>
      <c r="D254" s="261" t="s">
        <v>196</v>
      </c>
      <c r="E254" s="509" t="s">
        <v>5822</v>
      </c>
      <c r="F254" s="509">
        <v>2023</v>
      </c>
      <c r="G254" s="577">
        <v>0</v>
      </c>
      <c r="H254" s="577">
        <v>0</v>
      </c>
      <c r="I254" s="577">
        <v>0</v>
      </c>
      <c r="J254" s="577">
        <v>0</v>
      </c>
      <c r="K254" s="577">
        <v>0</v>
      </c>
      <c r="L254" s="577">
        <v>0</v>
      </c>
      <c r="M254" s="577">
        <v>0</v>
      </c>
      <c r="N254" s="564">
        <v>0</v>
      </c>
      <c r="O254" s="577">
        <v>0</v>
      </c>
      <c r="P254" s="577" t="s">
        <v>1166</v>
      </c>
      <c r="Q254" s="577" t="s">
        <v>1166</v>
      </c>
      <c r="R254" s="1604">
        <f t="shared" si="44"/>
        <v>0</v>
      </c>
    </row>
    <row r="255" spans="1:18" x14ac:dyDescent="0.2">
      <c r="A255" s="261">
        <f t="shared" si="45"/>
        <v>1</v>
      </c>
      <c r="B255" s="422" t="str">
        <f>INDEX('LA List'!B:B,MATCH('EZ list'!D255,'LA List'!A:A,0))</f>
        <v>E3836</v>
      </c>
      <c r="C255" s="422" t="str">
        <f t="shared" ref="C255:C256" si="56">CONCATENATE(B255,"EZ",A255)</f>
        <v>E3836EZ1</v>
      </c>
      <c r="D255" s="261" t="s">
        <v>198</v>
      </c>
      <c r="E255" s="261" t="s">
        <v>1166</v>
      </c>
      <c r="F255" s="261" t="s">
        <v>1166</v>
      </c>
      <c r="G255" s="577" t="s">
        <v>1166</v>
      </c>
      <c r="H255" s="577" t="s">
        <v>1166</v>
      </c>
      <c r="I255" s="577" t="s">
        <v>1166</v>
      </c>
      <c r="J255" s="577" t="str">
        <f>IF(I255="","",ROUND(I255*$J$1,0))</f>
        <v/>
      </c>
      <c r="K255" s="577" t="str">
        <f>IF(J255="","",ROUND(J255*$K$1,0))</f>
        <v/>
      </c>
      <c r="L255" s="577" t="str">
        <f>IF(K255="","",ROUND(K255*$L$1,0))</f>
        <v/>
      </c>
      <c r="M255" s="577" t="str">
        <f>IF(L255="","",ROUND(L255*$M$1,0))</f>
        <v/>
      </c>
      <c r="N255" s="564" t="s">
        <v>1166</v>
      </c>
      <c r="O255" s="577" t="s">
        <v>1166</v>
      </c>
      <c r="P255" s="577" t="s">
        <v>1166</v>
      </c>
      <c r="Q255" s="577" t="s">
        <v>1166</v>
      </c>
      <c r="R255" s="1604" t="str">
        <f t="shared" si="44"/>
        <v/>
      </c>
    </row>
    <row r="256" spans="1:18" x14ac:dyDescent="0.2">
      <c r="A256" s="261">
        <f t="shared" si="45"/>
        <v>1</v>
      </c>
      <c r="B256" s="422" t="str">
        <f>INDEX('LA List'!B:B,MATCH('EZ list'!D256,'LA List'!A:A,0))</f>
        <v>E0702</v>
      </c>
      <c r="C256" s="422" t="str">
        <f t="shared" si="56"/>
        <v>E0702EZ1</v>
      </c>
      <c r="D256" s="261" t="s">
        <v>200</v>
      </c>
      <c r="E256" s="261" t="s">
        <v>846</v>
      </c>
      <c r="F256" s="261">
        <v>2013</v>
      </c>
      <c r="G256" s="577">
        <v>0</v>
      </c>
      <c r="H256" s="577">
        <v>0</v>
      </c>
      <c r="I256" s="577">
        <v>0</v>
      </c>
      <c r="J256" s="577">
        <f>IF(I256="","",ROUND(I256*$J$1,0))</f>
        <v>0</v>
      </c>
      <c r="K256" s="577">
        <f>IF(J256="","",ROUND(J256*$K$1,0))</f>
        <v>0</v>
      </c>
      <c r="L256" s="577">
        <f>IF(K256="","",ROUND(K256*$L$1,0))</f>
        <v>0</v>
      </c>
      <c r="M256" s="577">
        <f>IF(L256="","",ROUND(L256*$M$1,0))</f>
        <v>0</v>
      </c>
      <c r="N256" s="564">
        <v>0</v>
      </c>
      <c r="O256" s="577">
        <v>0</v>
      </c>
      <c r="P256" s="577" t="s">
        <v>1166</v>
      </c>
      <c r="Q256" s="577" t="s">
        <v>1166</v>
      </c>
      <c r="R256" s="1604">
        <f t="shared" si="44"/>
        <v>0</v>
      </c>
    </row>
    <row r="257" spans="1:18" x14ac:dyDescent="0.2">
      <c r="A257" s="261">
        <f t="shared" si="45"/>
        <v>2</v>
      </c>
      <c r="B257" s="422" t="str">
        <f>INDEX('LA List'!B:B,MATCH('EZ list'!D257,'LA List'!A:A,0))</f>
        <v>E0702</v>
      </c>
      <c r="C257" s="422" t="str">
        <f t="shared" si="43"/>
        <v>E0702EZ2</v>
      </c>
      <c r="D257" s="261" t="s">
        <v>200</v>
      </c>
      <c r="E257" s="261" t="s">
        <v>1081</v>
      </c>
      <c r="F257" s="261">
        <v>2016</v>
      </c>
      <c r="G257" s="577">
        <v>2781145</v>
      </c>
      <c r="H257" s="577">
        <v>2781145</v>
      </c>
      <c r="I257" s="577">
        <v>2864699</v>
      </c>
      <c r="J257" s="577">
        <f>IF(I257="","",ROUND(I257*$J$1,0))</f>
        <v>2930348</v>
      </c>
      <c r="K257" s="577">
        <f>IF(J257="","",ROUND(J257*$K$1,0))</f>
        <v>2978093</v>
      </c>
      <c r="L257" s="577">
        <f>IF(K257="","",ROUND(K257*$L$1,0))</f>
        <v>2978093</v>
      </c>
      <c r="M257" s="577">
        <f>IF(L257="","",ROUND(L257*$M$1,0))</f>
        <v>2978093</v>
      </c>
      <c r="N257" s="564">
        <v>2449017</v>
      </c>
      <c r="O257" s="577">
        <v>2449017</v>
      </c>
      <c r="P257" s="577" t="s">
        <v>1166</v>
      </c>
      <c r="Q257" s="577" t="s">
        <v>1166</v>
      </c>
      <c r="R257" s="1604">
        <f t="shared" si="44"/>
        <v>2449017</v>
      </c>
    </row>
    <row r="258" spans="1:18" x14ac:dyDescent="0.2">
      <c r="A258" s="261">
        <f t="shared" si="45"/>
        <v>1</v>
      </c>
      <c r="B258" s="422" t="str">
        <f>INDEX('LA List'!B:B,MATCH('EZ list'!D258,'LA List'!A:A,0))</f>
        <v>E0401</v>
      </c>
      <c r="C258" s="422" t="str">
        <f t="shared" ref="C258:C323" si="57">CONCATENATE(B258,"EZ",A258)</f>
        <v>E0401EZ1</v>
      </c>
      <c r="D258" s="261" t="s">
        <v>202</v>
      </c>
      <c r="E258" s="261" t="s">
        <v>1166</v>
      </c>
      <c r="F258" s="261" t="s">
        <v>1166</v>
      </c>
      <c r="G258" s="577" t="s">
        <v>1166</v>
      </c>
      <c r="H258" s="577" t="s">
        <v>1166</v>
      </c>
      <c r="I258" s="577" t="s">
        <v>1166</v>
      </c>
      <c r="J258" s="577" t="str">
        <f>IF(I258="","",ROUND(I258*$J$1,0))</f>
        <v/>
      </c>
      <c r="K258" s="577" t="str">
        <f>IF(J258="","",ROUND(J258*$K$1,0))</f>
        <v/>
      </c>
      <c r="L258" s="577" t="str">
        <f>IF(K258="","",ROUND(K258*$L$1,0))</f>
        <v/>
      </c>
      <c r="M258" s="577" t="str">
        <f>IF(L258="","",ROUND(L258*$M$1,0))</f>
        <v/>
      </c>
      <c r="N258" s="564" t="s">
        <v>1166</v>
      </c>
      <c r="O258" s="577" t="s">
        <v>1166</v>
      </c>
      <c r="P258" s="577" t="s">
        <v>1166</v>
      </c>
      <c r="Q258" s="577" t="s">
        <v>1166</v>
      </c>
      <c r="R258" s="1604" t="str">
        <f t="shared" ref="R258:R259" si="58">IF($F258 = "","",
IF($F258&lt;2024,O258*$P$1,
IF($F258&gt;=2024,+P258+Q258)))</f>
        <v/>
      </c>
    </row>
    <row r="259" spans="1:18" x14ac:dyDescent="0.2">
      <c r="A259" s="261">
        <f t="shared" si="45"/>
        <v>1</v>
      </c>
      <c r="B259" s="422" t="str">
        <f>INDEX('LA List'!B:B,MATCH('EZ list'!D259,'LA List'!A:A,0))</f>
        <v>E3634</v>
      </c>
      <c r="C259" s="422" t="str">
        <f t="shared" si="57"/>
        <v>E3634EZ1</v>
      </c>
      <c r="D259" s="261" t="s">
        <v>204</v>
      </c>
      <c r="E259" s="261" t="s">
        <v>1166</v>
      </c>
      <c r="F259" s="261" t="s">
        <v>1166</v>
      </c>
      <c r="G259" s="577" t="s">
        <v>1166</v>
      </c>
      <c r="H259" s="577" t="s">
        <v>1166</v>
      </c>
      <c r="I259" s="577" t="s">
        <v>1166</v>
      </c>
      <c r="J259" s="577" t="str">
        <f>IF(I259="","",ROUND(I259*$J$1,0))</f>
        <v/>
      </c>
      <c r="K259" s="577" t="str">
        <f>IF(J259="","",ROUND(J259*$K$1,0))</f>
        <v/>
      </c>
      <c r="L259" s="577" t="str">
        <f>IF(K259="","",ROUND(K259*$L$1,0))</f>
        <v/>
      </c>
      <c r="M259" s="577" t="str">
        <f>IF(L259="","",ROUND(L259*$M$1,0))</f>
        <v/>
      </c>
      <c r="N259" s="564" t="s">
        <v>1166</v>
      </c>
      <c r="O259" s="577" t="s">
        <v>1166</v>
      </c>
      <c r="P259" s="577" t="s">
        <v>1166</v>
      </c>
      <c r="Q259" s="577" t="s">
        <v>1166</v>
      </c>
      <c r="R259" s="1604" t="str">
        <f t="shared" si="58"/>
        <v/>
      </c>
    </row>
    <row r="260" spans="1:18" ht="15" x14ac:dyDescent="0.25">
      <c r="A260" s="261">
        <f t="shared" si="45"/>
        <v>1</v>
      </c>
      <c r="B260" s="422" t="str">
        <f>INDEX('LA List'!B:B,MATCH('EZ list'!D260,'LA List'!A:A,0))</f>
        <v>E1738</v>
      </c>
      <c r="C260" s="422" t="str">
        <f t="shared" si="57"/>
        <v>E1738EZ1</v>
      </c>
      <c r="D260" s="261" t="s">
        <v>206</v>
      </c>
      <c r="E260" s="1602" t="s">
        <v>5823</v>
      </c>
      <c r="F260" s="509">
        <v>2023</v>
      </c>
      <c r="G260" s="577">
        <v>0</v>
      </c>
      <c r="H260" s="577">
        <v>0</v>
      </c>
      <c r="I260" s="577">
        <v>0</v>
      </c>
      <c r="J260" s="577">
        <v>0</v>
      </c>
      <c r="K260" s="577">
        <v>0</v>
      </c>
      <c r="L260" s="577">
        <v>0</v>
      </c>
      <c r="M260" s="577">
        <v>2194853</v>
      </c>
      <c r="N260" s="564">
        <v>2450317</v>
      </c>
      <c r="O260" s="577">
        <f>IF(N260="","",ROUND(N260*$N$1,0))</f>
        <v>2450317</v>
      </c>
      <c r="P260" s="577" t="s">
        <v>1166</v>
      </c>
      <c r="Q260" s="577" t="s">
        <v>1166</v>
      </c>
      <c r="R260" s="1604">
        <v>712532</v>
      </c>
    </row>
    <row r="261" spans="1:18" ht="15" x14ac:dyDescent="0.25">
      <c r="A261" s="261">
        <f t="shared" ref="A261:A324" si="59">IF(D261=D260,A260+1,1)</f>
        <v>2</v>
      </c>
      <c r="B261" s="422" t="str">
        <f>INDEX('LA List'!B:B,MATCH('EZ list'!D261,'LA List'!A:A,0))</f>
        <v>E1738</v>
      </c>
      <c r="C261" s="422" t="str">
        <f t="shared" si="57"/>
        <v>E1738EZ2</v>
      </c>
      <c r="D261" s="261" t="s">
        <v>206</v>
      </c>
      <c r="E261" s="1602" t="s">
        <v>5824</v>
      </c>
      <c r="F261" s="509">
        <v>2023</v>
      </c>
      <c r="G261" s="577"/>
      <c r="H261" s="577"/>
      <c r="I261" s="577"/>
      <c r="J261" s="577"/>
      <c r="K261" s="577"/>
      <c r="L261" s="577"/>
      <c r="M261" s="577"/>
      <c r="N261" s="564"/>
      <c r="O261" s="577"/>
      <c r="P261" s="577" t="s">
        <v>1166</v>
      </c>
      <c r="Q261" s="577" t="s">
        <v>1166</v>
      </c>
      <c r="R261" s="1604">
        <v>577085</v>
      </c>
    </row>
    <row r="262" spans="1:18" ht="15" x14ac:dyDescent="0.25">
      <c r="A262" s="261">
        <f t="shared" si="59"/>
        <v>3</v>
      </c>
      <c r="B262" s="422" t="str">
        <f>INDEX('LA List'!B:B,MATCH('EZ list'!D262,'LA List'!A:A,0))</f>
        <v>E1738</v>
      </c>
      <c r="C262" s="422" t="str">
        <f t="shared" si="57"/>
        <v>E1738EZ3</v>
      </c>
      <c r="D262" s="261" t="s">
        <v>206</v>
      </c>
      <c r="E262" s="1602" t="s">
        <v>5825</v>
      </c>
      <c r="F262" s="509">
        <v>2023</v>
      </c>
      <c r="G262" s="577"/>
      <c r="H262" s="577"/>
      <c r="I262" s="577"/>
      <c r="J262" s="577"/>
      <c r="K262" s="577"/>
      <c r="L262" s="577"/>
      <c r="M262" s="577"/>
      <c r="N262" s="564"/>
      <c r="O262" s="577"/>
      <c r="P262" s="577" t="s">
        <v>1166</v>
      </c>
      <c r="Q262" s="577" t="s">
        <v>1166</v>
      </c>
      <c r="R262" s="1604">
        <v>1167360</v>
      </c>
    </row>
    <row r="263" spans="1:18" x14ac:dyDescent="0.2">
      <c r="A263" s="261">
        <f t="shared" si="59"/>
        <v>1</v>
      </c>
      <c r="B263" s="422" t="str">
        <f>INDEX('LA List'!B:B,MATCH('EZ list'!D263,'LA List'!A:A,0))</f>
        <v>E3036</v>
      </c>
      <c r="C263" s="422" t="str">
        <f t="shared" si="57"/>
        <v>E3036EZ1</v>
      </c>
      <c r="D263" s="261" t="s">
        <v>208</v>
      </c>
      <c r="E263" s="261" t="s">
        <v>1166</v>
      </c>
      <c r="F263" s="261" t="s">
        <v>1166</v>
      </c>
      <c r="G263" s="577" t="s">
        <v>1166</v>
      </c>
      <c r="H263" s="577" t="s">
        <v>1166</v>
      </c>
      <c r="I263" s="577" t="s">
        <v>1166</v>
      </c>
      <c r="J263" s="577" t="str">
        <f t="shared" ref="J263:J282" si="60">IF(I263="","",ROUND(I263*$J$1,0))</f>
        <v/>
      </c>
      <c r="K263" s="577" t="str">
        <f t="shared" ref="K263:K282" si="61">IF(J263="","",ROUND(J263*$K$1,0))</f>
        <v/>
      </c>
      <c r="L263" s="577" t="str">
        <f t="shared" ref="L263:L282" si="62">IF(K263="","",ROUND(K263*$L$1,0))</f>
        <v/>
      </c>
      <c r="M263" s="577" t="str">
        <f t="shared" ref="M263:M282" si="63">IF(L263="","",ROUND(L263*$M$1,0))</f>
        <v/>
      </c>
      <c r="N263" s="564" t="s">
        <v>1166</v>
      </c>
      <c r="O263" s="577" t="s">
        <v>1166</v>
      </c>
      <c r="P263" s="577" t="s">
        <v>1166</v>
      </c>
      <c r="Q263" s="577" t="s">
        <v>1166</v>
      </c>
      <c r="R263" s="1604" t="str">
        <f t="shared" ref="R263:R326" si="64">IF($F263 = "","",
IF($F263&lt;2024,O263*$P$1,
IF($F263&gt;=2024,+P263+Q263)))</f>
        <v/>
      </c>
    </row>
    <row r="264" spans="1:18" x14ac:dyDescent="0.2">
      <c r="A264" s="261">
        <f t="shared" si="59"/>
        <v>1</v>
      </c>
      <c r="B264" s="422" t="str">
        <f>INDEX('LA List'!B:B,MATCH('EZ list'!D264,'LA List'!A:A,0))</f>
        <v>E4502</v>
      </c>
      <c r="C264" s="422" t="str">
        <f t="shared" si="57"/>
        <v>E4502EZ1</v>
      </c>
      <c r="D264" s="261" t="s">
        <v>923</v>
      </c>
      <c r="E264" s="261" t="s">
        <v>853</v>
      </c>
      <c r="F264" s="261">
        <v>2013</v>
      </c>
      <c r="G264" s="577">
        <v>85221</v>
      </c>
      <c r="H264" s="577">
        <v>85221</v>
      </c>
      <c r="I264" s="577">
        <v>87781</v>
      </c>
      <c r="J264" s="577">
        <f t="shared" si="60"/>
        <v>89793</v>
      </c>
      <c r="K264" s="577">
        <f t="shared" si="61"/>
        <v>91256</v>
      </c>
      <c r="L264" s="577">
        <f t="shared" si="62"/>
        <v>91256</v>
      </c>
      <c r="M264" s="577">
        <f t="shared" si="63"/>
        <v>91256</v>
      </c>
      <c r="N264" s="564">
        <v>110048</v>
      </c>
      <c r="O264" s="577">
        <v>110048</v>
      </c>
      <c r="P264" s="577" t="s">
        <v>1166</v>
      </c>
      <c r="Q264" s="577" t="s">
        <v>1166</v>
      </c>
      <c r="R264" s="1604">
        <f t="shared" si="64"/>
        <v>110048</v>
      </c>
    </row>
    <row r="265" spans="1:18" x14ac:dyDescent="0.2">
      <c r="A265" s="261">
        <f t="shared" si="59"/>
        <v>2</v>
      </c>
      <c r="B265" s="422" t="str">
        <f>INDEX('LA List'!B:B,MATCH('EZ list'!D265,'LA List'!A:A,0))</f>
        <v>E4502</v>
      </c>
      <c r="C265" s="422" t="str">
        <f t="shared" si="57"/>
        <v>E4502EZ2</v>
      </c>
      <c r="D265" s="261" t="s">
        <v>923</v>
      </c>
      <c r="E265" s="261" t="s">
        <v>843</v>
      </c>
      <c r="F265" s="261">
        <v>2013</v>
      </c>
      <c r="G265" s="577">
        <v>5183149</v>
      </c>
      <c r="H265" s="577">
        <v>5183149</v>
      </c>
      <c r="I265" s="577">
        <v>5338866</v>
      </c>
      <c r="J265" s="577">
        <f t="shared" si="60"/>
        <v>5461215</v>
      </c>
      <c r="K265" s="577">
        <f t="shared" si="61"/>
        <v>5550196</v>
      </c>
      <c r="L265" s="577">
        <f t="shared" si="62"/>
        <v>5550196</v>
      </c>
      <c r="M265" s="577">
        <f t="shared" si="63"/>
        <v>5550196</v>
      </c>
      <c r="N265" s="564">
        <v>5839874</v>
      </c>
      <c r="O265" s="577">
        <v>5839874</v>
      </c>
      <c r="P265" s="577" t="s">
        <v>1166</v>
      </c>
      <c r="Q265" s="577" t="s">
        <v>1166</v>
      </c>
      <c r="R265" s="1604">
        <f t="shared" si="64"/>
        <v>5839874</v>
      </c>
    </row>
    <row r="266" spans="1:18" x14ac:dyDescent="0.2">
      <c r="A266" s="261">
        <f t="shared" si="59"/>
        <v>3</v>
      </c>
      <c r="B266" s="422" t="str">
        <f>INDEX('LA List'!B:B,MATCH('EZ list'!D266,'LA List'!A:A,0))</f>
        <v>E4502</v>
      </c>
      <c r="C266" s="422" t="str">
        <f t="shared" si="57"/>
        <v>E4502EZ3</v>
      </c>
      <c r="D266" s="261" t="s">
        <v>923</v>
      </c>
      <c r="E266" s="261" t="s">
        <v>1083</v>
      </c>
      <c r="F266" s="261">
        <v>2017</v>
      </c>
      <c r="G266" s="577">
        <v>0</v>
      </c>
      <c r="H266" s="577">
        <v>0</v>
      </c>
      <c r="I266" s="577">
        <v>0</v>
      </c>
      <c r="J266" s="577">
        <f t="shared" si="60"/>
        <v>0</v>
      </c>
      <c r="K266" s="577">
        <f t="shared" si="61"/>
        <v>0</v>
      </c>
      <c r="L266" s="577">
        <f t="shared" si="62"/>
        <v>0</v>
      </c>
      <c r="M266" s="577">
        <f t="shared" si="63"/>
        <v>0</v>
      </c>
      <c r="N266" s="564">
        <v>0</v>
      </c>
      <c r="O266" s="577">
        <v>0</v>
      </c>
      <c r="P266" s="577" t="s">
        <v>1166</v>
      </c>
      <c r="Q266" s="577" t="s">
        <v>1166</v>
      </c>
      <c r="R266" s="1604">
        <f t="shared" si="64"/>
        <v>0</v>
      </c>
    </row>
    <row r="267" spans="1:18" x14ac:dyDescent="0.2">
      <c r="A267" s="261">
        <f t="shared" si="59"/>
        <v>4</v>
      </c>
      <c r="B267" s="422" t="str">
        <f>INDEX('LA List'!B:B,MATCH('EZ list'!D267,'LA List'!A:A,0))</f>
        <v>E4502</v>
      </c>
      <c r="C267" s="422" t="str">
        <f t="shared" si="57"/>
        <v>E4502EZ4</v>
      </c>
      <c r="D267" s="261" t="s">
        <v>923</v>
      </c>
      <c r="E267" s="261" t="s">
        <v>1084</v>
      </c>
      <c r="F267" s="261">
        <v>2017</v>
      </c>
      <c r="G267" s="577">
        <v>0</v>
      </c>
      <c r="H267" s="577">
        <v>0</v>
      </c>
      <c r="I267" s="577">
        <v>0</v>
      </c>
      <c r="J267" s="577">
        <f t="shared" si="60"/>
        <v>0</v>
      </c>
      <c r="K267" s="577">
        <f t="shared" si="61"/>
        <v>0</v>
      </c>
      <c r="L267" s="577">
        <f t="shared" si="62"/>
        <v>0</v>
      </c>
      <c r="M267" s="577">
        <f t="shared" si="63"/>
        <v>0</v>
      </c>
      <c r="N267" s="564">
        <v>0</v>
      </c>
      <c r="O267" s="577">
        <v>0</v>
      </c>
      <c r="P267" s="577" t="s">
        <v>1166</v>
      </c>
      <c r="Q267" s="577" t="s">
        <v>1166</v>
      </c>
      <c r="R267" s="1604">
        <f t="shared" si="64"/>
        <v>0</v>
      </c>
    </row>
    <row r="268" spans="1:18" x14ac:dyDescent="0.2">
      <c r="A268" s="261">
        <f t="shared" si="59"/>
        <v>1</v>
      </c>
      <c r="B268" s="422" t="str">
        <f>INDEX('LA List'!B:B,MATCH('EZ list'!D268,'LA List'!A:A,0))</f>
        <v>E3434</v>
      </c>
      <c r="C268" s="422" t="str">
        <f t="shared" si="57"/>
        <v>E3434EZ1</v>
      </c>
      <c r="D268" s="261" t="s">
        <v>212</v>
      </c>
      <c r="E268" s="261" t="s">
        <v>1082</v>
      </c>
      <c r="F268" s="261">
        <v>2016</v>
      </c>
      <c r="G268" s="577">
        <v>0</v>
      </c>
      <c r="H268" s="577">
        <v>0</v>
      </c>
      <c r="I268" s="577">
        <v>0</v>
      </c>
      <c r="J268" s="577">
        <f t="shared" si="60"/>
        <v>0</v>
      </c>
      <c r="K268" s="577">
        <f t="shared" si="61"/>
        <v>0</v>
      </c>
      <c r="L268" s="577">
        <f t="shared" si="62"/>
        <v>0</v>
      </c>
      <c r="M268" s="577">
        <f t="shared" si="63"/>
        <v>0</v>
      </c>
      <c r="N268" s="564">
        <v>0</v>
      </c>
      <c r="O268" s="577">
        <v>0</v>
      </c>
      <c r="P268" s="577" t="s">
        <v>1166</v>
      </c>
      <c r="Q268" s="577" t="s">
        <v>1166</v>
      </c>
      <c r="R268" s="1604">
        <f t="shared" si="64"/>
        <v>0</v>
      </c>
    </row>
    <row r="269" spans="1:18" x14ac:dyDescent="0.2">
      <c r="A269" s="261">
        <f t="shared" si="59"/>
        <v>1</v>
      </c>
      <c r="B269" s="422" t="str">
        <f>INDEX('LA List'!B:B,MATCH('EZ list'!D269,'LA List'!A:A,0))</f>
        <v>E5045</v>
      </c>
      <c r="C269" s="422" t="str">
        <f t="shared" si="57"/>
        <v>E5045EZ1</v>
      </c>
      <c r="D269" s="261" t="s">
        <v>214</v>
      </c>
      <c r="E269" s="261" t="s">
        <v>854</v>
      </c>
      <c r="F269" s="261">
        <v>2013</v>
      </c>
      <c r="G269" s="577">
        <v>230835</v>
      </c>
      <c r="H269" s="577">
        <v>230835</v>
      </c>
      <c r="I269" s="577">
        <v>237770</v>
      </c>
      <c r="J269" s="577">
        <f t="shared" si="60"/>
        <v>243219</v>
      </c>
      <c r="K269" s="577">
        <f t="shared" si="61"/>
        <v>247182</v>
      </c>
      <c r="L269" s="577">
        <f t="shared" si="62"/>
        <v>247182</v>
      </c>
      <c r="M269" s="577">
        <f t="shared" si="63"/>
        <v>247182</v>
      </c>
      <c r="N269" s="564">
        <v>308907</v>
      </c>
      <c r="O269" s="577">
        <v>308907</v>
      </c>
      <c r="P269" s="577" t="s">
        <v>1166</v>
      </c>
      <c r="Q269" s="577" t="s">
        <v>1166</v>
      </c>
      <c r="R269" s="1604">
        <f t="shared" si="64"/>
        <v>308907</v>
      </c>
    </row>
    <row r="270" spans="1:18" x14ac:dyDescent="0.2">
      <c r="A270" s="261">
        <f t="shared" si="59"/>
        <v>1</v>
      </c>
      <c r="B270" s="422" t="str">
        <f>INDEX('LA List'!B:B,MATCH('EZ list'!D270,'LA List'!A:A,0))</f>
        <v>E1134</v>
      </c>
      <c r="C270" s="422" t="str">
        <f t="shared" si="57"/>
        <v>E1134EZ1</v>
      </c>
      <c r="D270" s="261" t="s">
        <v>216</v>
      </c>
      <c r="E270" s="261" t="s">
        <v>1166</v>
      </c>
      <c r="F270" s="261" t="s">
        <v>1166</v>
      </c>
      <c r="G270" s="577" t="s">
        <v>1166</v>
      </c>
      <c r="H270" s="577" t="s">
        <v>1166</v>
      </c>
      <c r="I270" s="577" t="s">
        <v>1166</v>
      </c>
      <c r="J270" s="577" t="str">
        <f t="shared" si="60"/>
        <v/>
      </c>
      <c r="K270" s="577" t="str">
        <f t="shared" si="61"/>
        <v/>
      </c>
      <c r="L270" s="577" t="str">
        <f t="shared" si="62"/>
        <v/>
      </c>
      <c r="M270" s="577" t="str">
        <f t="shared" si="63"/>
        <v/>
      </c>
      <c r="N270" s="564" t="s">
        <v>1166</v>
      </c>
      <c r="O270" s="577" t="s">
        <v>1166</v>
      </c>
      <c r="P270" s="577" t="s">
        <v>1166</v>
      </c>
      <c r="Q270" s="577" t="s">
        <v>1166</v>
      </c>
      <c r="R270" s="1604" t="str">
        <f t="shared" si="64"/>
        <v/>
      </c>
    </row>
    <row r="271" spans="1:18" x14ac:dyDescent="0.2">
      <c r="A271" s="261">
        <f t="shared" si="59"/>
        <v>1</v>
      </c>
      <c r="B271" s="422" t="str">
        <f>INDEX('LA List'!B:B,MATCH('EZ list'!D271,'LA List'!A:A,0))</f>
        <v>E1038</v>
      </c>
      <c r="C271" s="422" t="str">
        <f t="shared" si="57"/>
        <v>E1038EZ1</v>
      </c>
      <c r="D271" s="261" t="s">
        <v>218</v>
      </c>
      <c r="E271" s="261" t="s">
        <v>1166</v>
      </c>
      <c r="F271" s="261" t="s">
        <v>1166</v>
      </c>
      <c r="G271" s="577" t="s">
        <v>1166</v>
      </c>
      <c r="H271" s="577" t="s">
        <v>1166</v>
      </c>
      <c r="I271" s="577" t="s">
        <v>1166</v>
      </c>
      <c r="J271" s="577" t="str">
        <f t="shared" si="60"/>
        <v/>
      </c>
      <c r="K271" s="577" t="str">
        <f t="shared" si="61"/>
        <v/>
      </c>
      <c r="L271" s="577" t="str">
        <f t="shared" si="62"/>
        <v/>
      </c>
      <c r="M271" s="577" t="str">
        <f t="shared" si="63"/>
        <v/>
      </c>
      <c r="N271" s="564" t="s">
        <v>1166</v>
      </c>
      <c r="O271" s="577" t="s">
        <v>1166</v>
      </c>
      <c r="P271" s="577" t="s">
        <v>1166</v>
      </c>
      <c r="Q271" s="577" t="s">
        <v>1166</v>
      </c>
      <c r="R271" s="1604" t="str">
        <f t="shared" si="64"/>
        <v/>
      </c>
    </row>
    <row r="272" spans="1:18" x14ac:dyDescent="0.2">
      <c r="A272" s="261">
        <f t="shared" si="59"/>
        <v>1</v>
      </c>
      <c r="B272" s="422" t="str">
        <f>INDEX('LA List'!B:B,MATCH('EZ list'!D272,'LA List'!A:A,0))</f>
        <v>E2003</v>
      </c>
      <c r="C272" s="422" t="str">
        <f t="shared" si="57"/>
        <v>E2003EZ1</v>
      </c>
      <c r="D272" s="261" t="s">
        <v>220</v>
      </c>
      <c r="E272" s="261" t="s">
        <v>839</v>
      </c>
      <c r="F272" s="261">
        <v>2013</v>
      </c>
      <c r="G272" s="577">
        <v>0</v>
      </c>
      <c r="H272" s="577">
        <v>0</v>
      </c>
      <c r="I272" s="577">
        <v>0</v>
      </c>
      <c r="J272" s="577">
        <f t="shared" si="60"/>
        <v>0</v>
      </c>
      <c r="K272" s="577">
        <f t="shared" si="61"/>
        <v>0</v>
      </c>
      <c r="L272" s="577">
        <f t="shared" si="62"/>
        <v>0</v>
      </c>
      <c r="M272" s="577">
        <f t="shared" si="63"/>
        <v>0</v>
      </c>
      <c r="N272" s="564">
        <v>1</v>
      </c>
      <c r="O272" s="577">
        <v>1</v>
      </c>
      <c r="P272" s="577" t="s">
        <v>1166</v>
      </c>
      <c r="Q272" s="577" t="s">
        <v>1166</v>
      </c>
      <c r="R272" s="1604">
        <f t="shared" si="64"/>
        <v>1</v>
      </c>
    </row>
    <row r="273" spans="1:18" x14ac:dyDescent="0.2">
      <c r="A273" s="261">
        <f t="shared" si="59"/>
        <v>2</v>
      </c>
      <c r="B273" s="422" t="str">
        <f>INDEX('LA List'!B:B,MATCH('EZ list'!D273,'LA List'!A:A,0))</f>
        <v>E2003</v>
      </c>
      <c r="C273" s="422" t="str">
        <f t="shared" si="57"/>
        <v>E2003EZ2</v>
      </c>
      <c r="D273" s="261" t="s">
        <v>220</v>
      </c>
      <c r="E273" s="261" t="s">
        <v>1085</v>
      </c>
      <c r="F273" s="261">
        <v>2016</v>
      </c>
      <c r="G273" s="577">
        <v>0</v>
      </c>
      <c r="H273" s="577">
        <v>0</v>
      </c>
      <c r="I273" s="577">
        <v>0</v>
      </c>
      <c r="J273" s="577">
        <f t="shared" si="60"/>
        <v>0</v>
      </c>
      <c r="K273" s="577">
        <f t="shared" si="61"/>
        <v>0</v>
      </c>
      <c r="L273" s="577">
        <f t="shared" si="62"/>
        <v>0</v>
      </c>
      <c r="M273" s="577">
        <f t="shared" si="63"/>
        <v>0</v>
      </c>
      <c r="N273" s="564">
        <v>0</v>
      </c>
      <c r="O273" s="577">
        <v>0</v>
      </c>
      <c r="P273" s="577" t="s">
        <v>1166</v>
      </c>
      <c r="Q273" s="577" t="s">
        <v>1166</v>
      </c>
      <c r="R273" s="1604">
        <f t="shared" si="64"/>
        <v>0</v>
      </c>
    </row>
    <row r="274" spans="1:18" x14ac:dyDescent="0.2">
      <c r="A274" s="261">
        <f t="shared" si="59"/>
        <v>3</v>
      </c>
      <c r="B274" s="422" t="str">
        <f>INDEX('LA List'!B:B,MATCH('EZ list'!D274,'LA List'!A:A,0))</f>
        <v>E2003</v>
      </c>
      <c r="C274" s="422" t="str">
        <f t="shared" si="57"/>
        <v>E2003EZ3</v>
      </c>
      <c r="D274" s="261" t="s">
        <v>220</v>
      </c>
      <c r="E274" s="261" t="s">
        <v>1086</v>
      </c>
      <c r="F274" s="261">
        <v>2016</v>
      </c>
      <c r="G274" s="577">
        <v>0</v>
      </c>
      <c r="H274" s="577">
        <v>0</v>
      </c>
      <c r="I274" s="577">
        <v>0</v>
      </c>
      <c r="J274" s="577">
        <f t="shared" si="60"/>
        <v>0</v>
      </c>
      <c r="K274" s="577">
        <f t="shared" si="61"/>
        <v>0</v>
      </c>
      <c r="L274" s="577">
        <f t="shared" si="62"/>
        <v>0</v>
      </c>
      <c r="M274" s="577">
        <f t="shared" si="63"/>
        <v>0</v>
      </c>
      <c r="N274" s="564">
        <v>1</v>
      </c>
      <c r="O274" s="577">
        <v>1</v>
      </c>
      <c r="P274" s="577" t="s">
        <v>1166</v>
      </c>
      <c r="Q274" s="577" t="s">
        <v>1166</v>
      </c>
      <c r="R274" s="1604">
        <f t="shared" si="64"/>
        <v>1</v>
      </c>
    </row>
    <row r="275" spans="1:18" x14ac:dyDescent="0.2">
      <c r="A275" s="261">
        <f t="shared" si="59"/>
        <v>4</v>
      </c>
      <c r="B275" s="422" t="str">
        <f>INDEX('LA List'!B:B,MATCH('EZ list'!D275,'LA List'!A:A,0))</f>
        <v>E2003</v>
      </c>
      <c r="C275" s="422" t="str">
        <f t="shared" si="57"/>
        <v>E2003EZ4</v>
      </c>
      <c r="D275" s="261" t="s">
        <v>220</v>
      </c>
      <c r="E275" s="261" t="s">
        <v>1087</v>
      </c>
      <c r="F275" s="261">
        <v>2016</v>
      </c>
      <c r="G275" s="577">
        <v>0</v>
      </c>
      <c r="H275" s="577">
        <v>0</v>
      </c>
      <c r="I275" s="577">
        <v>0</v>
      </c>
      <c r="J275" s="577">
        <f t="shared" si="60"/>
        <v>0</v>
      </c>
      <c r="K275" s="577">
        <f t="shared" si="61"/>
        <v>0</v>
      </c>
      <c r="L275" s="577">
        <f t="shared" si="62"/>
        <v>0</v>
      </c>
      <c r="M275" s="577">
        <f t="shared" si="63"/>
        <v>0</v>
      </c>
      <c r="N275" s="564">
        <v>0</v>
      </c>
      <c r="O275" s="577">
        <v>0</v>
      </c>
      <c r="P275" s="577" t="s">
        <v>1166</v>
      </c>
      <c r="Q275" s="577" t="s">
        <v>1166</v>
      </c>
      <c r="R275" s="1604">
        <f t="shared" si="64"/>
        <v>0</v>
      </c>
    </row>
    <row r="276" spans="1:18" x14ac:dyDescent="0.2">
      <c r="A276" s="261">
        <f t="shared" si="59"/>
        <v>5</v>
      </c>
      <c r="B276" s="422" t="str">
        <f>INDEX('LA List'!B:B,MATCH('EZ list'!D276,'LA List'!A:A,0))</f>
        <v>E2003</v>
      </c>
      <c r="C276" s="422" t="str">
        <f t="shared" si="57"/>
        <v>E2003EZ5</v>
      </c>
      <c r="D276" s="261" t="s">
        <v>220</v>
      </c>
      <c r="E276" s="261" t="s">
        <v>1088</v>
      </c>
      <c r="F276" s="261">
        <v>2016</v>
      </c>
      <c r="G276" s="577">
        <v>0</v>
      </c>
      <c r="H276" s="577">
        <v>0</v>
      </c>
      <c r="I276" s="577">
        <v>0</v>
      </c>
      <c r="J276" s="577">
        <f t="shared" si="60"/>
        <v>0</v>
      </c>
      <c r="K276" s="577">
        <f t="shared" si="61"/>
        <v>0</v>
      </c>
      <c r="L276" s="577">
        <f t="shared" si="62"/>
        <v>0</v>
      </c>
      <c r="M276" s="577">
        <f t="shared" si="63"/>
        <v>0</v>
      </c>
      <c r="N276" s="564">
        <v>1</v>
      </c>
      <c r="O276" s="577">
        <v>1</v>
      </c>
      <c r="P276" s="577" t="s">
        <v>1166</v>
      </c>
      <c r="Q276" s="577" t="s">
        <v>1166</v>
      </c>
      <c r="R276" s="1604">
        <f t="shared" si="64"/>
        <v>1</v>
      </c>
    </row>
    <row r="277" spans="1:18" x14ac:dyDescent="0.2">
      <c r="A277" s="261">
        <f t="shared" si="59"/>
        <v>6</v>
      </c>
      <c r="B277" s="422" t="str">
        <f>INDEX('LA List'!B:B,MATCH('EZ list'!D277,'LA List'!A:A,0))</f>
        <v>E2003</v>
      </c>
      <c r="C277" s="422" t="str">
        <f t="shared" si="57"/>
        <v>E2003EZ6</v>
      </c>
      <c r="D277" s="261" t="s">
        <v>220</v>
      </c>
      <c r="E277" s="261" t="s">
        <v>1089</v>
      </c>
      <c r="F277" s="261">
        <v>2016</v>
      </c>
      <c r="G277" s="577">
        <v>0</v>
      </c>
      <c r="H277" s="577">
        <v>0</v>
      </c>
      <c r="I277" s="577">
        <v>0</v>
      </c>
      <c r="J277" s="577">
        <f t="shared" si="60"/>
        <v>0</v>
      </c>
      <c r="K277" s="577">
        <f t="shared" si="61"/>
        <v>0</v>
      </c>
      <c r="L277" s="577">
        <f t="shared" si="62"/>
        <v>0</v>
      </c>
      <c r="M277" s="577">
        <f t="shared" si="63"/>
        <v>0</v>
      </c>
      <c r="N277" s="564">
        <v>0</v>
      </c>
      <c r="O277" s="577">
        <v>0</v>
      </c>
      <c r="P277" s="577" t="s">
        <v>1166</v>
      </c>
      <c r="Q277" s="577" t="s">
        <v>1166</v>
      </c>
      <c r="R277" s="1604">
        <f t="shared" si="64"/>
        <v>0</v>
      </c>
    </row>
    <row r="278" spans="1:18" x14ac:dyDescent="0.2">
      <c r="A278" s="261">
        <f t="shared" si="59"/>
        <v>7</v>
      </c>
      <c r="B278" s="422" t="str">
        <f>INDEX('LA List'!B:B,MATCH('EZ list'!D278,'LA List'!A:A,0))</f>
        <v>E2003</v>
      </c>
      <c r="C278" s="422" t="str">
        <f t="shared" si="57"/>
        <v>E2003EZ7</v>
      </c>
      <c r="D278" s="261" t="s">
        <v>220</v>
      </c>
      <c r="E278" s="261" t="s">
        <v>1090</v>
      </c>
      <c r="F278" s="261">
        <v>2016</v>
      </c>
      <c r="G278" s="577">
        <v>0</v>
      </c>
      <c r="H278" s="577">
        <v>0</v>
      </c>
      <c r="I278" s="577">
        <v>0</v>
      </c>
      <c r="J278" s="577">
        <f t="shared" si="60"/>
        <v>0</v>
      </c>
      <c r="K278" s="577">
        <f t="shared" si="61"/>
        <v>0</v>
      </c>
      <c r="L278" s="577">
        <f t="shared" si="62"/>
        <v>0</v>
      </c>
      <c r="M278" s="577">
        <f t="shared" si="63"/>
        <v>0</v>
      </c>
      <c r="N278" s="564">
        <v>0</v>
      </c>
      <c r="O278" s="577">
        <v>0</v>
      </c>
      <c r="P278" s="577" t="s">
        <v>1166</v>
      </c>
      <c r="Q278" s="577" t="s">
        <v>1166</v>
      </c>
      <c r="R278" s="1604">
        <f t="shared" si="64"/>
        <v>0</v>
      </c>
    </row>
    <row r="279" spans="1:18" x14ac:dyDescent="0.2">
      <c r="A279" s="261">
        <f t="shared" si="59"/>
        <v>1</v>
      </c>
      <c r="B279" s="422" t="str">
        <f>INDEX('LA List'!B:B,MATCH('EZ list'!D279,'LA List'!A:A,0))</f>
        <v>E1935</v>
      </c>
      <c r="C279" s="422" t="str">
        <f t="shared" si="57"/>
        <v>E1935EZ1</v>
      </c>
      <c r="D279" s="261" t="s">
        <v>222</v>
      </c>
      <c r="E279" s="261" t="s">
        <v>1166</v>
      </c>
      <c r="F279" s="261" t="s">
        <v>1166</v>
      </c>
      <c r="G279" s="577" t="s">
        <v>1166</v>
      </c>
      <c r="H279" s="577" t="s">
        <v>1166</v>
      </c>
      <c r="I279" s="577" t="s">
        <v>1166</v>
      </c>
      <c r="J279" s="577" t="str">
        <f t="shared" si="60"/>
        <v/>
      </c>
      <c r="K279" s="577" t="str">
        <f t="shared" si="61"/>
        <v/>
      </c>
      <c r="L279" s="577" t="str">
        <f t="shared" si="62"/>
        <v/>
      </c>
      <c r="M279" s="577" t="str">
        <f t="shared" si="63"/>
        <v/>
      </c>
      <c r="N279" s="564" t="s">
        <v>1166</v>
      </c>
      <c r="O279" s="577" t="s">
        <v>1166</v>
      </c>
      <c r="P279" s="577" t="s">
        <v>1166</v>
      </c>
      <c r="Q279" s="577" t="s">
        <v>1166</v>
      </c>
      <c r="R279" s="1604" t="str">
        <f t="shared" si="64"/>
        <v/>
      </c>
    </row>
    <row r="280" spans="1:18" x14ac:dyDescent="0.2">
      <c r="A280" s="261">
        <f t="shared" si="59"/>
        <v>1</v>
      </c>
      <c r="B280" s="422" t="str">
        <f>INDEX('LA List'!B:B,MATCH('EZ list'!D280,'LA List'!A:A,0))</f>
        <v>E2534</v>
      </c>
      <c r="C280" s="422" t="str">
        <f t="shared" si="57"/>
        <v>E2534EZ1</v>
      </c>
      <c r="D280" s="261" t="s">
        <v>224</v>
      </c>
      <c r="E280" s="261" t="s">
        <v>1166</v>
      </c>
      <c r="F280" s="261" t="s">
        <v>1166</v>
      </c>
      <c r="G280" s="577" t="s">
        <v>1166</v>
      </c>
      <c r="H280" s="577" t="s">
        <v>1166</v>
      </c>
      <c r="I280" s="577" t="s">
        <v>1166</v>
      </c>
      <c r="J280" s="577" t="str">
        <f t="shared" si="60"/>
        <v/>
      </c>
      <c r="K280" s="577" t="str">
        <f t="shared" si="61"/>
        <v/>
      </c>
      <c r="L280" s="577" t="str">
        <f t="shared" si="62"/>
        <v/>
      </c>
      <c r="M280" s="577" t="str">
        <f t="shared" si="63"/>
        <v/>
      </c>
      <c r="N280" s="564" t="s">
        <v>1166</v>
      </c>
      <c r="O280" s="577" t="s">
        <v>1166</v>
      </c>
      <c r="P280" s="577" t="s">
        <v>1166</v>
      </c>
      <c r="Q280" s="577" t="s">
        <v>1166</v>
      </c>
      <c r="R280" s="1604" t="str">
        <f t="shared" si="64"/>
        <v/>
      </c>
    </row>
    <row r="281" spans="1:18" x14ac:dyDescent="0.2">
      <c r="A281" s="261">
        <f t="shared" si="59"/>
        <v>1</v>
      </c>
      <c r="B281" s="422" t="str">
        <f>INDEX('LA List'!B:B,MATCH('EZ list'!D281,'LA List'!A:A,0))</f>
        <v>E2004</v>
      </c>
      <c r="C281" s="422" t="str">
        <f t="shared" si="57"/>
        <v>E2004EZ1</v>
      </c>
      <c r="D281" s="261" t="s">
        <v>226</v>
      </c>
      <c r="E281" s="261" t="s">
        <v>840</v>
      </c>
      <c r="F281" s="261">
        <v>2013</v>
      </c>
      <c r="G281" s="577">
        <v>899022</v>
      </c>
      <c r="H281" s="577">
        <v>899022</v>
      </c>
      <c r="I281" s="577">
        <v>926031</v>
      </c>
      <c r="J281" s="577">
        <f t="shared" si="60"/>
        <v>947253</v>
      </c>
      <c r="K281" s="577">
        <f t="shared" si="61"/>
        <v>962687</v>
      </c>
      <c r="L281" s="577">
        <f t="shared" si="62"/>
        <v>962687</v>
      </c>
      <c r="M281" s="577">
        <f t="shared" si="63"/>
        <v>962687</v>
      </c>
      <c r="N281" s="564">
        <v>1136281</v>
      </c>
      <c r="O281" s="577">
        <v>1136281</v>
      </c>
      <c r="P281" s="577" t="s">
        <v>1166</v>
      </c>
      <c r="Q281" s="577" t="s">
        <v>1166</v>
      </c>
      <c r="R281" s="1604">
        <f t="shared" si="64"/>
        <v>1136281</v>
      </c>
    </row>
    <row r="282" spans="1:18" x14ac:dyDescent="0.2">
      <c r="A282" s="261">
        <f t="shared" si="59"/>
        <v>2</v>
      </c>
      <c r="B282" s="422" t="str">
        <f>INDEX('LA List'!B:B,MATCH('EZ list'!D282,'LA List'!A:A,0))</f>
        <v>E2004</v>
      </c>
      <c r="C282" s="422" t="str">
        <f t="shared" ref="C282" si="65">CONCATENATE(B282,"EZ",A282)</f>
        <v>E2004EZ2</v>
      </c>
      <c r="D282" s="261" t="s">
        <v>226</v>
      </c>
      <c r="E282" s="261" t="s">
        <v>1091</v>
      </c>
      <c r="F282" s="261">
        <v>2016</v>
      </c>
      <c r="G282" s="577">
        <v>892897</v>
      </c>
      <c r="H282" s="577">
        <v>17957</v>
      </c>
      <c r="I282" s="577">
        <v>18496</v>
      </c>
      <c r="J282" s="577">
        <f t="shared" si="60"/>
        <v>18920</v>
      </c>
      <c r="K282" s="577">
        <f t="shared" si="61"/>
        <v>19228</v>
      </c>
      <c r="L282" s="577">
        <f t="shared" si="62"/>
        <v>19228</v>
      </c>
      <c r="M282" s="577">
        <f t="shared" si="63"/>
        <v>19228</v>
      </c>
      <c r="N282" s="564">
        <v>16160</v>
      </c>
      <c r="O282" s="577">
        <v>16160</v>
      </c>
      <c r="P282" s="577" t="s">
        <v>1166</v>
      </c>
      <c r="Q282" s="577" t="s">
        <v>1166</v>
      </c>
      <c r="R282" s="1604">
        <f t="shared" si="64"/>
        <v>16160</v>
      </c>
    </row>
    <row r="283" spans="1:18" x14ac:dyDescent="0.2">
      <c r="A283" s="261">
        <f t="shared" si="59"/>
        <v>3</v>
      </c>
      <c r="B283" s="422" t="str">
        <f>INDEX('LA List'!B:B,MATCH('EZ list'!D283,'LA List'!A:A,0))</f>
        <v>E2004</v>
      </c>
      <c r="C283" s="422" t="str">
        <f t="shared" si="57"/>
        <v>E2004EZ3</v>
      </c>
      <c r="D283" s="261" t="s">
        <v>226</v>
      </c>
      <c r="E283" s="509" t="s">
        <v>5826</v>
      </c>
      <c r="F283" s="509">
        <v>2024</v>
      </c>
      <c r="G283" s="577">
        <v>0</v>
      </c>
      <c r="H283" s="577">
        <v>0</v>
      </c>
      <c r="I283" s="577">
        <v>0</v>
      </c>
      <c r="J283" s="577">
        <v>0</v>
      </c>
      <c r="K283" s="577">
        <v>0</v>
      </c>
      <c r="L283" s="577">
        <v>0</v>
      </c>
      <c r="M283" s="577">
        <v>109531.26</v>
      </c>
      <c r="N283" s="564">
        <v>23694</v>
      </c>
      <c r="O283" s="577">
        <v>22207</v>
      </c>
      <c r="P283" s="577">
        <v>22207</v>
      </c>
      <c r="Q283" s="577">
        <v>0</v>
      </c>
      <c r="R283" s="1604">
        <f t="shared" si="64"/>
        <v>22207</v>
      </c>
    </row>
    <row r="284" spans="1:18" x14ac:dyDescent="0.2">
      <c r="A284" s="261">
        <f t="shared" si="59"/>
        <v>1</v>
      </c>
      <c r="B284" s="422" t="str">
        <f>INDEX('LA List'!B:B,MATCH('EZ list'!D284,'LA List'!A:A,0))</f>
        <v>E2635</v>
      </c>
      <c r="C284" s="422" t="str">
        <f t="shared" si="57"/>
        <v>E2635EZ1</v>
      </c>
      <c r="D284" s="261" t="s">
        <v>228</v>
      </c>
      <c r="E284" s="261" t="s">
        <v>1092</v>
      </c>
      <c r="F284" s="261">
        <v>2016</v>
      </c>
      <c r="G284" s="577">
        <v>0</v>
      </c>
      <c r="H284" s="577">
        <v>0</v>
      </c>
      <c r="I284" s="577">
        <v>0</v>
      </c>
      <c r="J284" s="577">
        <f t="shared" ref="J284:J290" si="66">IF(I284="","",ROUND(I284*$J$1,0))</f>
        <v>0</v>
      </c>
      <c r="K284" s="577">
        <f t="shared" ref="K284:K290" si="67">IF(J284="","",ROUND(J284*$K$1,0))</f>
        <v>0</v>
      </c>
      <c r="L284" s="577">
        <f t="shared" ref="L284:L290" si="68">IF(K284="","",ROUND(K284*$L$1,0))</f>
        <v>0</v>
      </c>
      <c r="M284" s="577">
        <f t="shared" ref="M284:M290" si="69">IF(L284="","",ROUND(L284*$M$1,0))</f>
        <v>0</v>
      </c>
      <c r="N284" s="564">
        <v>0</v>
      </c>
      <c r="O284" s="577">
        <v>0</v>
      </c>
      <c r="P284" s="577" t="s">
        <v>1166</v>
      </c>
      <c r="Q284" s="577" t="s">
        <v>1166</v>
      </c>
      <c r="R284" s="1604">
        <f t="shared" si="64"/>
        <v>0</v>
      </c>
    </row>
    <row r="285" spans="1:18" x14ac:dyDescent="0.2">
      <c r="A285" s="261">
        <f t="shared" si="59"/>
        <v>2</v>
      </c>
      <c r="B285" s="422" t="str">
        <f>INDEX('LA List'!B:B,MATCH('EZ list'!D285,'LA List'!A:A,0))</f>
        <v>E2635</v>
      </c>
      <c r="C285" s="422" t="str">
        <f t="shared" ref="C285" si="70">CONCATENATE(B285,"EZ",A285)</f>
        <v>E2635EZ2</v>
      </c>
      <c r="D285" s="261" t="s">
        <v>228</v>
      </c>
      <c r="E285" s="261" t="s">
        <v>1093</v>
      </c>
      <c r="F285" s="261">
        <v>2016</v>
      </c>
      <c r="G285" s="577">
        <v>0</v>
      </c>
      <c r="H285" s="577">
        <v>0</v>
      </c>
      <c r="I285" s="577">
        <v>0</v>
      </c>
      <c r="J285" s="577">
        <f t="shared" si="66"/>
        <v>0</v>
      </c>
      <c r="K285" s="577">
        <f t="shared" si="67"/>
        <v>0</v>
      </c>
      <c r="L285" s="577">
        <f t="shared" si="68"/>
        <v>0</v>
      </c>
      <c r="M285" s="577">
        <f t="shared" si="69"/>
        <v>0</v>
      </c>
      <c r="N285" s="564">
        <v>0</v>
      </c>
      <c r="O285" s="577">
        <v>0</v>
      </c>
      <c r="P285" s="577" t="s">
        <v>1166</v>
      </c>
      <c r="Q285" s="577" t="s">
        <v>1166</v>
      </c>
      <c r="R285" s="1604">
        <f t="shared" si="64"/>
        <v>0</v>
      </c>
    </row>
    <row r="286" spans="1:18" x14ac:dyDescent="0.2">
      <c r="A286" s="261">
        <f t="shared" si="59"/>
        <v>1</v>
      </c>
      <c r="B286" s="422" t="str">
        <f>INDEX('LA List'!B:B,MATCH('EZ list'!D286,'LA List'!A:A,0))</f>
        <v>E2801</v>
      </c>
      <c r="C286" s="422" t="str">
        <f t="shared" si="57"/>
        <v>E2801EZ1</v>
      </c>
      <c r="D286" s="509" t="s">
        <v>1288</v>
      </c>
      <c r="E286" s="261" t="s">
        <v>1166</v>
      </c>
      <c r="F286" s="261" t="s">
        <v>1166</v>
      </c>
      <c r="G286" s="577" t="s">
        <v>1166</v>
      </c>
      <c r="H286" s="577" t="s">
        <v>1166</v>
      </c>
      <c r="I286" s="577" t="s">
        <v>1166</v>
      </c>
      <c r="J286" s="577" t="str">
        <f t="shared" si="66"/>
        <v/>
      </c>
      <c r="K286" s="577" t="str">
        <f t="shared" si="67"/>
        <v/>
      </c>
      <c r="L286" s="577" t="str">
        <f t="shared" si="68"/>
        <v/>
      </c>
      <c r="M286" s="577" t="str">
        <f t="shared" si="69"/>
        <v/>
      </c>
      <c r="N286" s="564" t="s">
        <v>1166</v>
      </c>
      <c r="O286" s="577" t="s">
        <v>1166</v>
      </c>
      <c r="P286" s="577" t="s">
        <v>1166</v>
      </c>
      <c r="Q286" s="577" t="s">
        <v>1166</v>
      </c>
      <c r="R286" s="1604" t="str">
        <f t="shared" si="64"/>
        <v/>
      </c>
    </row>
    <row r="287" spans="1:18" x14ac:dyDescent="0.2">
      <c r="A287" s="261">
        <f t="shared" si="59"/>
        <v>1</v>
      </c>
      <c r="B287" s="422" t="str">
        <f>INDEX('LA List'!B:B,MATCH('EZ list'!D287,'LA List'!A:A,0))</f>
        <v>E0104</v>
      </c>
      <c r="C287" s="422" t="str">
        <f t="shared" si="57"/>
        <v>E0104EZ1</v>
      </c>
      <c r="D287" s="261" t="s">
        <v>230</v>
      </c>
      <c r="E287" s="261" t="s">
        <v>834</v>
      </c>
      <c r="F287" s="261">
        <v>2014</v>
      </c>
      <c r="G287" s="577">
        <v>184016</v>
      </c>
      <c r="H287" s="577">
        <v>184016</v>
      </c>
      <c r="I287" s="577">
        <v>189544</v>
      </c>
      <c r="J287" s="577">
        <f t="shared" si="66"/>
        <v>193888</v>
      </c>
      <c r="K287" s="577">
        <f t="shared" si="67"/>
        <v>197047</v>
      </c>
      <c r="L287" s="577">
        <f t="shared" si="68"/>
        <v>197047</v>
      </c>
      <c r="M287" s="577">
        <f t="shared" si="69"/>
        <v>197047</v>
      </c>
      <c r="N287" s="564">
        <v>250536</v>
      </c>
      <c r="O287" s="577">
        <v>250536</v>
      </c>
      <c r="P287" s="577" t="s">
        <v>1166</v>
      </c>
      <c r="Q287" s="577" t="s">
        <v>1166</v>
      </c>
      <c r="R287" s="1604">
        <f t="shared" si="64"/>
        <v>250536</v>
      </c>
    </row>
    <row r="288" spans="1:18" x14ac:dyDescent="0.2">
      <c r="A288" s="261">
        <f t="shared" si="59"/>
        <v>1</v>
      </c>
      <c r="B288" s="422" t="str">
        <f>INDEX('LA List'!B:B,MATCH('EZ list'!D288,'LA List'!A:A,0))</f>
        <v>E4503</v>
      </c>
      <c r="C288" s="422" t="str">
        <f t="shared" si="57"/>
        <v>E4503EZ1</v>
      </c>
      <c r="D288" s="261" t="s">
        <v>232</v>
      </c>
      <c r="E288" s="261" t="s">
        <v>855</v>
      </c>
      <c r="F288" s="261">
        <v>2013</v>
      </c>
      <c r="G288" s="577">
        <v>582378</v>
      </c>
      <c r="H288" s="577">
        <v>582378</v>
      </c>
      <c r="I288" s="577">
        <v>599874</v>
      </c>
      <c r="J288" s="577">
        <f t="shared" si="66"/>
        <v>613621</v>
      </c>
      <c r="K288" s="577">
        <f t="shared" si="67"/>
        <v>623619</v>
      </c>
      <c r="L288" s="577">
        <f t="shared" si="68"/>
        <v>623619</v>
      </c>
      <c r="M288" s="577">
        <f t="shared" si="69"/>
        <v>623619</v>
      </c>
      <c r="N288" s="564">
        <v>636654</v>
      </c>
      <c r="O288" s="577">
        <v>636654</v>
      </c>
      <c r="P288" s="577" t="s">
        <v>1166</v>
      </c>
      <c r="Q288" s="577" t="s">
        <v>1166</v>
      </c>
      <c r="R288" s="1604">
        <f t="shared" si="64"/>
        <v>636654</v>
      </c>
    </row>
    <row r="289" spans="1:18" x14ac:dyDescent="0.2">
      <c r="A289" s="261">
        <f t="shared" si="59"/>
        <v>1</v>
      </c>
      <c r="B289" s="422" t="str">
        <f>INDEX('LA List'!B:B,MATCH('EZ list'!D289,'LA List'!A:A,0))</f>
        <v>E3731</v>
      </c>
      <c r="C289" s="422" t="str">
        <f t="shared" si="57"/>
        <v>E3731EZ1</v>
      </c>
      <c r="D289" s="261" t="s">
        <v>234</v>
      </c>
      <c r="E289" s="261" t="s">
        <v>1166</v>
      </c>
      <c r="F289" s="261" t="s">
        <v>1166</v>
      </c>
      <c r="G289" s="577" t="s">
        <v>1166</v>
      </c>
      <c r="H289" s="577" t="s">
        <v>1166</v>
      </c>
      <c r="I289" s="577" t="s">
        <v>1166</v>
      </c>
      <c r="J289" s="577" t="str">
        <f t="shared" si="66"/>
        <v/>
      </c>
      <c r="K289" s="577" t="str">
        <f t="shared" si="67"/>
        <v/>
      </c>
      <c r="L289" s="577" t="str">
        <f t="shared" si="68"/>
        <v/>
      </c>
      <c r="M289" s="577" t="str">
        <f t="shared" si="69"/>
        <v/>
      </c>
      <c r="N289" s="564" t="s">
        <v>1166</v>
      </c>
      <c r="O289" s="577" t="s">
        <v>1166</v>
      </c>
      <c r="P289" s="577" t="s">
        <v>1166</v>
      </c>
      <c r="Q289" s="577" t="s">
        <v>1166</v>
      </c>
      <c r="R289" s="1604" t="str">
        <f t="shared" si="64"/>
        <v/>
      </c>
    </row>
    <row r="290" spans="1:18" x14ac:dyDescent="0.2">
      <c r="A290" s="261">
        <f t="shared" si="59"/>
        <v>1</v>
      </c>
      <c r="B290" s="422" t="str">
        <f>INDEX('LA List'!B:B,MATCH('EZ list'!D290,'LA List'!A:A,0))</f>
        <v>E2437</v>
      </c>
      <c r="C290" s="422" t="str">
        <f t="shared" ref="C290" si="71">CONCATENATE(B290,"EZ",A290)</f>
        <v>E2437EZ1</v>
      </c>
      <c r="D290" s="261" t="s">
        <v>247</v>
      </c>
      <c r="E290" s="509" t="s">
        <v>5827</v>
      </c>
      <c r="F290" s="509">
        <v>2023</v>
      </c>
      <c r="G290" s="577">
        <v>0</v>
      </c>
      <c r="H290" s="577">
        <v>0</v>
      </c>
      <c r="I290" s="577">
        <v>0</v>
      </c>
      <c r="J290" s="577">
        <f t="shared" si="66"/>
        <v>0</v>
      </c>
      <c r="K290" s="577">
        <f t="shared" si="67"/>
        <v>0</v>
      </c>
      <c r="L290" s="577">
        <f t="shared" si="68"/>
        <v>0</v>
      </c>
      <c r="M290" s="577">
        <f t="shared" si="69"/>
        <v>0</v>
      </c>
      <c r="N290" s="564">
        <v>1104705</v>
      </c>
      <c r="O290" s="577">
        <v>1104705</v>
      </c>
      <c r="P290" s="577" t="s">
        <v>1166</v>
      </c>
      <c r="Q290" s="577" t="s">
        <v>1166</v>
      </c>
      <c r="R290" s="1604">
        <f t="shared" si="64"/>
        <v>1104705</v>
      </c>
    </row>
    <row r="291" spans="1:18" x14ac:dyDescent="0.2">
      <c r="A291" s="261">
        <f t="shared" si="59"/>
        <v>1</v>
      </c>
      <c r="B291" s="422" t="str">
        <f>INDEX('LA List'!B:B,MATCH('EZ list'!D291,'LA List'!A:A,0))</f>
        <v>E2702</v>
      </c>
      <c r="C291" s="422" t="str">
        <f t="shared" si="57"/>
        <v>E2702EZ1</v>
      </c>
      <c r="D291" s="509" t="s">
        <v>627</v>
      </c>
      <c r="E291" s="261" t="s">
        <v>1166</v>
      </c>
      <c r="F291" s="261" t="s">
        <v>1166</v>
      </c>
      <c r="G291" s="577"/>
      <c r="H291" s="577"/>
      <c r="I291" s="577"/>
      <c r="J291" s="577"/>
      <c r="K291" s="577"/>
      <c r="L291" s="577"/>
      <c r="M291" s="577"/>
      <c r="N291" s="564" t="s">
        <v>1166</v>
      </c>
      <c r="O291" s="577" t="s">
        <v>1166</v>
      </c>
      <c r="P291" s="577" t="s">
        <v>1166</v>
      </c>
      <c r="Q291" s="577" t="s">
        <v>1166</v>
      </c>
      <c r="R291" s="1604" t="str">
        <f t="shared" si="64"/>
        <v/>
      </c>
    </row>
    <row r="292" spans="1:18" x14ac:dyDescent="0.2">
      <c r="A292" s="261">
        <f t="shared" si="59"/>
        <v>1</v>
      </c>
      <c r="B292" s="422" t="str">
        <f>INDEX('LA List'!B:B,MATCH('EZ list'!D292,'LA List'!A:A,0))</f>
        <v>E2901</v>
      </c>
      <c r="C292" s="422" t="str">
        <f t="shared" si="57"/>
        <v>E2901EZ1</v>
      </c>
      <c r="D292" s="261" t="s">
        <v>249</v>
      </c>
      <c r="E292" s="261" t="s">
        <v>857</v>
      </c>
      <c r="F292" s="261">
        <v>2013</v>
      </c>
      <c r="G292" s="577">
        <v>14511</v>
      </c>
      <c r="H292" s="577">
        <v>14511</v>
      </c>
      <c r="I292" s="577">
        <v>14947</v>
      </c>
      <c r="J292" s="577">
        <f>IF(I292="","",ROUND(I292*$J$1,0))</f>
        <v>15290</v>
      </c>
      <c r="K292" s="577">
        <f>IF(J292="","",ROUND(J292*$K$1,0))</f>
        <v>15539</v>
      </c>
      <c r="L292" s="577">
        <f>IF(K292="","",ROUND(K292*$L$1,0))</f>
        <v>15539</v>
      </c>
      <c r="M292" s="577">
        <f>IF(L292="","",ROUND(L292*$M$1,0))</f>
        <v>15539</v>
      </c>
      <c r="N292" s="564">
        <v>17246</v>
      </c>
      <c r="O292" s="577">
        <v>17246</v>
      </c>
      <c r="P292" s="577" t="s">
        <v>1166</v>
      </c>
      <c r="Q292" s="577" t="s">
        <v>1166</v>
      </c>
      <c r="R292" s="1604">
        <f t="shared" si="64"/>
        <v>17246</v>
      </c>
    </row>
    <row r="293" spans="1:18" x14ac:dyDescent="0.2">
      <c r="A293" s="261">
        <f t="shared" si="59"/>
        <v>2</v>
      </c>
      <c r="B293" s="422" t="str">
        <f>INDEX('LA List'!B:B,MATCH('EZ list'!D293,'LA List'!A:A,0))</f>
        <v>E2901</v>
      </c>
      <c r="C293" s="422" t="str">
        <f t="shared" si="57"/>
        <v>E2901EZ2</v>
      </c>
      <c r="D293" s="261" t="s">
        <v>249</v>
      </c>
      <c r="E293" s="261" t="s">
        <v>1094</v>
      </c>
      <c r="F293" s="261">
        <v>2017</v>
      </c>
      <c r="G293" s="577">
        <v>0</v>
      </c>
      <c r="H293" s="577">
        <v>0</v>
      </c>
      <c r="I293" s="577">
        <v>0</v>
      </c>
      <c r="J293" s="577">
        <f>IF(I293="","",ROUND(I293*$J$1,0))</f>
        <v>0</v>
      </c>
      <c r="K293" s="577">
        <f>IF(J293="","",ROUND(J293*$K$1,0))</f>
        <v>0</v>
      </c>
      <c r="L293" s="577">
        <f>IF(K293="","",ROUND(K293*$L$1,0))</f>
        <v>0</v>
      </c>
      <c r="M293" s="577">
        <f>IF(L293="","",ROUND(L293*$M$1,0))</f>
        <v>0</v>
      </c>
      <c r="N293" s="564">
        <v>0</v>
      </c>
      <c r="O293" s="577">
        <v>0</v>
      </c>
      <c r="P293" s="577" t="s">
        <v>1166</v>
      </c>
      <c r="Q293" s="577" t="s">
        <v>1166</v>
      </c>
      <c r="R293" s="1604">
        <f t="shared" si="64"/>
        <v>0</v>
      </c>
    </row>
    <row r="294" spans="1:18" x14ac:dyDescent="0.2">
      <c r="A294" s="261">
        <f t="shared" si="59"/>
        <v>3</v>
      </c>
      <c r="B294" s="422" t="str">
        <f>INDEX('LA List'!B:B,MATCH('EZ list'!D294,'LA List'!A:A,0))</f>
        <v>E2901</v>
      </c>
      <c r="C294" s="422" t="str">
        <f t="shared" si="57"/>
        <v>E2901EZ3</v>
      </c>
      <c r="D294" s="261" t="s">
        <v>249</v>
      </c>
      <c r="E294" s="261" t="s">
        <v>1095</v>
      </c>
      <c r="F294" s="261">
        <v>2017</v>
      </c>
      <c r="G294" s="577">
        <v>0</v>
      </c>
      <c r="H294" s="577">
        <v>0</v>
      </c>
      <c r="I294" s="577">
        <v>0</v>
      </c>
      <c r="J294" s="577">
        <f>IF(I294="","",ROUND(I294*$J$1,0))</f>
        <v>0</v>
      </c>
      <c r="K294" s="577">
        <f>IF(J294="","",ROUND(J294*$K$1,0))</f>
        <v>0</v>
      </c>
      <c r="L294" s="577">
        <f>IF(K294="","",ROUND(K294*$L$1,0))</f>
        <v>0</v>
      </c>
      <c r="M294" s="577">
        <f>IF(L294="","",ROUND(L294*$M$1,0))</f>
        <v>0</v>
      </c>
      <c r="N294" s="564">
        <v>0</v>
      </c>
      <c r="O294" s="577">
        <v>0</v>
      </c>
      <c r="P294" s="577" t="s">
        <v>1166</v>
      </c>
      <c r="Q294" s="577" t="s">
        <v>1166</v>
      </c>
      <c r="R294" s="1604">
        <f t="shared" si="64"/>
        <v>0</v>
      </c>
    </row>
    <row r="295" spans="1:18" x14ac:dyDescent="0.2">
      <c r="A295" s="261">
        <f t="shared" si="59"/>
        <v>4</v>
      </c>
      <c r="B295" s="422" t="str">
        <f>INDEX('LA List'!B:B,MATCH('EZ list'!D295,'LA List'!A:A,0))</f>
        <v>E2901</v>
      </c>
      <c r="C295" s="422" t="str">
        <f t="shared" ref="C295" si="72">CONCATENATE(B295,"EZ",A295)</f>
        <v>E2901EZ4</v>
      </c>
      <c r="D295" s="261" t="s">
        <v>249</v>
      </c>
      <c r="E295" s="261" t="s">
        <v>1096</v>
      </c>
      <c r="F295" s="261">
        <v>2017</v>
      </c>
      <c r="G295" s="577">
        <v>19858</v>
      </c>
      <c r="H295" s="577">
        <v>19858</v>
      </c>
      <c r="I295" s="577">
        <v>20455</v>
      </c>
      <c r="J295" s="577">
        <f>IF(I295="","",ROUND(I295*$J$1,0))</f>
        <v>20924</v>
      </c>
      <c r="K295" s="577">
        <f>IF(J295="","",ROUND(J295*$K$1,0))</f>
        <v>21265</v>
      </c>
      <c r="L295" s="577">
        <f>IF(K295="","",ROUND(K295*$L$1,0))</f>
        <v>21265</v>
      </c>
      <c r="M295" s="577">
        <f>IF(L295="","",ROUND(L295*$M$1,0))</f>
        <v>21265</v>
      </c>
      <c r="N295" s="564">
        <v>23364</v>
      </c>
      <c r="O295" s="577">
        <v>23364</v>
      </c>
      <c r="P295" s="577" t="s">
        <v>1166</v>
      </c>
      <c r="Q295" s="577" t="s">
        <v>1166</v>
      </c>
      <c r="R295" s="1604">
        <f t="shared" si="64"/>
        <v>23364</v>
      </c>
    </row>
    <row r="296" spans="1:18" x14ac:dyDescent="0.2">
      <c r="A296" s="261">
        <f t="shared" si="59"/>
        <v>5</v>
      </c>
      <c r="B296" s="422" t="str">
        <f>INDEX('LA List'!B:B,MATCH('EZ list'!D296,'LA List'!A:A,0))</f>
        <v>E2901</v>
      </c>
      <c r="C296" s="422" t="str">
        <f t="shared" si="57"/>
        <v>E2901EZ5</v>
      </c>
      <c r="D296" s="261" t="s">
        <v>249</v>
      </c>
      <c r="E296" s="261" t="s">
        <v>5828</v>
      </c>
      <c r="F296" s="261">
        <v>2024</v>
      </c>
      <c r="G296" s="577"/>
      <c r="H296" s="577"/>
      <c r="I296" s="577"/>
      <c r="J296" s="577"/>
      <c r="K296" s="577"/>
      <c r="L296" s="577"/>
      <c r="M296" s="577"/>
      <c r="N296" s="564"/>
      <c r="O296" s="577">
        <v>131069</v>
      </c>
      <c r="P296" s="577">
        <v>24326</v>
      </c>
      <c r="Q296" s="577">
        <v>108503</v>
      </c>
      <c r="R296" s="1604">
        <f t="shared" si="64"/>
        <v>132829</v>
      </c>
    </row>
    <row r="297" spans="1:18" x14ac:dyDescent="0.2">
      <c r="A297" s="261">
        <f t="shared" si="59"/>
        <v>1</v>
      </c>
      <c r="B297" s="422" t="str">
        <f>INDEX('LA List'!B:B,MATCH('EZ list'!D297,'LA List'!A:A,0))</f>
        <v>E2636</v>
      </c>
      <c r="C297" s="422" t="str">
        <f t="shared" si="57"/>
        <v>E2636EZ1</v>
      </c>
      <c r="D297" s="261" t="s">
        <v>251</v>
      </c>
      <c r="E297" s="261" t="s">
        <v>1166</v>
      </c>
      <c r="F297" s="261" t="s">
        <v>1166</v>
      </c>
      <c r="G297" s="577" t="s">
        <v>1166</v>
      </c>
      <c r="H297" s="577" t="s">
        <v>1166</v>
      </c>
      <c r="I297" s="577" t="s">
        <v>1166</v>
      </c>
      <c r="J297" s="577" t="str">
        <f t="shared" ref="J297:J306" si="73">IF(I297="","",ROUND(I297*$J$1,0))</f>
        <v/>
      </c>
      <c r="K297" s="577" t="str">
        <f t="shared" ref="K297:K306" si="74">IF(J297="","",ROUND(J297*$K$1,0))</f>
        <v/>
      </c>
      <c r="L297" s="577" t="str">
        <f t="shared" ref="L297:L306" si="75">IF(K297="","",ROUND(K297*$L$1,0))</f>
        <v/>
      </c>
      <c r="M297" s="577" t="str">
        <f t="shared" ref="M297:M306" si="76">IF(L297="","",ROUND(L297*$M$1,0))</f>
        <v/>
      </c>
      <c r="N297" s="564" t="s">
        <v>1166</v>
      </c>
      <c r="O297" s="577" t="s">
        <v>1166</v>
      </c>
      <c r="P297" s="577" t="s">
        <v>1166</v>
      </c>
      <c r="Q297" s="577" t="s">
        <v>1166</v>
      </c>
      <c r="R297" s="1604" t="str">
        <f t="shared" si="64"/>
        <v/>
      </c>
    </row>
    <row r="298" spans="1:18" x14ac:dyDescent="0.2">
      <c r="A298" s="261">
        <f t="shared" si="59"/>
        <v>1</v>
      </c>
      <c r="B298" s="422" t="str">
        <f>INDEX('LA List'!B:B,MATCH('EZ list'!D298,'LA List'!A:A,0))</f>
        <v>E3001</v>
      </c>
      <c r="C298" s="422" t="str">
        <f t="shared" si="57"/>
        <v>E3001EZ1</v>
      </c>
      <c r="D298" s="261" t="s">
        <v>253</v>
      </c>
      <c r="E298" s="261" t="s">
        <v>858</v>
      </c>
      <c r="F298" s="261">
        <v>2013</v>
      </c>
      <c r="G298" s="577">
        <v>3980501</v>
      </c>
      <c r="H298" s="577">
        <v>3980501</v>
      </c>
      <c r="I298" s="577">
        <v>4100087</v>
      </c>
      <c r="J298" s="577">
        <f t="shared" si="73"/>
        <v>4194047</v>
      </c>
      <c r="K298" s="577">
        <f t="shared" si="74"/>
        <v>4262382</v>
      </c>
      <c r="L298" s="577">
        <f t="shared" si="75"/>
        <v>4262382</v>
      </c>
      <c r="M298" s="577">
        <f t="shared" si="76"/>
        <v>4262382</v>
      </c>
      <c r="N298" s="564">
        <v>4564154</v>
      </c>
      <c r="O298" s="577">
        <v>4564154</v>
      </c>
      <c r="P298" s="577" t="s">
        <v>1166</v>
      </c>
      <c r="Q298" s="577" t="s">
        <v>1166</v>
      </c>
      <c r="R298" s="1604">
        <f t="shared" si="64"/>
        <v>4564154</v>
      </c>
    </row>
    <row r="299" spans="1:18" x14ac:dyDescent="0.2">
      <c r="A299" s="261">
        <f t="shared" si="59"/>
        <v>2</v>
      </c>
      <c r="B299" s="422" t="str">
        <f>INDEX('LA List'!B:B,MATCH('EZ list'!D299,'LA List'!A:A,0))</f>
        <v>E3001</v>
      </c>
      <c r="C299" s="422" t="str">
        <f t="shared" si="57"/>
        <v>E3001EZ2</v>
      </c>
      <c r="D299" s="261" t="s">
        <v>253</v>
      </c>
      <c r="E299" s="261" t="s">
        <v>859</v>
      </c>
      <c r="F299" s="261">
        <v>2013</v>
      </c>
      <c r="G299" s="577">
        <v>6955778</v>
      </c>
      <c r="H299" s="577">
        <v>6955778</v>
      </c>
      <c r="I299" s="577">
        <v>7164750</v>
      </c>
      <c r="J299" s="577">
        <f t="shared" si="73"/>
        <v>7328942</v>
      </c>
      <c r="K299" s="577">
        <f t="shared" si="74"/>
        <v>7448354</v>
      </c>
      <c r="L299" s="577">
        <f t="shared" si="75"/>
        <v>7448354</v>
      </c>
      <c r="M299" s="577">
        <f t="shared" si="76"/>
        <v>7448354</v>
      </c>
      <c r="N299" s="564">
        <v>7757493</v>
      </c>
      <c r="O299" s="577">
        <v>7757493</v>
      </c>
      <c r="P299" s="577" t="s">
        <v>1166</v>
      </c>
      <c r="Q299" s="577" t="s">
        <v>1166</v>
      </c>
      <c r="R299" s="1604">
        <f t="shared" si="64"/>
        <v>7757493</v>
      </c>
    </row>
    <row r="300" spans="1:18" x14ac:dyDescent="0.2">
      <c r="A300" s="261">
        <f t="shared" si="59"/>
        <v>1</v>
      </c>
      <c r="B300" s="422" t="str">
        <f>INDEX('LA List'!B:B,MATCH('EZ list'!D300,'LA List'!A:A,0))</f>
        <v>E3732</v>
      </c>
      <c r="C300" s="422" t="str">
        <f t="shared" si="57"/>
        <v>E3732EZ1</v>
      </c>
      <c r="D300" s="261" t="s">
        <v>255</v>
      </c>
      <c r="E300" s="261" t="s">
        <v>1166</v>
      </c>
      <c r="F300" s="261" t="s">
        <v>1166</v>
      </c>
      <c r="G300" s="577" t="s">
        <v>1166</v>
      </c>
      <c r="H300" s="577" t="s">
        <v>1166</v>
      </c>
      <c r="I300" s="577" t="s">
        <v>1166</v>
      </c>
      <c r="J300" s="577" t="str">
        <f t="shared" si="73"/>
        <v/>
      </c>
      <c r="K300" s="577" t="str">
        <f t="shared" si="74"/>
        <v/>
      </c>
      <c r="L300" s="577" t="str">
        <f t="shared" si="75"/>
        <v/>
      </c>
      <c r="M300" s="577" t="str">
        <f t="shared" si="76"/>
        <v/>
      </c>
      <c r="N300" s="564" t="s">
        <v>1166</v>
      </c>
      <c r="O300" s="577" t="s">
        <v>1166</v>
      </c>
      <c r="P300" s="577" t="s">
        <v>1166</v>
      </c>
      <c r="Q300" s="577" t="s">
        <v>1166</v>
      </c>
      <c r="R300" s="1604" t="str">
        <f t="shared" si="64"/>
        <v/>
      </c>
    </row>
    <row r="301" spans="1:18" x14ac:dyDescent="0.2">
      <c r="A301" s="261">
        <f t="shared" si="59"/>
        <v>1</v>
      </c>
      <c r="B301" s="422" t="str">
        <f>INDEX('LA List'!B:B,MATCH('EZ list'!D301,'LA List'!A:A,0))</f>
        <v>E2438</v>
      </c>
      <c r="C301" s="422" t="str">
        <f t="shared" si="57"/>
        <v>E2438EZ1</v>
      </c>
      <c r="D301" s="261" t="s">
        <v>257</v>
      </c>
      <c r="E301" s="261" t="s">
        <v>1166</v>
      </c>
      <c r="F301" s="261" t="s">
        <v>1166</v>
      </c>
      <c r="G301" s="577" t="s">
        <v>1166</v>
      </c>
      <c r="H301" s="577" t="s">
        <v>1166</v>
      </c>
      <c r="I301" s="577" t="s">
        <v>1166</v>
      </c>
      <c r="J301" s="577" t="str">
        <f t="shared" si="73"/>
        <v/>
      </c>
      <c r="K301" s="577" t="str">
        <f t="shared" si="74"/>
        <v/>
      </c>
      <c r="L301" s="577" t="str">
        <f t="shared" si="75"/>
        <v/>
      </c>
      <c r="M301" s="577" t="str">
        <f t="shared" si="76"/>
        <v/>
      </c>
      <c r="N301" s="564" t="s">
        <v>1166</v>
      </c>
      <c r="O301" s="577" t="s">
        <v>1166</v>
      </c>
      <c r="P301" s="577" t="s">
        <v>1166</v>
      </c>
      <c r="Q301" s="577" t="s">
        <v>1166</v>
      </c>
      <c r="R301" s="1604" t="str">
        <f t="shared" si="64"/>
        <v/>
      </c>
    </row>
    <row r="302" spans="1:18" x14ac:dyDescent="0.2">
      <c r="A302" s="261">
        <f t="shared" si="59"/>
        <v>1</v>
      </c>
      <c r="B302" s="422" t="str">
        <f>INDEX('LA List'!B:B,MATCH('EZ list'!D302,'LA List'!A:A,0))</f>
        <v>E4204</v>
      </c>
      <c r="C302" s="422" t="str">
        <f t="shared" si="57"/>
        <v>E4204EZ1</v>
      </c>
      <c r="D302" s="261" t="s">
        <v>259</v>
      </c>
      <c r="E302" s="261" t="s">
        <v>1166</v>
      </c>
      <c r="F302" s="261" t="s">
        <v>1166</v>
      </c>
      <c r="G302" s="577" t="s">
        <v>1166</v>
      </c>
      <c r="H302" s="577" t="s">
        <v>1166</v>
      </c>
      <c r="I302" s="577" t="s">
        <v>1166</v>
      </c>
      <c r="J302" s="577" t="str">
        <f t="shared" si="73"/>
        <v/>
      </c>
      <c r="K302" s="577" t="str">
        <f t="shared" si="74"/>
        <v/>
      </c>
      <c r="L302" s="577" t="str">
        <f t="shared" si="75"/>
        <v/>
      </c>
      <c r="M302" s="577" t="str">
        <f t="shared" si="76"/>
        <v/>
      </c>
      <c r="N302" s="564" t="s">
        <v>1166</v>
      </c>
      <c r="O302" s="577" t="s">
        <v>1166</v>
      </c>
      <c r="P302" s="577" t="s">
        <v>1166</v>
      </c>
      <c r="Q302" s="577" t="s">
        <v>1166</v>
      </c>
      <c r="R302" s="1604" t="str">
        <f t="shared" si="64"/>
        <v/>
      </c>
    </row>
    <row r="303" spans="1:18" x14ac:dyDescent="0.2">
      <c r="A303" s="261">
        <f t="shared" si="59"/>
        <v>1</v>
      </c>
      <c r="B303" s="422" t="str">
        <f>INDEX('LA List'!B:B,MATCH('EZ list'!D303,'LA List'!A:A,0))</f>
        <v>E3132</v>
      </c>
      <c r="C303" s="422" t="str">
        <f t="shared" si="57"/>
        <v>E3132EZ1</v>
      </c>
      <c r="D303" s="261" t="s">
        <v>261</v>
      </c>
      <c r="E303" s="261" t="s">
        <v>1166</v>
      </c>
      <c r="F303" s="261" t="s">
        <v>1166</v>
      </c>
      <c r="G303" s="577" t="s">
        <v>1166</v>
      </c>
      <c r="H303" s="577" t="s">
        <v>1166</v>
      </c>
      <c r="I303" s="577" t="s">
        <v>1166</v>
      </c>
      <c r="J303" s="577" t="str">
        <f t="shared" si="73"/>
        <v/>
      </c>
      <c r="K303" s="577" t="str">
        <f t="shared" si="74"/>
        <v/>
      </c>
      <c r="L303" s="577" t="str">
        <f t="shared" si="75"/>
        <v/>
      </c>
      <c r="M303" s="577" t="str">
        <f t="shared" si="76"/>
        <v/>
      </c>
      <c r="N303" s="564" t="s">
        <v>1166</v>
      </c>
      <c r="O303" s="577" t="s">
        <v>1166</v>
      </c>
      <c r="P303" s="577" t="s">
        <v>1166</v>
      </c>
      <c r="Q303" s="577" t="s">
        <v>1166</v>
      </c>
      <c r="R303" s="1604" t="str">
        <f t="shared" si="64"/>
        <v/>
      </c>
    </row>
    <row r="304" spans="1:18" x14ac:dyDescent="0.2">
      <c r="A304" s="261">
        <f t="shared" si="59"/>
        <v>1</v>
      </c>
      <c r="B304" s="422" t="str">
        <f>INDEX('LA List'!B:B,MATCH('EZ list'!D304,'LA List'!A:A,0))</f>
        <v>E2338</v>
      </c>
      <c r="C304" s="422" t="str">
        <f t="shared" si="57"/>
        <v>E2338EZ1</v>
      </c>
      <c r="D304" s="261" t="s">
        <v>263</v>
      </c>
      <c r="E304" s="261" t="s">
        <v>1166</v>
      </c>
      <c r="F304" s="261" t="s">
        <v>1166</v>
      </c>
      <c r="G304" s="577" t="s">
        <v>1166</v>
      </c>
      <c r="H304" s="577" t="s">
        <v>1166</v>
      </c>
      <c r="I304" s="577" t="s">
        <v>1166</v>
      </c>
      <c r="J304" s="577" t="str">
        <f t="shared" si="73"/>
        <v/>
      </c>
      <c r="K304" s="577" t="str">
        <f t="shared" si="74"/>
        <v/>
      </c>
      <c r="L304" s="577" t="str">
        <f t="shared" si="75"/>
        <v/>
      </c>
      <c r="M304" s="577" t="str">
        <f t="shared" si="76"/>
        <v/>
      </c>
      <c r="N304" s="564" t="s">
        <v>1166</v>
      </c>
      <c r="O304" s="577" t="s">
        <v>1166</v>
      </c>
      <c r="P304" s="577" t="s">
        <v>1166</v>
      </c>
      <c r="Q304" s="577" t="s">
        <v>1166</v>
      </c>
      <c r="R304" s="1604" t="str">
        <f t="shared" si="64"/>
        <v/>
      </c>
    </row>
    <row r="305" spans="1:18" x14ac:dyDescent="0.2">
      <c r="A305" s="261">
        <f t="shared" si="59"/>
        <v>1</v>
      </c>
      <c r="B305" s="422" t="str">
        <f>INDEX('LA List'!B:B,MATCH('EZ list'!D305,'LA List'!A:A,0))</f>
        <v>E0501</v>
      </c>
      <c r="C305" s="422" t="str">
        <f t="shared" si="57"/>
        <v>E0501EZ1</v>
      </c>
      <c r="D305" s="261" t="s">
        <v>265</v>
      </c>
      <c r="E305" s="261" t="s">
        <v>1166</v>
      </c>
      <c r="F305" s="261" t="s">
        <v>1166</v>
      </c>
      <c r="G305" s="577" t="s">
        <v>1166</v>
      </c>
      <c r="H305" s="577" t="s">
        <v>1166</v>
      </c>
      <c r="I305" s="577" t="s">
        <v>1166</v>
      </c>
      <c r="J305" s="577" t="str">
        <f t="shared" si="73"/>
        <v/>
      </c>
      <c r="K305" s="577" t="str">
        <f t="shared" si="74"/>
        <v/>
      </c>
      <c r="L305" s="577" t="str">
        <f t="shared" si="75"/>
        <v/>
      </c>
      <c r="M305" s="577" t="str">
        <f t="shared" si="76"/>
        <v/>
      </c>
      <c r="N305" s="564" t="s">
        <v>1166</v>
      </c>
      <c r="O305" s="577" t="s">
        <v>1166</v>
      </c>
      <c r="P305" s="577" t="s">
        <v>1166</v>
      </c>
      <c r="Q305" s="577" t="s">
        <v>1166</v>
      </c>
      <c r="R305" s="1604" t="str">
        <f t="shared" si="64"/>
        <v/>
      </c>
    </row>
    <row r="306" spans="1:18" x14ac:dyDescent="0.2">
      <c r="A306" s="261">
        <f t="shared" si="59"/>
        <v>1</v>
      </c>
      <c r="B306" s="422" t="str">
        <f>INDEX('LA List'!B:B,MATCH('EZ list'!D306,'LA List'!A:A,0))</f>
        <v>E1101</v>
      </c>
      <c r="C306" s="422" t="str">
        <f t="shared" ref="C306" si="77">CONCATENATE(B306,"EZ",A306)</f>
        <v>E1101EZ1</v>
      </c>
      <c r="D306" s="261" t="s">
        <v>267</v>
      </c>
      <c r="E306" s="261" t="s">
        <v>1097</v>
      </c>
      <c r="F306" s="261">
        <v>2017</v>
      </c>
      <c r="G306" s="577">
        <v>528465</v>
      </c>
      <c r="H306" s="577">
        <v>528465</v>
      </c>
      <c r="I306" s="577">
        <v>544342</v>
      </c>
      <c r="J306" s="577">
        <f t="shared" si="73"/>
        <v>556817</v>
      </c>
      <c r="K306" s="577">
        <f t="shared" si="74"/>
        <v>565889</v>
      </c>
      <c r="L306" s="577">
        <f t="shared" si="75"/>
        <v>565889</v>
      </c>
      <c r="M306" s="577">
        <f t="shared" si="76"/>
        <v>565889</v>
      </c>
      <c r="N306" s="564">
        <v>550351</v>
      </c>
      <c r="O306" s="577">
        <v>550351</v>
      </c>
      <c r="P306" s="577" t="s">
        <v>1166</v>
      </c>
      <c r="Q306" s="577" t="s">
        <v>1166</v>
      </c>
      <c r="R306" s="1604">
        <f t="shared" si="64"/>
        <v>550351</v>
      </c>
    </row>
    <row r="307" spans="1:18" x14ac:dyDescent="0.2">
      <c r="A307" s="261">
        <f t="shared" si="59"/>
        <v>2</v>
      </c>
      <c r="B307" s="422" t="str">
        <f>INDEX('LA List'!B:B,MATCH('EZ list'!D307,'LA List'!A:A,0))</f>
        <v>E1101</v>
      </c>
      <c r="C307" s="422" t="str">
        <f t="shared" si="57"/>
        <v>E1101EZ2</v>
      </c>
      <c r="D307" s="509" t="s">
        <v>267</v>
      </c>
      <c r="E307" s="509" t="s">
        <v>5829</v>
      </c>
      <c r="F307" s="509">
        <v>2023</v>
      </c>
      <c r="G307" s="577">
        <v>0</v>
      </c>
      <c r="H307" s="577">
        <v>0</v>
      </c>
      <c r="I307" s="577">
        <v>0</v>
      </c>
      <c r="J307" s="577">
        <v>0</v>
      </c>
      <c r="K307" s="577">
        <v>0</v>
      </c>
      <c r="L307" s="577">
        <v>0</v>
      </c>
      <c r="M307" s="577">
        <v>0</v>
      </c>
      <c r="N307" s="564">
        <v>0</v>
      </c>
      <c r="O307" s="577">
        <v>0</v>
      </c>
      <c r="P307" s="577" t="s">
        <v>1166</v>
      </c>
      <c r="Q307" s="577" t="s">
        <v>1166</v>
      </c>
      <c r="R307" s="1604">
        <f t="shared" si="64"/>
        <v>0</v>
      </c>
    </row>
    <row r="308" spans="1:18" x14ac:dyDescent="0.2">
      <c r="A308" s="261">
        <f t="shared" si="59"/>
        <v>1</v>
      </c>
      <c r="B308" s="422" t="str">
        <f>INDEX('LA List'!B:B,MATCH('EZ list'!D308,'LA List'!A:A,0))</f>
        <v>E1701</v>
      </c>
      <c r="C308" s="422" t="str">
        <f t="shared" si="57"/>
        <v>E1701EZ1</v>
      </c>
      <c r="D308" s="261" t="s">
        <v>269</v>
      </c>
      <c r="E308" s="261" t="s">
        <v>1166</v>
      </c>
      <c r="F308" s="261" t="s">
        <v>1166</v>
      </c>
      <c r="G308" s="577" t="s">
        <v>1166</v>
      </c>
      <c r="H308" s="577" t="s">
        <v>1166</v>
      </c>
      <c r="I308" s="577" t="s">
        <v>1166</v>
      </c>
      <c r="J308" s="577" t="str">
        <f>IF(I308="","",ROUND(I308*$J$1,0))</f>
        <v/>
      </c>
      <c r="K308" s="577" t="str">
        <f t="shared" ref="K308:K313" si="78">IF(J308="","",ROUND(J308*$K$1,0))</f>
        <v/>
      </c>
      <c r="L308" s="577" t="str">
        <f>IF(K308="","",ROUND(K308*$L$1,0))</f>
        <v/>
      </c>
      <c r="M308" s="577" t="str">
        <f t="shared" ref="M308:M313" si="79">IF(L308="","",ROUND(L308*$M$1,0))</f>
        <v/>
      </c>
      <c r="N308" s="564" t="s">
        <v>1166</v>
      </c>
      <c r="O308" s="577" t="s">
        <v>1166</v>
      </c>
      <c r="P308" s="577" t="s">
        <v>1166</v>
      </c>
      <c r="Q308" s="577" t="s">
        <v>1166</v>
      </c>
      <c r="R308" s="1604" t="str">
        <f t="shared" si="64"/>
        <v/>
      </c>
    </row>
    <row r="309" spans="1:18" x14ac:dyDescent="0.2">
      <c r="A309" s="261">
        <f t="shared" si="59"/>
        <v>1</v>
      </c>
      <c r="B309" s="422" t="str">
        <f>INDEX('LA List'!B:B,MATCH('EZ list'!D309,'LA List'!A:A,0))</f>
        <v>E2339</v>
      </c>
      <c r="C309" s="422" t="str">
        <f t="shared" si="57"/>
        <v>E2339EZ1</v>
      </c>
      <c r="D309" s="261" t="s">
        <v>271</v>
      </c>
      <c r="E309" s="261" t="s">
        <v>1166</v>
      </c>
      <c r="F309" s="261" t="s">
        <v>1166</v>
      </c>
      <c r="G309" s="577" t="s">
        <v>1166</v>
      </c>
      <c r="H309" s="577" t="s">
        <v>1166</v>
      </c>
      <c r="I309" s="577" t="s">
        <v>1166</v>
      </c>
      <c r="J309" s="577" t="str">
        <f>IF(I309="","",ROUND(I309*$J$1,0))</f>
        <v/>
      </c>
      <c r="K309" s="577" t="str">
        <f t="shared" si="78"/>
        <v/>
      </c>
      <c r="L309" s="577" t="str">
        <f>IF(K309="","",ROUND(K309*$L$1,0))</f>
        <v/>
      </c>
      <c r="M309" s="577" t="str">
        <f t="shared" si="79"/>
        <v/>
      </c>
      <c r="N309" s="564" t="s">
        <v>1166</v>
      </c>
      <c r="O309" s="577" t="s">
        <v>1166</v>
      </c>
      <c r="P309" s="577" t="s">
        <v>1166</v>
      </c>
      <c r="Q309" s="577" t="s">
        <v>1166</v>
      </c>
      <c r="R309" s="1604" t="str">
        <f t="shared" si="64"/>
        <v/>
      </c>
    </row>
    <row r="310" spans="1:18" x14ac:dyDescent="0.2">
      <c r="A310" s="261">
        <f t="shared" si="59"/>
        <v>1</v>
      </c>
      <c r="B310" s="422" t="str">
        <f>INDEX('LA List'!B:B,MATCH('EZ list'!D310,'LA List'!A:A,0))</f>
        <v>E0303</v>
      </c>
      <c r="C310" s="422" t="str">
        <f t="shared" si="57"/>
        <v>E0303EZ1</v>
      </c>
      <c r="D310" s="261" t="s">
        <v>273</v>
      </c>
      <c r="E310" s="261" t="s">
        <v>1166</v>
      </c>
      <c r="F310" s="261" t="s">
        <v>1166</v>
      </c>
      <c r="G310" s="577" t="s">
        <v>1166</v>
      </c>
      <c r="H310" s="577" t="s">
        <v>1166</v>
      </c>
      <c r="I310" s="577" t="s">
        <v>1166</v>
      </c>
      <c r="J310" s="577" t="str">
        <f>IF(I310="","",ROUND(I310*$J$1,0))</f>
        <v/>
      </c>
      <c r="K310" s="577" t="str">
        <f t="shared" si="78"/>
        <v/>
      </c>
      <c r="L310" s="577" t="str">
        <f>IF(K310="","",ROUND(K310*$L$1,0))</f>
        <v/>
      </c>
      <c r="M310" s="577" t="str">
        <f t="shared" si="79"/>
        <v/>
      </c>
      <c r="N310" s="564" t="s">
        <v>1166</v>
      </c>
      <c r="O310" s="577" t="s">
        <v>1166</v>
      </c>
      <c r="P310" s="577" t="s">
        <v>1166</v>
      </c>
      <c r="Q310" s="577" t="s">
        <v>1166</v>
      </c>
      <c r="R310" s="1604" t="str">
        <f t="shared" si="64"/>
        <v/>
      </c>
    </row>
    <row r="311" spans="1:18" x14ac:dyDescent="0.2">
      <c r="A311" s="261">
        <f t="shared" si="59"/>
        <v>1</v>
      </c>
      <c r="B311" s="422" t="str">
        <f>INDEX('LA List'!B:B,MATCH('EZ list'!D311,'LA List'!A:A,0))</f>
        <v>E5046</v>
      </c>
      <c r="C311" s="422" t="str">
        <f t="shared" si="57"/>
        <v>E5046EZ1</v>
      </c>
      <c r="D311" s="261" t="s">
        <v>275</v>
      </c>
      <c r="E311" s="261" t="s">
        <v>1166</v>
      </c>
      <c r="F311" s="261" t="s">
        <v>1166</v>
      </c>
      <c r="G311" s="577" t="s">
        <v>1166</v>
      </c>
      <c r="H311" s="577" t="s">
        <v>1166</v>
      </c>
      <c r="I311" s="577" t="s">
        <v>1166</v>
      </c>
      <c r="J311" s="577" t="str">
        <f>IF(I311="","",ROUND(I311*$J$1,0))</f>
        <v/>
      </c>
      <c r="K311" s="577" t="str">
        <f t="shared" si="78"/>
        <v/>
      </c>
      <c r="L311" s="577" t="str">
        <f>IF(K311="","",ROUND(K311*$L$1,0))</f>
        <v/>
      </c>
      <c r="M311" s="577" t="str">
        <f t="shared" si="79"/>
        <v/>
      </c>
      <c r="N311" s="564" t="s">
        <v>1166</v>
      </c>
      <c r="O311" s="577" t="s">
        <v>1166</v>
      </c>
      <c r="P311" s="577" t="s">
        <v>1166</v>
      </c>
      <c r="Q311" s="577" t="s">
        <v>1166</v>
      </c>
      <c r="R311" s="1604" t="str">
        <f t="shared" si="64"/>
        <v/>
      </c>
    </row>
    <row r="312" spans="1:18" x14ac:dyDescent="0.2">
      <c r="A312" s="261">
        <f t="shared" si="59"/>
        <v>1</v>
      </c>
      <c r="B312" s="422" t="str">
        <f>INDEX('LA List'!B:B,MATCH('EZ list'!D312,'LA List'!A:A,0))</f>
        <v>E0703</v>
      </c>
      <c r="C312" s="422" t="str">
        <f t="shared" si="57"/>
        <v>E0703EZ1</v>
      </c>
      <c r="D312" s="261" t="s">
        <v>277</v>
      </c>
      <c r="E312" s="261" t="s">
        <v>846</v>
      </c>
      <c r="F312" s="261">
        <v>2013</v>
      </c>
      <c r="G312" s="577">
        <v>0</v>
      </c>
      <c r="H312" s="577">
        <v>0</v>
      </c>
      <c r="I312" s="577">
        <v>0</v>
      </c>
      <c r="J312" s="577">
        <f>IF(I312="","",ROUND(I312*$J$1,0))</f>
        <v>0</v>
      </c>
      <c r="K312" s="577">
        <f t="shared" si="78"/>
        <v>0</v>
      </c>
      <c r="L312" s="577">
        <f>IF(K312="","",ROUND(K312*$L$1,0))</f>
        <v>0</v>
      </c>
      <c r="M312" s="577">
        <f t="shared" si="79"/>
        <v>0</v>
      </c>
      <c r="N312" s="564">
        <v>0</v>
      </c>
      <c r="O312" s="577">
        <v>0</v>
      </c>
      <c r="P312" s="577" t="s">
        <v>1166</v>
      </c>
      <c r="Q312" s="577" t="s">
        <v>1166</v>
      </c>
      <c r="R312" s="1604">
        <f t="shared" si="64"/>
        <v>0</v>
      </c>
    </row>
    <row r="313" spans="1:18" x14ac:dyDescent="0.2">
      <c r="A313" s="261">
        <f t="shared" si="59"/>
        <v>2</v>
      </c>
      <c r="B313" s="422" t="str">
        <f>INDEX('LA List'!B:B,MATCH('EZ list'!D313,'LA List'!A:A,0))</f>
        <v>E0703</v>
      </c>
      <c r="C313" s="422" t="str">
        <f t="shared" ref="C313" si="80">CONCATENATE(B313,"EZ",A313)</f>
        <v>E0703EZ2</v>
      </c>
      <c r="D313" s="261" t="s">
        <v>277</v>
      </c>
      <c r="E313" s="509" t="s">
        <v>2211</v>
      </c>
      <c r="F313" s="509">
        <v>2021</v>
      </c>
      <c r="G313" s="577">
        <v>0</v>
      </c>
      <c r="H313" s="577">
        <v>0</v>
      </c>
      <c r="I313" s="577">
        <v>0</v>
      </c>
      <c r="J313" s="577">
        <v>0</v>
      </c>
      <c r="K313" s="577">
        <f t="shared" si="78"/>
        <v>0</v>
      </c>
      <c r="L313" s="577">
        <v>6927193</v>
      </c>
      <c r="M313" s="577">
        <f t="shared" si="79"/>
        <v>6927193</v>
      </c>
      <c r="N313" s="564">
        <v>9178891</v>
      </c>
      <c r="O313" s="577">
        <v>9178891</v>
      </c>
      <c r="P313" s="577" t="s">
        <v>1166</v>
      </c>
      <c r="Q313" s="577" t="s">
        <v>1166</v>
      </c>
      <c r="R313" s="1604">
        <f t="shared" si="64"/>
        <v>9178891</v>
      </c>
    </row>
    <row r="314" spans="1:18" x14ac:dyDescent="0.2">
      <c r="A314" s="261">
        <f t="shared" si="59"/>
        <v>3</v>
      </c>
      <c r="B314" s="422" t="str">
        <f>INDEX('LA List'!B:B,MATCH('EZ list'!D314,'LA List'!A:A,0))</f>
        <v>E0703</v>
      </c>
      <c r="C314" s="422" t="str">
        <f t="shared" si="57"/>
        <v>E0703EZ3</v>
      </c>
      <c r="D314" s="261" t="s">
        <v>277</v>
      </c>
      <c r="E314" s="509" t="s">
        <v>5830</v>
      </c>
      <c r="F314" s="509">
        <v>2023</v>
      </c>
      <c r="G314" s="577"/>
      <c r="H314" s="577"/>
      <c r="I314" s="577"/>
      <c r="J314" s="577"/>
      <c r="K314" s="577"/>
      <c r="L314" s="577"/>
      <c r="M314" s="577"/>
      <c r="N314" s="564"/>
      <c r="O314" s="577"/>
      <c r="P314" s="577" t="s">
        <v>1166</v>
      </c>
      <c r="Q314" s="577" t="s">
        <v>1166</v>
      </c>
      <c r="R314" s="1604">
        <f t="shared" si="64"/>
        <v>0</v>
      </c>
    </row>
    <row r="315" spans="1:18" x14ac:dyDescent="0.2">
      <c r="A315" s="261">
        <f t="shared" si="59"/>
        <v>4</v>
      </c>
      <c r="B315" s="422" t="str">
        <f>INDEX('LA List'!B:B,MATCH('EZ list'!D315,'LA List'!A:A,0))</f>
        <v>E0703</v>
      </c>
      <c r="C315" s="422" t="str">
        <f t="shared" si="57"/>
        <v>E0703EZ4</v>
      </c>
      <c r="D315" s="261" t="s">
        <v>277</v>
      </c>
      <c r="E315" s="509" t="s">
        <v>5831</v>
      </c>
      <c r="F315" s="509">
        <v>2023</v>
      </c>
      <c r="G315" s="577"/>
      <c r="H315" s="577"/>
      <c r="I315" s="577"/>
      <c r="J315" s="577"/>
      <c r="K315" s="577"/>
      <c r="L315" s="577"/>
      <c r="M315" s="577"/>
      <c r="N315" s="564"/>
      <c r="O315" s="577"/>
      <c r="P315" s="577" t="s">
        <v>1166</v>
      </c>
      <c r="Q315" s="577" t="s">
        <v>1166</v>
      </c>
      <c r="R315" s="1604">
        <f t="shared" si="64"/>
        <v>0</v>
      </c>
    </row>
    <row r="316" spans="1:18" x14ac:dyDescent="0.2">
      <c r="A316" s="261">
        <f t="shared" si="59"/>
        <v>5</v>
      </c>
      <c r="B316" s="422" t="str">
        <f>INDEX('LA List'!B:B,MATCH('EZ list'!D316,'LA List'!A:A,0))</f>
        <v>E0703</v>
      </c>
      <c r="C316" s="422" t="str">
        <f t="shared" si="57"/>
        <v>E0703EZ5</v>
      </c>
      <c r="D316" s="261" t="s">
        <v>277</v>
      </c>
      <c r="E316" s="509" t="s">
        <v>5832</v>
      </c>
      <c r="F316" s="509">
        <v>2023</v>
      </c>
      <c r="G316" s="577"/>
      <c r="H316" s="577"/>
      <c r="I316" s="577"/>
      <c r="J316" s="577"/>
      <c r="K316" s="577"/>
      <c r="L316" s="577"/>
      <c r="M316" s="577"/>
      <c r="N316" s="564"/>
      <c r="O316" s="577"/>
      <c r="P316" s="577" t="s">
        <v>1166</v>
      </c>
      <c r="Q316" s="577" t="s">
        <v>1166</v>
      </c>
      <c r="R316" s="1604">
        <f t="shared" si="64"/>
        <v>0</v>
      </c>
    </row>
    <row r="317" spans="1:18" x14ac:dyDescent="0.2">
      <c r="A317" s="261">
        <f t="shared" si="59"/>
        <v>1</v>
      </c>
      <c r="B317" s="422" t="str">
        <f>INDEX('LA List'!B:B,MATCH('EZ list'!D317,'LA List'!A:A,0))</f>
        <v>E1835</v>
      </c>
      <c r="C317" s="422" t="str">
        <f t="shared" si="57"/>
        <v>E1835EZ1</v>
      </c>
      <c r="D317" s="261" t="s">
        <v>279</v>
      </c>
      <c r="E317" s="261" t="s">
        <v>1166</v>
      </c>
      <c r="F317" s="261" t="s">
        <v>1166</v>
      </c>
      <c r="G317" s="577" t="s">
        <v>1166</v>
      </c>
      <c r="H317" s="577" t="s">
        <v>1166</v>
      </c>
      <c r="I317" s="577" t="s">
        <v>1166</v>
      </c>
      <c r="J317" s="577" t="str">
        <f t="shared" ref="J317:J331" si="81">IF(I317="","",ROUND(I317*$J$1,0))</f>
        <v/>
      </c>
      <c r="K317" s="577" t="str">
        <f t="shared" ref="K317:K331" si="82">IF(J317="","",ROUND(J317*$K$1,0))</f>
        <v/>
      </c>
      <c r="L317" s="577" t="str">
        <f t="shared" ref="L317:L331" si="83">IF(K317="","",ROUND(K317*$L$1,0))</f>
        <v/>
      </c>
      <c r="M317" s="577" t="str">
        <f t="shared" ref="M317:M331" si="84">IF(L317="","",ROUND(L317*$M$1,0))</f>
        <v/>
      </c>
      <c r="N317" s="564" t="s">
        <v>1166</v>
      </c>
      <c r="O317" s="577" t="s">
        <v>1166</v>
      </c>
      <c r="P317" s="577" t="s">
        <v>1166</v>
      </c>
      <c r="Q317" s="577" t="s">
        <v>1166</v>
      </c>
      <c r="R317" s="1604" t="str">
        <f t="shared" si="64"/>
        <v/>
      </c>
    </row>
    <row r="318" spans="1:18" x14ac:dyDescent="0.2">
      <c r="A318" s="261">
        <f t="shared" si="59"/>
        <v>1</v>
      </c>
      <c r="B318" s="422" t="str">
        <f>INDEX('LA List'!B:B,MATCH('EZ list'!D318,'LA List'!A:A,0))</f>
        <v>E3635</v>
      </c>
      <c r="C318" s="422" t="str">
        <f t="shared" si="57"/>
        <v>E3635EZ1</v>
      </c>
      <c r="D318" s="261" t="s">
        <v>281</v>
      </c>
      <c r="E318" s="261" t="s">
        <v>1166</v>
      </c>
      <c r="F318" s="261" t="s">
        <v>1166</v>
      </c>
      <c r="G318" s="577" t="s">
        <v>1166</v>
      </c>
      <c r="H318" s="577" t="s">
        <v>1166</v>
      </c>
      <c r="I318" s="577" t="s">
        <v>1166</v>
      </c>
      <c r="J318" s="577" t="str">
        <f t="shared" si="81"/>
        <v/>
      </c>
      <c r="K318" s="577" t="str">
        <f t="shared" si="82"/>
        <v/>
      </c>
      <c r="L318" s="577" t="str">
        <f t="shared" si="83"/>
        <v/>
      </c>
      <c r="M318" s="577" t="str">
        <f t="shared" si="84"/>
        <v/>
      </c>
      <c r="N318" s="564" t="s">
        <v>1166</v>
      </c>
      <c r="O318" s="577" t="s">
        <v>1166</v>
      </c>
      <c r="P318" s="577" t="s">
        <v>1166</v>
      </c>
      <c r="Q318" s="577" t="s">
        <v>1166</v>
      </c>
      <c r="R318" s="1604" t="str">
        <f t="shared" si="64"/>
        <v/>
      </c>
    </row>
    <row r="319" spans="1:18" x14ac:dyDescent="0.2">
      <c r="A319" s="261">
        <f t="shared" si="59"/>
        <v>1</v>
      </c>
      <c r="B319" s="422" t="str">
        <f>INDEX('LA List'!B:B,MATCH('EZ list'!D319,'LA List'!A:A,0))</f>
        <v>E2340</v>
      </c>
      <c r="C319" s="422" t="str">
        <f t="shared" si="57"/>
        <v>E2340EZ1</v>
      </c>
      <c r="D319" s="261" t="s">
        <v>283</v>
      </c>
      <c r="E319" s="261" t="s">
        <v>842</v>
      </c>
      <c r="F319" s="261">
        <v>2013</v>
      </c>
      <c r="G319" s="577">
        <v>1840050</v>
      </c>
      <c r="H319" s="577">
        <v>1840050</v>
      </c>
      <c r="I319" s="577">
        <v>1895330</v>
      </c>
      <c r="J319" s="577">
        <f t="shared" si="81"/>
        <v>1938765</v>
      </c>
      <c r="K319" s="577">
        <f t="shared" si="82"/>
        <v>1970354</v>
      </c>
      <c r="L319" s="577">
        <f t="shared" si="83"/>
        <v>1970354</v>
      </c>
      <c r="M319" s="577">
        <f t="shared" si="84"/>
        <v>1970354</v>
      </c>
      <c r="N319" s="564">
        <v>2168472</v>
      </c>
      <c r="O319" s="577">
        <v>2168472</v>
      </c>
      <c r="P319" s="577" t="s">
        <v>1166</v>
      </c>
      <c r="Q319" s="577" t="s">
        <v>1166</v>
      </c>
      <c r="R319" s="1604">
        <f t="shared" si="64"/>
        <v>2168472</v>
      </c>
    </row>
    <row r="320" spans="1:18" x14ac:dyDescent="0.2">
      <c r="A320" s="261">
        <f t="shared" si="59"/>
        <v>1</v>
      </c>
      <c r="B320" s="422" t="str">
        <f>INDEX('LA List'!B:B,MATCH('EZ list'!D320,'LA List'!A:A,0))</f>
        <v>E5047</v>
      </c>
      <c r="C320" s="422" t="str">
        <f t="shared" si="57"/>
        <v>E5047EZ1</v>
      </c>
      <c r="D320" s="261" t="s">
        <v>285</v>
      </c>
      <c r="E320" s="261" t="s">
        <v>1166</v>
      </c>
      <c r="F320" s="261" t="s">
        <v>1166</v>
      </c>
      <c r="G320" s="577" t="s">
        <v>1166</v>
      </c>
      <c r="H320" s="577" t="s">
        <v>1166</v>
      </c>
      <c r="I320" s="577" t="s">
        <v>1166</v>
      </c>
      <c r="J320" s="577" t="str">
        <f t="shared" si="81"/>
        <v/>
      </c>
      <c r="K320" s="577" t="str">
        <f t="shared" si="82"/>
        <v/>
      </c>
      <c r="L320" s="577" t="str">
        <f t="shared" si="83"/>
        <v/>
      </c>
      <c r="M320" s="577" t="str">
        <f t="shared" si="84"/>
        <v/>
      </c>
      <c r="N320" s="564" t="s">
        <v>1166</v>
      </c>
      <c r="O320" s="577" t="s">
        <v>1166</v>
      </c>
      <c r="P320" s="577" t="s">
        <v>1166</v>
      </c>
      <c r="Q320" s="577" t="s">
        <v>1166</v>
      </c>
      <c r="R320" s="1604" t="str">
        <f t="shared" si="64"/>
        <v/>
      </c>
    </row>
    <row r="321" spans="1:18" x14ac:dyDescent="0.2">
      <c r="A321" s="261">
        <f t="shared" si="59"/>
        <v>1</v>
      </c>
      <c r="B321" s="422" t="str">
        <f>INDEX('LA List'!B:B,MATCH('EZ list'!D321,'LA List'!A:A,0))</f>
        <v>E4205</v>
      </c>
      <c r="C321" s="422" t="str">
        <f t="shared" si="57"/>
        <v>E4205EZ1</v>
      </c>
      <c r="D321" s="261" t="s">
        <v>287</v>
      </c>
      <c r="E321" s="261" t="s">
        <v>5833</v>
      </c>
      <c r="F321" s="261">
        <v>2024</v>
      </c>
      <c r="G321" s="577" t="s">
        <v>1166</v>
      </c>
      <c r="H321" s="577" t="s">
        <v>1166</v>
      </c>
      <c r="I321" s="577" t="s">
        <v>1166</v>
      </c>
      <c r="J321" s="577" t="str">
        <f t="shared" si="81"/>
        <v/>
      </c>
      <c r="K321" s="577" t="str">
        <f t="shared" si="82"/>
        <v/>
      </c>
      <c r="L321" s="577" t="str">
        <f t="shared" si="83"/>
        <v/>
      </c>
      <c r="M321" s="577" t="str">
        <f t="shared" si="84"/>
        <v/>
      </c>
      <c r="N321" s="564" t="s">
        <v>1166</v>
      </c>
      <c r="O321" s="577">
        <v>0</v>
      </c>
      <c r="P321" s="577">
        <v>0</v>
      </c>
      <c r="Q321" s="577">
        <v>0</v>
      </c>
      <c r="R321" s="1604">
        <f t="shared" si="64"/>
        <v>0</v>
      </c>
    </row>
    <row r="322" spans="1:18" x14ac:dyDescent="0.2">
      <c r="A322" s="261">
        <f t="shared" si="59"/>
        <v>1</v>
      </c>
      <c r="B322" s="422" t="str">
        <f>INDEX('LA List'!B:B,MATCH('EZ list'!D322,'LA List'!A:A,0))</f>
        <v>E1540</v>
      </c>
      <c r="C322" s="422" t="str">
        <f t="shared" si="57"/>
        <v>E1540EZ1</v>
      </c>
      <c r="D322" s="261" t="s">
        <v>289</v>
      </c>
      <c r="E322" s="261" t="s">
        <v>1166</v>
      </c>
      <c r="F322" s="261" t="s">
        <v>1166</v>
      </c>
      <c r="G322" s="577" t="s">
        <v>1166</v>
      </c>
      <c r="H322" s="577" t="s">
        <v>1166</v>
      </c>
      <c r="I322" s="577" t="s">
        <v>1166</v>
      </c>
      <c r="J322" s="577" t="str">
        <f t="shared" si="81"/>
        <v/>
      </c>
      <c r="K322" s="577" t="str">
        <f t="shared" si="82"/>
        <v/>
      </c>
      <c r="L322" s="577" t="str">
        <f t="shared" si="83"/>
        <v/>
      </c>
      <c r="M322" s="577" t="str">
        <f t="shared" si="84"/>
        <v/>
      </c>
      <c r="N322" s="564" t="s">
        <v>1166</v>
      </c>
      <c r="O322" s="577" t="s">
        <v>1166</v>
      </c>
      <c r="P322" s="577" t="s">
        <v>1166</v>
      </c>
      <c r="Q322" s="577" t="s">
        <v>1166</v>
      </c>
      <c r="R322" s="1604" t="str">
        <f t="shared" si="64"/>
        <v/>
      </c>
    </row>
    <row r="323" spans="1:18" x14ac:dyDescent="0.2">
      <c r="A323" s="261">
        <f t="shared" si="59"/>
        <v>1</v>
      </c>
      <c r="B323" s="422" t="str">
        <f>INDEX('LA List'!B:B,MATCH('EZ list'!D323,'LA List'!A:A,0))</f>
        <v>E2341</v>
      </c>
      <c r="C323" s="422" t="str">
        <f t="shared" si="57"/>
        <v>E2341EZ1</v>
      </c>
      <c r="D323" s="261" t="s">
        <v>291</v>
      </c>
      <c r="E323" s="261" t="s">
        <v>1166</v>
      </c>
      <c r="F323" s="261" t="s">
        <v>1166</v>
      </c>
      <c r="G323" s="577" t="s">
        <v>1166</v>
      </c>
      <c r="H323" s="577" t="s">
        <v>1166</v>
      </c>
      <c r="I323" s="577" t="s">
        <v>1166</v>
      </c>
      <c r="J323" s="577" t="str">
        <f t="shared" si="81"/>
        <v/>
      </c>
      <c r="K323" s="577" t="str">
        <f t="shared" si="82"/>
        <v/>
      </c>
      <c r="L323" s="577" t="str">
        <f t="shared" si="83"/>
        <v/>
      </c>
      <c r="M323" s="577" t="str">
        <f t="shared" si="84"/>
        <v/>
      </c>
      <c r="N323" s="564" t="s">
        <v>1166</v>
      </c>
      <c r="O323" s="577" t="s">
        <v>1166</v>
      </c>
      <c r="P323" s="577" t="s">
        <v>1166</v>
      </c>
      <c r="Q323" s="577" t="s">
        <v>1166</v>
      </c>
      <c r="R323" s="1604" t="str">
        <f t="shared" si="64"/>
        <v/>
      </c>
    </row>
    <row r="324" spans="1:18" x14ac:dyDescent="0.2">
      <c r="A324" s="261">
        <f t="shared" si="59"/>
        <v>1</v>
      </c>
      <c r="B324" s="422" t="str">
        <f>INDEX('LA List'!B:B,MATCH('EZ list'!D324,'LA List'!A:A,0))</f>
        <v>E1436</v>
      </c>
      <c r="C324" s="422" t="str">
        <f t="shared" ref="C324:C382" si="85">CONCATENATE(B324,"EZ",A324)</f>
        <v>E1436EZ1</v>
      </c>
      <c r="D324" s="261" t="s">
        <v>293</v>
      </c>
      <c r="E324" s="261" t="s">
        <v>1166</v>
      </c>
      <c r="F324" s="261" t="s">
        <v>1166</v>
      </c>
      <c r="G324" s="577" t="s">
        <v>1166</v>
      </c>
      <c r="H324" s="577" t="s">
        <v>1166</v>
      </c>
      <c r="I324" s="577" t="s">
        <v>1166</v>
      </c>
      <c r="J324" s="577" t="str">
        <f t="shared" si="81"/>
        <v/>
      </c>
      <c r="K324" s="577" t="str">
        <f t="shared" si="82"/>
        <v/>
      </c>
      <c r="L324" s="577" t="str">
        <f t="shared" si="83"/>
        <v/>
      </c>
      <c r="M324" s="577" t="str">
        <f t="shared" si="84"/>
        <v/>
      </c>
      <c r="N324" s="564" t="s">
        <v>1166</v>
      </c>
      <c r="O324" s="577" t="s">
        <v>1166</v>
      </c>
      <c r="P324" s="577" t="s">
        <v>1166</v>
      </c>
      <c r="Q324" s="577" t="s">
        <v>1166</v>
      </c>
      <c r="R324" s="1604" t="str">
        <f t="shared" si="64"/>
        <v/>
      </c>
    </row>
    <row r="325" spans="1:18" x14ac:dyDescent="0.2">
      <c r="A325" s="261">
        <f t="shared" ref="A325:A388" si="86">IF(D325=D324,A324+1,1)</f>
        <v>1</v>
      </c>
      <c r="B325" s="422" t="str">
        <f>INDEX('LA List'!B:B,MATCH('EZ list'!D325,'LA List'!A:A,0))</f>
        <v>E4403</v>
      </c>
      <c r="C325" s="422" t="str">
        <f t="shared" si="85"/>
        <v>E4403EZ1</v>
      </c>
      <c r="D325" s="261" t="s">
        <v>295</v>
      </c>
      <c r="E325" s="261" t="s">
        <v>837</v>
      </c>
      <c r="F325" s="261">
        <v>2013</v>
      </c>
      <c r="G325" s="577">
        <v>321615</v>
      </c>
      <c r="H325" s="577">
        <v>321615</v>
      </c>
      <c r="I325" s="577">
        <v>331277</v>
      </c>
      <c r="J325" s="577">
        <f t="shared" si="81"/>
        <v>338869</v>
      </c>
      <c r="K325" s="577">
        <f t="shared" si="82"/>
        <v>344390</v>
      </c>
      <c r="L325" s="577">
        <f t="shared" si="83"/>
        <v>344390</v>
      </c>
      <c r="M325" s="577">
        <f t="shared" si="84"/>
        <v>344390</v>
      </c>
      <c r="N325" s="564">
        <v>414276</v>
      </c>
      <c r="O325" s="577">
        <v>414276</v>
      </c>
      <c r="P325" s="577" t="s">
        <v>1166</v>
      </c>
      <c r="Q325" s="577" t="s">
        <v>1166</v>
      </c>
      <c r="R325" s="1604">
        <f t="shared" si="64"/>
        <v>414276</v>
      </c>
    </row>
    <row r="326" spans="1:18" x14ac:dyDescent="0.2">
      <c r="A326" s="261">
        <f t="shared" si="86"/>
        <v>1</v>
      </c>
      <c r="B326" s="422" t="str">
        <f>INDEX('LA List'!B:B,MATCH('EZ list'!D326,'LA List'!A:A,0))</f>
        <v>E3733</v>
      </c>
      <c r="C326" s="422" t="str">
        <f t="shared" si="85"/>
        <v>E3733EZ1</v>
      </c>
      <c r="D326" s="261" t="s">
        <v>297</v>
      </c>
      <c r="E326" s="261" t="s">
        <v>1166</v>
      </c>
      <c r="F326" s="261" t="s">
        <v>1166</v>
      </c>
      <c r="G326" s="577" t="s">
        <v>1166</v>
      </c>
      <c r="H326" s="577" t="s">
        <v>1166</v>
      </c>
      <c r="I326" s="577" t="s">
        <v>1166</v>
      </c>
      <c r="J326" s="577" t="str">
        <f t="shared" si="81"/>
        <v/>
      </c>
      <c r="K326" s="577" t="str">
        <f t="shared" si="82"/>
        <v/>
      </c>
      <c r="L326" s="577" t="str">
        <f t="shared" si="83"/>
        <v/>
      </c>
      <c r="M326" s="577" t="str">
        <f t="shared" si="84"/>
        <v/>
      </c>
      <c r="N326" s="564" t="s">
        <v>1166</v>
      </c>
      <c r="O326" s="577" t="s">
        <v>1166</v>
      </c>
      <c r="P326" s="577" t="s">
        <v>1166</v>
      </c>
      <c r="Q326" s="577" t="s">
        <v>1166</v>
      </c>
      <c r="R326" s="1604" t="str">
        <f t="shared" si="64"/>
        <v/>
      </c>
    </row>
    <row r="327" spans="1:18" x14ac:dyDescent="0.2">
      <c r="A327" s="261">
        <f t="shared" si="86"/>
        <v>1</v>
      </c>
      <c r="B327" s="422" t="str">
        <f>INDEX('LA List'!B:B,MATCH('EZ list'!D327,'LA List'!A:A,0))</f>
        <v>E3636</v>
      </c>
      <c r="C327" s="422" t="str">
        <f t="shared" si="85"/>
        <v>E3636EZ1</v>
      </c>
      <c r="D327" s="261" t="s">
        <v>299</v>
      </c>
      <c r="E327" s="261" t="s">
        <v>1099</v>
      </c>
      <c r="F327" s="261">
        <v>2017</v>
      </c>
      <c r="G327" s="577">
        <v>602682</v>
      </c>
      <c r="H327" s="577">
        <v>602682</v>
      </c>
      <c r="I327" s="577">
        <v>620788</v>
      </c>
      <c r="J327" s="577">
        <f t="shared" si="81"/>
        <v>635014</v>
      </c>
      <c r="K327" s="577">
        <f t="shared" si="82"/>
        <v>645360</v>
      </c>
      <c r="L327" s="577">
        <f t="shared" si="83"/>
        <v>645360</v>
      </c>
      <c r="M327" s="577">
        <f t="shared" si="84"/>
        <v>645360</v>
      </c>
      <c r="N327" s="564">
        <v>795116</v>
      </c>
      <c r="O327" s="577">
        <v>795116</v>
      </c>
      <c r="P327" s="577" t="s">
        <v>1166</v>
      </c>
      <c r="Q327" s="577" t="s">
        <v>1166</v>
      </c>
      <c r="R327" s="1604">
        <f t="shared" ref="R327:R390" si="87">IF($F327 = "","",
IF($F327&lt;2024,O327*$P$1,
IF($F327&gt;=2024,+P327+Q327)))</f>
        <v>795116</v>
      </c>
    </row>
    <row r="328" spans="1:18" x14ac:dyDescent="0.2">
      <c r="A328" s="261">
        <f t="shared" si="86"/>
        <v>1</v>
      </c>
      <c r="B328" s="422" t="str">
        <f>INDEX('LA List'!B:B,MATCH('EZ list'!D328,'LA List'!A:A,0))</f>
        <v>E3038</v>
      </c>
      <c r="C328" s="422" t="str">
        <f t="shared" si="85"/>
        <v>E3038EZ1</v>
      </c>
      <c r="D328" s="261" t="s">
        <v>301</v>
      </c>
      <c r="E328" s="509" t="s">
        <v>5834</v>
      </c>
      <c r="F328" s="509">
        <v>2023</v>
      </c>
      <c r="G328" s="577">
        <v>0</v>
      </c>
      <c r="H328" s="577">
        <v>0</v>
      </c>
      <c r="I328" s="577">
        <v>0</v>
      </c>
      <c r="J328" s="577">
        <f t="shared" si="81"/>
        <v>0</v>
      </c>
      <c r="K328" s="577">
        <f t="shared" si="82"/>
        <v>0</v>
      </c>
      <c r="L328" s="577">
        <f t="shared" si="83"/>
        <v>0</v>
      </c>
      <c r="M328" s="577">
        <f t="shared" si="84"/>
        <v>0</v>
      </c>
      <c r="N328" s="564">
        <v>0</v>
      </c>
      <c r="O328" s="577">
        <v>0</v>
      </c>
      <c r="P328" s="577" t="s">
        <v>1166</v>
      </c>
      <c r="Q328" s="577" t="s">
        <v>1166</v>
      </c>
      <c r="R328" s="1604">
        <f t="shared" si="87"/>
        <v>0</v>
      </c>
    </row>
    <row r="329" spans="1:18" x14ac:dyDescent="0.2">
      <c r="A329" s="261">
        <f t="shared" si="86"/>
        <v>1</v>
      </c>
      <c r="B329" s="422" t="str">
        <f>INDEX('LA List'!B:B,MATCH('EZ list'!D329,'LA List'!A:A,0))</f>
        <v>E1740</v>
      </c>
      <c r="C329" s="422" t="str">
        <f t="shared" ref="C329:C330" si="88">CONCATENATE(B329,"EZ",A329)</f>
        <v>E1740EZ1</v>
      </c>
      <c r="D329" s="261" t="s">
        <v>303</v>
      </c>
      <c r="E329" s="261" t="s">
        <v>1166</v>
      </c>
      <c r="F329" s="261" t="s">
        <v>1166</v>
      </c>
      <c r="G329" s="577" t="s">
        <v>1166</v>
      </c>
      <c r="H329" s="577" t="s">
        <v>1166</v>
      </c>
      <c r="I329" s="577" t="s">
        <v>1166</v>
      </c>
      <c r="J329" s="577" t="str">
        <f t="shared" si="81"/>
        <v/>
      </c>
      <c r="K329" s="577" t="str">
        <f t="shared" si="82"/>
        <v/>
      </c>
      <c r="L329" s="577" t="str">
        <f t="shared" si="83"/>
        <v/>
      </c>
      <c r="M329" s="577" t="str">
        <f t="shared" si="84"/>
        <v/>
      </c>
      <c r="N329" s="564" t="s">
        <v>1166</v>
      </c>
      <c r="O329" s="577" t="s">
        <v>1166</v>
      </c>
      <c r="P329" s="577" t="s">
        <v>1166</v>
      </c>
      <c r="Q329" s="577" t="s">
        <v>1166</v>
      </c>
      <c r="R329" s="1604" t="str">
        <f t="shared" si="87"/>
        <v/>
      </c>
    </row>
    <row r="330" spans="1:18" x14ac:dyDescent="0.2">
      <c r="A330" s="261">
        <f t="shared" si="86"/>
        <v>1</v>
      </c>
      <c r="B330" s="422" t="str">
        <f>INDEX('LA List'!B:B,MATCH('EZ list'!D330,'LA List'!A:A,0))</f>
        <v>E2402</v>
      </c>
      <c r="C330" s="422" t="str">
        <f t="shared" si="88"/>
        <v>E2402EZ1</v>
      </c>
      <c r="D330" s="261" t="s">
        <v>305</v>
      </c>
      <c r="E330" s="261" t="s">
        <v>1166</v>
      </c>
      <c r="F330" s="261" t="s">
        <v>1166</v>
      </c>
      <c r="G330" s="577" t="s">
        <v>1166</v>
      </c>
      <c r="H330" s="577" t="s">
        <v>1166</v>
      </c>
      <c r="I330" s="577" t="s">
        <v>1166</v>
      </c>
      <c r="J330" s="577" t="str">
        <f t="shared" si="81"/>
        <v/>
      </c>
      <c r="K330" s="577" t="str">
        <f t="shared" si="82"/>
        <v/>
      </c>
      <c r="L330" s="577" t="str">
        <f t="shared" si="83"/>
        <v/>
      </c>
      <c r="M330" s="577" t="str">
        <f t="shared" si="84"/>
        <v/>
      </c>
      <c r="N330" s="564" t="s">
        <v>1166</v>
      </c>
      <c r="O330" s="577" t="s">
        <v>1166</v>
      </c>
      <c r="P330" s="577" t="s">
        <v>1166</v>
      </c>
      <c r="Q330" s="577" t="s">
        <v>1166</v>
      </c>
      <c r="R330" s="1604" t="str">
        <f t="shared" si="87"/>
        <v/>
      </c>
    </row>
    <row r="331" spans="1:18" x14ac:dyDescent="0.2">
      <c r="A331" s="261">
        <f t="shared" si="86"/>
        <v>1</v>
      </c>
      <c r="B331" s="422" t="str">
        <f>INDEX('LA List'!B:B,MATCH('EZ list'!D331,'LA List'!A:A,0))</f>
        <v>E4206</v>
      </c>
      <c r="C331" s="422" t="str">
        <f t="shared" si="85"/>
        <v>E4206EZ1</v>
      </c>
      <c r="D331" s="261" t="s">
        <v>307</v>
      </c>
      <c r="E331" s="261" t="s">
        <v>5821</v>
      </c>
      <c r="F331" s="261">
        <v>2024</v>
      </c>
      <c r="G331" s="577" t="s">
        <v>1166</v>
      </c>
      <c r="H331" s="577" t="s">
        <v>1166</v>
      </c>
      <c r="I331" s="577" t="s">
        <v>1166</v>
      </c>
      <c r="J331" s="577" t="str">
        <f t="shared" si="81"/>
        <v/>
      </c>
      <c r="K331" s="577" t="str">
        <f t="shared" si="82"/>
        <v/>
      </c>
      <c r="L331" s="577" t="str">
        <f t="shared" si="83"/>
        <v/>
      </c>
      <c r="M331" s="577" t="str">
        <f t="shared" si="84"/>
        <v/>
      </c>
      <c r="N331" s="564" t="s">
        <v>1166</v>
      </c>
      <c r="O331" s="577">
        <v>2280639.59375</v>
      </c>
      <c r="P331" s="577">
        <v>299726</v>
      </c>
      <c r="Q331" s="577">
        <v>2013566</v>
      </c>
      <c r="R331" s="1604">
        <f t="shared" si="87"/>
        <v>2313292</v>
      </c>
    </row>
    <row r="332" spans="1:18" x14ac:dyDescent="0.2">
      <c r="A332" s="261">
        <f t="shared" si="86"/>
        <v>2</v>
      </c>
      <c r="B332" s="422" t="str">
        <f>INDEX('LA List'!B:B,MATCH('EZ list'!D332,'LA List'!A:A,0))</f>
        <v>E4206</v>
      </c>
      <c r="C332" s="422" t="str">
        <f t="shared" si="85"/>
        <v>E4206EZ2</v>
      </c>
      <c r="D332" s="261" t="s">
        <v>307</v>
      </c>
      <c r="E332" s="261" t="s">
        <v>5835</v>
      </c>
      <c r="F332" s="261">
        <v>2024</v>
      </c>
      <c r="G332" s="577"/>
      <c r="H332" s="577"/>
      <c r="I332" s="577"/>
      <c r="J332" s="577"/>
      <c r="K332" s="577"/>
      <c r="L332" s="577"/>
      <c r="M332" s="577"/>
      <c r="N332" s="564"/>
      <c r="O332" s="577">
        <v>24916674.16015625</v>
      </c>
      <c r="P332" s="577">
        <v>4033649</v>
      </c>
      <c r="Q332" s="577">
        <v>21227251</v>
      </c>
      <c r="R332" s="1604">
        <f t="shared" si="87"/>
        <v>25260900</v>
      </c>
    </row>
    <row r="333" spans="1:18" x14ac:dyDescent="0.2">
      <c r="A333" s="261">
        <f t="shared" si="86"/>
        <v>3</v>
      </c>
      <c r="B333" s="422" t="str">
        <f>INDEX('LA List'!B:B,MATCH('EZ list'!D333,'LA List'!A:A,0))</f>
        <v>E4206</v>
      </c>
      <c r="C333" s="422" t="str">
        <f t="shared" si="85"/>
        <v>E4206EZ3</v>
      </c>
      <c r="D333" s="261" t="s">
        <v>307</v>
      </c>
      <c r="E333" s="261" t="s">
        <v>5836</v>
      </c>
      <c r="F333" s="261">
        <v>2024</v>
      </c>
      <c r="G333" s="577"/>
      <c r="H333" s="577"/>
      <c r="I333" s="577"/>
      <c r="J333" s="577"/>
      <c r="K333" s="577"/>
      <c r="L333" s="577"/>
      <c r="M333" s="577"/>
      <c r="N333" s="564"/>
      <c r="O333" s="577">
        <v>4007364.609375</v>
      </c>
      <c r="P333" s="577">
        <v>1025151</v>
      </c>
      <c r="Q333" s="577">
        <v>3031371</v>
      </c>
      <c r="R333" s="1604">
        <f t="shared" si="87"/>
        <v>4056522</v>
      </c>
    </row>
    <row r="334" spans="1:18" x14ac:dyDescent="0.2">
      <c r="A334" s="261">
        <f t="shared" si="86"/>
        <v>1</v>
      </c>
      <c r="B334" s="422" t="str">
        <f>INDEX('LA List'!B:B,MATCH('EZ list'!D334,'LA List'!A:A,0))</f>
        <v>E4604</v>
      </c>
      <c r="C334" s="422" t="str">
        <f t="shared" si="85"/>
        <v>E4604EZ1</v>
      </c>
      <c r="D334" s="261" t="s">
        <v>309</v>
      </c>
      <c r="E334" s="261" t="s">
        <v>5837</v>
      </c>
      <c r="F334" s="261">
        <v>2024</v>
      </c>
      <c r="G334" s="577" t="s">
        <v>1166</v>
      </c>
      <c r="H334" s="577" t="s">
        <v>1166</v>
      </c>
      <c r="I334" s="577" t="s">
        <v>1166</v>
      </c>
      <c r="J334" s="577" t="str">
        <f>IF(I334="","",ROUND(I334*$J$1,0))</f>
        <v/>
      </c>
      <c r="K334" s="577" t="str">
        <f>IF(J334="","",ROUND(J334*$K$1,0))</f>
        <v/>
      </c>
      <c r="L334" s="577" t="str">
        <f>IF(K334="","",ROUND(K334*$L$1,0))</f>
        <v/>
      </c>
      <c r="M334" s="577" t="str">
        <f>IF(L334="","",ROUND(L334*$M$1,0))</f>
        <v/>
      </c>
      <c r="N334" s="564" t="s">
        <v>1166</v>
      </c>
      <c r="O334" s="577">
        <v>469633.7442578125</v>
      </c>
      <c r="P334" s="577">
        <v>80607</v>
      </c>
      <c r="Q334" s="577">
        <v>395440</v>
      </c>
      <c r="R334" s="1604">
        <f t="shared" si="87"/>
        <v>476047</v>
      </c>
    </row>
    <row r="335" spans="1:18" x14ac:dyDescent="0.2">
      <c r="A335" s="261">
        <f t="shared" si="86"/>
        <v>1</v>
      </c>
      <c r="B335" s="422" t="str">
        <f>INDEX('LA List'!B:B,MATCH('EZ list'!D335,'LA List'!A:A,0))</f>
        <v>E4304</v>
      </c>
      <c r="C335" s="422" t="str">
        <f t="shared" si="85"/>
        <v>E4304EZ1</v>
      </c>
      <c r="D335" s="261" t="s">
        <v>311</v>
      </c>
      <c r="E335" s="261" t="s">
        <v>1166</v>
      </c>
      <c r="F335" s="261" t="s">
        <v>1166</v>
      </c>
      <c r="G335" s="577" t="s">
        <v>1166</v>
      </c>
      <c r="H335" s="577" t="s">
        <v>1166</v>
      </c>
      <c r="I335" s="577" t="s">
        <v>1166</v>
      </c>
      <c r="J335" s="577" t="str">
        <f>IF(I335="","",ROUND(I335*$J$1,0))</f>
        <v/>
      </c>
      <c r="K335" s="577" t="str">
        <f>IF(J335="","",ROUND(J335*$K$1,0))</f>
        <v/>
      </c>
      <c r="L335" s="577" t="str">
        <f>IF(K335="","",ROUND(K335*$L$1,0))</f>
        <v/>
      </c>
      <c r="M335" s="577" t="str">
        <f>IF(L335="","",ROUND(L335*$M$1,0))</f>
        <v/>
      </c>
      <c r="N335" s="564" t="s">
        <v>1166</v>
      </c>
      <c r="O335" s="577" t="s">
        <v>1166</v>
      </c>
      <c r="P335" s="577" t="s">
        <v>1166</v>
      </c>
      <c r="Q335" s="577" t="s">
        <v>1166</v>
      </c>
      <c r="R335" s="1604" t="str">
        <f t="shared" si="87"/>
        <v/>
      </c>
    </row>
    <row r="336" spans="1:18" x14ac:dyDescent="0.2">
      <c r="A336" s="261">
        <f t="shared" si="86"/>
        <v>1</v>
      </c>
      <c r="B336" s="422" t="str">
        <f>INDEX('LA List'!B:B,MATCH('EZ list'!D336,'LA List'!A:A,0))</f>
        <v>E2239</v>
      </c>
      <c r="C336" s="422" t="str">
        <f t="shared" ref="C336" si="89">CONCATENATE(B336,"EZ",A336)</f>
        <v>E2239EZ1</v>
      </c>
      <c r="D336" s="261" t="s">
        <v>313</v>
      </c>
      <c r="E336" s="261" t="s">
        <v>1166</v>
      </c>
      <c r="F336" s="261" t="s">
        <v>1166</v>
      </c>
      <c r="G336" s="577" t="s">
        <v>1166</v>
      </c>
      <c r="H336" s="577" t="s">
        <v>1166</v>
      </c>
      <c r="I336" s="577" t="s">
        <v>1166</v>
      </c>
      <c r="J336" s="577" t="str">
        <f>IF(I336="","",ROUND(I336*$J$1,0))</f>
        <v/>
      </c>
      <c r="K336" s="577" t="str">
        <f>IF(J336="","",ROUND(J336*$K$1,0))</f>
        <v/>
      </c>
      <c r="L336" s="577" t="str">
        <f>IF(K336="","",ROUND(K336*$L$1,0))</f>
        <v/>
      </c>
      <c r="M336" s="577" t="str">
        <f>IF(L336="","",ROUND(L336*$M$1,0))</f>
        <v/>
      </c>
      <c r="N336" s="564" t="s">
        <v>1166</v>
      </c>
      <c r="O336" s="577" t="s">
        <v>1166</v>
      </c>
      <c r="P336" s="577" t="s">
        <v>1166</v>
      </c>
      <c r="Q336" s="577" t="s">
        <v>1166</v>
      </c>
      <c r="R336" s="1604" t="str">
        <f t="shared" si="87"/>
        <v/>
      </c>
    </row>
    <row r="337" spans="1:18" x14ac:dyDescent="0.2">
      <c r="A337" s="261">
        <f t="shared" si="86"/>
        <v>1</v>
      </c>
      <c r="B337" s="422" t="str">
        <f>INDEX('LA List'!B:B,MATCH('EZ list'!D337,'LA List'!A:A,0))</f>
        <v>E4404</v>
      </c>
      <c r="C337" s="422" t="str">
        <f t="shared" si="85"/>
        <v>E4404EZ1</v>
      </c>
      <c r="D337" s="261" t="s">
        <v>315</v>
      </c>
      <c r="E337" s="261" t="s">
        <v>837</v>
      </c>
      <c r="F337" s="261">
        <v>2013</v>
      </c>
      <c r="G337" s="577">
        <v>1708539</v>
      </c>
      <c r="H337" s="577">
        <v>1708539</v>
      </c>
      <c r="I337" s="577">
        <v>1759868</v>
      </c>
      <c r="J337" s="577">
        <f>IF(I337="","",ROUND(I337*$J$1,0))</f>
        <v>1800198</v>
      </c>
      <c r="K337" s="577">
        <f>IF(J337="","",ROUND(J337*$K$1,0))</f>
        <v>1829529</v>
      </c>
      <c r="L337" s="577">
        <f>IF(K337="","",ROUND(K337*$L$1,0))</f>
        <v>1829529</v>
      </c>
      <c r="M337" s="577">
        <f>IF(L337="","",ROUND(L337*$M$1,0))</f>
        <v>1829529</v>
      </c>
      <c r="N337" s="564">
        <v>2520547</v>
      </c>
      <c r="O337" s="577">
        <v>2520547</v>
      </c>
      <c r="P337" s="577" t="s">
        <v>1166</v>
      </c>
      <c r="Q337" s="577" t="s">
        <v>1166</v>
      </c>
      <c r="R337" s="1604">
        <f t="shared" si="87"/>
        <v>2520547</v>
      </c>
    </row>
    <row r="338" spans="1:18" x14ac:dyDescent="0.2">
      <c r="A338" s="261">
        <f t="shared" si="86"/>
        <v>2</v>
      </c>
      <c r="B338" s="422" t="str">
        <f>INDEX('LA List'!B:B,MATCH('EZ list'!D338,'LA List'!A:A,0))</f>
        <v>E4404</v>
      </c>
      <c r="C338" s="422" t="str">
        <f t="shared" si="85"/>
        <v>E4404EZ2</v>
      </c>
      <c r="D338" s="261" t="s">
        <v>315</v>
      </c>
      <c r="E338" s="261" t="s">
        <v>843</v>
      </c>
      <c r="F338" s="261">
        <v>2013</v>
      </c>
      <c r="G338" s="577">
        <v>1604725</v>
      </c>
      <c r="H338" s="577">
        <v>1604725</v>
      </c>
      <c r="I338" s="577">
        <v>1652936</v>
      </c>
      <c r="J338" s="577">
        <f>IF(I338="","",ROUND(I338*$J$1,0))</f>
        <v>1690816</v>
      </c>
      <c r="K338" s="577">
        <f>IF(J338="","",ROUND(J338*$K$1,0))</f>
        <v>1718365</v>
      </c>
      <c r="L338" s="577">
        <f>IF(K338="","",ROUND(K338*$L$1,0))</f>
        <v>1718365</v>
      </c>
      <c r="M338" s="577">
        <f>IF(L338="","",ROUND(L338*$M$1,0))</f>
        <v>1718365</v>
      </c>
      <c r="N338" s="564">
        <v>1665601</v>
      </c>
      <c r="O338" s="577">
        <v>1665601</v>
      </c>
      <c r="P338" s="577" t="s">
        <v>1166</v>
      </c>
      <c r="Q338" s="577" t="s">
        <v>1166</v>
      </c>
      <c r="R338" s="1604">
        <f t="shared" si="87"/>
        <v>1665601</v>
      </c>
    </row>
    <row r="339" spans="1:18" x14ac:dyDescent="0.2">
      <c r="A339" s="261">
        <f t="shared" si="86"/>
        <v>3</v>
      </c>
      <c r="B339" s="422" t="str">
        <f>INDEX('LA List'!B:B,MATCH('EZ list'!D339,'LA List'!A:A,0))</f>
        <v>E4404</v>
      </c>
      <c r="C339" s="422" t="str">
        <f t="shared" si="85"/>
        <v>E4404EZ3</v>
      </c>
      <c r="D339" s="261" t="s">
        <v>315</v>
      </c>
      <c r="E339" s="261" t="s">
        <v>5838</v>
      </c>
      <c r="F339" s="261">
        <v>2024</v>
      </c>
      <c r="G339" s="577"/>
      <c r="H339" s="577"/>
      <c r="I339" s="577"/>
      <c r="J339" s="577"/>
      <c r="K339" s="577"/>
      <c r="L339" s="577"/>
      <c r="M339" s="577"/>
      <c r="N339" s="564"/>
      <c r="O339" s="577">
        <v>3498088.0625</v>
      </c>
      <c r="P339" s="577">
        <v>956441</v>
      </c>
      <c r="Q339" s="577">
        <v>2583542</v>
      </c>
      <c r="R339" s="1604">
        <f t="shared" si="87"/>
        <v>3539983</v>
      </c>
    </row>
    <row r="340" spans="1:18" x14ac:dyDescent="0.2">
      <c r="A340" s="261">
        <f t="shared" si="86"/>
        <v>1</v>
      </c>
      <c r="B340" s="422" t="str">
        <f>INDEX('LA List'!B:B,MATCH('EZ list'!D340,'LA List'!A:A,0))</f>
        <v>E2240</v>
      </c>
      <c r="C340" s="422" t="str">
        <f t="shared" si="85"/>
        <v>E2240EZ1</v>
      </c>
      <c r="D340" s="261" t="s">
        <v>317</v>
      </c>
      <c r="E340" s="261" t="s">
        <v>1166</v>
      </c>
      <c r="F340" s="261" t="s">
        <v>1166</v>
      </c>
      <c r="G340" s="577" t="s">
        <v>1166</v>
      </c>
      <c r="H340" s="577" t="s">
        <v>1166</v>
      </c>
      <c r="I340" s="577" t="s">
        <v>1166</v>
      </c>
      <c r="J340" s="577" t="str">
        <f t="shared" ref="J340:J347" si="90">IF(I340="","",ROUND(I340*$J$1,0))</f>
        <v/>
      </c>
      <c r="K340" s="577" t="str">
        <f t="shared" ref="K340:K347" si="91">IF(J340="","",ROUND(J340*$K$1,0))</f>
        <v/>
      </c>
      <c r="L340" s="577" t="str">
        <f t="shared" ref="L340:L347" si="92">IF(K340="","",ROUND(K340*$L$1,0))</f>
        <v/>
      </c>
      <c r="M340" s="577" t="str">
        <f t="shared" ref="M340:M347" si="93">IF(L340="","",ROUND(L340*$M$1,0))</f>
        <v/>
      </c>
      <c r="N340" s="564" t="s">
        <v>1166</v>
      </c>
      <c r="O340" s="577" t="s">
        <v>1166</v>
      </c>
      <c r="P340" s="577" t="s">
        <v>1166</v>
      </c>
      <c r="Q340" s="577" t="s">
        <v>1166</v>
      </c>
      <c r="R340" s="1604" t="str">
        <f t="shared" si="87"/>
        <v/>
      </c>
    </row>
    <row r="341" spans="1:18" s="261" customFormat="1" x14ac:dyDescent="0.2">
      <c r="A341" s="261">
        <f t="shared" si="86"/>
        <v>1</v>
      </c>
      <c r="B341" s="422" t="str">
        <f>INDEX('LA List'!B:B,MATCH('EZ list'!D341,'LA List'!A:A,0))</f>
        <v>E3202</v>
      </c>
      <c r="C341" s="422" t="str">
        <f t="shared" ref="C341" si="94">CONCATENATE(B341,"EZ",A341)</f>
        <v>E3202EZ1</v>
      </c>
      <c r="D341" s="261" t="s">
        <v>319</v>
      </c>
      <c r="E341" s="261" t="s">
        <v>1166</v>
      </c>
      <c r="F341" s="261" t="s">
        <v>1166</v>
      </c>
      <c r="G341" s="577" t="s">
        <v>1166</v>
      </c>
      <c r="H341" s="577" t="s">
        <v>1166</v>
      </c>
      <c r="I341" s="577" t="s">
        <v>1166</v>
      </c>
      <c r="J341" s="577" t="str">
        <f t="shared" si="90"/>
        <v/>
      </c>
      <c r="K341" s="577" t="str">
        <f t="shared" si="91"/>
        <v/>
      </c>
      <c r="L341" s="577" t="str">
        <f t="shared" si="92"/>
        <v/>
      </c>
      <c r="M341" s="577" t="str">
        <f t="shared" si="93"/>
        <v/>
      </c>
      <c r="N341" s="564" t="s">
        <v>1166</v>
      </c>
      <c r="O341" s="577" t="s">
        <v>1166</v>
      </c>
      <c r="P341" s="577" t="s">
        <v>1166</v>
      </c>
      <c r="Q341" s="577" t="s">
        <v>1166</v>
      </c>
      <c r="R341" s="1604" t="str">
        <f t="shared" si="87"/>
        <v/>
      </c>
    </row>
    <row r="342" spans="1:18" x14ac:dyDescent="0.2">
      <c r="A342" s="261">
        <f t="shared" si="86"/>
        <v>1</v>
      </c>
      <c r="B342" s="422" t="str">
        <f>INDEX('LA List'!B:B,MATCH('EZ list'!D342,'LA List'!A:A,0))</f>
        <v>E0304</v>
      </c>
      <c r="C342" s="422" t="str">
        <f t="shared" si="85"/>
        <v>E0304EZ1</v>
      </c>
      <c r="D342" s="261" t="s">
        <v>321</v>
      </c>
      <c r="E342" s="261" t="s">
        <v>1166</v>
      </c>
      <c r="F342" s="261" t="s">
        <v>1166</v>
      </c>
      <c r="G342" s="577" t="s">
        <v>1166</v>
      </c>
      <c r="H342" s="577" t="s">
        <v>1166</v>
      </c>
      <c r="I342" s="577" t="s">
        <v>1166</v>
      </c>
      <c r="J342" s="577" t="str">
        <f t="shared" si="90"/>
        <v/>
      </c>
      <c r="K342" s="577" t="str">
        <f t="shared" si="91"/>
        <v/>
      </c>
      <c r="L342" s="577" t="str">
        <f t="shared" si="92"/>
        <v/>
      </c>
      <c r="M342" s="577" t="str">
        <f t="shared" si="93"/>
        <v/>
      </c>
      <c r="N342" s="564" t="s">
        <v>1166</v>
      </c>
      <c r="O342" s="577" t="s">
        <v>1166</v>
      </c>
      <c r="P342" s="577" t="s">
        <v>1166</v>
      </c>
      <c r="Q342" s="577" t="s">
        <v>1166</v>
      </c>
      <c r="R342" s="1604" t="str">
        <f t="shared" si="87"/>
        <v/>
      </c>
    </row>
    <row r="343" spans="1:18" x14ac:dyDescent="0.2">
      <c r="A343" s="261">
        <f t="shared" si="86"/>
        <v>1</v>
      </c>
      <c r="B343" s="422" t="str">
        <f>INDEX('LA List'!B:B,MATCH('EZ list'!D343,'LA List'!A:A,0))</f>
        <v>E4605</v>
      </c>
      <c r="C343" s="422" t="str">
        <f t="shared" si="85"/>
        <v>E4605EZ1</v>
      </c>
      <c r="D343" s="261" t="s">
        <v>323</v>
      </c>
      <c r="E343" s="261" t="s">
        <v>5807</v>
      </c>
      <c r="F343" s="261">
        <v>2024</v>
      </c>
      <c r="G343" s="577" t="s">
        <v>1166</v>
      </c>
      <c r="H343" s="577" t="s">
        <v>1166</v>
      </c>
      <c r="I343" s="577" t="s">
        <v>1166</v>
      </c>
      <c r="J343" s="577" t="str">
        <f t="shared" si="90"/>
        <v/>
      </c>
      <c r="K343" s="577" t="str">
        <f t="shared" si="91"/>
        <v/>
      </c>
      <c r="L343" s="577" t="str">
        <f t="shared" si="92"/>
        <v/>
      </c>
      <c r="M343" s="577" t="str">
        <f t="shared" si="93"/>
        <v/>
      </c>
      <c r="N343" s="564" t="s">
        <v>1166</v>
      </c>
      <c r="O343" s="577">
        <v>267152.23828125</v>
      </c>
      <c r="P343" s="577">
        <v>51366</v>
      </c>
      <c r="Q343" s="577">
        <v>219343</v>
      </c>
      <c r="R343" s="1604">
        <f t="shared" si="87"/>
        <v>270709</v>
      </c>
    </row>
    <row r="344" spans="1:18" x14ac:dyDescent="0.2">
      <c r="A344" s="261">
        <f t="shared" si="86"/>
        <v>1</v>
      </c>
      <c r="B344" s="422" t="str">
        <f>INDEX('LA List'!B:B,MATCH('EZ list'!D344,'LA List'!A:A,0))</f>
        <v>E3301</v>
      </c>
      <c r="C344" s="422" t="str">
        <f t="shared" si="85"/>
        <v>E3301EZ1</v>
      </c>
      <c r="D344" s="509" t="s">
        <v>641</v>
      </c>
      <c r="E344" s="261" t="s">
        <v>1100</v>
      </c>
      <c r="F344" s="261">
        <v>2017</v>
      </c>
      <c r="G344" s="577">
        <v>20741</v>
      </c>
      <c r="H344" s="577">
        <v>20741</v>
      </c>
      <c r="I344" s="577">
        <v>21364</v>
      </c>
      <c r="J344" s="577">
        <f t="shared" si="90"/>
        <v>21854</v>
      </c>
      <c r="K344" s="577">
        <f t="shared" si="91"/>
        <v>22210</v>
      </c>
      <c r="L344" s="577">
        <f t="shared" si="92"/>
        <v>22210</v>
      </c>
      <c r="M344" s="577">
        <f t="shared" si="93"/>
        <v>22210</v>
      </c>
      <c r="N344" s="564">
        <v>26880</v>
      </c>
      <c r="O344" s="577">
        <v>26880</v>
      </c>
      <c r="P344" s="577" t="s">
        <v>1166</v>
      </c>
      <c r="Q344" s="577" t="s">
        <v>1166</v>
      </c>
      <c r="R344" s="1604">
        <f t="shared" si="87"/>
        <v>26880</v>
      </c>
    </row>
    <row r="345" spans="1:18" x14ac:dyDescent="0.2">
      <c r="A345" s="261">
        <f t="shared" si="86"/>
        <v>1</v>
      </c>
      <c r="B345" s="422" t="str">
        <f>INDEX('LA List'!B:B,MATCH('EZ list'!D345,'LA List'!A:A,0))</f>
        <v>E0536</v>
      </c>
      <c r="C345" s="422" t="str">
        <f t="shared" si="85"/>
        <v>E0536EZ1</v>
      </c>
      <c r="D345" s="261" t="s">
        <v>325</v>
      </c>
      <c r="E345" s="261" t="s">
        <v>1101</v>
      </c>
      <c r="F345" s="261">
        <v>2016</v>
      </c>
      <c r="G345" s="577">
        <v>0</v>
      </c>
      <c r="H345" s="577">
        <v>0</v>
      </c>
      <c r="I345" s="577">
        <v>0</v>
      </c>
      <c r="J345" s="577">
        <f t="shared" si="90"/>
        <v>0</v>
      </c>
      <c r="K345" s="577">
        <f t="shared" si="91"/>
        <v>0</v>
      </c>
      <c r="L345" s="577">
        <f t="shared" si="92"/>
        <v>0</v>
      </c>
      <c r="M345" s="577">
        <f t="shared" si="93"/>
        <v>0</v>
      </c>
      <c r="N345" s="564">
        <v>0</v>
      </c>
      <c r="O345" s="577">
        <v>0</v>
      </c>
      <c r="P345" s="577" t="s">
        <v>1166</v>
      </c>
      <c r="Q345" s="577" t="s">
        <v>1166</v>
      </c>
      <c r="R345" s="1604">
        <f t="shared" si="87"/>
        <v>0</v>
      </c>
    </row>
    <row r="346" spans="1:18" x14ac:dyDescent="0.2">
      <c r="A346" s="261">
        <f t="shared" si="86"/>
        <v>2</v>
      </c>
      <c r="B346" s="422" t="str">
        <f>INDEX('LA List'!B:B,MATCH('EZ list'!D346,'LA List'!A:A,0))</f>
        <v>E0536</v>
      </c>
      <c r="C346" s="422" t="str">
        <f t="shared" si="85"/>
        <v>E0536EZ2</v>
      </c>
      <c r="D346" s="261" t="s">
        <v>325</v>
      </c>
      <c r="E346" s="261" t="s">
        <v>1102</v>
      </c>
      <c r="F346" s="261">
        <v>2016</v>
      </c>
      <c r="G346" s="577">
        <v>0</v>
      </c>
      <c r="H346" s="577">
        <v>0</v>
      </c>
      <c r="I346" s="577">
        <v>0</v>
      </c>
      <c r="J346" s="577">
        <f t="shared" si="90"/>
        <v>0</v>
      </c>
      <c r="K346" s="577">
        <f t="shared" si="91"/>
        <v>0</v>
      </c>
      <c r="L346" s="577">
        <f t="shared" si="92"/>
        <v>0</v>
      </c>
      <c r="M346" s="577">
        <f t="shared" si="93"/>
        <v>0</v>
      </c>
      <c r="N346" s="564">
        <v>0</v>
      </c>
      <c r="O346" s="577">
        <v>0</v>
      </c>
      <c r="P346" s="577" t="s">
        <v>1166</v>
      </c>
      <c r="Q346" s="577" t="s">
        <v>1166</v>
      </c>
      <c r="R346" s="1604">
        <f t="shared" si="87"/>
        <v>0</v>
      </c>
    </row>
    <row r="347" spans="1:18" x14ac:dyDescent="0.2">
      <c r="A347" s="261">
        <f t="shared" si="86"/>
        <v>3</v>
      </c>
      <c r="B347" s="422" t="str">
        <f>INDEX('LA List'!B:B,MATCH('EZ list'!D347,'LA List'!A:A,0))</f>
        <v>E0536</v>
      </c>
      <c r="C347" s="422" t="str">
        <f t="shared" si="85"/>
        <v>E0536EZ3</v>
      </c>
      <c r="D347" s="261" t="s">
        <v>325</v>
      </c>
      <c r="E347" s="261" t="s">
        <v>1103</v>
      </c>
      <c r="F347" s="261">
        <v>2016</v>
      </c>
      <c r="G347" s="577">
        <v>0</v>
      </c>
      <c r="H347" s="577">
        <v>0</v>
      </c>
      <c r="I347" s="577">
        <v>0</v>
      </c>
      <c r="J347" s="577">
        <f t="shared" si="90"/>
        <v>0</v>
      </c>
      <c r="K347" s="577">
        <f t="shared" si="91"/>
        <v>0</v>
      </c>
      <c r="L347" s="577">
        <f t="shared" si="92"/>
        <v>0</v>
      </c>
      <c r="M347" s="577">
        <f t="shared" si="93"/>
        <v>0</v>
      </c>
      <c r="N347" s="564">
        <v>0</v>
      </c>
      <c r="O347" s="577">
        <v>0</v>
      </c>
      <c r="P347" s="577" t="s">
        <v>1166</v>
      </c>
      <c r="Q347" s="577" t="s">
        <v>1166</v>
      </c>
      <c r="R347" s="1604">
        <f t="shared" si="87"/>
        <v>0</v>
      </c>
    </row>
    <row r="348" spans="1:18" x14ac:dyDescent="0.2">
      <c r="A348" s="261">
        <f t="shared" si="86"/>
        <v>1</v>
      </c>
      <c r="B348" s="422" t="str">
        <f>INDEX('LA List'!B:B,MATCH('EZ list'!D348,'LA List'!A:A,0))</f>
        <v>E1039</v>
      </c>
      <c r="C348" s="422" t="str">
        <f t="shared" si="85"/>
        <v>E1039EZ1</v>
      </c>
      <c r="D348" s="261" t="s">
        <v>327</v>
      </c>
      <c r="E348" s="509" t="s">
        <v>5839</v>
      </c>
      <c r="F348" s="509">
        <v>2023</v>
      </c>
      <c r="G348" s="577">
        <v>0</v>
      </c>
      <c r="H348" s="577">
        <v>0</v>
      </c>
      <c r="I348" s="577">
        <v>0</v>
      </c>
      <c r="J348" s="577">
        <v>0</v>
      </c>
      <c r="K348" s="577">
        <v>0</v>
      </c>
      <c r="L348" s="577">
        <v>0</v>
      </c>
      <c r="M348" s="577">
        <v>21457</v>
      </c>
      <c r="N348" s="564">
        <v>22330</v>
      </c>
      <c r="O348" s="577">
        <v>22330</v>
      </c>
      <c r="P348" s="577" t="s">
        <v>1166</v>
      </c>
      <c r="Q348" s="577" t="s">
        <v>1166</v>
      </c>
      <c r="R348" s="1604">
        <f t="shared" si="87"/>
        <v>22330</v>
      </c>
    </row>
    <row r="349" spans="1:18" x14ac:dyDescent="0.2">
      <c r="A349" s="261">
        <f t="shared" si="86"/>
        <v>2</v>
      </c>
      <c r="B349" s="422" t="str">
        <f>INDEX('LA List'!B:B,MATCH('EZ list'!D349,'LA List'!A:A,0))</f>
        <v>E1039</v>
      </c>
      <c r="C349" s="422" t="str">
        <f t="shared" si="85"/>
        <v>E1039EZ2</v>
      </c>
      <c r="D349" s="261" t="s">
        <v>327</v>
      </c>
      <c r="E349" s="509" t="s">
        <v>5812</v>
      </c>
      <c r="F349" s="509">
        <v>2025</v>
      </c>
      <c r="G349" s="577"/>
      <c r="H349" s="577"/>
      <c r="I349" s="577"/>
      <c r="J349" s="577"/>
      <c r="K349" s="577"/>
      <c r="L349" s="577"/>
      <c r="M349" s="577"/>
      <c r="N349" s="564"/>
      <c r="O349" s="577"/>
      <c r="P349" s="577">
        <v>6861</v>
      </c>
      <c r="Q349" s="577">
        <v>0</v>
      </c>
      <c r="R349" s="1604">
        <f t="shared" si="87"/>
        <v>6861</v>
      </c>
    </row>
    <row r="350" spans="1:18" x14ac:dyDescent="0.2">
      <c r="A350" s="261">
        <f t="shared" si="86"/>
        <v>1</v>
      </c>
      <c r="B350" s="422" t="str">
        <f>INDEX('LA List'!B:B,MATCH('EZ list'!D350,'LA List'!A:A,0))</f>
        <v>E0103</v>
      </c>
      <c r="C350" s="422" t="str">
        <f t="shared" si="85"/>
        <v>E0103EZ1</v>
      </c>
      <c r="D350" s="261" t="s">
        <v>329</v>
      </c>
      <c r="E350" s="261" t="s">
        <v>834</v>
      </c>
      <c r="F350" s="261">
        <v>2014</v>
      </c>
      <c r="G350" s="577">
        <v>693418</v>
      </c>
      <c r="H350" s="577">
        <v>693418</v>
      </c>
      <c r="I350" s="577">
        <v>714250</v>
      </c>
      <c r="J350" s="577">
        <f>IF(I350="","",ROUND(I350*$J$1,0))</f>
        <v>730618</v>
      </c>
      <c r="K350" s="577">
        <f>IF(J350="","",ROUND(J350*$K$1,0))</f>
        <v>742522</v>
      </c>
      <c r="L350" s="577">
        <f>IF(K350="","",ROUND(K350*$L$1,0))</f>
        <v>742522</v>
      </c>
      <c r="M350" s="577">
        <f>IF(L350="","",ROUND(L350*$M$1,0))</f>
        <v>742522</v>
      </c>
      <c r="N350" s="564">
        <v>887637</v>
      </c>
      <c r="O350" s="577">
        <v>887637</v>
      </c>
      <c r="P350" s="577" t="s">
        <v>1166</v>
      </c>
      <c r="Q350" s="577" t="s">
        <v>1166</v>
      </c>
      <c r="R350" s="1604">
        <f t="shared" si="87"/>
        <v>887637</v>
      </c>
    </row>
    <row r="351" spans="1:18" x14ac:dyDescent="0.2">
      <c r="A351" s="261">
        <f t="shared" si="86"/>
        <v>1</v>
      </c>
      <c r="B351" s="422" t="str">
        <f>INDEX('LA List'!B:B,MATCH('EZ list'!D351,'LA List'!A:A,0))</f>
        <v>E1136</v>
      </c>
      <c r="C351" s="422" t="str">
        <f t="shared" si="85"/>
        <v>E1136EZ1</v>
      </c>
      <c r="D351" s="261" t="s">
        <v>331</v>
      </c>
      <c r="E351" s="509" t="s">
        <v>5840</v>
      </c>
      <c r="F351" s="509">
        <v>2023</v>
      </c>
      <c r="G351" s="577"/>
      <c r="H351" s="577"/>
      <c r="I351" s="577"/>
      <c r="J351" s="577"/>
      <c r="K351" s="577"/>
      <c r="L351" s="577"/>
      <c r="M351" s="577"/>
      <c r="N351" s="564"/>
      <c r="O351" s="577"/>
      <c r="P351" s="577" t="s">
        <v>1166</v>
      </c>
      <c r="Q351" s="577" t="s">
        <v>1166</v>
      </c>
      <c r="R351" s="1604">
        <f t="shared" si="87"/>
        <v>0</v>
      </c>
    </row>
    <row r="352" spans="1:18" x14ac:dyDescent="0.2">
      <c r="A352" s="261">
        <f t="shared" si="86"/>
        <v>2</v>
      </c>
      <c r="B352" s="422" t="str">
        <f>INDEX('LA List'!B:B,MATCH('EZ list'!D352,'LA List'!A:A,0))</f>
        <v>E1136</v>
      </c>
      <c r="C352" s="422" t="str">
        <f t="shared" si="85"/>
        <v>E1136EZ2</v>
      </c>
      <c r="D352" s="261" t="s">
        <v>331</v>
      </c>
      <c r="E352" s="509" t="s">
        <v>5841</v>
      </c>
      <c r="F352" s="509">
        <v>2023</v>
      </c>
      <c r="G352" s="577"/>
      <c r="H352" s="577"/>
      <c r="I352" s="577"/>
      <c r="J352" s="577"/>
      <c r="K352" s="577"/>
      <c r="L352" s="577"/>
      <c r="M352" s="577"/>
      <c r="N352" s="564"/>
      <c r="O352" s="577"/>
      <c r="P352" s="577" t="s">
        <v>1166</v>
      </c>
      <c r="Q352" s="577" t="s">
        <v>1166</v>
      </c>
      <c r="R352" s="1604">
        <f t="shared" si="87"/>
        <v>0</v>
      </c>
    </row>
    <row r="353" spans="1:18" x14ac:dyDescent="0.2">
      <c r="A353" s="261">
        <f t="shared" si="86"/>
        <v>1</v>
      </c>
      <c r="B353" s="422" t="str">
        <f>INDEX('LA List'!B:B,MATCH('EZ list'!D353,'LA List'!A:A,0))</f>
        <v>E2535</v>
      </c>
      <c r="C353" s="422" t="str">
        <f t="shared" si="85"/>
        <v>E2535EZ1</v>
      </c>
      <c r="D353" s="261" t="s">
        <v>333</v>
      </c>
      <c r="E353" s="261" t="s">
        <v>1166</v>
      </c>
      <c r="F353" s="261" t="s">
        <v>1166</v>
      </c>
      <c r="G353" s="577" t="s">
        <v>1166</v>
      </c>
      <c r="H353" s="577" t="s">
        <v>1166</v>
      </c>
      <c r="I353" s="577" t="s">
        <v>1166</v>
      </c>
      <c r="J353" s="577" t="str">
        <f t="shared" ref="J353:J363" si="95">IF(I353="","",ROUND(I353*$J$1,0))</f>
        <v/>
      </c>
      <c r="K353" s="577" t="str">
        <f t="shared" ref="K353:K363" si="96">IF(J353="","",ROUND(J353*$K$1,0))</f>
        <v/>
      </c>
      <c r="L353" s="577" t="str">
        <f t="shared" ref="L353:L363" si="97">IF(K353="","",ROUND(K353*$L$1,0))</f>
        <v/>
      </c>
      <c r="M353" s="577" t="str">
        <f t="shared" ref="M353:M363" si="98">IF(L353="","",ROUND(L353*$M$1,0))</f>
        <v/>
      </c>
      <c r="N353" s="564" t="s">
        <v>1166</v>
      </c>
      <c r="O353" s="577" t="s">
        <v>1166</v>
      </c>
      <c r="P353" s="577" t="s">
        <v>1166</v>
      </c>
      <c r="Q353" s="577" t="s">
        <v>1166</v>
      </c>
      <c r="R353" s="1604" t="str">
        <f t="shared" si="87"/>
        <v/>
      </c>
    </row>
    <row r="354" spans="1:18" x14ac:dyDescent="0.2">
      <c r="A354" s="261">
        <f t="shared" si="86"/>
        <v>1</v>
      </c>
      <c r="B354" s="422" t="str">
        <f>INDEX('LA List'!B:B,MATCH('EZ list'!D354,'LA List'!A:A,0))</f>
        <v>E2536</v>
      </c>
      <c r="C354" s="422" t="str">
        <f t="shared" si="85"/>
        <v>E2536EZ1</v>
      </c>
      <c r="D354" s="261" t="s">
        <v>335</v>
      </c>
      <c r="E354" s="261" t="s">
        <v>1166</v>
      </c>
      <c r="F354" s="261" t="s">
        <v>1166</v>
      </c>
      <c r="G354" s="577" t="s">
        <v>1166</v>
      </c>
      <c r="H354" s="577" t="s">
        <v>1166</v>
      </c>
      <c r="I354" s="577" t="s">
        <v>1166</v>
      </c>
      <c r="J354" s="577" t="str">
        <f t="shared" si="95"/>
        <v/>
      </c>
      <c r="K354" s="577" t="str">
        <f t="shared" si="96"/>
        <v/>
      </c>
      <c r="L354" s="577" t="str">
        <f t="shared" si="97"/>
        <v/>
      </c>
      <c r="M354" s="577" t="str">
        <f t="shared" si="98"/>
        <v/>
      </c>
      <c r="N354" s="564" t="s">
        <v>1166</v>
      </c>
      <c r="O354" s="577" t="s">
        <v>1166</v>
      </c>
      <c r="P354" s="577" t="s">
        <v>1166</v>
      </c>
      <c r="Q354" s="577" t="s">
        <v>1166</v>
      </c>
      <c r="R354" s="1604" t="str">
        <f t="shared" si="87"/>
        <v/>
      </c>
    </row>
    <row r="355" spans="1:18" x14ac:dyDescent="0.2">
      <c r="A355" s="261">
        <f t="shared" si="86"/>
        <v>1</v>
      </c>
      <c r="B355" s="422" t="str">
        <f>INDEX('LA List'!B:B,MATCH('EZ list'!D355,'LA List'!A:A,0))</f>
        <v>E2637</v>
      </c>
      <c r="C355" s="422" t="str">
        <f t="shared" si="85"/>
        <v>E2637EZ1</v>
      </c>
      <c r="D355" s="261" t="s">
        <v>337</v>
      </c>
      <c r="E355" s="261" t="s">
        <v>1104</v>
      </c>
      <c r="F355" s="261">
        <v>2016</v>
      </c>
      <c r="G355" s="577">
        <v>197644</v>
      </c>
      <c r="H355" s="577">
        <v>197644</v>
      </c>
      <c r="I355" s="577">
        <v>203582</v>
      </c>
      <c r="J355" s="577">
        <f t="shared" si="95"/>
        <v>208247</v>
      </c>
      <c r="K355" s="577">
        <f t="shared" si="96"/>
        <v>211640</v>
      </c>
      <c r="L355" s="577">
        <f t="shared" si="97"/>
        <v>211640</v>
      </c>
      <c r="M355" s="577">
        <f t="shared" si="98"/>
        <v>211640</v>
      </c>
      <c r="N355" s="564">
        <v>202967</v>
      </c>
      <c r="O355" s="577">
        <v>202967</v>
      </c>
      <c r="P355" s="577" t="s">
        <v>1166</v>
      </c>
      <c r="Q355" s="577" t="s">
        <v>1166</v>
      </c>
      <c r="R355" s="1604">
        <f t="shared" si="87"/>
        <v>202967</v>
      </c>
    </row>
    <row r="356" spans="1:18" x14ac:dyDescent="0.2">
      <c r="A356" s="261">
        <f t="shared" si="86"/>
        <v>1</v>
      </c>
      <c r="B356" s="422" t="str">
        <f>INDEX('LA List'!B:B,MATCH('EZ list'!D356,'LA List'!A:A,0))</f>
        <v>E3133</v>
      </c>
      <c r="C356" s="422" t="str">
        <f t="shared" si="85"/>
        <v>E3133EZ1</v>
      </c>
      <c r="D356" s="261" t="s">
        <v>339</v>
      </c>
      <c r="E356" s="261" t="s">
        <v>1105</v>
      </c>
      <c r="F356" s="261">
        <v>2016</v>
      </c>
      <c r="G356" s="577">
        <v>0</v>
      </c>
      <c r="H356" s="577">
        <v>0</v>
      </c>
      <c r="I356" s="577">
        <v>0</v>
      </c>
      <c r="J356" s="577">
        <f t="shared" si="95"/>
        <v>0</v>
      </c>
      <c r="K356" s="577">
        <f t="shared" si="96"/>
        <v>0</v>
      </c>
      <c r="L356" s="577">
        <f t="shared" si="97"/>
        <v>0</v>
      </c>
      <c r="M356" s="577">
        <f t="shared" si="98"/>
        <v>0</v>
      </c>
      <c r="N356" s="564">
        <v>0</v>
      </c>
      <c r="O356" s="577">
        <v>0</v>
      </c>
      <c r="P356" s="577" t="s">
        <v>1166</v>
      </c>
      <c r="Q356" s="577" t="s">
        <v>1166</v>
      </c>
      <c r="R356" s="1604">
        <f t="shared" si="87"/>
        <v>0</v>
      </c>
    </row>
    <row r="357" spans="1:18" x14ac:dyDescent="0.2">
      <c r="A357" s="261">
        <f t="shared" si="86"/>
        <v>2</v>
      </c>
      <c r="B357" s="422" t="str">
        <f>INDEX('LA List'!B:B,MATCH('EZ list'!D357,'LA List'!A:A,0))</f>
        <v>E3133</v>
      </c>
      <c r="C357" s="422" t="str">
        <f t="shared" si="85"/>
        <v>E3133EZ2</v>
      </c>
      <c r="D357" s="261" t="s">
        <v>339</v>
      </c>
      <c r="E357" s="261" t="s">
        <v>1106</v>
      </c>
      <c r="F357" s="261">
        <v>2016</v>
      </c>
      <c r="G357" s="577">
        <v>43554</v>
      </c>
      <c r="H357" s="577">
        <v>43554</v>
      </c>
      <c r="I357" s="577">
        <v>44862</v>
      </c>
      <c r="J357" s="577">
        <f t="shared" si="95"/>
        <v>45890</v>
      </c>
      <c r="K357" s="577">
        <f t="shared" si="96"/>
        <v>46638</v>
      </c>
      <c r="L357" s="577">
        <f t="shared" si="97"/>
        <v>46638</v>
      </c>
      <c r="M357" s="577">
        <f t="shared" si="98"/>
        <v>46638</v>
      </c>
      <c r="N357" s="564">
        <v>57913</v>
      </c>
      <c r="O357" s="577">
        <v>57913</v>
      </c>
      <c r="P357" s="577" t="s">
        <v>1166</v>
      </c>
      <c r="Q357" s="577" t="s">
        <v>1166</v>
      </c>
      <c r="R357" s="1604">
        <f t="shared" si="87"/>
        <v>57913</v>
      </c>
    </row>
    <row r="358" spans="1:18" x14ac:dyDescent="0.2">
      <c r="A358" s="261">
        <f t="shared" si="86"/>
        <v>3</v>
      </c>
      <c r="B358" s="422" t="str">
        <f>INDEX('LA List'!B:B,MATCH('EZ list'!D358,'LA List'!A:A,0))</f>
        <v>E3133</v>
      </c>
      <c r="C358" s="422" t="str">
        <f t="shared" si="85"/>
        <v>E3133EZ3</v>
      </c>
      <c r="D358" s="261" t="s">
        <v>339</v>
      </c>
      <c r="E358" s="261" t="s">
        <v>1107</v>
      </c>
      <c r="F358" s="261">
        <v>2016</v>
      </c>
      <c r="G358" s="577">
        <v>0</v>
      </c>
      <c r="H358" s="577">
        <v>0</v>
      </c>
      <c r="I358" s="577">
        <v>0</v>
      </c>
      <c r="J358" s="577">
        <f t="shared" si="95"/>
        <v>0</v>
      </c>
      <c r="K358" s="577">
        <f t="shared" si="96"/>
        <v>0</v>
      </c>
      <c r="L358" s="577">
        <f t="shared" si="97"/>
        <v>0</v>
      </c>
      <c r="M358" s="577">
        <f t="shared" si="98"/>
        <v>0</v>
      </c>
      <c r="N358" s="564">
        <v>0</v>
      </c>
      <c r="O358" s="577">
        <v>0</v>
      </c>
      <c r="P358" s="577" t="s">
        <v>1166</v>
      </c>
      <c r="Q358" s="577" t="s">
        <v>1166</v>
      </c>
      <c r="R358" s="1604">
        <f t="shared" si="87"/>
        <v>0</v>
      </c>
    </row>
    <row r="359" spans="1:18" x14ac:dyDescent="0.2">
      <c r="A359" s="261">
        <f t="shared" si="86"/>
        <v>4</v>
      </c>
      <c r="B359" s="422" t="str">
        <f>INDEX('LA List'!B:B,MATCH('EZ list'!D359,'LA List'!A:A,0))</f>
        <v>E3133</v>
      </c>
      <c r="C359" s="422" t="str">
        <f t="shared" ref="C359" si="99">CONCATENATE(B359,"EZ",A359)</f>
        <v>E3133EZ4</v>
      </c>
      <c r="D359" s="261" t="s">
        <v>339</v>
      </c>
      <c r="E359" s="261" t="s">
        <v>1108</v>
      </c>
      <c r="F359" s="261">
        <v>2016</v>
      </c>
      <c r="G359" s="577">
        <v>139361</v>
      </c>
      <c r="H359" s="577">
        <v>139361</v>
      </c>
      <c r="I359" s="577">
        <v>143548</v>
      </c>
      <c r="J359" s="577">
        <f t="shared" si="95"/>
        <v>146838</v>
      </c>
      <c r="K359" s="577">
        <f t="shared" si="96"/>
        <v>149230</v>
      </c>
      <c r="L359" s="577">
        <f t="shared" si="97"/>
        <v>149230</v>
      </c>
      <c r="M359" s="577">
        <f t="shared" si="98"/>
        <v>149230</v>
      </c>
      <c r="N359" s="564">
        <v>189841</v>
      </c>
      <c r="O359" s="577">
        <v>189841</v>
      </c>
      <c r="P359" s="577" t="s">
        <v>1166</v>
      </c>
      <c r="Q359" s="577" t="s">
        <v>1166</v>
      </c>
      <c r="R359" s="1604">
        <f t="shared" si="87"/>
        <v>189841</v>
      </c>
    </row>
    <row r="360" spans="1:18" x14ac:dyDescent="0.2">
      <c r="A360" s="261">
        <f t="shared" si="86"/>
        <v>1</v>
      </c>
      <c r="B360" s="422" t="str">
        <f>INDEX('LA List'!B:B,MATCH('EZ list'!D360,'LA List'!A:A,0))</f>
        <v>E2342</v>
      </c>
      <c r="C360" s="422" t="str">
        <f t="shared" si="85"/>
        <v>E2342EZ1</v>
      </c>
      <c r="D360" s="261" t="s">
        <v>341</v>
      </c>
      <c r="E360" s="261" t="s">
        <v>842</v>
      </c>
      <c r="F360" s="261">
        <v>2013</v>
      </c>
      <c r="G360" s="577">
        <v>0</v>
      </c>
      <c r="H360" s="577">
        <v>0</v>
      </c>
      <c r="I360" s="577">
        <v>0</v>
      </c>
      <c r="J360" s="577">
        <f t="shared" si="95"/>
        <v>0</v>
      </c>
      <c r="K360" s="577">
        <f t="shared" si="96"/>
        <v>0</v>
      </c>
      <c r="L360" s="577">
        <f t="shared" si="97"/>
        <v>0</v>
      </c>
      <c r="M360" s="577">
        <f t="shared" si="98"/>
        <v>0</v>
      </c>
      <c r="N360" s="564">
        <v>0</v>
      </c>
      <c r="O360" s="577">
        <v>0</v>
      </c>
      <c r="P360" s="577" t="s">
        <v>1166</v>
      </c>
      <c r="Q360" s="577" t="s">
        <v>1166</v>
      </c>
      <c r="R360" s="1604">
        <f t="shared" si="87"/>
        <v>0</v>
      </c>
    </row>
    <row r="361" spans="1:18" x14ac:dyDescent="0.2">
      <c r="A361" s="261">
        <f t="shared" si="86"/>
        <v>1</v>
      </c>
      <c r="B361" s="422" t="str">
        <f>INDEX('LA List'!B:B,MATCH('EZ list'!D361,'LA List'!A:A,0))</f>
        <v>E3435</v>
      </c>
      <c r="C361" s="422" t="str">
        <f t="shared" si="85"/>
        <v>E3435EZ1</v>
      </c>
      <c r="D361" s="261" t="s">
        <v>343</v>
      </c>
      <c r="E361" s="261" t="s">
        <v>860</v>
      </c>
      <c r="F361" s="261">
        <v>2013</v>
      </c>
      <c r="G361" s="577">
        <v>0</v>
      </c>
      <c r="H361" s="577">
        <v>0</v>
      </c>
      <c r="I361" s="577">
        <v>0</v>
      </c>
      <c r="J361" s="577">
        <f t="shared" si="95"/>
        <v>0</v>
      </c>
      <c r="K361" s="577">
        <f t="shared" si="96"/>
        <v>0</v>
      </c>
      <c r="L361" s="577">
        <f t="shared" si="97"/>
        <v>0</v>
      </c>
      <c r="M361" s="577">
        <f t="shared" si="98"/>
        <v>0</v>
      </c>
      <c r="N361" s="564">
        <v>0</v>
      </c>
      <c r="O361" s="577">
        <v>0</v>
      </c>
      <c r="P361" s="577" t="s">
        <v>1166</v>
      </c>
      <c r="Q361" s="577" t="s">
        <v>1166</v>
      </c>
      <c r="R361" s="1604">
        <f t="shared" si="87"/>
        <v>0</v>
      </c>
    </row>
    <row r="362" spans="1:18" x14ac:dyDescent="0.2">
      <c r="A362" s="261">
        <f t="shared" si="86"/>
        <v>1</v>
      </c>
      <c r="B362" s="422" t="str">
        <f>INDEX('LA List'!B:B,MATCH('EZ list'!D362,'LA List'!A:A,0))</f>
        <v>E4504</v>
      </c>
      <c r="C362" s="422" t="str">
        <f t="shared" si="85"/>
        <v>E4504EZ1</v>
      </c>
      <c r="D362" s="261" t="s">
        <v>345</v>
      </c>
      <c r="E362" s="261" t="s">
        <v>1109</v>
      </c>
      <c r="F362" s="261">
        <v>2017</v>
      </c>
      <c r="G362" s="577">
        <v>0</v>
      </c>
      <c r="H362" s="577">
        <v>0</v>
      </c>
      <c r="I362" s="577">
        <v>0</v>
      </c>
      <c r="J362" s="577">
        <f t="shared" si="95"/>
        <v>0</v>
      </c>
      <c r="K362" s="577">
        <f t="shared" si="96"/>
        <v>0</v>
      </c>
      <c r="L362" s="577">
        <f t="shared" si="97"/>
        <v>0</v>
      </c>
      <c r="M362" s="577">
        <f t="shared" si="98"/>
        <v>0</v>
      </c>
      <c r="N362" s="564">
        <v>0</v>
      </c>
      <c r="O362" s="577">
        <v>0</v>
      </c>
      <c r="P362" s="577" t="s">
        <v>1166</v>
      </c>
      <c r="Q362" s="577" t="s">
        <v>1166</v>
      </c>
      <c r="R362" s="1604">
        <f t="shared" si="87"/>
        <v>0</v>
      </c>
    </row>
    <row r="363" spans="1:18" x14ac:dyDescent="0.2">
      <c r="A363" s="261">
        <f t="shared" si="86"/>
        <v>2</v>
      </c>
      <c r="B363" s="422" t="str">
        <f>INDEX('LA List'!B:B,MATCH('EZ list'!D363,'LA List'!A:A,0))</f>
        <v>E4504</v>
      </c>
      <c r="C363" s="422" t="str">
        <f t="shared" si="85"/>
        <v>E4504EZ2</v>
      </c>
      <c r="D363" s="261" t="s">
        <v>345</v>
      </c>
      <c r="E363" s="261" t="s">
        <v>1110</v>
      </c>
      <c r="F363" s="261">
        <v>2017</v>
      </c>
      <c r="G363" s="577">
        <v>0</v>
      </c>
      <c r="H363" s="577">
        <v>0</v>
      </c>
      <c r="I363" s="577">
        <v>0</v>
      </c>
      <c r="J363" s="577">
        <f t="shared" si="95"/>
        <v>0</v>
      </c>
      <c r="K363" s="577">
        <f t="shared" si="96"/>
        <v>0</v>
      </c>
      <c r="L363" s="577">
        <f t="shared" si="97"/>
        <v>0</v>
      </c>
      <c r="M363" s="577">
        <f t="shared" si="98"/>
        <v>0</v>
      </c>
      <c r="N363" s="564">
        <v>0</v>
      </c>
      <c r="O363" s="577">
        <v>0</v>
      </c>
      <c r="P363" s="577" t="s">
        <v>1166</v>
      </c>
      <c r="Q363" s="577" t="s">
        <v>1166</v>
      </c>
      <c r="R363" s="1604">
        <f t="shared" si="87"/>
        <v>0</v>
      </c>
    </row>
    <row r="364" spans="1:18" x14ac:dyDescent="0.2">
      <c r="A364" s="261">
        <f t="shared" si="86"/>
        <v>3</v>
      </c>
      <c r="B364" s="422" t="str">
        <f>INDEX('LA List'!B:B,MATCH('EZ list'!D364,'LA List'!A:A,0))</f>
        <v>E4504</v>
      </c>
      <c r="C364" s="422" t="str">
        <f t="shared" si="85"/>
        <v>E4504EZ3</v>
      </c>
      <c r="D364" s="261" t="s">
        <v>345</v>
      </c>
      <c r="E364" s="261" t="s">
        <v>5842</v>
      </c>
      <c r="F364" s="261">
        <v>2024</v>
      </c>
      <c r="G364" s="577"/>
      <c r="H364" s="577"/>
      <c r="I364" s="577"/>
      <c r="J364" s="577"/>
      <c r="K364" s="577"/>
      <c r="L364" s="577"/>
      <c r="M364" s="577"/>
      <c r="N364" s="564"/>
      <c r="O364" s="577">
        <v>0</v>
      </c>
      <c r="P364" s="577">
        <v>0</v>
      </c>
      <c r="Q364" s="577">
        <v>0</v>
      </c>
      <c r="R364" s="1604">
        <f t="shared" si="87"/>
        <v>0</v>
      </c>
    </row>
    <row r="365" spans="1:18" x14ac:dyDescent="0.2">
      <c r="A365" s="261">
        <f t="shared" si="86"/>
        <v>1</v>
      </c>
      <c r="B365" s="422" t="str">
        <f>INDEX('LA List'!B:B,MATCH('EZ list'!D365,'LA List'!A:A,0))</f>
        <v>E1702</v>
      </c>
      <c r="C365" s="422" t="str">
        <f t="shared" si="85"/>
        <v>E1702EZ1</v>
      </c>
      <c r="D365" s="261" t="s">
        <v>347</v>
      </c>
      <c r="E365" s="509" t="s">
        <v>5843</v>
      </c>
      <c r="F365" s="509">
        <v>2023</v>
      </c>
      <c r="G365" s="577">
        <v>0</v>
      </c>
      <c r="H365" s="577">
        <v>0</v>
      </c>
      <c r="I365" s="577">
        <v>0</v>
      </c>
      <c r="J365" s="577">
        <v>0</v>
      </c>
      <c r="K365" s="577">
        <v>0</v>
      </c>
      <c r="L365" s="577">
        <f t="shared" ref="L365:L371" si="100">IF(K365="","",ROUND(K365*$L$1,0))</f>
        <v>0</v>
      </c>
      <c r="M365" s="577">
        <v>542114</v>
      </c>
      <c r="N365" s="564">
        <v>770158</v>
      </c>
      <c r="O365" s="577">
        <v>770158</v>
      </c>
      <c r="P365" s="577" t="s">
        <v>1166</v>
      </c>
      <c r="Q365" s="577" t="s">
        <v>1166</v>
      </c>
      <c r="R365" s="1604">
        <f t="shared" si="87"/>
        <v>770158</v>
      </c>
    </row>
    <row r="366" spans="1:18" x14ac:dyDescent="0.2">
      <c r="A366" s="261">
        <f t="shared" si="86"/>
        <v>1</v>
      </c>
      <c r="B366" s="422" t="str">
        <f>INDEX('LA List'!B:B,MATCH('EZ list'!D366,'LA List'!A:A,0))</f>
        <v>E1501</v>
      </c>
      <c r="C366" s="422" t="str">
        <f t="shared" si="85"/>
        <v>E1501EZ1</v>
      </c>
      <c r="D366" s="261" t="s">
        <v>349</v>
      </c>
      <c r="E366" s="261" t="s">
        <v>1166</v>
      </c>
      <c r="F366" s="261" t="s">
        <v>1166</v>
      </c>
      <c r="G366" s="577" t="s">
        <v>1166</v>
      </c>
      <c r="H366" s="577" t="s">
        <v>1166</v>
      </c>
      <c r="I366" s="577" t="s">
        <v>1166</v>
      </c>
      <c r="J366" s="577" t="str">
        <f t="shared" ref="J366:J371" si="101">IF(I366="","",ROUND(I366*$J$1,0))</f>
        <v/>
      </c>
      <c r="K366" s="577" t="str">
        <f t="shared" ref="K366:K371" si="102">IF(J366="","",ROUND(J366*$K$1,0))</f>
        <v/>
      </c>
      <c r="L366" s="577" t="str">
        <f t="shared" si="100"/>
        <v/>
      </c>
      <c r="M366" s="577" t="str">
        <f t="shared" ref="M366:M371" si="103">IF(L366="","",ROUND(L366*$M$1,0))</f>
        <v/>
      </c>
      <c r="N366" s="564" t="s">
        <v>1166</v>
      </c>
      <c r="O366" s="577" t="s">
        <v>1166</v>
      </c>
      <c r="P366" s="577" t="s">
        <v>1166</v>
      </c>
      <c r="Q366" s="577" t="s">
        <v>1166</v>
      </c>
      <c r="R366" s="1604" t="str">
        <f t="shared" si="87"/>
        <v/>
      </c>
    </row>
    <row r="367" spans="1:18" x14ac:dyDescent="0.2">
      <c r="A367" s="261">
        <f t="shared" si="86"/>
        <v>1</v>
      </c>
      <c r="B367" s="422" t="str">
        <f>INDEX('LA List'!B:B,MATCH('EZ list'!D367,'LA List'!A:A,0))</f>
        <v>E5019</v>
      </c>
      <c r="C367" s="422" t="str">
        <f t="shared" si="85"/>
        <v>E5019EZ1</v>
      </c>
      <c r="D367" s="261" t="s">
        <v>351</v>
      </c>
      <c r="E367" s="261" t="s">
        <v>1166</v>
      </c>
      <c r="F367" s="261" t="s">
        <v>1166</v>
      </c>
      <c r="G367" s="577" t="s">
        <v>1166</v>
      </c>
      <c r="H367" s="577" t="s">
        <v>1166</v>
      </c>
      <c r="I367" s="577" t="s">
        <v>1166</v>
      </c>
      <c r="J367" s="577" t="str">
        <f t="shared" si="101"/>
        <v/>
      </c>
      <c r="K367" s="577" t="str">
        <f t="shared" si="102"/>
        <v/>
      </c>
      <c r="L367" s="577" t="str">
        <f t="shared" si="100"/>
        <v/>
      </c>
      <c r="M367" s="577" t="str">
        <f t="shared" si="103"/>
        <v/>
      </c>
      <c r="N367" s="564" t="s">
        <v>1166</v>
      </c>
      <c r="O367" s="577" t="s">
        <v>1166</v>
      </c>
      <c r="P367" s="577" t="s">
        <v>1166</v>
      </c>
      <c r="Q367" s="577" t="s">
        <v>1166</v>
      </c>
      <c r="R367" s="1604" t="str">
        <f t="shared" si="87"/>
        <v/>
      </c>
    </row>
    <row r="368" spans="1:18" x14ac:dyDescent="0.2">
      <c r="A368" s="261">
        <f t="shared" si="86"/>
        <v>1</v>
      </c>
      <c r="B368" s="422" t="str">
        <f>INDEX('LA List'!B:B,MATCH('EZ list'!D368,'LA List'!A:A,0))</f>
        <v>E3637</v>
      </c>
      <c r="C368" s="422" t="str">
        <f t="shared" ref="C368" si="104">CONCATENATE(B368,"EZ",A368)</f>
        <v>E3637EZ1</v>
      </c>
      <c r="D368" s="261" t="s">
        <v>353</v>
      </c>
      <c r="E368" s="261" t="s">
        <v>1166</v>
      </c>
      <c r="F368" s="261" t="s">
        <v>1166</v>
      </c>
      <c r="G368" s="577" t="s">
        <v>1166</v>
      </c>
      <c r="H368" s="577" t="s">
        <v>1166</v>
      </c>
      <c r="I368" s="577" t="s">
        <v>1166</v>
      </c>
      <c r="J368" s="577" t="str">
        <f t="shared" si="101"/>
        <v/>
      </c>
      <c r="K368" s="577" t="str">
        <f t="shared" si="102"/>
        <v/>
      </c>
      <c r="L368" s="577" t="str">
        <f t="shared" si="100"/>
        <v/>
      </c>
      <c r="M368" s="577" t="str">
        <f t="shared" si="103"/>
        <v/>
      </c>
      <c r="N368" s="564" t="s">
        <v>1166</v>
      </c>
      <c r="O368" s="577" t="s">
        <v>1166</v>
      </c>
      <c r="P368" s="577" t="s">
        <v>1166</v>
      </c>
      <c r="Q368" s="577" t="s">
        <v>1166</v>
      </c>
      <c r="R368" s="1604" t="str">
        <f t="shared" si="87"/>
        <v/>
      </c>
    </row>
    <row r="369" spans="1:18" x14ac:dyDescent="0.2">
      <c r="A369" s="261">
        <f t="shared" si="86"/>
        <v>1</v>
      </c>
      <c r="B369" s="422" t="str">
        <f>INDEX('LA List'!B:B,MATCH('EZ list'!D369,'LA List'!A:A,0))</f>
        <v>E1936</v>
      </c>
      <c r="C369" s="422" t="str">
        <f t="shared" si="85"/>
        <v>E1936EZ1</v>
      </c>
      <c r="D369" s="261" t="s">
        <v>355</v>
      </c>
      <c r="E369" s="261" t="s">
        <v>1111</v>
      </c>
      <c r="F369" s="261">
        <v>2017</v>
      </c>
      <c r="G369" s="577">
        <v>40656</v>
      </c>
      <c r="H369" s="577">
        <v>40656</v>
      </c>
      <c r="I369" s="577">
        <v>41877</v>
      </c>
      <c r="J369" s="577">
        <f t="shared" si="101"/>
        <v>42837</v>
      </c>
      <c r="K369" s="577">
        <f t="shared" si="102"/>
        <v>43535</v>
      </c>
      <c r="L369" s="577">
        <f t="shared" si="100"/>
        <v>43535</v>
      </c>
      <c r="M369" s="577">
        <f t="shared" si="103"/>
        <v>43535</v>
      </c>
      <c r="N369" s="564">
        <v>100000</v>
      </c>
      <c r="O369" s="577">
        <v>100000</v>
      </c>
      <c r="P369" s="577" t="s">
        <v>1166</v>
      </c>
      <c r="Q369" s="577" t="s">
        <v>1166</v>
      </c>
      <c r="R369" s="1604">
        <f t="shared" si="87"/>
        <v>100000</v>
      </c>
    </row>
    <row r="370" spans="1:18" x14ac:dyDescent="0.2">
      <c r="A370" s="261">
        <f t="shared" si="86"/>
        <v>2</v>
      </c>
      <c r="B370" s="422" t="str">
        <f>INDEX('LA List'!B:B,MATCH('EZ list'!D370,'LA List'!A:A,0))</f>
        <v>E1936</v>
      </c>
      <c r="C370" s="422" t="str">
        <f t="shared" si="85"/>
        <v>E1936EZ2</v>
      </c>
      <c r="D370" s="261" t="s">
        <v>355</v>
      </c>
      <c r="E370" s="261" t="s">
        <v>1112</v>
      </c>
      <c r="F370" s="261">
        <v>2017</v>
      </c>
      <c r="G370" s="577">
        <v>865737</v>
      </c>
      <c r="H370" s="577">
        <v>865737</v>
      </c>
      <c r="I370" s="577">
        <v>891746</v>
      </c>
      <c r="J370" s="577">
        <f t="shared" si="101"/>
        <v>912182</v>
      </c>
      <c r="K370" s="577">
        <f t="shared" si="102"/>
        <v>927044</v>
      </c>
      <c r="L370" s="577">
        <f t="shared" si="100"/>
        <v>927044</v>
      </c>
      <c r="M370" s="577">
        <f t="shared" si="103"/>
        <v>927044</v>
      </c>
      <c r="N370" s="564">
        <v>400000</v>
      </c>
      <c r="O370" s="577">
        <v>400000</v>
      </c>
      <c r="P370" s="577" t="s">
        <v>1166</v>
      </c>
      <c r="Q370" s="577" t="s">
        <v>1166</v>
      </c>
      <c r="R370" s="1604">
        <f t="shared" si="87"/>
        <v>400000</v>
      </c>
    </row>
    <row r="371" spans="1:18" x14ac:dyDescent="0.2">
      <c r="A371" s="261">
        <f t="shared" si="86"/>
        <v>3</v>
      </c>
      <c r="B371" s="422" t="str">
        <f>INDEX('LA List'!B:B,MATCH('EZ list'!D371,'LA List'!A:A,0))</f>
        <v>E1936</v>
      </c>
      <c r="C371" s="422" t="str">
        <f t="shared" si="85"/>
        <v>E1936EZ3</v>
      </c>
      <c r="D371" s="261" t="s">
        <v>355</v>
      </c>
      <c r="E371" s="261" t="s">
        <v>1113</v>
      </c>
      <c r="F371" s="261">
        <v>2017</v>
      </c>
      <c r="G371" s="577">
        <v>90719</v>
      </c>
      <c r="H371" s="577">
        <v>90719</v>
      </c>
      <c r="I371" s="577">
        <v>93444</v>
      </c>
      <c r="J371" s="577">
        <f t="shared" si="101"/>
        <v>95585</v>
      </c>
      <c r="K371" s="577">
        <f t="shared" si="102"/>
        <v>97142</v>
      </c>
      <c r="L371" s="577">
        <f t="shared" si="100"/>
        <v>97142</v>
      </c>
      <c r="M371" s="577">
        <f t="shared" si="103"/>
        <v>97142</v>
      </c>
      <c r="N371" s="564">
        <v>700000</v>
      </c>
      <c r="O371" s="577">
        <v>700000</v>
      </c>
      <c r="P371" s="577" t="s">
        <v>1166</v>
      </c>
      <c r="Q371" s="577" t="s">
        <v>1166</v>
      </c>
      <c r="R371" s="1604">
        <f t="shared" si="87"/>
        <v>700000</v>
      </c>
    </row>
    <row r="372" spans="1:18" x14ac:dyDescent="0.2">
      <c r="A372" s="261">
        <f t="shared" si="86"/>
        <v>1</v>
      </c>
      <c r="B372" s="422" t="str">
        <f>INDEX('LA List'!B:B,MATCH('EZ list'!D372,'LA List'!A:A,0))</f>
        <v>E4303</v>
      </c>
      <c r="C372" s="422" t="str">
        <f t="shared" si="85"/>
        <v>E4303EZ1</v>
      </c>
      <c r="D372" s="261" t="s">
        <v>357</v>
      </c>
      <c r="E372" s="509" t="s">
        <v>5844</v>
      </c>
      <c r="F372" s="509">
        <v>2023</v>
      </c>
      <c r="G372" s="577">
        <v>0</v>
      </c>
      <c r="H372" s="577">
        <v>0</v>
      </c>
      <c r="I372" s="577">
        <v>0</v>
      </c>
      <c r="J372" s="577">
        <v>0</v>
      </c>
      <c r="K372" s="577">
        <v>0</v>
      </c>
      <c r="L372" s="577">
        <v>0</v>
      </c>
      <c r="M372" s="577">
        <v>0</v>
      </c>
      <c r="N372" s="564">
        <v>0</v>
      </c>
      <c r="O372" s="577">
        <v>0</v>
      </c>
      <c r="P372" s="577" t="s">
        <v>1166</v>
      </c>
      <c r="Q372" s="577" t="s">
        <v>1166</v>
      </c>
      <c r="R372" s="1604">
        <f t="shared" si="87"/>
        <v>0</v>
      </c>
    </row>
    <row r="373" spans="1:18" x14ac:dyDescent="0.2">
      <c r="A373" s="261">
        <f t="shared" si="86"/>
        <v>2</v>
      </c>
      <c r="B373" s="422" t="str">
        <f>INDEX('LA List'!B:B,MATCH('EZ list'!D373,'LA List'!A:A,0))</f>
        <v>E4303</v>
      </c>
      <c r="C373" s="422" t="str">
        <f t="shared" si="85"/>
        <v>E4303EZ2</v>
      </c>
      <c r="D373" s="261" t="s">
        <v>357</v>
      </c>
      <c r="E373" s="509" t="s">
        <v>5845</v>
      </c>
      <c r="F373" s="509">
        <v>2024</v>
      </c>
      <c r="G373" s="577"/>
      <c r="H373" s="577"/>
      <c r="I373" s="577"/>
      <c r="J373" s="577"/>
      <c r="K373" s="577"/>
      <c r="L373" s="577"/>
      <c r="M373" s="577"/>
      <c r="N373" s="564"/>
      <c r="O373" s="577">
        <v>555680.8359375</v>
      </c>
      <c r="P373" s="577">
        <v>0</v>
      </c>
      <c r="Q373" s="577">
        <v>564840</v>
      </c>
      <c r="R373" s="1604">
        <f t="shared" si="87"/>
        <v>564840</v>
      </c>
    </row>
    <row r="374" spans="1:18" x14ac:dyDescent="0.2">
      <c r="A374" s="261">
        <f t="shared" si="86"/>
        <v>1</v>
      </c>
      <c r="B374" s="422" t="str">
        <f>INDEX('LA List'!B:B,MATCH('EZ list'!D374,'LA List'!A:A,0))</f>
        <v>E3436</v>
      </c>
      <c r="C374" s="422" t="str">
        <f t="shared" si="85"/>
        <v>E3436EZ1</v>
      </c>
      <c r="D374" s="261" t="s">
        <v>359</v>
      </c>
      <c r="E374" s="261" t="s">
        <v>1166</v>
      </c>
      <c r="F374" s="261" t="s">
        <v>1166</v>
      </c>
      <c r="G374" s="577" t="s">
        <v>1166</v>
      </c>
      <c r="H374" s="577" t="s">
        <v>1166</v>
      </c>
      <c r="I374" s="577" t="s">
        <v>1166</v>
      </c>
      <c r="J374" s="577" t="str">
        <f>IF(I374="","",ROUND(I374*$J$1,0))</f>
        <v/>
      </c>
      <c r="K374" s="577" t="str">
        <f>IF(J374="","",ROUND(J374*$K$1,0))</f>
        <v/>
      </c>
      <c r="L374" s="577" t="str">
        <f>IF(K374="","",ROUND(K374*$L$1,0))</f>
        <v/>
      </c>
      <c r="M374" s="577" t="str">
        <f>IF(L374="","",ROUND(L374*$M$1,0))</f>
        <v/>
      </c>
      <c r="N374" s="564" t="s">
        <v>1166</v>
      </c>
      <c r="O374" s="577" t="s">
        <v>1166</v>
      </c>
      <c r="P374" s="577" t="s">
        <v>1166</v>
      </c>
      <c r="Q374" s="577" t="s">
        <v>1166</v>
      </c>
      <c r="R374" s="1604" t="str">
        <f t="shared" si="87"/>
        <v/>
      </c>
    </row>
    <row r="375" spans="1:18" x14ac:dyDescent="0.2">
      <c r="A375" s="261">
        <f t="shared" si="86"/>
        <v>1</v>
      </c>
      <c r="B375" s="422" t="str">
        <f>INDEX('LA List'!B:B,MATCH('EZ list'!D375,'LA List'!A:A,0))</f>
        <v>E3437</v>
      </c>
      <c r="C375" s="422" t="str">
        <f t="shared" si="85"/>
        <v>E3437EZ1</v>
      </c>
      <c r="D375" s="261" t="s">
        <v>361</v>
      </c>
      <c r="E375" s="261" t="s">
        <v>1166</v>
      </c>
      <c r="F375" s="261" t="s">
        <v>1166</v>
      </c>
      <c r="G375" s="577" t="s">
        <v>1166</v>
      </c>
      <c r="H375" s="577" t="s">
        <v>1166</v>
      </c>
      <c r="I375" s="577" t="s">
        <v>1166</v>
      </c>
      <c r="J375" s="577" t="str">
        <f>IF(I375="","",ROUND(I375*$J$1,0))</f>
        <v/>
      </c>
      <c r="K375" s="577" t="str">
        <f>IF(J375="","",ROUND(J375*$K$1,0))</f>
        <v/>
      </c>
      <c r="L375" s="577" t="str">
        <f>IF(K375="","",ROUND(K375*$L$1,0))</f>
        <v/>
      </c>
      <c r="M375" s="577" t="str">
        <f>IF(L375="","",ROUND(L375*$M$1,0))</f>
        <v/>
      </c>
      <c r="N375" s="564" t="s">
        <v>1166</v>
      </c>
      <c r="O375" s="577" t="s">
        <v>1166</v>
      </c>
      <c r="P375" s="577" t="s">
        <v>1166</v>
      </c>
      <c r="Q375" s="577" t="s">
        <v>1166</v>
      </c>
      <c r="R375" s="1604" t="str">
        <f t="shared" si="87"/>
        <v/>
      </c>
    </row>
    <row r="376" spans="1:18" x14ac:dyDescent="0.2">
      <c r="A376" s="261">
        <f t="shared" si="86"/>
        <v>1</v>
      </c>
      <c r="B376" s="422" t="str">
        <f>INDEX('LA List'!B:B,MATCH('EZ list'!D376,'LA List'!A:A,0))</f>
        <v>E1937</v>
      </c>
      <c r="C376" s="422" t="str">
        <f t="shared" si="85"/>
        <v>E1937EZ1</v>
      </c>
      <c r="D376" s="261" t="s">
        <v>363</v>
      </c>
      <c r="E376" s="261" t="s">
        <v>1166</v>
      </c>
      <c r="F376" s="261" t="s">
        <v>1166</v>
      </c>
      <c r="G376" s="577" t="s">
        <v>1166</v>
      </c>
      <c r="H376" s="577" t="s">
        <v>1166</v>
      </c>
      <c r="I376" s="577" t="s">
        <v>1166</v>
      </c>
      <c r="J376" s="577" t="str">
        <f>IF(I376="","",ROUND(I376*$J$1,0))</f>
        <v/>
      </c>
      <c r="K376" s="577" t="str">
        <f>IF(J376="","",ROUND(J376*$K$1,0))</f>
        <v/>
      </c>
      <c r="L376" s="577" t="str">
        <f>IF(K376="","",ROUND(K376*$L$1,0))</f>
        <v/>
      </c>
      <c r="M376" s="577" t="str">
        <f>IF(L376="","",ROUND(L376*$M$1,0))</f>
        <v/>
      </c>
      <c r="N376" s="564" t="s">
        <v>1166</v>
      </c>
      <c r="O376" s="577" t="s">
        <v>1166</v>
      </c>
      <c r="P376" s="577" t="s">
        <v>1166</v>
      </c>
      <c r="Q376" s="577" t="s">
        <v>1166</v>
      </c>
      <c r="R376" s="1604" t="str">
        <f t="shared" si="87"/>
        <v/>
      </c>
    </row>
    <row r="377" spans="1:18" x14ac:dyDescent="0.2">
      <c r="A377" s="261">
        <f t="shared" si="86"/>
        <v>1</v>
      </c>
      <c r="B377" s="422" t="str">
        <f>INDEX('LA List'!B:B,MATCH('EZ list'!D377,'LA List'!A:A,0))</f>
        <v>E4207</v>
      </c>
      <c r="C377" s="422" t="str">
        <f t="shared" si="85"/>
        <v>E4207EZ1</v>
      </c>
      <c r="D377" s="261" t="s">
        <v>365</v>
      </c>
      <c r="E377" s="261" t="s">
        <v>1166</v>
      </c>
      <c r="F377" s="261"/>
      <c r="G377" s="577"/>
      <c r="H377" s="577"/>
      <c r="I377" s="577"/>
      <c r="J377" s="577"/>
      <c r="K377" s="577"/>
      <c r="L377" s="577"/>
      <c r="M377" s="577"/>
      <c r="N377" s="564"/>
      <c r="O377" s="577"/>
      <c r="P377" s="577" t="s">
        <v>1166</v>
      </c>
      <c r="Q377" s="577" t="s">
        <v>1166</v>
      </c>
      <c r="R377" s="1604" t="str">
        <f t="shared" si="87"/>
        <v/>
      </c>
    </row>
    <row r="378" spans="1:18" x14ac:dyDescent="0.2">
      <c r="A378" s="261">
        <f t="shared" si="86"/>
        <v>1</v>
      </c>
      <c r="B378" s="422" t="str">
        <f>INDEX('LA List'!B:B,MATCH('EZ list'!D378,'LA List'!A:A,0))</f>
        <v>E0704</v>
      </c>
      <c r="C378" s="422" t="str">
        <f t="shared" si="85"/>
        <v>E0704EZ1</v>
      </c>
      <c r="D378" s="261" t="s">
        <v>367</v>
      </c>
      <c r="E378" s="261" t="s">
        <v>846</v>
      </c>
      <c r="F378" s="261">
        <v>2013</v>
      </c>
      <c r="G378" s="577">
        <v>0</v>
      </c>
      <c r="H378" s="577">
        <v>0</v>
      </c>
      <c r="I378" s="577">
        <v>0</v>
      </c>
      <c r="J378" s="577">
        <f t="shared" ref="J378:J386" si="105">IF(I378="","",ROUND(I378*$J$1,0))</f>
        <v>0</v>
      </c>
      <c r="K378" s="577">
        <f t="shared" ref="K378:K386" si="106">IF(J378="","",ROUND(J378*$K$1,0))</f>
        <v>0</v>
      </c>
      <c r="L378" s="577">
        <f t="shared" ref="L378:L386" si="107">IF(K378="","",ROUND(K378*$L$1,0))</f>
        <v>0</v>
      </c>
      <c r="M378" s="577">
        <f t="shared" ref="M378:M386" si="108">IF(L378="","",ROUND(L378*$M$1,0))</f>
        <v>0</v>
      </c>
      <c r="N378" s="564">
        <v>0</v>
      </c>
      <c r="O378" s="577">
        <v>0</v>
      </c>
      <c r="P378" s="577" t="s">
        <v>1166</v>
      </c>
      <c r="Q378" s="577" t="s">
        <v>1166</v>
      </c>
      <c r="R378" s="1604">
        <f t="shared" si="87"/>
        <v>0</v>
      </c>
    </row>
    <row r="379" spans="1:18" x14ac:dyDescent="0.2">
      <c r="A379" s="261">
        <f t="shared" si="86"/>
        <v>2</v>
      </c>
      <c r="B379" s="422" t="str">
        <f>INDEX('LA List'!B:B,MATCH('EZ list'!D379,'LA List'!A:A,0))</f>
        <v>E0704</v>
      </c>
      <c r="C379" s="422" t="str">
        <f t="shared" si="85"/>
        <v>E0704EZ2</v>
      </c>
      <c r="D379" s="261" t="s">
        <v>367</v>
      </c>
      <c r="E379" s="261" t="s">
        <v>1116</v>
      </c>
      <c r="F379" s="261">
        <v>2016</v>
      </c>
      <c r="G379" s="577">
        <v>72460</v>
      </c>
      <c r="H379" s="577">
        <v>72460</v>
      </c>
      <c r="I379" s="577">
        <v>74637</v>
      </c>
      <c r="J379" s="577">
        <f t="shared" si="105"/>
        <v>76347</v>
      </c>
      <c r="K379" s="577">
        <f t="shared" si="106"/>
        <v>77591</v>
      </c>
      <c r="L379" s="577">
        <f t="shared" si="107"/>
        <v>77591</v>
      </c>
      <c r="M379" s="577">
        <f t="shared" si="108"/>
        <v>77591</v>
      </c>
      <c r="N379" s="564">
        <v>81315</v>
      </c>
      <c r="O379" s="577">
        <v>81315</v>
      </c>
      <c r="P379" s="577" t="s">
        <v>1166</v>
      </c>
      <c r="Q379" s="577" t="s">
        <v>1166</v>
      </c>
      <c r="R379" s="1604">
        <f t="shared" si="87"/>
        <v>81315</v>
      </c>
    </row>
    <row r="380" spans="1:18" x14ac:dyDescent="0.2">
      <c r="A380" s="261">
        <f t="shared" si="86"/>
        <v>1</v>
      </c>
      <c r="B380" s="422" t="str">
        <f>INDEX('LA List'!B:B,MATCH('EZ list'!D380,'LA List'!A:A,0))</f>
        <v>E3401</v>
      </c>
      <c r="C380" s="422" t="str">
        <f t="shared" si="85"/>
        <v>E3401EZ1</v>
      </c>
      <c r="D380" s="261" t="s">
        <v>369</v>
      </c>
      <c r="E380" s="261" t="s">
        <v>1117</v>
      </c>
      <c r="F380" s="261">
        <v>2016</v>
      </c>
      <c r="G380" s="577">
        <v>271200</v>
      </c>
      <c r="H380" s="577">
        <v>271200</v>
      </c>
      <c r="I380" s="577">
        <v>279348</v>
      </c>
      <c r="J380" s="577">
        <f t="shared" si="105"/>
        <v>285750</v>
      </c>
      <c r="K380" s="577">
        <f t="shared" si="106"/>
        <v>290406</v>
      </c>
      <c r="L380" s="577">
        <f t="shared" si="107"/>
        <v>290406</v>
      </c>
      <c r="M380" s="577">
        <f t="shared" si="108"/>
        <v>290406</v>
      </c>
      <c r="N380" s="564">
        <v>290406</v>
      </c>
      <c r="O380" s="577">
        <v>290406</v>
      </c>
      <c r="P380" s="577" t="s">
        <v>1166</v>
      </c>
      <c r="Q380" s="577" t="s">
        <v>1166</v>
      </c>
      <c r="R380" s="1604">
        <f t="shared" si="87"/>
        <v>290406</v>
      </c>
    </row>
    <row r="381" spans="1:18" x14ac:dyDescent="0.2">
      <c r="A381" s="261">
        <f t="shared" si="86"/>
        <v>2</v>
      </c>
      <c r="B381" s="422" t="str">
        <f>INDEX('LA List'!B:B,MATCH('EZ list'!D381,'LA List'!A:A,0))</f>
        <v>E3401</v>
      </c>
      <c r="C381" s="422" t="str">
        <f t="shared" si="85"/>
        <v>E3401EZ2</v>
      </c>
      <c r="D381" s="261" t="s">
        <v>369</v>
      </c>
      <c r="E381" s="261" t="s">
        <v>1118</v>
      </c>
      <c r="F381" s="261">
        <v>2016</v>
      </c>
      <c r="G381" s="577">
        <v>0</v>
      </c>
      <c r="H381" s="577">
        <v>0</v>
      </c>
      <c r="I381" s="577">
        <v>0</v>
      </c>
      <c r="J381" s="577">
        <f t="shared" si="105"/>
        <v>0</v>
      </c>
      <c r="K381" s="577">
        <f t="shared" si="106"/>
        <v>0</v>
      </c>
      <c r="L381" s="577">
        <f t="shared" si="107"/>
        <v>0</v>
      </c>
      <c r="M381" s="577">
        <f t="shared" si="108"/>
        <v>0</v>
      </c>
      <c r="N381" s="564">
        <v>0</v>
      </c>
      <c r="O381" s="577">
        <v>0</v>
      </c>
      <c r="P381" s="577" t="s">
        <v>1166</v>
      </c>
      <c r="Q381" s="577" t="s">
        <v>1166</v>
      </c>
      <c r="R381" s="1604">
        <f t="shared" si="87"/>
        <v>0</v>
      </c>
    </row>
    <row r="382" spans="1:18" x14ac:dyDescent="0.2">
      <c r="A382" s="261">
        <f t="shared" si="86"/>
        <v>3</v>
      </c>
      <c r="B382" s="422" t="str">
        <f>INDEX('LA List'!B:B,MATCH('EZ list'!D382,'LA List'!A:A,0))</f>
        <v>E3401</v>
      </c>
      <c r="C382" s="422" t="str">
        <f t="shared" si="85"/>
        <v>E3401EZ3</v>
      </c>
      <c r="D382" s="261" t="s">
        <v>369</v>
      </c>
      <c r="E382" s="261" t="s">
        <v>1119</v>
      </c>
      <c r="F382" s="261">
        <v>2016</v>
      </c>
      <c r="G382" s="577">
        <v>47823</v>
      </c>
      <c r="H382" s="577">
        <v>47823</v>
      </c>
      <c r="I382" s="577">
        <v>49260</v>
      </c>
      <c r="J382" s="577">
        <f t="shared" si="105"/>
        <v>50389</v>
      </c>
      <c r="K382" s="577">
        <f t="shared" si="106"/>
        <v>51210</v>
      </c>
      <c r="L382" s="577">
        <f t="shared" si="107"/>
        <v>51210</v>
      </c>
      <c r="M382" s="577">
        <f t="shared" si="108"/>
        <v>51210</v>
      </c>
      <c r="N382" s="564">
        <v>51210</v>
      </c>
      <c r="O382" s="577">
        <v>51210</v>
      </c>
      <c r="P382" s="577" t="s">
        <v>1166</v>
      </c>
      <c r="Q382" s="577" t="s">
        <v>1166</v>
      </c>
      <c r="R382" s="1604">
        <f t="shared" si="87"/>
        <v>51210</v>
      </c>
    </row>
    <row r="383" spans="1:18" x14ac:dyDescent="0.2">
      <c r="A383" s="261">
        <f t="shared" si="86"/>
        <v>4</v>
      </c>
      <c r="B383" s="422" t="str">
        <f>INDEX('LA List'!B:B,MATCH('EZ list'!D383,'LA List'!A:A,0))</f>
        <v>E3401</v>
      </c>
      <c r="C383" s="422" t="str">
        <f t="shared" ref="C383:C446" si="109">CONCATENATE(B383,"EZ",A383)</f>
        <v>E3401EZ4</v>
      </c>
      <c r="D383" s="261" t="s">
        <v>369</v>
      </c>
      <c r="E383" s="261" t="s">
        <v>1120</v>
      </c>
      <c r="F383" s="261">
        <v>2016</v>
      </c>
      <c r="G383" s="577">
        <v>17325</v>
      </c>
      <c r="H383" s="577">
        <v>17325</v>
      </c>
      <c r="I383" s="577">
        <v>17845</v>
      </c>
      <c r="J383" s="577">
        <f t="shared" si="105"/>
        <v>18254</v>
      </c>
      <c r="K383" s="577">
        <f t="shared" si="106"/>
        <v>18551</v>
      </c>
      <c r="L383" s="577">
        <f t="shared" si="107"/>
        <v>18551</v>
      </c>
      <c r="M383" s="577">
        <f t="shared" si="108"/>
        <v>18551</v>
      </c>
      <c r="N383" s="564">
        <v>18551</v>
      </c>
      <c r="O383" s="577">
        <v>18551</v>
      </c>
      <c r="P383" s="577" t="s">
        <v>1166</v>
      </c>
      <c r="Q383" s="577" t="s">
        <v>1166</v>
      </c>
      <c r="R383" s="1604">
        <f t="shared" si="87"/>
        <v>18551</v>
      </c>
    </row>
    <row r="384" spans="1:18" x14ac:dyDescent="0.2">
      <c r="A384" s="261">
        <f t="shared" si="86"/>
        <v>5</v>
      </c>
      <c r="B384" s="422" t="str">
        <f>INDEX('LA List'!B:B,MATCH('EZ list'!D384,'LA List'!A:A,0))</f>
        <v>E3401</v>
      </c>
      <c r="C384" s="422" t="str">
        <f t="shared" si="109"/>
        <v>E3401EZ5</v>
      </c>
      <c r="D384" s="261" t="s">
        <v>369</v>
      </c>
      <c r="E384" s="261" t="s">
        <v>1121</v>
      </c>
      <c r="F384" s="261">
        <v>2016</v>
      </c>
      <c r="G384" s="577">
        <v>33391</v>
      </c>
      <c r="H384" s="577">
        <v>33391</v>
      </c>
      <c r="I384" s="577">
        <v>34394</v>
      </c>
      <c r="J384" s="577">
        <f t="shared" si="105"/>
        <v>35182</v>
      </c>
      <c r="K384" s="577">
        <f t="shared" si="106"/>
        <v>35755</v>
      </c>
      <c r="L384" s="577">
        <f t="shared" si="107"/>
        <v>35755</v>
      </c>
      <c r="M384" s="577">
        <f t="shared" si="108"/>
        <v>35755</v>
      </c>
      <c r="N384" s="564">
        <v>35755</v>
      </c>
      <c r="O384" s="577">
        <v>35755</v>
      </c>
      <c r="P384" s="577" t="s">
        <v>1166</v>
      </c>
      <c r="Q384" s="577" t="s">
        <v>1166</v>
      </c>
      <c r="R384" s="1604">
        <f t="shared" si="87"/>
        <v>35755</v>
      </c>
    </row>
    <row r="385" spans="1:18" x14ac:dyDescent="0.2">
      <c r="A385" s="261">
        <f t="shared" si="86"/>
        <v>1</v>
      </c>
      <c r="B385" s="422" t="str">
        <f>INDEX('LA List'!B:B,MATCH('EZ list'!D385,'LA List'!A:A,0))</f>
        <v>E3734</v>
      </c>
      <c r="C385" s="422" t="str">
        <f t="shared" ref="C385" si="110">CONCATENATE(B385,"EZ",A385)</f>
        <v>E3734EZ1</v>
      </c>
      <c r="D385" s="261" t="s">
        <v>371</v>
      </c>
      <c r="E385" s="261" t="s">
        <v>1166</v>
      </c>
      <c r="F385" s="261" t="s">
        <v>1166</v>
      </c>
      <c r="G385" s="577" t="s">
        <v>1166</v>
      </c>
      <c r="H385" s="577" t="s">
        <v>1166</v>
      </c>
      <c r="I385" s="577" t="s">
        <v>1166</v>
      </c>
      <c r="J385" s="577" t="str">
        <f t="shared" si="105"/>
        <v/>
      </c>
      <c r="K385" s="577" t="str">
        <f t="shared" si="106"/>
        <v/>
      </c>
      <c r="L385" s="577" t="str">
        <f t="shared" si="107"/>
        <v/>
      </c>
      <c r="M385" s="577" t="str">
        <f t="shared" si="108"/>
        <v/>
      </c>
      <c r="N385" s="564" t="s">
        <v>1166</v>
      </c>
      <c r="O385" s="577" t="s">
        <v>1166</v>
      </c>
      <c r="P385" s="577" t="s">
        <v>1166</v>
      </c>
      <c r="Q385" s="577" t="s">
        <v>1166</v>
      </c>
      <c r="R385" s="1604" t="str">
        <f t="shared" si="87"/>
        <v/>
      </c>
    </row>
    <row r="386" spans="1:18" x14ac:dyDescent="0.2">
      <c r="A386" s="261">
        <f t="shared" si="86"/>
        <v>1</v>
      </c>
      <c r="B386" s="422" t="str">
        <f>INDEX('LA List'!B:B,MATCH('EZ list'!D386,'LA List'!A:A,0))</f>
        <v>E1635</v>
      </c>
      <c r="C386" s="422" t="str">
        <f t="shared" si="109"/>
        <v>E1635EZ1</v>
      </c>
      <c r="D386" s="261" t="s">
        <v>373</v>
      </c>
      <c r="E386" s="261" t="s">
        <v>1166</v>
      </c>
      <c r="F386" s="261" t="s">
        <v>1166</v>
      </c>
      <c r="G386" s="577" t="s">
        <v>1166</v>
      </c>
      <c r="H386" s="577" t="s">
        <v>1166</v>
      </c>
      <c r="I386" s="577" t="s">
        <v>1166</v>
      </c>
      <c r="J386" s="577" t="str">
        <f t="shared" si="105"/>
        <v/>
      </c>
      <c r="K386" s="577" t="str">
        <f t="shared" si="106"/>
        <v/>
      </c>
      <c r="L386" s="577" t="str">
        <f t="shared" si="107"/>
        <v/>
      </c>
      <c r="M386" s="577" t="str">
        <f t="shared" si="108"/>
        <v/>
      </c>
      <c r="N386" s="564" t="s">
        <v>1166</v>
      </c>
      <c r="O386" s="577" t="s">
        <v>1166</v>
      </c>
      <c r="P386" s="577" t="s">
        <v>1166</v>
      </c>
      <c r="Q386" s="577" t="s">
        <v>1166</v>
      </c>
      <c r="R386" s="1604" t="str">
        <f t="shared" si="87"/>
        <v/>
      </c>
    </row>
    <row r="387" spans="1:18" x14ac:dyDescent="0.2">
      <c r="A387" s="261">
        <f t="shared" si="86"/>
        <v>1</v>
      </c>
      <c r="B387" s="422" t="str">
        <f>INDEX('LA List'!B:B,MATCH('EZ list'!D387,'LA List'!A:A,0))</f>
        <v>E4505</v>
      </c>
      <c r="C387" s="422" t="str">
        <f t="shared" si="109"/>
        <v>E4505EZ1</v>
      </c>
      <c r="D387" s="261" t="s">
        <v>375</v>
      </c>
      <c r="E387" s="261" t="s">
        <v>857</v>
      </c>
      <c r="F387" s="261">
        <v>2013</v>
      </c>
      <c r="G387" s="577">
        <v>134776</v>
      </c>
      <c r="H387" s="577">
        <v>134776</v>
      </c>
      <c r="I387" s="577">
        <v>138825</v>
      </c>
      <c r="J387" s="577">
        <f>IF(I387="","",ROUND(I387*$J$1,0))</f>
        <v>142006</v>
      </c>
      <c r="K387" s="577">
        <f>IF(J387="","",ROUND(J387*$K$1,0))</f>
        <v>144320</v>
      </c>
      <c r="L387" s="577">
        <f>IF(K387="","",ROUND(K387*$L$1,0))</f>
        <v>144320</v>
      </c>
      <c r="M387" s="577">
        <f>IF(L387="","",ROUND(L387*$M$1,0))</f>
        <v>144320</v>
      </c>
      <c r="N387" s="564">
        <v>126508</v>
      </c>
      <c r="O387" s="577">
        <v>126508</v>
      </c>
      <c r="P387" s="577" t="s">
        <v>1166</v>
      </c>
      <c r="Q387" s="577" t="s">
        <v>1166</v>
      </c>
      <c r="R387" s="1604">
        <f t="shared" si="87"/>
        <v>126508</v>
      </c>
    </row>
    <row r="388" spans="1:18" x14ac:dyDescent="0.2">
      <c r="A388" s="261">
        <f t="shared" si="86"/>
        <v>2</v>
      </c>
      <c r="B388" s="422" t="str">
        <f>INDEX('LA List'!B:B,MATCH('EZ list'!D388,'LA List'!A:A,0))</f>
        <v>E4505</v>
      </c>
      <c r="C388" s="422" t="str">
        <f t="shared" si="109"/>
        <v>E4505EZ2</v>
      </c>
      <c r="D388" s="261" t="s">
        <v>375</v>
      </c>
      <c r="E388" s="261" t="s">
        <v>1122</v>
      </c>
      <c r="F388" s="261">
        <v>2017</v>
      </c>
      <c r="G388" s="577">
        <v>0</v>
      </c>
      <c r="H388" s="577">
        <v>0</v>
      </c>
      <c r="I388" s="577">
        <v>0</v>
      </c>
      <c r="J388" s="577">
        <f>IF(I388="","",ROUND(I388*$J$1,0))</f>
        <v>0</v>
      </c>
      <c r="K388" s="577">
        <f>IF(J388="","",ROUND(J388*$K$1,0))</f>
        <v>0</v>
      </c>
      <c r="L388" s="577">
        <f>IF(K388="","",ROUND(K388*$L$1,0))</f>
        <v>0</v>
      </c>
      <c r="M388" s="577">
        <f>IF(L388="","",ROUND(L388*$M$1,0))</f>
        <v>0</v>
      </c>
      <c r="N388" s="564">
        <v>0</v>
      </c>
      <c r="O388" s="577">
        <v>0</v>
      </c>
      <c r="P388" s="577" t="s">
        <v>1166</v>
      </c>
      <c r="Q388" s="577" t="s">
        <v>1166</v>
      </c>
      <c r="R388" s="1604">
        <f t="shared" si="87"/>
        <v>0</v>
      </c>
    </row>
    <row r="389" spans="1:18" x14ac:dyDescent="0.2">
      <c r="A389" s="261">
        <f t="shared" ref="A389:A452" si="111">IF(D389=D388,A388+1,1)</f>
        <v>3</v>
      </c>
      <c r="B389" s="422" t="str">
        <f>INDEX('LA List'!B:B,MATCH('EZ list'!D389,'LA List'!A:A,0))</f>
        <v>E4505</v>
      </c>
      <c r="C389" s="422" t="str">
        <f t="shared" si="109"/>
        <v>E4505EZ3</v>
      </c>
      <c r="D389" s="261" t="s">
        <v>375</v>
      </c>
      <c r="E389" s="509" t="s">
        <v>1162</v>
      </c>
      <c r="F389" s="509">
        <v>2018</v>
      </c>
      <c r="G389" s="577">
        <v>0</v>
      </c>
      <c r="H389" s="577">
        <v>0</v>
      </c>
      <c r="I389" s="577">
        <v>0</v>
      </c>
      <c r="J389" s="577">
        <f>IF(I389="","",ROUND(I389*$J$1,0))</f>
        <v>0</v>
      </c>
      <c r="K389" s="577">
        <f>IF(J389="","",ROUND(J389*$K$1,0))</f>
        <v>0</v>
      </c>
      <c r="L389" s="577">
        <f>IF(K389="","",ROUND(K389*$L$1,0))</f>
        <v>0</v>
      </c>
      <c r="M389" s="577">
        <f>IF(L389="","",ROUND(L389*$M$1,0))</f>
        <v>0</v>
      </c>
      <c r="N389" s="564">
        <v>0</v>
      </c>
      <c r="O389" s="577">
        <v>0</v>
      </c>
      <c r="P389" s="577" t="s">
        <v>1166</v>
      </c>
      <c r="Q389" s="577" t="s">
        <v>1166</v>
      </c>
      <c r="R389" s="1604">
        <f t="shared" si="87"/>
        <v>0</v>
      </c>
    </row>
    <row r="390" spans="1:18" x14ac:dyDescent="0.2">
      <c r="A390" s="261">
        <f t="shared" si="111"/>
        <v>4</v>
      </c>
      <c r="B390" s="422" t="str">
        <f>INDEX('LA List'!B:B,MATCH('EZ list'!D390,'LA List'!A:A,0))</f>
        <v>E4505</v>
      </c>
      <c r="C390" s="422" t="str">
        <f t="shared" si="109"/>
        <v>E4505EZ4</v>
      </c>
      <c r="D390" s="261" t="s">
        <v>375</v>
      </c>
      <c r="E390" s="509" t="s">
        <v>5842</v>
      </c>
      <c r="F390" s="509">
        <v>2024</v>
      </c>
      <c r="G390" s="577"/>
      <c r="H390" s="577"/>
      <c r="I390" s="577"/>
      <c r="J390" s="577"/>
      <c r="K390" s="577"/>
      <c r="L390" s="577"/>
      <c r="M390" s="577"/>
      <c r="N390" s="564"/>
      <c r="O390" s="577">
        <v>998</v>
      </c>
      <c r="P390" s="577">
        <v>998</v>
      </c>
      <c r="Q390" s="577">
        <v>0</v>
      </c>
      <c r="R390" s="1604">
        <f t="shared" si="87"/>
        <v>998</v>
      </c>
    </row>
    <row r="391" spans="1:18" x14ac:dyDescent="0.2">
      <c r="A391" s="261">
        <f t="shared" si="111"/>
        <v>5</v>
      </c>
      <c r="B391" s="422" t="str">
        <f>INDEX('LA List'!B:B,MATCH('EZ list'!D391,'LA List'!A:A,0))</f>
        <v>E4505</v>
      </c>
      <c r="C391" s="422" t="str">
        <f t="shared" si="109"/>
        <v>E4505EZ5</v>
      </c>
      <c r="D391" s="261" t="s">
        <v>375</v>
      </c>
      <c r="E391" s="509" t="s">
        <v>5846</v>
      </c>
      <c r="F391" s="509">
        <v>2025</v>
      </c>
      <c r="G391" s="577"/>
      <c r="H391" s="577"/>
      <c r="I391" s="577"/>
      <c r="J391" s="577"/>
      <c r="K391" s="577"/>
      <c r="L391" s="577"/>
      <c r="M391" s="577"/>
      <c r="N391" s="564"/>
      <c r="O391" s="577"/>
      <c r="P391" s="577">
        <v>49338</v>
      </c>
      <c r="Q391" s="577">
        <v>31741</v>
      </c>
      <c r="R391" s="1604">
        <f t="shared" ref="R391:R454" si="112">IF($F391 = "","",
IF($F391&lt;2024,O391*$P$1,
IF($F391&gt;=2024,+P391+Q391)))</f>
        <v>81079</v>
      </c>
    </row>
    <row r="392" spans="1:18" x14ac:dyDescent="0.2">
      <c r="A392" s="261">
        <f t="shared" si="111"/>
        <v>1</v>
      </c>
      <c r="B392" s="422" t="str">
        <f>INDEX('LA List'!B:B,MATCH('EZ list'!D392,'LA List'!A:A,0))</f>
        <v>E3638</v>
      </c>
      <c r="C392" s="422" t="str">
        <f t="shared" si="109"/>
        <v>E3638EZ1</v>
      </c>
      <c r="D392" s="261" t="s">
        <v>377</v>
      </c>
      <c r="E392" s="261" t="s">
        <v>1166</v>
      </c>
      <c r="F392" s="261" t="s">
        <v>1166</v>
      </c>
      <c r="G392" s="577" t="s">
        <v>1166</v>
      </c>
      <c r="H392" s="577" t="s">
        <v>1166</v>
      </c>
      <c r="I392" s="577" t="s">
        <v>1166</v>
      </c>
      <c r="J392" s="577" t="str">
        <f t="shared" ref="J392:J400" si="113">IF(I392="","",ROUND(I392*$J$1,0))</f>
        <v/>
      </c>
      <c r="K392" s="577" t="str">
        <f t="shared" ref="K392:K400" si="114">IF(J392="","",ROUND(J392*$K$1,0))</f>
        <v/>
      </c>
      <c r="L392" s="577" t="str">
        <f t="shared" ref="L392:L400" si="115">IF(K392="","",ROUND(K392*$L$1,0))</f>
        <v/>
      </c>
      <c r="M392" s="577" t="str">
        <f t="shared" ref="M392:M400" si="116">IF(L392="","",ROUND(L392*$M$1,0))</f>
        <v/>
      </c>
      <c r="N392" s="564" t="s">
        <v>1166</v>
      </c>
      <c r="O392" s="577" t="s">
        <v>1166</v>
      </c>
      <c r="P392" s="577" t="s">
        <v>1166</v>
      </c>
      <c r="Q392" s="577" t="s">
        <v>1166</v>
      </c>
      <c r="R392" s="1604" t="str">
        <f t="shared" si="112"/>
        <v/>
      </c>
    </row>
    <row r="393" spans="1:18" x14ac:dyDescent="0.2">
      <c r="A393" s="261">
        <f t="shared" si="111"/>
        <v>1</v>
      </c>
      <c r="B393" s="422" t="str">
        <f>INDEX('LA List'!B:B,MATCH('EZ list'!D393,'LA List'!A:A,0))</f>
        <v>E5048</v>
      </c>
      <c r="C393" s="422" t="str">
        <f t="shared" si="109"/>
        <v>E5048EZ1</v>
      </c>
      <c r="D393" s="261" t="s">
        <v>379</v>
      </c>
      <c r="E393" s="261" t="s">
        <v>1166</v>
      </c>
      <c r="F393" s="261" t="s">
        <v>1166</v>
      </c>
      <c r="G393" s="577" t="s">
        <v>1166</v>
      </c>
      <c r="H393" s="577" t="s">
        <v>1166</v>
      </c>
      <c r="I393" s="577" t="s">
        <v>1166</v>
      </c>
      <c r="J393" s="577" t="str">
        <f t="shared" si="113"/>
        <v/>
      </c>
      <c r="K393" s="577" t="str">
        <f t="shared" si="114"/>
        <v/>
      </c>
      <c r="L393" s="577" t="str">
        <f t="shared" si="115"/>
        <v/>
      </c>
      <c r="M393" s="577" t="str">
        <f t="shared" si="116"/>
        <v/>
      </c>
      <c r="N393" s="564" t="s">
        <v>1166</v>
      </c>
      <c r="O393" s="577" t="s">
        <v>1166</v>
      </c>
      <c r="P393" s="577" t="s">
        <v>1166</v>
      </c>
      <c r="Q393" s="577" t="s">
        <v>1166</v>
      </c>
      <c r="R393" s="1604" t="str">
        <f t="shared" si="112"/>
        <v/>
      </c>
    </row>
    <row r="394" spans="1:18" x14ac:dyDescent="0.2">
      <c r="A394" s="261">
        <f t="shared" si="111"/>
        <v>1</v>
      </c>
      <c r="B394" s="422" t="str">
        <f>INDEX('LA List'!B:B,MATCH('EZ list'!D394,'LA List'!A:A,0))</f>
        <v>E2241</v>
      </c>
      <c r="C394" s="422" t="str">
        <f t="shared" si="109"/>
        <v>E2241EZ1</v>
      </c>
      <c r="D394" s="261" t="s">
        <v>381</v>
      </c>
      <c r="E394" s="261" t="s">
        <v>1166</v>
      </c>
      <c r="F394" s="261" t="s">
        <v>1166</v>
      </c>
      <c r="G394" s="577" t="s">
        <v>1166</v>
      </c>
      <c r="H394" s="577" t="s">
        <v>1166</v>
      </c>
      <c r="I394" s="577" t="s">
        <v>1166</v>
      </c>
      <c r="J394" s="577" t="str">
        <f t="shared" si="113"/>
        <v/>
      </c>
      <c r="K394" s="577" t="str">
        <f t="shared" si="114"/>
        <v/>
      </c>
      <c r="L394" s="577" t="str">
        <f t="shared" si="115"/>
        <v/>
      </c>
      <c r="M394" s="577" t="str">
        <f t="shared" si="116"/>
        <v/>
      </c>
      <c r="N394" s="564" t="s">
        <v>1166</v>
      </c>
      <c r="O394" s="577" t="s">
        <v>1166</v>
      </c>
      <c r="P394" s="577" t="s">
        <v>1166</v>
      </c>
      <c r="Q394" s="577" t="s">
        <v>1166</v>
      </c>
      <c r="R394" s="1604" t="str">
        <f t="shared" si="112"/>
        <v/>
      </c>
    </row>
    <row r="395" spans="1:18" x14ac:dyDescent="0.2">
      <c r="A395" s="261">
        <f t="shared" si="111"/>
        <v>1</v>
      </c>
      <c r="B395" s="422" t="str">
        <f>INDEX('LA List'!B:B,MATCH('EZ list'!D395,'LA List'!A:A,0))</f>
        <v>E3901</v>
      </c>
      <c r="C395" s="422" t="str">
        <f t="shared" si="109"/>
        <v>E3901EZ1</v>
      </c>
      <c r="D395" s="261" t="s">
        <v>383</v>
      </c>
      <c r="E395" s="261" t="s">
        <v>1166</v>
      </c>
      <c r="F395" s="261" t="s">
        <v>1166</v>
      </c>
      <c r="G395" s="577" t="s">
        <v>1166</v>
      </c>
      <c r="H395" s="577" t="s">
        <v>1166</v>
      </c>
      <c r="I395" s="577" t="s">
        <v>1166</v>
      </c>
      <c r="J395" s="577" t="str">
        <f t="shared" si="113"/>
        <v/>
      </c>
      <c r="K395" s="577" t="str">
        <f t="shared" si="114"/>
        <v/>
      </c>
      <c r="L395" s="577" t="str">
        <f t="shared" si="115"/>
        <v/>
      </c>
      <c r="M395" s="577" t="str">
        <f t="shared" si="116"/>
        <v/>
      </c>
      <c r="N395" s="564" t="s">
        <v>1166</v>
      </c>
      <c r="O395" s="577" t="s">
        <v>1166</v>
      </c>
      <c r="P395" s="577" t="s">
        <v>1166</v>
      </c>
      <c r="Q395" s="577" t="s">
        <v>1166</v>
      </c>
      <c r="R395" s="1604" t="str">
        <f t="shared" si="112"/>
        <v/>
      </c>
    </row>
    <row r="396" spans="1:18" x14ac:dyDescent="0.2">
      <c r="A396" s="261">
        <f t="shared" si="111"/>
        <v>1</v>
      </c>
      <c r="B396" s="422" t="str">
        <f>INDEX('LA List'!B:B,MATCH('EZ list'!D396,'LA List'!A:A,0))</f>
        <v>E4208</v>
      </c>
      <c r="C396" s="422" t="str">
        <f t="shared" si="109"/>
        <v>E4208EZ1</v>
      </c>
      <c r="D396" s="261" t="s">
        <v>385</v>
      </c>
      <c r="E396" s="261" t="s">
        <v>1166</v>
      </c>
      <c r="F396" s="261" t="s">
        <v>1166</v>
      </c>
      <c r="G396" s="577" t="s">
        <v>1166</v>
      </c>
      <c r="H396" s="577" t="s">
        <v>1166</v>
      </c>
      <c r="I396" s="577" t="s">
        <v>1166</v>
      </c>
      <c r="J396" s="577" t="str">
        <f t="shared" si="113"/>
        <v/>
      </c>
      <c r="K396" s="577" t="str">
        <f t="shared" si="114"/>
        <v/>
      </c>
      <c r="L396" s="577" t="str">
        <f t="shared" si="115"/>
        <v/>
      </c>
      <c r="M396" s="577" t="str">
        <f t="shared" si="116"/>
        <v/>
      </c>
      <c r="N396" s="564" t="s">
        <v>1166</v>
      </c>
      <c r="O396" s="577" t="s">
        <v>1166</v>
      </c>
      <c r="P396" s="577" t="s">
        <v>1166</v>
      </c>
      <c r="Q396" s="577" t="s">
        <v>1166</v>
      </c>
      <c r="R396" s="1604" t="str">
        <f t="shared" si="112"/>
        <v/>
      </c>
    </row>
    <row r="397" spans="1:18" x14ac:dyDescent="0.2">
      <c r="A397" s="261">
        <f t="shared" si="111"/>
        <v>1</v>
      </c>
      <c r="B397" s="422" t="str">
        <f>INDEX('LA List'!B:B,MATCH('EZ list'!D397,'LA List'!A:A,0))</f>
        <v>E3439</v>
      </c>
      <c r="C397" s="422" t="str">
        <f t="shared" si="109"/>
        <v>E3439EZ1</v>
      </c>
      <c r="D397" s="261" t="s">
        <v>387</v>
      </c>
      <c r="E397" s="261" t="s">
        <v>1166</v>
      </c>
      <c r="F397" s="261" t="s">
        <v>1166</v>
      </c>
      <c r="G397" s="577" t="s">
        <v>1166</v>
      </c>
      <c r="H397" s="577" t="s">
        <v>1166</v>
      </c>
      <c r="I397" s="577" t="s">
        <v>1166</v>
      </c>
      <c r="J397" s="577" t="str">
        <f t="shared" si="113"/>
        <v/>
      </c>
      <c r="K397" s="577" t="str">
        <f t="shared" si="114"/>
        <v/>
      </c>
      <c r="L397" s="577" t="str">
        <f t="shared" si="115"/>
        <v/>
      </c>
      <c r="M397" s="577" t="str">
        <f t="shared" si="116"/>
        <v/>
      </c>
      <c r="N397" s="564" t="s">
        <v>1166</v>
      </c>
      <c r="O397" s="577" t="s">
        <v>1166</v>
      </c>
      <c r="P397" s="577" t="s">
        <v>1166</v>
      </c>
      <c r="Q397" s="577" t="s">
        <v>1166</v>
      </c>
      <c r="R397" s="1604" t="str">
        <f t="shared" si="112"/>
        <v/>
      </c>
    </row>
    <row r="398" spans="1:18" x14ac:dyDescent="0.2">
      <c r="A398" s="261">
        <f t="shared" si="111"/>
        <v>1</v>
      </c>
      <c r="B398" s="422" t="str">
        <f>INDEX('LA List'!B:B,MATCH('EZ list'!D398,'LA List'!A:A,0))</f>
        <v>E3639</v>
      </c>
      <c r="C398" s="422" t="str">
        <f t="shared" si="109"/>
        <v>E3639EZ1</v>
      </c>
      <c r="D398" s="261" t="s">
        <v>389</v>
      </c>
      <c r="E398" s="261" t="s">
        <v>1166</v>
      </c>
      <c r="F398" s="261" t="s">
        <v>1166</v>
      </c>
      <c r="G398" s="577" t="s">
        <v>1166</v>
      </c>
      <c r="H398" s="577" t="s">
        <v>1166</v>
      </c>
      <c r="I398" s="577" t="s">
        <v>1166</v>
      </c>
      <c r="J398" s="577" t="str">
        <f t="shared" si="113"/>
        <v/>
      </c>
      <c r="K398" s="577" t="str">
        <f t="shared" si="114"/>
        <v/>
      </c>
      <c r="L398" s="577" t="str">
        <f t="shared" si="115"/>
        <v/>
      </c>
      <c r="M398" s="577" t="str">
        <f t="shared" si="116"/>
        <v/>
      </c>
      <c r="N398" s="564" t="s">
        <v>1166</v>
      </c>
      <c r="O398" s="577" t="s">
        <v>1166</v>
      </c>
      <c r="P398" s="577" t="s">
        <v>1166</v>
      </c>
      <c r="Q398" s="577" t="s">
        <v>1166</v>
      </c>
      <c r="R398" s="1604" t="str">
        <f t="shared" si="112"/>
        <v/>
      </c>
    </row>
    <row r="399" spans="1:18" x14ac:dyDescent="0.2">
      <c r="A399" s="261">
        <f t="shared" si="111"/>
        <v>1</v>
      </c>
      <c r="B399" s="422" t="str">
        <f>INDEX('LA List'!B:B,MATCH('EZ list'!D399,'LA List'!A:A,0))</f>
        <v>E1137</v>
      </c>
      <c r="C399" s="422" t="str">
        <f t="shared" si="109"/>
        <v>E1137EZ1</v>
      </c>
      <c r="D399" s="261" t="s">
        <v>391</v>
      </c>
      <c r="E399" s="261" t="s">
        <v>1166</v>
      </c>
      <c r="F399" s="261" t="s">
        <v>1166</v>
      </c>
      <c r="G399" s="577" t="s">
        <v>1166</v>
      </c>
      <c r="H399" s="577" t="s">
        <v>1166</v>
      </c>
      <c r="I399" s="577" t="s">
        <v>1166</v>
      </c>
      <c r="J399" s="577" t="str">
        <f t="shared" si="113"/>
        <v/>
      </c>
      <c r="K399" s="577" t="str">
        <f t="shared" si="114"/>
        <v/>
      </c>
      <c r="L399" s="577" t="str">
        <f t="shared" si="115"/>
        <v/>
      </c>
      <c r="M399" s="577" t="str">
        <f t="shared" si="116"/>
        <v/>
      </c>
      <c r="N399" s="564" t="s">
        <v>1166</v>
      </c>
      <c r="O399" s="577" t="s">
        <v>1166</v>
      </c>
      <c r="P399" s="577" t="s">
        <v>1166</v>
      </c>
      <c r="Q399" s="577" t="s">
        <v>1166</v>
      </c>
      <c r="R399" s="1604" t="str">
        <f t="shared" si="112"/>
        <v/>
      </c>
    </row>
    <row r="400" spans="1:18" x14ac:dyDescent="0.2">
      <c r="A400" s="261">
        <f t="shared" si="111"/>
        <v>1</v>
      </c>
      <c r="B400" s="422" t="str">
        <f>INDEX('LA List'!B:B,MATCH('EZ list'!D400,'LA List'!A:A,0))</f>
        <v>E3201</v>
      </c>
      <c r="C400" s="422" t="str">
        <f t="shared" ref="C400:C401" si="117">CONCATENATE(B400,"EZ",A400)</f>
        <v>E3201EZ1</v>
      </c>
      <c r="D400" s="261" t="s">
        <v>393</v>
      </c>
      <c r="E400" s="261" t="s">
        <v>1166</v>
      </c>
      <c r="F400" s="261" t="s">
        <v>1166</v>
      </c>
      <c r="G400" s="577" t="s">
        <v>1166</v>
      </c>
      <c r="H400" s="577" t="s">
        <v>1166</v>
      </c>
      <c r="I400" s="577" t="s">
        <v>1166</v>
      </c>
      <c r="J400" s="577" t="str">
        <f t="shared" si="113"/>
        <v/>
      </c>
      <c r="K400" s="577" t="str">
        <f t="shared" si="114"/>
        <v/>
      </c>
      <c r="L400" s="577" t="str">
        <f t="shared" si="115"/>
        <v/>
      </c>
      <c r="M400" s="577" t="str">
        <f t="shared" si="116"/>
        <v/>
      </c>
      <c r="N400" s="564" t="s">
        <v>1166</v>
      </c>
      <c r="O400" s="577" t="s">
        <v>1166</v>
      </c>
      <c r="P400" s="577" t="s">
        <v>1166</v>
      </c>
      <c r="Q400" s="577" t="s">
        <v>1166</v>
      </c>
      <c r="R400" s="1604" t="str">
        <f t="shared" si="112"/>
        <v/>
      </c>
    </row>
    <row r="401" spans="1:18" x14ac:dyDescent="0.2">
      <c r="A401" s="261">
        <f t="shared" si="111"/>
        <v>1</v>
      </c>
      <c r="B401" s="422" t="str">
        <f>INDEX('LA List'!B:B,MATCH('EZ list'!D401,'LA List'!A:A,0))</f>
        <v>E1542</v>
      </c>
      <c r="C401" s="422" t="str">
        <f t="shared" si="117"/>
        <v>E1542EZ1</v>
      </c>
      <c r="D401" s="261" t="s">
        <v>395</v>
      </c>
      <c r="E401" s="509" t="s">
        <v>5847</v>
      </c>
      <c r="F401" s="509">
        <v>2023</v>
      </c>
      <c r="G401" s="577">
        <v>0</v>
      </c>
      <c r="H401" s="577">
        <v>0</v>
      </c>
      <c r="I401" s="577">
        <v>0</v>
      </c>
      <c r="J401" s="577">
        <v>0</v>
      </c>
      <c r="K401" s="577">
        <v>0</v>
      </c>
      <c r="L401" s="577">
        <v>0</v>
      </c>
      <c r="M401" s="577">
        <v>0</v>
      </c>
      <c r="N401" s="564">
        <v>841447</v>
      </c>
      <c r="O401" s="577">
        <v>841447</v>
      </c>
      <c r="P401" s="577" t="s">
        <v>1166</v>
      </c>
      <c r="Q401" s="577" t="s">
        <v>1166</v>
      </c>
      <c r="R401" s="1604">
        <f t="shared" si="112"/>
        <v>841447</v>
      </c>
    </row>
    <row r="402" spans="1:18" x14ac:dyDescent="0.2">
      <c r="A402" s="261">
        <f t="shared" si="111"/>
        <v>1</v>
      </c>
      <c r="B402" s="422" t="str">
        <f>INDEX('LA List'!B:B,MATCH('EZ list'!D402,'LA List'!A:A,0))</f>
        <v>E1742</v>
      </c>
      <c r="C402" s="422" t="str">
        <f t="shared" si="109"/>
        <v>E1742EZ1</v>
      </c>
      <c r="D402" s="261" t="s">
        <v>397</v>
      </c>
      <c r="E402" s="261" t="s">
        <v>1166</v>
      </c>
      <c r="F402" s="261" t="s">
        <v>1166</v>
      </c>
      <c r="G402" s="577" t="s">
        <v>1166</v>
      </c>
      <c r="H402" s="577" t="s">
        <v>1166</v>
      </c>
      <c r="I402" s="577" t="s">
        <v>1166</v>
      </c>
      <c r="J402" s="577" t="str">
        <f>IF(I402="","",ROUND(I402*$J$1,0))</f>
        <v/>
      </c>
      <c r="K402" s="577" t="str">
        <f>IF(J402="","",ROUND(J402*$K$1,0))</f>
        <v/>
      </c>
      <c r="L402" s="577" t="str">
        <f>IF(K402="","",ROUND(K402*$L$1,0))</f>
        <v/>
      </c>
      <c r="M402" s="577" t="str">
        <f>IF(L402="","",ROUND(L402*$M$1,0))</f>
        <v/>
      </c>
      <c r="N402" s="564" t="s">
        <v>1166</v>
      </c>
      <c r="O402" s="577" t="s">
        <v>1166</v>
      </c>
      <c r="P402" s="577" t="s">
        <v>1166</v>
      </c>
      <c r="Q402" s="577" t="s">
        <v>1166</v>
      </c>
      <c r="R402" s="1604" t="str">
        <f t="shared" si="112"/>
        <v/>
      </c>
    </row>
    <row r="403" spans="1:18" x14ac:dyDescent="0.2">
      <c r="A403" s="261">
        <f t="shared" si="111"/>
        <v>1</v>
      </c>
      <c r="B403" s="422" t="str">
        <f>INDEX('LA List'!B:B,MATCH('EZ list'!D403,'LA List'!A:A,0))</f>
        <v>E1636</v>
      </c>
      <c r="C403" s="422" t="str">
        <f t="shared" si="109"/>
        <v>E1636EZ1</v>
      </c>
      <c r="D403" s="261" t="s">
        <v>399</v>
      </c>
      <c r="E403" s="261" t="s">
        <v>1166</v>
      </c>
      <c r="F403" s="261" t="s">
        <v>1166</v>
      </c>
      <c r="G403" s="577" t="s">
        <v>1166</v>
      </c>
      <c r="H403" s="577" t="s">
        <v>1166</v>
      </c>
      <c r="I403" s="577" t="s">
        <v>1166</v>
      </c>
      <c r="J403" s="577" t="str">
        <f>IF(I403="","",ROUND(I403*$J$1,0))</f>
        <v/>
      </c>
      <c r="K403" s="577" t="str">
        <f>IF(J403="","",ROUND(J403*$K$1,0))</f>
        <v/>
      </c>
      <c r="L403" s="577" t="str">
        <f>IF(K403="","",ROUND(K403*$L$1,0))</f>
        <v/>
      </c>
      <c r="M403" s="577" t="str">
        <f>IF(L403="","",ROUND(L403*$M$1,0))</f>
        <v/>
      </c>
      <c r="N403" s="564" t="s">
        <v>1166</v>
      </c>
      <c r="O403" s="577" t="s">
        <v>1166</v>
      </c>
      <c r="P403" s="577" t="s">
        <v>1166</v>
      </c>
      <c r="Q403" s="577" t="s">
        <v>1166</v>
      </c>
      <c r="R403" s="1604" t="str">
        <f t="shared" si="112"/>
        <v/>
      </c>
    </row>
    <row r="404" spans="1:18" x14ac:dyDescent="0.2">
      <c r="A404" s="261">
        <f t="shared" si="111"/>
        <v>1</v>
      </c>
      <c r="B404" s="422" t="str">
        <f>INDEX('LA List'!B:B,MATCH('EZ list'!D404,'LA List'!A:A,0))</f>
        <v>E2242</v>
      </c>
      <c r="C404" s="422" t="str">
        <f t="shared" si="109"/>
        <v>E2242EZ1</v>
      </c>
      <c r="D404" s="261" t="s">
        <v>401</v>
      </c>
      <c r="E404" s="261" t="s">
        <v>1166</v>
      </c>
      <c r="F404" s="261" t="s">
        <v>1166</v>
      </c>
      <c r="G404" s="577" t="s">
        <v>1166</v>
      </c>
      <c r="H404" s="577" t="s">
        <v>1166</v>
      </c>
      <c r="I404" s="577" t="s">
        <v>1166</v>
      </c>
      <c r="J404" s="577" t="str">
        <f>IF(I404="","",ROUND(I404*$J$1,0))</f>
        <v/>
      </c>
      <c r="K404" s="577" t="str">
        <f>IF(J404="","",ROUND(J404*$K$1,0))</f>
        <v/>
      </c>
      <c r="L404" s="577" t="str">
        <f>IF(K404="","",ROUND(K404*$L$1,0))</f>
        <v/>
      </c>
      <c r="M404" s="577" t="str">
        <f>IF(L404="","",ROUND(L404*$M$1,0))</f>
        <v/>
      </c>
      <c r="N404" s="564" t="s">
        <v>1166</v>
      </c>
      <c r="O404" s="577" t="s">
        <v>1166</v>
      </c>
      <c r="P404" s="577" t="s">
        <v>1166</v>
      </c>
      <c r="Q404" s="577" t="s">
        <v>1166</v>
      </c>
      <c r="R404" s="1604" t="str">
        <f t="shared" si="112"/>
        <v/>
      </c>
    </row>
    <row r="405" spans="1:18" x14ac:dyDescent="0.2">
      <c r="A405" s="261">
        <f t="shared" si="111"/>
        <v>1</v>
      </c>
      <c r="B405" s="422" t="str">
        <f>INDEX('LA List'!B:B,MATCH('EZ list'!D405,'LA List'!A:A,0))</f>
        <v>E1938</v>
      </c>
      <c r="C405" s="422" t="str">
        <f t="shared" si="109"/>
        <v>E1938EZ1</v>
      </c>
      <c r="D405" s="261" t="s">
        <v>403</v>
      </c>
      <c r="E405" s="261" t="s">
        <v>1166</v>
      </c>
      <c r="F405" s="261" t="s">
        <v>1166</v>
      </c>
      <c r="G405" s="577" t="s">
        <v>1166</v>
      </c>
      <c r="H405" s="577" t="s">
        <v>1166</v>
      </c>
      <c r="I405" s="577" t="s">
        <v>1166</v>
      </c>
      <c r="J405" s="577" t="str">
        <f>IF(I405="","",ROUND(I405*$J$1,0))</f>
        <v/>
      </c>
      <c r="K405" s="577" t="str">
        <f>IF(J405="","",ROUND(J405*$K$1,0))</f>
        <v/>
      </c>
      <c r="L405" s="577" t="str">
        <f>IF(K405="","",ROUND(K405*$L$1,0))</f>
        <v/>
      </c>
      <c r="M405" s="577" t="str">
        <f>IF(L405="","",ROUND(L405*$M$1,0))</f>
        <v/>
      </c>
      <c r="N405" s="564" t="s">
        <v>1166</v>
      </c>
      <c r="O405" s="577" t="s">
        <v>1166</v>
      </c>
      <c r="P405" s="577" t="s">
        <v>1166</v>
      </c>
      <c r="Q405" s="577" t="s">
        <v>1166</v>
      </c>
      <c r="R405" s="1604" t="str">
        <f t="shared" si="112"/>
        <v/>
      </c>
    </row>
    <row r="406" spans="1:18" x14ac:dyDescent="0.2">
      <c r="A406" s="261">
        <f t="shared" si="111"/>
        <v>1</v>
      </c>
      <c r="B406" s="422" t="str">
        <f>INDEX('LA List'!B:B,MATCH('EZ list'!D406,'LA List'!A:A,0))</f>
        <v>E1502</v>
      </c>
      <c r="C406" s="422" t="str">
        <f t="shared" si="109"/>
        <v>E1502EZ1</v>
      </c>
      <c r="D406" s="261" t="s">
        <v>405</v>
      </c>
      <c r="E406" s="509" t="s">
        <v>5848</v>
      </c>
      <c r="F406" s="509">
        <v>2024</v>
      </c>
      <c r="G406" s="577"/>
      <c r="H406" s="577"/>
      <c r="I406" s="577"/>
      <c r="J406" s="577"/>
      <c r="K406" s="577"/>
      <c r="L406" s="577"/>
      <c r="M406" s="577"/>
      <c r="N406" s="564"/>
      <c r="O406" s="577">
        <v>610266.8671875</v>
      </c>
      <c r="P406" s="577">
        <v>22227</v>
      </c>
      <c r="Q406" s="577">
        <v>597733</v>
      </c>
      <c r="R406" s="1604">
        <f t="shared" si="112"/>
        <v>619960</v>
      </c>
    </row>
    <row r="407" spans="1:18" x14ac:dyDescent="0.2">
      <c r="A407" s="261">
        <f t="shared" si="111"/>
        <v>2</v>
      </c>
      <c r="B407" s="422" t="str">
        <f>INDEX('LA List'!B:B,MATCH('EZ list'!D407,'LA List'!A:A,0))</f>
        <v>E1502</v>
      </c>
      <c r="C407" s="422" t="str">
        <f t="shared" ref="C407" si="118">CONCATENATE(B407,"EZ",A407)</f>
        <v>E1502EZ2</v>
      </c>
      <c r="D407" s="261" t="s">
        <v>405</v>
      </c>
      <c r="E407" s="509" t="s">
        <v>5849</v>
      </c>
      <c r="F407" s="509">
        <v>2024</v>
      </c>
      <c r="G407" s="577"/>
      <c r="H407" s="577"/>
      <c r="I407" s="577"/>
      <c r="J407" s="577"/>
      <c r="K407" s="577"/>
      <c r="L407" s="577"/>
      <c r="M407" s="577"/>
      <c r="N407" s="564"/>
      <c r="O407" s="577">
        <v>232985.20140526979</v>
      </c>
      <c r="P407" s="577">
        <v>0</v>
      </c>
      <c r="Q407" s="577">
        <v>236826</v>
      </c>
      <c r="R407" s="1604">
        <f t="shared" si="112"/>
        <v>236826</v>
      </c>
    </row>
    <row r="408" spans="1:18" x14ac:dyDescent="0.2">
      <c r="A408" s="261">
        <f t="shared" si="111"/>
        <v>1</v>
      </c>
      <c r="B408" s="422" t="str">
        <f>INDEX('LA List'!B:B,MATCH('EZ list'!D408,'LA List'!A:A,0))</f>
        <v>E2243</v>
      </c>
      <c r="C408" s="422" t="str">
        <f t="shared" si="109"/>
        <v>E2243EZ1</v>
      </c>
      <c r="D408" s="261" t="s">
        <v>407</v>
      </c>
      <c r="E408" s="261" t="s">
        <v>1078</v>
      </c>
      <c r="F408" s="261">
        <v>2017</v>
      </c>
      <c r="G408" s="577">
        <v>0</v>
      </c>
      <c r="H408" s="577">
        <v>0</v>
      </c>
      <c r="I408" s="577">
        <v>0</v>
      </c>
      <c r="J408" s="577">
        <f>IF(I408="","",ROUND(I408*$J$1,0))</f>
        <v>0</v>
      </c>
      <c r="K408" s="577">
        <f>IF(J408="","",ROUND(J408*$K$1,0))</f>
        <v>0</v>
      </c>
      <c r="L408" s="577">
        <f>IF(K408="","",ROUND(K408*$L$1,0))</f>
        <v>0</v>
      </c>
      <c r="M408" s="577">
        <f>IF(L408="","",ROUND(L408*$M$1,0))</f>
        <v>0</v>
      </c>
      <c r="N408" s="564">
        <v>0</v>
      </c>
      <c r="O408" s="577">
        <v>0</v>
      </c>
      <c r="P408" s="577" t="s">
        <v>1166</v>
      </c>
      <c r="Q408" s="577" t="s">
        <v>1166</v>
      </c>
      <c r="R408" s="1604">
        <f t="shared" si="112"/>
        <v>0</v>
      </c>
    </row>
    <row r="409" spans="1:18" x14ac:dyDescent="0.2">
      <c r="A409" s="261">
        <f t="shared" si="111"/>
        <v>1</v>
      </c>
      <c r="B409" s="422" t="str">
        <f>INDEX('LA List'!B:B,MATCH('EZ list'!D409,'LA List'!A:A,0))</f>
        <v>E1102</v>
      </c>
      <c r="C409" s="422" t="str">
        <f t="shared" si="109"/>
        <v>E1102EZ1</v>
      </c>
      <c r="D409" s="261" t="s">
        <v>409</v>
      </c>
      <c r="E409" s="261" t="s">
        <v>1166</v>
      </c>
      <c r="F409" s="261" t="s">
        <v>1166</v>
      </c>
      <c r="G409" s="577" t="s">
        <v>1166</v>
      </c>
      <c r="H409" s="577" t="s">
        <v>1166</v>
      </c>
      <c r="I409" s="577" t="s">
        <v>1166</v>
      </c>
      <c r="J409" s="577" t="str">
        <f>IF(I409="","",ROUND(I409*$J$1,0))</f>
        <v/>
      </c>
      <c r="K409" s="577" t="str">
        <f>IF(J409="","",ROUND(J409*$K$1,0))</f>
        <v/>
      </c>
      <c r="L409" s="577" t="str">
        <f>IF(K409="","",ROUND(K409*$L$1,0))</f>
        <v/>
      </c>
      <c r="M409" s="577" t="str">
        <f>IF(L409="","",ROUND(L409*$M$1,0))</f>
        <v/>
      </c>
      <c r="N409" s="564" t="s">
        <v>1166</v>
      </c>
      <c r="O409" s="577" t="s">
        <v>1166</v>
      </c>
      <c r="P409" s="577" t="s">
        <v>1166</v>
      </c>
      <c r="Q409" s="577" t="s">
        <v>1166</v>
      </c>
      <c r="R409" s="1604" t="str">
        <f t="shared" si="112"/>
        <v/>
      </c>
    </row>
    <row r="410" spans="1:18" x14ac:dyDescent="0.2">
      <c r="A410" s="261">
        <f t="shared" si="111"/>
        <v>1</v>
      </c>
      <c r="B410" s="422" t="str">
        <f>INDEX('LA List'!B:B,MATCH('EZ list'!D410,'LA List'!A:A,0))</f>
        <v>E1139</v>
      </c>
      <c r="C410" s="422" t="str">
        <f t="shared" si="109"/>
        <v>E1139EZ1</v>
      </c>
      <c r="D410" s="261" t="s">
        <v>411</v>
      </c>
      <c r="E410" s="261" t="s">
        <v>1166</v>
      </c>
      <c r="F410" s="261" t="s">
        <v>1166</v>
      </c>
      <c r="G410" s="577" t="s">
        <v>1166</v>
      </c>
      <c r="H410" s="577" t="s">
        <v>1166</v>
      </c>
      <c r="I410" s="577" t="s">
        <v>1166</v>
      </c>
      <c r="J410" s="577" t="str">
        <f>IF(I410="","",ROUND(I410*$J$1,0))</f>
        <v/>
      </c>
      <c r="K410" s="577" t="str">
        <f>IF(J410="","",ROUND(J410*$K$1,0))</f>
        <v/>
      </c>
      <c r="L410" s="577" t="str">
        <f>IF(K410="","",ROUND(K410*$L$1,0))</f>
        <v/>
      </c>
      <c r="M410" s="577" t="str">
        <f>IF(L410="","",ROUND(L410*$M$1,0))</f>
        <v/>
      </c>
      <c r="N410" s="564" t="s">
        <v>1166</v>
      </c>
      <c r="O410" s="577" t="s">
        <v>1166</v>
      </c>
      <c r="P410" s="577" t="s">
        <v>1166</v>
      </c>
      <c r="Q410" s="577" t="s">
        <v>1166</v>
      </c>
      <c r="R410" s="1604" t="str">
        <f t="shared" si="112"/>
        <v/>
      </c>
    </row>
    <row r="411" spans="1:18" x14ac:dyDescent="0.2">
      <c r="A411" s="261">
        <f t="shared" si="111"/>
        <v>1</v>
      </c>
      <c r="B411" s="422" t="str">
        <f>INDEX('LA List'!B:B,MATCH('EZ list'!D411,'LA List'!A:A,0))</f>
        <v>E5020</v>
      </c>
      <c r="C411" s="422" t="str">
        <f t="shared" si="109"/>
        <v>E5020EZ1</v>
      </c>
      <c r="D411" s="261" t="s">
        <v>413</v>
      </c>
      <c r="E411" s="261" t="s">
        <v>1166</v>
      </c>
      <c r="F411" s="261" t="s">
        <v>1166</v>
      </c>
      <c r="G411" s="577" t="s">
        <v>1166</v>
      </c>
      <c r="H411" s="577" t="s">
        <v>1166</v>
      </c>
      <c r="I411" s="577" t="s">
        <v>1166</v>
      </c>
      <c r="J411" s="577" t="str">
        <f>IF(I411="","",ROUND(I411*$J$1,0))</f>
        <v/>
      </c>
      <c r="K411" s="577" t="str">
        <f>IF(J411="","",ROUND(J411*$K$1,0))</f>
        <v/>
      </c>
      <c r="L411" s="577" t="str">
        <f>IF(K411="","",ROUND(K411*$L$1,0))</f>
        <v/>
      </c>
      <c r="M411" s="577" t="str">
        <f>IF(L411="","",ROUND(L411*$M$1,0))</f>
        <v/>
      </c>
      <c r="N411" s="564" t="s">
        <v>1166</v>
      </c>
      <c r="O411" s="577" t="s">
        <v>1166</v>
      </c>
      <c r="P411" s="577" t="s">
        <v>1166</v>
      </c>
      <c r="Q411" s="577" t="s">
        <v>1166</v>
      </c>
      <c r="R411" s="1604" t="str">
        <f t="shared" si="112"/>
        <v/>
      </c>
    </row>
    <row r="412" spans="1:18" x14ac:dyDescent="0.2">
      <c r="A412" s="261">
        <f t="shared" si="111"/>
        <v>1</v>
      </c>
      <c r="B412" s="422" t="str">
        <f>INDEX('LA List'!B:B,MATCH('EZ list'!D412,'LA List'!A:A,0))</f>
        <v>E4209</v>
      </c>
      <c r="C412" s="422" t="str">
        <f t="shared" si="109"/>
        <v>E4209EZ1</v>
      </c>
      <c r="D412" s="261" t="s">
        <v>415</v>
      </c>
      <c r="E412" s="261" t="s">
        <v>5850</v>
      </c>
      <c r="F412" s="261">
        <v>2024</v>
      </c>
      <c r="G412" s="577" t="s">
        <v>1166</v>
      </c>
      <c r="H412" s="577" t="s">
        <v>1166</v>
      </c>
      <c r="I412" s="577" t="s">
        <v>1166</v>
      </c>
      <c r="J412" s="577" t="str">
        <f>IF(I412="","",ROUND(I412*$J$1,0))</f>
        <v/>
      </c>
      <c r="K412" s="577" t="str">
        <f>IF(J412="","",ROUND(J412*$K$1,0))</f>
        <v/>
      </c>
      <c r="L412" s="577" t="str">
        <f>IF(K412="","",ROUND(K412*$L$1,0))</f>
        <v/>
      </c>
      <c r="M412" s="577" t="str">
        <f>IF(L412="","",ROUND(L412*$M$1,0))</f>
        <v/>
      </c>
      <c r="N412" s="564" t="s">
        <v>1166</v>
      </c>
      <c r="O412" s="577">
        <v>14721386.51953125</v>
      </c>
      <c r="P412" s="577">
        <v>1469910</v>
      </c>
      <c r="Q412" s="577">
        <v>13469907</v>
      </c>
      <c r="R412" s="1604">
        <f t="shared" si="112"/>
        <v>14939817</v>
      </c>
    </row>
    <row r="413" spans="1:18" x14ac:dyDescent="0.2">
      <c r="A413" s="261">
        <f t="shared" si="111"/>
        <v>2</v>
      </c>
      <c r="B413" s="422" t="str">
        <f>INDEX('LA List'!B:B,MATCH('EZ list'!D413,'LA List'!A:A,0))</f>
        <v>E4209</v>
      </c>
      <c r="C413" s="422" t="str">
        <f t="shared" si="109"/>
        <v>E4209EZ2</v>
      </c>
      <c r="D413" s="261" t="s">
        <v>415</v>
      </c>
      <c r="E413" s="261" t="s">
        <v>5835</v>
      </c>
      <c r="F413" s="261">
        <v>2024</v>
      </c>
      <c r="G413" s="577"/>
      <c r="H413" s="577"/>
      <c r="I413" s="577"/>
      <c r="J413" s="577"/>
      <c r="K413" s="577"/>
      <c r="L413" s="577"/>
      <c r="M413" s="577"/>
      <c r="N413" s="564"/>
      <c r="O413" s="577">
        <v>11146865.865156252</v>
      </c>
      <c r="P413" s="577">
        <v>1386476</v>
      </c>
      <c r="Q413" s="577">
        <v>9921275</v>
      </c>
      <c r="R413" s="1604">
        <f t="shared" si="112"/>
        <v>11307751</v>
      </c>
    </row>
    <row r="414" spans="1:18" x14ac:dyDescent="0.2">
      <c r="A414" s="261">
        <f t="shared" si="111"/>
        <v>1</v>
      </c>
      <c r="B414" s="422" t="str">
        <f>INDEX('LA List'!B:B,MATCH('EZ list'!D414,'LA List'!A:A,0))</f>
        <v>E2244</v>
      </c>
      <c r="C414" s="422" t="str">
        <f t="shared" si="109"/>
        <v>E2244EZ1</v>
      </c>
      <c r="D414" s="261" t="s">
        <v>417</v>
      </c>
      <c r="E414" s="261" t="s">
        <v>1166</v>
      </c>
      <c r="F414" s="261" t="s">
        <v>1166</v>
      </c>
      <c r="G414" s="577" t="s">
        <v>1166</v>
      </c>
      <c r="H414" s="577" t="s">
        <v>1166</v>
      </c>
      <c r="I414" s="577" t="s">
        <v>1166</v>
      </c>
      <c r="J414" s="577" t="str">
        <f t="shared" ref="J414:J429" si="119">IF(I414="","",ROUND(I414*$J$1,0))</f>
        <v/>
      </c>
      <c r="K414" s="577" t="str">
        <f t="shared" ref="K414:K429" si="120">IF(J414="","",ROUND(J414*$K$1,0))</f>
        <v/>
      </c>
      <c r="L414" s="577" t="str">
        <f t="shared" ref="L414:L429" si="121">IF(K414="","",ROUND(K414*$L$1,0))</f>
        <v/>
      </c>
      <c r="M414" s="577" t="str">
        <f t="shared" ref="M414:M429" si="122">IF(L414="","",ROUND(L414*$M$1,0))</f>
        <v/>
      </c>
      <c r="N414" s="564" t="s">
        <v>1166</v>
      </c>
      <c r="O414" s="577" t="s">
        <v>1166</v>
      </c>
      <c r="P414" s="577" t="s">
        <v>1166</v>
      </c>
      <c r="Q414" s="577" t="s">
        <v>1166</v>
      </c>
      <c r="R414" s="1604" t="str">
        <f t="shared" si="112"/>
        <v/>
      </c>
    </row>
    <row r="415" spans="1:18" x14ac:dyDescent="0.2">
      <c r="A415" s="261">
        <f t="shared" si="111"/>
        <v>1</v>
      </c>
      <c r="B415" s="422" t="str">
        <f>INDEX('LA List'!B:B,MATCH('EZ list'!D415,'LA List'!A:A,0))</f>
        <v>E1544</v>
      </c>
      <c r="C415" s="422" t="str">
        <f t="shared" si="109"/>
        <v>E1544EZ1</v>
      </c>
      <c r="D415" s="261" t="s">
        <v>419</v>
      </c>
      <c r="E415" s="261" t="s">
        <v>1166</v>
      </c>
      <c r="F415" s="261" t="s">
        <v>1166</v>
      </c>
      <c r="G415" s="577" t="s">
        <v>1166</v>
      </c>
      <c r="H415" s="577" t="s">
        <v>1166</v>
      </c>
      <c r="I415" s="577" t="s">
        <v>1166</v>
      </c>
      <c r="J415" s="577" t="str">
        <f t="shared" si="119"/>
        <v/>
      </c>
      <c r="K415" s="577" t="str">
        <f t="shared" si="120"/>
        <v/>
      </c>
      <c r="L415" s="577" t="str">
        <f t="shared" si="121"/>
        <v/>
      </c>
      <c r="M415" s="577" t="str">
        <f t="shared" si="122"/>
        <v/>
      </c>
      <c r="N415" s="564" t="s">
        <v>1166</v>
      </c>
      <c r="O415" s="577" t="s">
        <v>1166</v>
      </c>
      <c r="P415" s="577" t="s">
        <v>1166</v>
      </c>
      <c r="Q415" s="577" t="s">
        <v>1166</v>
      </c>
      <c r="R415" s="1604" t="str">
        <f t="shared" si="112"/>
        <v/>
      </c>
    </row>
    <row r="416" spans="1:18" x14ac:dyDescent="0.2">
      <c r="A416" s="261">
        <f t="shared" si="111"/>
        <v>1</v>
      </c>
      <c r="B416" s="422" t="str">
        <f>INDEX('LA List'!B:B,MATCH('EZ list'!D416,'LA List'!A:A,0))</f>
        <v>E3134</v>
      </c>
      <c r="C416" s="422" t="str">
        <f t="shared" si="109"/>
        <v>E3134EZ1</v>
      </c>
      <c r="D416" s="261" t="s">
        <v>421</v>
      </c>
      <c r="E416" s="261" t="s">
        <v>861</v>
      </c>
      <c r="F416" s="261">
        <v>2013</v>
      </c>
      <c r="G416" s="577">
        <v>1269098</v>
      </c>
      <c r="H416" s="577">
        <v>1269098</v>
      </c>
      <c r="I416" s="577">
        <v>1307225</v>
      </c>
      <c r="J416" s="577">
        <f t="shared" si="119"/>
        <v>1337182</v>
      </c>
      <c r="K416" s="577">
        <f t="shared" si="120"/>
        <v>1358969</v>
      </c>
      <c r="L416" s="577">
        <f t="shared" si="121"/>
        <v>1358969</v>
      </c>
      <c r="M416" s="577">
        <f t="shared" si="122"/>
        <v>1358969</v>
      </c>
      <c r="N416" s="564">
        <v>1855596</v>
      </c>
      <c r="O416" s="577">
        <v>1855596</v>
      </c>
      <c r="P416" s="577" t="s">
        <v>1166</v>
      </c>
      <c r="Q416" s="577" t="s">
        <v>1166</v>
      </c>
      <c r="R416" s="1604">
        <f t="shared" si="112"/>
        <v>1855596</v>
      </c>
    </row>
    <row r="417" spans="1:18" x14ac:dyDescent="0.2">
      <c r="A417" s="261">
        <f t="shared" si="111"/>
        <v>2</v>
      </c>
      <c r="B417" s="422" t="str">
        <f>INDEX('LA List'!B:B,MATCH('EZ list'!D417,'LA List'!A:A,0))</f>
        <v>E3134</v>
      </c>
      <c r="C417" s="422" t="str">
        <f t="shared" si="109"/>
        <v>E3134EZ2</v>
      </c>
      <c r="D417" s="261" t="s">
        <v>421</v>
      </c>
      <c r="E417" s="261" t="s">
        <v>1123</v>
      </c>
      <c r="F417" s="261">
        <v>2016</v>
      </c>
      <c r="G417" s="577">
        <v>572452</v>
      </c>
      <c r="H417" s="577">
        <v>572452</v>
      </c>
      <c r="I417" s="577">
        <v>589650</v>
      </c>
      <c r="J417" s="577">
        <f t="shared" si="119"/>
        <v>603163</v>
      </c>
      <c r="K417" s="577">
        <f t="shared" si="120"/>
        <v>612991</v>
      </c>
      <c r="L417" s="577">
        <f t="shared" si="121"/>
        <v>612991</v>
      </c>
      <c r="M417" s="577">
        <f t="shared" si="122"/>
        <v>612991</v>
      </c>
      <c r="N417" s="564">
        <v>798866</v>
      </c>
      <c r="O417" s="577">
        <v>798866</v>
      </c>
      <c r="P417" s="577" t="s">
        <v>1166</v>
      </c>
      <c r="Q417" s="577" t="s">
        <v>1166</v>
      </c>
      <c r="R417" s="1604">
        <f t="shared" si="112"/>
        <v>798866</v>
      </c>
    </row>
    <row r="418" spans="1:18" x14ac:dyDescent="0.2">
      <c r="A418" s="261">
        <f t="shared" si="111"/>
        <v>3</v>
      </c>
      <c r="B418" s="422" t="str">
        <f>INDEX('LA List'!B:B,MATCH('EZ list'!D418,'LA List'!A:A,0))</f>
        <v>E3134</v>
      </c>
      <c r="C418" s="422" t="str">
        <f t="shared" si="109"/>
        <v>E3134EZ3</v>
      </c>
      <c r="D418" s="261" t="s">
        <v>421</v>
      </c>
      <c r="E418" s="261" t="s">
        <v>1124</v>
      </c>
      <c r="F418" s="261">
        <v>2016</v>
      </c>
      <c r="G418" s="577">
        <v>0</v>
      </c>
      <c r="H418" s="577">
        <v>0</v>
      </c>
      <c r="I418" s="577">
        <v>0</v>
      </c>
      <c r="J418" s="577">
        <f t="shared" si="119"/>
        <v>0</v>
      </c>
      <c r="K418" s="577">
        <f t="shared" si="120"/>
        <v>0</v>
      </c>
      <c r="L418" s="577">
        <f t="shared" si="121"/>
        <v>0</v>
      </c>
      <c r="M418" s="577">
        <f t="shared" si="122"/>
        <v>0</v>
      </c>
      <c r="N418" s="564">
        <v>0</v>
      </c>
      <c r="O418" s="577">
        <v>0</v>
      </c>
      <c r="P418" s="577" t="s">
        <v>1166</v>
      </c>
      <c r="Q418" s="577" t="s">
        <v>1166</v>
      </c>
      <c r="R418" s="1604">
        <f t="shared" si="112"/>
        <v>0</v>
      </c>
    </row>
    <row r="419" spans="1:18" x14ac:dyDescent="0.2">
      <c r="A419" s="261">
        <f t="shared" si="111"/>
        <v>4</v>
      </c>
      <c r="B419" s="422" t="str">
        <f>INDEX('LA List'!B:B,MATCH('EZ list'!D419,'LA List'!A:A,0))</f>
        <v>E3134</v>
      </c>
      <c r="C419" s="422" t="str">
        <f t="shared" si="109"/>
        <v>E3134EZ4</v>
      </c>
      <c r="D419" s="261" t="s">
        <v>421</v>
      </c>
      <c r="E419" s="261" t="s">
        <v>1125</v>
      </c>
      <c r="F419" s="261">
        <v>2016</v>
      </c>
      <c r="G419" s="577">
        <v>0</v>
      </c>
      <c r="H419" s="577">
        <v>0</v>
      </c>
      <c r="I419" s="577">
        <v>0</v>
      </c>
      <c r="J419" s="577">
        <f t="shared" si="119"/>
        <v>0</v>
      </c>
      <c r="K419" s="577">
        <f t="shared" si="120"/>
        <v>0</v>
      </c>
      <c r="L419" s="577">
        <f t="shared" si="121"/>
        <v>0</v>
      </c>
      <c r="M419" s="577">
        <f t="shared" si="122"/>
        <v>0</v>
      </c>
      <c r="N419" s="564">
        <v>0</v>
      </c>
      <c r="O419" s="577">
        <v>0</v>
      </c>
      <c r="P419" s="577" t="s">
        <v>1166</v>
      </c>
      <c r="Q419" s="577" t="s">
        <v>1166</v>
      </c>
      <c r="R419" s="1604">
        <f t="shared" si="112"/>
        <v>0</v>
      </c>
    </row>
    <row r="420" spans="1:18" x14ac:dyDescent="0.2">
      <c r="A420" s="261">
        <f t="shared" si="111"/>
        <v>5</v>
      </c>
      <c r="B420" s="422" t="str">
        <f>INDEX('LA List'!B:B,MATCH('EZ list'!D420,'LA List'!A:A,0))</f>
        <v>E3134</v>
      </c>
      <c r="C420" s="422" t="str">
        <f t="shared" si="109"/>
        <v>E3134EZ5</v>
      </c>
      <c r="D420" s="261" t="s">
        <v>421</v>
      </c>
      <c r="E420" s="261" t="s">
        <v>1126</v>
      </c>
      <c r="F420" s="261">
        <v>2016</v>
      </c>
      <c r="G420" s="577">
        <v>0</v>
      </c>
      <c r="H420" s="577">
        <v>0</v>
      </c>
      <c r="I420" s="577">
        <v>0</v>
      </c>
      <c r="J420" s="577">
        <f t="shared" si="119"/>
        <v>0</v>
      </c>
      <c r="K420" s="577">
        <f t="shared" si="120"/>
        <v>0</v>
      </c>
      <c r="L420" s="577">
        <f t="shared" si="121"/>
        <v>0</v>
      </c>
      <c r="M420" s="577">
        <f t="shared" si="122"/>
        <v>0</v>
      </c>
      <c r="N420" s="564">
        <v>0</v>
      </c>
      <c r="O420" s="577">
        <v>0</v>
      </c>
      <c r="P420" s="577" t="s">
        <v>1166</v>
      </c>
      <c r="Q420" s="577" t="s">
        <v>1166</v>
      </c>
      <c r="R420" s="1604">
        <f t="shared" si="112"/>
        <v>0</v>
      </c>
    </row>
    <row r="421" spans="1:18" x14ac:dyDescent="0.2">
      <c r="A421" s="261">
        <f t="shared" si="111"/>
        <v>6</v>
      </c>
      <c r="B421" s="422" t="str">
        <f>INDEX('LA List'!B:B,MATCH('EZ list'!D421,'LA List'!A:A,0))</f>
        <v>E3134</v>
      </c>
      <c r="C421" s="422" t="str">
        <f t="shared" si="109"/>
        <v>E3134EZ6</v>
      </c>
      <c r="D421" s="261" t="s">
        <v>421</v>
      </c>
      <c r="E421" s="261" t="s">
        <v>1127</v>
      </c>
      <c r="F421" s="261">
        <v>2016</v>
      </c>
      <c r="G421" s="577">
        <v>1188</v>
      </c>
      <c r="H421" s="577">
        <v>1188</v>
      </c>
      <c r="I421" s="577">
        <v>1224</v>
      </c>
      <c r="J421" s="577">
        <f t="shared" si="119"/>
        <v>1252</v>
      </c>
      <c r="K421" s="577">
        <f t="shared" si="120"/>
        <v>1272</v>
      </c>
      <c r="L421" s="577">
        <f t="shared" si="121"/>
        <v>1272</v>
      </c>
      <c r="M421" s="577">
        <f t="shared" si="122"/>
        <v>1272</v>
      </c>
      <c r="N421" s="564">
        <v>2045</v>
      </c>
      <c r="O421" s="577">
        <v>2045</v>
      </c>
      <c r="P421" s="577" t="s">
        <v>1166</v>
      </c>
      <c r="Q421" s="577" t="s">
        <v>1166</v>
      </c>
      <c r="R421" s="1604">
        <f t="shared" si="112"/>
        <v>2045</v>
      </c>
    </row>
    <row r="422" spans="1:18" x14ac:dyDescent="0.2">
      <c r="A422" s="261">
        <f t="shared" si="111"/>
        <v>7</v>
      </c>
      <c r="B422" s="422" t="str">
        <f>INDEX('LA List'!B:B,MATCH('EZ list'!D422,'LA List'!A:A,0))</f>
        <v>E3134</v>
      </c>
      <c r="C422" s="422" t="str">
        <f t="shared" si="109"/>
        <v>E3134EZ7</v>
      </c>
      <c r="D422" s="261" t="s">
        <v>421</v>
      </c>
      <c r="E422" s="261" t="s">
        <v>1128</v>
      </c>
      <c r="F422" s="261">
        <v>2016</v>
      </c>
      <c r="G422" s="577">
        <v>45381</v>
      </c>
      <c r="H422" s="577">
        <v>45381</v>
      </c>
      <c r="I422" s="577">
        <v>46744</v>
      </c>
      <c r="J422" s="577">
        <f t="shared" si="119"/>
        <v>47815</v>
      </c>
      <c r="K422" s="577">
        <f t="shared" si="120"/>
        <v>48594</v>
      </c>
      <c r="L422" s="577">
        <f t="shared" si="121"/>
        <v>48594</v>
      </c>
      <c r="M422" s="577">
        <f t="shared" si="122"/>
        <v>48594</v>
      </c>
      <c r="N422" s="564">
        <v>58251</v>
      </c>
      <c r="O422" s="577">
        <v>58251</v>
      </c>
      <c r="P422" s="577" t="s">
        <v>1166</v>
      </c>
      <c r="Q422" s="577" t="s">
        <v>1166</v>
      </c>
      <c r="R422" s="1604">
        <f t="shared" si="112"/>
        <v>58251</v>
      </c>
    </row>
    <row r="423" spans="1:18" x14ac:dyDescent="0.2">
      <c r="A423" s="261">
        <f t="shared" si="111"/>
        <v>8</v>
      </c>
      <c r="B423" s="422" t="str">
        <f>INDEX('LA List'!B:B,MATCH('EZ list'!D423,'LA List'!A:A,0))</f>
        <v>E3134</v>
      </c>
      <c r="C423" s="422" t="str">
        <f t="shared" si="109"/>
        <v>E3134EZ8</v>
      </c>
      <c r="D423" s="261" t="s">
        <v>421</v>
      </c>
      <c r="E423" s="261" t="s">
        <v>1129</v>
      </c>
      <c r="F423" s="261">
        <v>2016</v>
      </c>
      <c r="G423" s="577">
        <v>415832</v>
      </c>
      <c r="H423" s="577">
        <v>415832</v>
      </c>
      <c r="I423" s="577">
        <v>428325</v>
      </c>
      <c r="J423" s="577">
        <f t="shared" si="119"/>
        <v>438141</v>
      </c>
      <c r="K423" s="577">
        <f t="shared" si="120"/>
        <v>445280</v>
      </c>
      <c r="L423" s="577">
        <f t="shared" si="121"/>
        <v>445280</v>
      </c>
      <c r="M423" s="577">
        <f t="shared" si="122"/>
        <v>445280</v>
      </c>
      <c r="N423" s="564">
        <v>634191</v>
      </c>
      <c r="O423" s="577">
        <v>634191</v>
      </c>
      <c r="P423" s="577" t="s">
        <v>1166</v>
      </c>
      <c r="Q423" s="577" t="s">
        <v>1166</v>
      </c>
      <c r="R423" s="1604">
        <f t="shared" si="112"/>
        <v>634191</v>
      </c>
    </row>
    <row r="424" spans="1:18" x14ac:dyDescent="0.2">
      <c r="A424" s="261">
        <f t="shared" si="111"/>
        <v>9</v>
      </c>
      <c r="B424" s="422" t="str">
        <f>INDEX('LA List'!B:B,MATCH('EZ list'!D424,'LA List'!A:A,0))</f>
        <v>E3134</v>
      </c>
      <c r="C424" s="422" t="str">
        <f t="shared" ref="C424" si="123">CONCATENATE(B424,"EZ",A424)</f>
        <v>E3134EZ9</v>
      </c>
      <c r="D424" s="261" t="s">
        <v>421</v>
      </c>
      <c r="E424" s="261" t="s">
        <v>1130</v>
      </c>
      <c r="F424" s="261">
        <v>2016</v>
      </c>
      <c r="G424" s="577">
        <v>62699</v>
      </c>
      <c r="H424" s="577">
        <v>62699</v>
      </c>
      <c r="I424" s="577">
        <v>64583</v>
      </c>
      <c r="J424" s="577">
        <f t="shared" si="119"/>
        <v>66063</v>
      </c>
      <c r="K424" s="577">
        <f t="shared" si="120"/>
        <v>67139</v>
      </c>
      <c r="L424" s="577">
        <f t="shared" si="121"/>
        <v>67139</v>
      </c>
      <c r="M424" s="577">
        <f t="shared" si="122"/>
        <v>67139</v>
      </c>
      <c r="N424" s="564">
        <v>0</v>
      </c>
      <c r="O424" s="577">
        <v>0</v>
      </c>
      <c r="P424" s="577" t="s">
        <v>1166</v>
      </c>
      <c r="Q424" s="577" t="s">
        <v>1166</v>
      </c>
      <c r="R424" s="1604">
        <f t="shared" si="112"/>
        <v>0</v>
      </c>
    </row>
    <row r="425" spans="1:18" x14ac:dyDescent="0.2">
      <c r="A425" s="261">
        <f t="shared" si="111"/>
        <v>10</v>
      </c>
      <c r="B425" s="422" t="str">
        <f>INDEX('LA List'!B:B,MATCH('EZ list'!D425,'LA List'!A:A,0))</f>
        <v>E3134</v>
      </c>
      <c r="C425" s="422" t="str">
        <f t="shared" si="109"/>
        <v>E3134EZ10</v>
      </c>
      <c r="D425" s="261" t="s">
        <v>421</v>
      </c>
      <c r="E425" s="261" t="s">
        <v>1131</v>
      </c>
      <c r="F425" s="261">
        <v>2016</v>
      </c>
      <c r="G425" s="577">
        <v>143586</v>
      </c>
      <c r="H425" s="577">
        <v>143586</v>
      </c>
      <c r="I425" s="577">
        <v>147900</v>
      </c>
      <c r="J425" s="577">
        <f t="shared" si="119"/>
        <v>151289</v>
      </c>
      <c r="K425" s="577">
        <f t="shared" si="120"/>
        <v>153754</v>
      </c>
      <c r="L425" s="577">
        <f t="shared" si="121"/>
        <v>153754</v>
      </c>
      <c r="M425" s="577">
        <f t="shared" si="122"/>
        <v>153754</v>
      </c>
      <c r="N425" s="564">
        <v>234787</v>
      </c>
      <c r="O425" s="577">
        <v>234787</v>
      </c>
      <c r="P425" s="577" t="s">
        <v>1166</v>
      </c>
      <c r="Q425" s="577" t="s">
        <v>1166</v>
      </c>
      <c r="R425" s="1604">
        <f t="shared" si="112"/>
        <v>234787</v>
      </c>
    </row>
    <row r="426" spans="1:18" x14ac:dyDescent="0.2">
      <c r="A426" s="261">
        <f t="shared" si="111"/>
        <v>11</v>
      </c>
      <c r="B426" s="422" t="str">
        <f>INDEX('LA List'!B:B,MATCH('EZ list'!D426,'LA List'!A:A,0))</f>
        <v>E3134</v>
      </c>
      <c r="C426" s="422" t="str">
        <f t="shared" si="109"/>
        <v>E3134EZ11</v>
      </c>
      <c r="D426" s="261" t="s">
        <v>421</v>
      </c>
      <c r="E426" s="261" t="s">
        <v>1132</v>
      </c>
      <c r="F426" s="261">
        <v>2016</v>
      </c>
      <c r="G426" s="577">
        <v>54922</v>
      </c>
      <c r="H426" s="577">
        <v>54922</v>
      </c>
      <c r="I426" s="577">
        <v>56572</v>
      </c>
      <c r="J426" s="577">
        <f t="shared" si="119"/>
        <v>57868</v>
      </c>
      <c r="K426" s="577">
        <f t="shared" si="120"/>
        <v>58811</v>
      </c>
      <c r="L426" s="577">
        <f t="shared" si="121"/>
        <v>58811</v>
      </c>
      <c r="M426" s="577">
        <f t="shared" si="122"/>
        <v>58811</v>
      </c>
      <c r="N426" s="564">
        <v>0</v>
      </c>
      <c r="O426" s="577">
        <v>0</v>
      </c>
      <c r="P426" s="577" t="s">
        <v>1166</v>
      </c>
      <c r="Q426" s="577" t="s">
        <v>1166</v>
      </c>
      <c r="R426" s="1604">
        <f t="shared" si="112"/>
        <v>0</v>
      </c>
    </row>
    <row r="427" spans="1:18" x14ac:dyDescent="0.2">
      <c r="A427" s="261">
        <f t="shared" si="111"/>
        <v>1</v>
      </c>
      <c r="B427" s="422" t="str">
        <f>INDEX('LA List'!B:B,MATCH('EZ list'!D427,'LA List'!A:A,0))</f>
        <v>E4705</v>
      </c>
      <c r="C427" s="422" t="str">
        <f t="shared" si="109"/>
        <v>E4705EZ1</v>
      </c>
      <c r="D427" s="261" t="s">
        <v>423</v>
      </c>
      <c r="E427" s="261" t="s">
        <v>1133</v>
      </c>
      <c r="F427" s="261">
        <v>2017</v>
      </c>
      <c r="G427" s="577">
        <v>0</v>
      </c>
      <c r="H427" s="577">
        <v>0</v>
      </c>
      <c r="I427" s="577">
        <v>0</v>
      </c>
      <c r="J427" s="577">
        <f t="shared" si="119"/>
        <v>0</v>
      </c>
      <c r="K427" s="577">
        <f t="shared" si="120"/>
        <v>0</v>
      </c>
      <c r="L427" s="577">
        <f t="shared" si="121"/>
        <v>0</v>
      </c>
      <c r="M427" s="577">
        <f t="shared" si="122"/>
        <v>0</v>
      </c>
      <c r="N427" s="564">
        <v>0</v>
      </c>
      <c r="O427" s="577">
        <v>0</v>
      </c>
      <c r="P427" s="577" t="s">
        <v>1166</v>
      </c>
      <c r="Q427" s="577" t="s">
        <v>1166</v>
      </c>
      <c r="R427" s="1604">
        <f t="shared" si="112"/>
        <v>0</v>
      </c>
    </row>
    <row r="428" spans="1:18" x14ac:dyDescent="0.2">
      <c r="A428" s="261">
        <f t="shared" si="111"/>
        <v>2</v>
      </c>
      <c r="B428" s="422" t="str">
        <f>INDEX('LA List'!B:B,MATCH('EZ list'!D428,'LA List'!A:A,0))</f>
        <v>E4705</v>
      </c>
      <c r="C428" s="422" t="str">
        <f t="shared" si="109"/>
        <v>E4705EZ2</v>
      </c>
      <c r="D428" s="261" t="s">
        <v>423</v>
      </c>
      <c r="E428" s="261" t="s">
        <v>1134</v>
      </c>
      <c r="F428" s="261">
        <v>2017</v>
      </c>
      <c r="G428" s="577">
        <v>0</v>
      </c>
      <c r="H428" s="577">
        <v>0</v>
      </c>
      <c r="I428" s="577">
        <v>0</v>
      </c>
      <c r="J428" s="577">
        <f t="shared" si="119"/>
        <v>0</v>
      </c>
      <c r="K428" s="577">
        <f t="shared" si="120"/>
        <v>0</v>
      </c>
      <c r="L428" s="577">
        <f t="shared" si="121"/>
        <v>0</v>
      </c>
      <c r="M428" s="577">
        <f t="shared" si="122"/>
        <v>0</v>
      </c>
      <c r="N428" s="564">
        <v>0</v>
      </c>
      <c r="O428" s="577">
        <v>0</v>
      </c>
      <c r="P428" s="577" t="s">
        <v>1166</v>
      </c>
      <c r="Q428" s="577" t="s">
        <v>1166</v>
      </c>
      <c r="R428" s="1604">
        <f t="shared" si="112"/>
        <v>0</v>
      </c>
    </row>
    <row r="429" spans="1:18" x14ac:dyDescent="0.2">
      <c r="A429" s="261">
        <f t="shared" si="111"/>
        <v>1</v>
      </c>
      <c r="B429" s="422" t="str">
        <f>INDEX('LA List'!B:B,MATCH('EZ list'!D429,'LA List'!A:A,0))</f>
        <v>E4606</v>
      </c>
      <c r="C429" s="422" t="str">
        <f t="shared" si="109"/>
        <v>E4606EZ1</v>
      </c>
      <c r="D429" s="261" t="s">
        <v>425</v>
      </c>
      <c r="E429" s="261" t="s">
        <v>860</v>
      </c>
      <c r="F429" s="261">
        <v>2013</v>
      </c>
      <c r="G429" s="577">
        <v>170055</v>
      </c>
      <c r="H429" s="577">
        <v>170055</v>
      </c>
      <c r="I429" s="577">
        <v>175164</v>
      </c>
      <c r="J429" s="577">
        <f t="shared" si="119"/>
        <v>179178</v>
      </c>
      <c r="K429" s="577">
        <f t="shared" si="120"/>
        <v>182097</v>
      </c>
      <c r="L429" s="577">
        <f t="shared" si="121"/>
        <v>182097</v>
      </c>
      <c r="M429" s="577">
        <f t="shared" si="122"/>
        <v>182097</v>
      </c>
      <c r="N429" s="564">
        <v>225613</v>
      </c>
      <c r="O429" s="577">
        <v>225613</v>
      </c>
      <c r="P429" s="577" t="s">
        <v>1166</v>
      </c>
      <c r="Q429" s="577" t="s">
        <v>1166</v>
      </c>
      <c r="R429" s="1604">
        <f t="shared" si="112"/>
        <v>225613</v>
      </c>
    </row>
    <row r="430" spans="1:18" x14ac:dyDescent="0.2">
      <c r="A430" s="261">
        <f t="shared" si="111"/>
        <v>2</v>
      </c>
      <c r="B430" s="422" t="str">
        <f>INDEX('LA List'!B:B,MATCH('EZ list'!D430,'LA List'!A:A,0))</f>
        <v>E4606</v>
      </c>
      <c r="C430" s="422" t="str">
        <f t="shared" si="109"/>
        <v>E4606EZ2</v>
      </c>
      <c r="D430" s="261" t="s">
        <v>425</v>
      </c>
      <c r="E430" s="261" t="s">
        <v>5851</v>
      </c>
      <c r="F430" s="261">
        <v>2024</v>
      </c>
      <c r="G430" s="577"/>
      <c r="H430" s="577"/>
      <c r="I430" s="577"/>
      <c r="J430" s="577"/>
      <c r="K430" s="577"/>
      <c r="L430" s="577"/>
      <c r="M430" s="577"/>
      <c r="N430" s="564"/>
      <c r="O430" s="577">
        <v>2444</v>
      </c>
      <c r="P430" s="577">
        <v>2444</v>
      </c>
      <c r="Q430" s="577">
        <v>0</v>
      </c>
      <c r="R430" s="1604">
        <f t="shared" si="112"/>
        <v>2444</v>
      </c>
    </row>
    <row r="431" spans="1:18" x14ac:dyDescent="0.2">
      <c r="A431" s="261">
        <f t="shared" si="111"/>
        <v>1</v>
      </c>
      <c r="B431" s="422" t="str">
        <f>INDEX('LA List'!B:B,MATCH('EZ list'!D431,'LA List'!A:A,0))</f>
        <v>E5049</v>
      </c>
      <c r="C431" s="422" t="str">
        <f t="shared" si="109"/>
        <v>E5049EZ1</v>
      </c>
      <c r="D431" s="261" t="s">
        <v>427</v>
      </c>
      <c r="E431" s="261" t="s">
        <v>1166</v>
      </c>
      <c r="F431" s="261" t="s">
        <v>1166</v>
      </c>
      <c r="G431" s="577" t="s">
        <v>1166</v>
      </c>
      <c r="H431" s="577" t="s">
        <v>1166</v>
      </c>
      <c r="I431" s="577" t="s">
        <v>1166</v>
      </c>
      <c r="J431" s="577" t="str">
        <f t="shared" ref="J431:J447" si="124">IF(I431="","",ROUND(I431*$J$1,0))</f>
        <v/>
      </c>
      <c r="K431" s="577" t="str">
        <f t="shared" ref="K431:K447" si="125">IF(J431="","",ROUND(J431*$K$1,0))</f>
        <v/>
      </c>
      <c r="L431" s="577" t="str">
        <f t="shared" ref="L431:L447" si="126">IF(K431="","",ROUND(K431*$L$1,0))</f>
        <v/>
      </c>
      <c r="M431" s="577" t="str">
        <f t="shared" ref="M431:M447" si="127">IF(L431="","",ROUND(L431*$M$1,0))</f>
        <v/>
      </c>
      <c r="N431" s="564" t="s">
        <v>1166</v>
      </c>
      <c r="O431" s="577" t="s">
        <v>1166</v>
      </c>
      <c r="P431" s="577" t="s">
        <v>1166</v>
      </c>
      <c r="Q431" s="577" t="s">
        <v>1166</v>
      </c>
      <c r="R431" s="1604" t="str">
        <f t="shared" si="112"/>
        <v/>
      </c>
    </row>
    <row r="432" spans="1:18" x14ac:dyDescent="0.2">
      <c r="A432" s="261">
        <f t="shared" si="111"/>
        <v>1</v>
      </c>
      <c r="B432" s="422" t="str">
        <f>INDEX('LA List'!B:B,MATCH('EZ list'!D432,'LA List'!A:A,0))</f>
        <v>E5021</v>
      </c>
      <c r="C432" s="422" t="str">
        <f t="shared" si="109"/>
        <v>E5021EZ1</v>
      </c>
      <c r="D432" s="261" t="s">
        <v>429</v>
      </c>
      <c r="E432" s="261" t="s">
        <v>924</v>
      </c>
      <c r="F432" s="261">
        <v>2015</v>
      </c>
      <c r="G432" s="577">
        <v>4206450</v>
      </c>
      <c r="H432" s="577">
        <v>4206450</v>
      </c>
      <c r="I432" s="577">
        <v>4332824</v>
      </c>
      <c r="J432" s="577">
        <f t="shared" si="124"/>
        <v>4432118</v>
      </c>
      <c r="K432" s="577">
        <f t="shared" si="125"/>
        <v>4504332</v>
      </c>
      <c r="L432" s="577">
        <f t="shared" si="126"/>
        <v>4504332</v>
      </c>
      <c r="M432" s="577">
        <f t="shared" si="127"/>
        <v>4504332</v>
      </c>
      <c r="N432" s="564">
        <v>5254303</v>
      </c>
      <c r="O432" s="577">
        <v>5254303</v>
      </c>
      <c r="P432" s="577" t="s">
        <v>1166</v>
      </c>
      <c r="Q432" s="577" t="s">
        <v>1166</v>
      </c>
      <c r="R432" s="1604">
        <f t="shared" si="112"/>
        <v>5254303</v>
      </c>
    </row>
    <row r="433" spans="1:18" x14ac:dyDescent="0.2">
      <c r="A433" s="261">
        <f t="shared" si="111"/>
        <v>1</v>
      </c>
      <c r="B433" s="422" t="str">
        <f>INDEX('LA List'!B:B,MATCH('EZ list'!D433,'LA List'!A:A,0))</f>
        <v>E0602</v>
      </c>
      <c r="C433" s="422" t="str">
        <f t="shared" si="109"/>
        <v>E0602EZ1</v>
      </c>
      <c r="D433" s="261" t="s">
        <v>431</v>
      </c>
      <c r="E433" s="261" t="s">
        <v>1135</v>
      </c>
      <c r="F433" s="261">
        <v>2016</v>
      </c>
      <c r="G433" s="577">
        <v>0</v>
      </c>
      <c r="H433" s="577">
        <v>926543</v>
      </c>
      <c r="I433" s="577">
        <v>954379</v>
      </c>
      <c r="J433" s="577">
        <f t="shared" si="124"/>
        <v>976250</v>
      </c>
      <c r="K433" s="577">
        <f t="shared" si="125"/>
        <v>992156</v>
      </c>
      <c r="L433" s="577">
        <f t="shared" si="126"/>
        <v>992156</v>
      </c>
      <c r="M433" s="577">
        <f t="shared" si="127"/>
        <v>992156</v>
      </c>
      <c r="N433" s="564">
        <v>1221768</v>
      </c>
      <c r="O433" s="577">
        <v>1221768</v>
      </c>
      <c r="P433" s="577" t="s">
        <v>1166</v>
      </c>
      <c r="Q433" s="577" t="s">
        <v>1166</v>
      </c>
      <c r="R433" s="1604">
        <f t="shared" si="112"/>
        <v>1221768</v>
      </c>
    </row>
    <row r="434" spans="1:18" x14ac:dyDescent="0.2">
      <c r="A434" s="261">
        <f t="shared" si="111"/>
        <v>1</v>
      </c>
      <c r="B434" s="422" t="str">
        <f>INDEX('LA List'!B:B,MATCH('EZ list'!D434,'LA List'!A:A,0))</f>
        <v>E3735</v>
      </c>
      <c r="C434" s="422" t="str">
        <f t="shared" si="109"/>
        <v>E3735EZ1</v>
      </c>
      <c r="D434" s="261" t="s">
        <v>433</v>
      </c>
      <c r="E434" s="261" t="s">
        <v>5810</v>
      </c>
      <c r="F434" s="261">
        <v>2024</v>
      </c>
      <c r="G434" s="577" t="s">
        <v>1166</v>
      </c>
      <c r="H434" s="577" t="s">
        <v>1166</v>
      </c>
      <c r="I434" s="577" t="s">
        <v>1166</v>
      </c>
      <c r="J434" s="577" t="str">
        <f t="shared" si="124"/>
        <v/>
      </c>
      <c r="K434" s="577" t="str">
        <f t="shared" si="125"/>
        <v/>
      </c>
      <c r="L434" s="577" t="str">
        <f t="shared" si="126"/>
        <v/>
      </c>
      <c r="M434" s="577" t="str">
        <f t="shared" si="127"/>
        <v/>
      </c>
      <c r="N434" s="564" t="s">
        <v>1166</v>
      </c>
      <c r="O434" s="577">
        <v>261994</v>
      </c>
      <c r="P434" s="577">
        <v>1277</v>
      </c>
      <c r="Q434" s="577">
        <v>282614</v>
      </c>
      <c r="R434" s="1604">
        <f t="shared" si="112"/>
        <v>283891</v>
      </c>
    </row>
    <row r="435" spans="1:18" x14ac:dyDescent="0.2">
      <c r="A435" s="261">
        <f t="shared" si="111"/>
        <v>1</v>
      </c>
      <c r="B435" s="422" t="str">
        <f>INDEX('LA List'!B:B,MATCH('EZ list'!D435,'LA List'!A:A,0))</f>
        <v>E1939</v>
      </c>
      <c r="C435" s="422" t="str">
        <f t="shared" si="109"/>
        <v>E1939EZ1</v>
      </c>
      <c r="D435" s="261" t="s">
        <v>435</v>
      </c>
      <c r="E435" s="261" t="s">
        <v>1166</v>
      </c>
      <c r="F435" s="261" t="s">
        <v>1166</v>
      </c>
      <c r="G435" s="577" t="s">
        <v>1166</v>
      </c>
      <c r="H435" s="577" t="s">
        <v>1166</v>
      </c>
      <c r="I435" s="577" t="s">
        <v>1166</v>
      </c>
      <c r="J435" s="577" t="str">
        <f t="shared" si="124"/>
        <v/>
      </c>
      <c r="K435" s="577" t="str">
        <f t="shared" si="125"/>
        <v/>
      </c>
      <c r="L435" s="577" t="str">
        <f t="shared" si="126"/>
        <v/>
      </c>
      <c r="M435" s="577" t="str">
        <f t="shared" si="127"/>
        <v/>
      </c>
      <c r="N435" s="564" t="s">
        <v>1166</v>
      </c>
      <c r="O435" s="577" t="s">
        <v>1166</v>
      </c>
      <c r="P435" s="577" t="s">
        <v>1166</v>
      </c>
      <c r="Q435" s="577" t="s">
        <v>1166</v>
      </c>
      <c r="R435" s="1604" t="str">
        <f t="shared" si="112"/>
        <v/>
      </c>
    </row>
    <row r="436" spans="1:18" x14ac:dyDescent="0.2">
      <c r="A436" s="261">
        <f t="shared" si="111"/>
        <v>1</v>
      </c>
      <c r="B436" s="422" t="str">
        <f>INDEX('LA List'!B:B,MATCH('EZ list'!D436,'LA List'!A:A,0))</f>
        <v>E3640</v>
      </c>
      <c r="C436" s="422" t="str">
        <f t="shared" si="109"/>
        <v>E3640EZ1</v>
      </c>
      <c r="D436" s="261" t="s">
        <v>437</v>
      </c>
      <c r="E436" s="261" t="s">
        <v>1166</v>
      </c>
      <c r="F436" s="261" t="s">
        <v>1166</v>
      </c>
      <c r="G436" s="577" t="s">
        <v>1166</v>
      </c>
      <c r="H436" s="577" t="s">
        <v>1166</v>
      </c>
      <c r="I436" s="577" t="s">
        <v>1166</v>
      </c>
      <c r="J436" s="577" t="str">
        <f t="shared" si="124"/>
        <v/>
      </c>
      <c r="K436" s="577" t="str">
        <f t="shared" si="125"/>
        <v/>
      </c>
      <c r="L436" s="577" t="str">
        <f t="shared" si="126"/>
        <v/>
      </c>
      <c r="M436" s="577" t="str">
        <f t="shared" si="127"/>
        <v/>
      </c>
      <c r="N436" s="564" t="s">
        <v>1166</v>
      </c>
      <c r="O436" s="577" t="s">
        <v>1166</v>
      </c>
      <c r="P436" s="577" t="s">
        <v>1166</v>
      </c>
      <c r="Q436" s="577" t="s">
        <v>1166</v>
      </c>
      <c r="R436" s="1604" t="str">
        <f t="shared" si="112"/>
        <v/>
      </c>
    </row>
    <row r="437" spans="1:18" x14ac:dyDescent="0.2">
      <c r="A437" s="261">
        <f t="shared" si="111"/>
        <v>1</v>
      </c>
      <c r="B437" s="422" t="str">
        <f>INDEX('LA List'!B:B,MATCH('EZ list'!D437,'LA List'!A:A,0))</f>
        <v>E1437</v>
      </c>
      <c r="C437" s="422" t="str">
        <f t="shared" ref="C437" si="128">CONCATENATE(B437,"EZ",A437)</f>
        <v>E1437EZ1</v>
      </c>
      <c r="D437" s="261" t="s">
        <v>439</v>
      </c>
      <c r="E437" s="261" t="s">
        <v>1166</v>
      </c>
      <c r="F437" s="261" t="s">
        <v>1166</v>
      </c>
      <c r="G437" s="577" t="s">
        <v>1166</v>
      </c>
      <c r="H437" s="577" t="s">
        <v>1166</v>
      </c>
      <c r="I437" s="577" t="s">
        <v>1166</v>
      </c>
      <c r="J437" s="577" t="str">
        <f t="shared" si="124"/>
        <v/>
      </c>
      <c r="K437" s="577" t="str">
        <f t="shared" si="125"/>
        <v/>
      </c>
      <c r="L437" s="577" t="str">
        <f t="shared" si="126"/>
        <v/>
      </c>
      <c r="M437" s="577" t="str">
        <f t="shared" si="127"/>
        <v/>
      </c>
      <c r="N437" s="564" t="s">
        <v>1166</v>
      </c>
      <c r="O437" s="577" t="s">
        <v>1166</v>
      </c>
      <c r="P437" s="577" t="s">
        <v>1166</v>
      </c>
      <c r="Q437" s="577" t="s">
        <v>1166</v>
      </c>
      <c r="R437" s="1604" t="str">
        <f t="shared" si="112"/>
        <v/>
      </c>
    </row>
    <row r="438" spans="1:18" x14ac:dyDescent="0.2">
      <c r="A438" s="261">
        <f t="shared" si="111"/>
        <v>1</v>
      </c>
      <c r="B438" s="422" t="str">
        <f>INDEX('LA List'!B:B,MATCH('EZ list'!D438,'LA List'!A:A,0))</f>
        <v>E1940</v>
      </c>
      <c r="C438" s="422" t="str">
        <f t="shared" si="109"/>
        <v>E1940EZ1</v>
      </c>
      <c r="D438" s="261" t="s">
        <v>441</v>
      </c>
      <c r="E438" s="261" t="s">
        <v>1166</v>
      </c>
      <c r="F438" s="261" t="s">
        <v>1166</v>
      </c>
      <c r="G438" s="577" t="s">
        <v>1166</v>
      </c>
      <c r="H438" s="577" t="s">
        <v>1166</v>
      </c>
      <c r="I438" s="577" t="s">
        <v>1166</v>
      </c>
      <c r="J438" s="577" t="str">
        <f t="shared" si="124"/>
        <v/>
      </c>
      <c r="K438" s="577" t="str">
        <f t="shared" si="125"/>
        <v/>
      </c>
      <c r="L438" s="577" t="str">
        <f t="shared" si="126"/>
        <v/>
      </c>
      <c r="M438" s="577" t="str">
        <f t="shared" si="127"/>
        <v/>
      </c>
      <c r="N438" s="564" t="s">
        <v>1166</v>
      </c>
      <c r="O438" s="577" t="s">
        <v>1166</v>
      </c>
      <c r="P438" s="577" t="s">
        <v>1166</v>
      </c>
      <c r="Q438" s="577" t="s">
        <v>1166</v>
      </c>
      <c r="R438" s="1604" t="str">
        <f t="shared" si="112"/>
        <v/>
      </c>
    </row>
    <row r="439" spans="1:18" s="261" customFormat="1" x14ac:dyDescent="0.2">
      <c r="A439" s="261">
        <f t="shared" si="111"/>
        <v>1</v>
      </c>
      <c r="B439" s="422" t="str">
        <f>INDEX('LA List'!B:B,MATCH('EZ list'!D439,'LA List'!A:A,0))</f>
        <v>E0302</v>
      </c>
      <c r="C439" s="422" t="str">
        <f t="shared" ref="C439:C440" si="129">CONCATENATE(B439,"EZ",A439)</f>
        <v>E0302EZ1</v>
      </c>
      <c r="D439" s="261" t="s">
        <v>443</v>
      </c>
      <c r="E439" s="261" t="s">
        <v>1166</v>
      </c>
      <c r="F439" s="261" t="s">
        <v>1166</v>
      </c>
      <c r="G439" s="577" t="s">
        <v>1166</v>
      </c>
      <c r="H439" s="577" t="s">
        <v>1166</v>
      </c>
      <c r="I439" s="577" t="s">
        <v>1166</v>
      </c>
      <c r="J439" s="577" t="str">
        <f t="shared" si="124"/>
        <v/>
      </c>
      <c r="K439" s="577" t="str">
        <f t="shared" si="125"/>
        <v/>
      </c>
      <c r="L439" s="577" t="str">
        <f t="shared" si="126"/>
        <v/>
      </c>
      <c r="M439" s="577" t="str">
        <f t="shared" si="127"/>
        <v/>
      </c>
      <c r="N439" s="564" t="s">
        <v>1166</v>
      </c>
      <c r="O439" s="577" t="s">
        <v>1166</v>
      </c>
      <c r="P439" s="577" t="s">
        <v>1166</v>
      </c>
      <c r="Q439" s="577" t="s">
        <v>1166</v>
      </c>
      <c r="R439" s="1604" t="str">
        <f t="shared" si="112"/>
        <v/>
      </c>
    </row>
    <row r="440" spans="1:18" s="261" customFormat="1" x14ac:dyDescent="0.2">
      <c r="A440" s="261">
        <f t="shared" si="111"/>
        <v>1</v>
      </c>
      <c r="B440" s="422" t="str">
        <f>INDEX('LA List'!B:B,MATCH('EZ list'!D440,'LA List'!A:A,0))</f>
        <v>E1140</v>
      </c>
      <c r="C440" s="422" t="str">
        <f t="shared" si="129"/>
        <v>E1140EZ1</v>
      </c>
      <c r="D440" s="261" t="s">
        <v>445</v>
      </c>
      <c r="E440" s="261" t="s">
        <v>1166</v>
      </c>
      <c r="F440" s="261" t="s">
        <v>1166</v>
      </c>
      <c r="G440" s="577" t="s">
        <v>1166</v>
      </c>
      <c r="H440" s="577" t="s">
        <v>1166</v>
      </c>
      <c r="I440" s="577" t="s">
        <v>1166</v>
      </c>
      <c r="J440" s="577" t="str">
        <f t="shared" si="124"/>
        <v/>
      </c>
      <c r="K440" s="577" t="str">
        <f t="shared" si="125"/>
        <v/>
      </c>
      <c r="L440" s="577" t="str">
        <f t="shared" si="126"/>
        <v/>
      </c>
      <c r="M440" s="577" t="str">
        <f t="shared" si="127"/>
        <v/>
      </c>
      <c r="N440" s="564" t="s">
        <v>1166</v>
      </c>
      <c r="O440" s="577" t="s">
        <v>1166</v>
      </c>
      <c r="P440" s="577" t="s">
        <v>1166</v>
      </c>
      <c r="Q440" s="577" t="s">
        <v>1166</v>
      </c>
      <c r="R440" s="1604" t="str">
        <f t="shared" si="112"/>
        <v/>
      </c>
    </row>
    <row r="441" spans="1:18" x14ac:dyDescent="0.2">
      <c r="A441" s="261">
        <f t="shared" si="111"/>
        <v>1</v>
      </c>
      <c r="B441" s="422" t="str">
        <f>INDEX('LA List'!B:B,MATCH('EZ list'!D441,'LA List'!A:A,0))</f>
        <v>E2343</v>
      </c>
      <c r="C441" s="422" t="str">
        <f t="shared" si="109"/>
        <v>E2343EZ1</v>
      </c>
      <c r="D441" s="261" t="s">
        <v>447</v>
      </c>
      <c r="E441" s="261" t="s">
        <v>1166</v>
      </c>
      <c r="F441" s="261" t="s">
        <v>1166</v>
      </c>
      <c r="G441" s="577" t="s">
        <v>1166</v>
      </c>
      <c r="H441" s="577" t="s">
        <v>1166</v>
      </c>
      <c r="I441" s="577" t="s">
        <v>1166</v>
      </c>
      <c r="J441" s="577" t="str">
        <f t="shared" si="124"/>
        <v/>
      </c>
      <c r="K441" s="577" t="str">
        <f t="shared" si="125"/>
        <v/>
      </c>
      <c r="L441" s="577" t="str">
        <f t="shared" si="126"/>
        <v/>
      </c>
      <c r="M441" s="577" t="str">
        <f t="shared" si="127"/>
        <v/>
      </c>
      <c r="N441" s="564" t="s">
        <v>1166</v>
      </c>
      <c r="O441" s="577" t="s">
        <v>1166</v>
      </c>
      <c r="P441" s="577" t="s">
        <v>1166</v>
      </c>
      <c r="Q441" s="577" t="s">
        <v>1166</v>
      </c>
      <c r="R441" s="1604" t="str">
        <f t="shared" si="112"/>
        <v/>
      </c>
    </row>
    <row r="442" spans="1:18" x14ac:dyDescent="0.2">
      <c r="A442" s="261">
        <f t="shared" si="111"/>
        <v>1</v>
      </c>
      <c r="B442" s="422" t="str">
        <f>INDEX('LA List'!B:B,MATCH('EZ list'!D442,'LA List'!A:A,0))</f>
        <v>E2537</v>
      </c>
      <c r="C442" s="422" t="str">
        <f t="shared" ref="C442" si="130">CONCATENATE(B442,"EZ",A442)</f>
        <v>E2537EZ1</v>
      </c>
      <c r="D442" s="261" t="s">
        <v>449</v>
      </c>
      <c r="E442" s="261" t="s">
        <v>1166</v>
      </c>
      <c r="F442" s="261" t="s">
        <v>1166</v>
      </c>
      <c r="G442" s="577" t="s">
        <v>1166</v>
      </c>
      <c r="H442" s="577" t="s">
        <v>1166</v>
      </c>
      <c r="I442" s="577" t="s">
        <v>1166</v>
      </c>
      <c r="J442" s="577" t="str">
        <f t="shared" si="124"/>
        <v/>
      </c>
      <c r="K442" s="577" t="str">
        <f t="shared" si="125"/>
        <v/>
      </c>
      <c r="L442" s="577" t="str">
        <f t="shared" si="126"/>
        <v/>
      </c>
      <c r="M442" s="577" t="str">
        <f t="shared" si="127"/>
        <v/>
      </c>
      <c r="N442" s="564" t="s">
        <v>1166</v>
      </c>
      <c r="O442" s="577" t="s">
        <v>1166</v>
      </c>
      <c r="P442" s="577" t="s">
        <v>1166</v>
      </c>
      <c r="Q442" s="577" t="s">
        <v>1166</v>
      </c>
      <c r="R442" s="1604" t="str">
        <f t="shared" si="112"/>
        <v/>
      </c>
    </row>
    <row r="443" spans="1:18" x14ac:dyDescent="0.2">
      <c r="A443" s="261">
        <f t="shared" si="111"/>
        <v>1</v>
      </c>
      <c r="B443" s="422" t="str">
        <f>INDEX('LA List'!B:B,MATCH('EZ list'!D443,'LA List'!A:A,0))</f>
        <v>E2802</v>
      </c>
      <c r="C443" s="422" t="str">
        <f t="shared" si="109"/>
        <v>E2802EZ1</v>
      </c>
      <c r="D443" s="509" t="s">
        <v>1289</v>
      </c>
      <c r="E443" s="261" t="s">
        <v>856</v>
      </c>
      <c r="F443" s="261">
        <v>2013</v>
      </c>
      <c r="G443" s="577">
        <v>3165816</v>
      </c>
      <c r="H443" s="577">
        <v>3165816</v>
      </c>
      <c r="I443" s="577">
        <v>3260926</v>
      </c>
      <c r="J443" s="577">
        <f t="shared" si="124"/>
        <v>3335656</v>
      </c>
      <c r="K443" s="577">
        <f t="shared" si="125"/>
        <v>3390005</v>
      </c>
      <c r="L443" s="577">
        <f t="shared" si="126"/>
        <v>3390005</v>
      </c>
      <c r="M443" s="577">
        <f t="shared" si="127"/>
        <v>3390005</v>
      </c>
      <c r="N443" s="564">
        <v>3932406</v>
      </c>
      <c r="O443" s="577">
        <v>3932406</v>
      </c>
      <c r="P443" s="577" t="s">
        <v>1166</v>
      </c>
      <c r="Q443" s="577" t="s">
        <v>1166</v>
      </c>
      <c r="R443" s="1604">
        <f t="shared" si="112"/>
        <v>3932406</v>
      </c>
    </row>
    <row r="444" spans="1:18" x14ac:dyDescent="0.2">
      <c r="A444" s="261">
        <f t="shared" si="111"/>
        <v>1</v>
      </c>
      <c r="B444" s="422" t="str">
        <f>INDEX('LA List'!B:B,MATCH('EZ list'!D444,'LA List'!A:A,0))</f>
        <v>E3135</v>
      </c>
      <c r="C444" s="422" t="str">
        <f t="shared" si="109"/>
        <v>E3135EZ1</v>
      </c>
      <c r="D444" s="261" t="s">
        <v>451</v>
      </c>
      <c r="E444" s="261" t="s">
        <v>1166</v>
      </c>
      <c r="F444" s="261" t="s">
        <v>1166</v>
      </c>
      <c r="G444" s="577" t="s">
        <v>1166</v>
      </c>
      <c r="H444" s="577" t="s">
        <v>1166</v>
      </c>
      <c r="I444" s="577" t="s">
        <v>1166</v>
      </c>
      <c r="J444" s="577" t="str">
        <f t="shared" si="124"/>
        <v/>
      </c>
      <c r="K444" s="577" t="str">
        <f t="shared" si="125"/>
        <v/>
      </c>
      <c r="L444" s="577" t="str">
        <f t="shared" si="126"/>
        <v/>
      </c>
      <c r="M444" s="577" t="str">
        <f t="shared" si="127"/>
        <v/>
      </c>
      <c r="N444" s="564" t="s">
        <v>1166</v>
      </c>
      <c r="O444" s="577" t="s">
        <v>1166</v>
      </c>
      <c r="P444" s="577" t="s">
        <v>1166</v>
      </c>
      <c r="Q444" s="577" t="s">
        <v>1166</v>
      </c>
      <c r="R444" s="1604" t="str">
        <f t="shared" si="112"/>
        <v/>
      </c>
    </row>
    <row r="445" spans="1:18" x14ac:dyDescent="0.2">
      <c r="A445" s="261">
        <f t="shared" si="111"/>
        <v>1</v>
      </c>
      <c r="B445" s="422" t="str">
        <f>INDEX('LA List'!B:B,MATCH('EZ list'!D445,'LA List'!A:A,0))</f>
        <v>E3539</v>
      </c>
      <c r="C445" s="422" t="str">
        <f t="shared" si="109"/>
        <v>E3539EZ1</v>
      </c>
      <c r="D445" s="509" t="s">
        <v>1183</v>
      </c>
      <c r="E445" s="261" t="s">
        <v>1114</v>
      </c>
      <c r="F445" s="261">
        <v>2016</v>
      </c>
      <c r="G445" s="577">
        <v>0</v>
      </c>
      <c r="H445" s="577">
        <v>0</v>
      </c>
      <c r="I445" s="577">
        <v>0</v>
      </c>
      <c r="J445" s="577">
        <f t="shared" si="124"/>
        <v>0</v>
      </c>
      <c r="K445" s="577">
        <f t="shared" si="125"/>
        <v>0</v>
      </c>
      <c r="L445" s="577">
        <f t="shared" si="126"/>
        <v>0</v>
      </c>
      <c r="M445" s="577">
        <f t="shared" si="127"/>
        <v>0</v>
      </c>
      <c r="N445" s="564">
        <v>0</v>
      </c>
      <c r="O445" s="577">
        <v>0</v>
      </c>
      <c r="P445" s="577" t="s">
        <v>1166</v>
      </c>
      <c r="Q445" s="577" t="s">
        <v>1166</v>
      </c>
      <c r="R445" s="1604">
        <f t="shared" si="112"/>
        <v>0</v>
      </c>
    </row>
    <row r="446" spans="1:18" x14ac:dyDescent="0.2">
      <c r="A446" s="261">
        <f t="shared" si="111"/>
        <v>2</v>
      </c>
      <c r="B446" s="422" t="str">
        <f>INDEX('LA List'!B:B,MATCH('EZ list'!D446,'LA List'!A:A,0))</f>
        <v>E3539</v>
      </c>
      <c r="C446" s="422" t="str">
        <f t="shared" si="109"/>
        <v>E3539EZ2</v>
      </c>
      <c r="D446" s="509" t="s">
        <v>1183</v>
      </c>
      <c r="E446" s="261" t="s">
        <v>1115</v>
      </c>
      <c r="F446" s="261">
        <v>2016</v>
      </c>
      <c r="G446" s="577">
        <v>0</v>
      </c>
      <c r="H446" s="577">
        <v>0</v>
      </c>
      <c r="I446" s="577">
        <v>0</v>
      </c>
      <c r="J446" s="577">
        <f t="shared" si="124"/>
        <v>0</v>
      </c>
      <c r="K446" s="577">
        <f t="shared" si="125"/>
        <v>0</v>
      </c>
      <c r="L446" s="577">
        <f t="shared" si="126"/>
        <v>0</v>
      </c>
      <c r="M446" s="577">
        <f t="shared" si="127"/>
        <v>0</v>
      </c>
      <c r="N446" s="564">
        <v>0</v>
      </c>
      <c r="O446" s="577">
        <v>0</v>
      </c>
      <c r="P446" s="577" t="s">
        <v>1166</v>
      </c>
      <c r="Q446" s="577" t="s">
        <v>1166</v>
      </c>
      <c r="R446" s="1604">
        <f t="shared" si="112"/>
        <v>0</v>
      </c>
    </row>
    <row r="447" spans="1:18" x14ac:dyDescent="0.2">
      <c r="A447" s="261">
        <f t="shared" si="111"/>
        <v>1</v>
      </c>
      <c r="B447" s="422" t="str">
        <f>INDEX('LA List'!B:B,MATCH('EZ list'!D447,'LA List'!A:A,0))</f>
        <v>E5022</v>
      </c>
      <c r="C447" s="422" t="str">
        <f t="shared" ref="C447:C464" si="131">CONCATENATE(B447,"EZ",A447)</f>
        <v>E5022EZ1</v>
      </c>
      <c r="D447" s="261" t="s">
        <v>453</v>
      </c>
      <c r="E447" s="261" t="s">
        <v>1166</v>
      </c>
      <c r="F447" s="261" t="s">
        <v>1166</v>
      </c>
      <c r="G447" s="577" t="s">
        <v>1166</v>
      </c>
      <c r="H447" s="577" t="s">
        <v>1166</v>
      </c>
      <c r="I447" s="577" t="s">
        <v>1166</v>
      </c>
      <c r="J447" s="577" t="str">
        <f t="shared" si="124"/>
        <v/>
      </c>
      <c r="K447" s="577" t="str">
        <f t="shared" si="125"/>
        <v/>
      </c>
      <c r="L447" s="577" t="str">
        <f t="shared" si="126"/>
        <v/>
      </c>
      <c r="M447" s="577" t="str">
        <f t="shared" si="127"/>
        <v/>
      </c>
      <c r="N447" s="564" t="s">
        <v>1166</v>
      </c>
      <c r="O447" s="577" t="s">
        <v>1166</v>
      </c>
      <c r="P447" s="577" t="s">
        <v>1166</v>
      </c>
      <c r="Q447" s="577" t="s">
        <v>1166</v>
      </c>
      <c r="R447" s="1604" t="str">
        <f t="shared" si="112"/>
        <v/>
      </c>
    </row>
    <row r="448" spans="1:18" x14ac:dyDescent="0.2">
      <c r="A448" s="261">
        <f t="shared" si="111"/>
        <v>1</v>
      </c>
      <c r="B448" s="422" t="str">
        <f>INDEX('LA List'!B:B,MATCH('EZ list'!D448,'LA List'!A:A,0))</f>
        <v>E0902</v>
      </c>
      <c r="C448" s="422" t="str">
        <f t="shared" si="131"/>
        <v>E0902EZ1</v>
      </c>
      <c r="D448" s="509" t="s">
        <v>2337</v>
      </c>
      <c r="E448" s="261" t="s">
        <v>1166</v>
      </c>
      <c r="F448" s="261" t="s">
        <v>1166</v>
      </c>
      <c r="G448" s="577"/>
      <c r="H448" s="577"/>
      <c r="I448" s="577"/>
      <c r="J448" s="577"/>
      <c r="K448" s="577"/>
      <c r="L448" s="577"/>
      <c r="M448" s="577"/>
      <c r="N448" s="564" t="s">
        <v>1166</v>
      </c>
      <c r="O448" s="577" t="s">
        <v>1166</v>
      </c>
      <c r="P448" s="577" t="s">
        <v>1166</v>
      </c>
      <c r="Q448" s="577" t="s">
        <v>1166</v>
      </c>
      <c r="R448" s="1604" t="str">
        <f t="shared" si="112"/>
        <v/>
      </c>
    </row>
    <row r="449" spans="1:18" x14ac:dyDescent="0.2">
      <c r="A449" s="261">
        <f t="shared" si="111"/>
        <v>1</v>
      </c>
      <c r="B449" s="422" t="str">
        <f>INDEX('LA List'!B:B,MATCH('EZ list'!D449,'LA List'!A:A,0))</f>
        <v>E4210</v>
      </c>
      <c r="C449" s="422" t="str">
        <f t="shared" ref="C449" si="132">CONCATENATE(B449,"EZ",A449)</f>
        <v>E4210EZ1</v>
      </c>
      <c r="D449" s="261" t="s">
        <v>455</v>
      </c>
      <c r="E449" s="261" t="s">
        <v>1166</v>
      </c>
      <c r="F449" s="261" t="s">
        <v>1166</v>
      </c>
      <c r="G449" s="577" t="s">
        <v>1166</v>
      </c>
      <c r="H449" s="577" t="s">
        <v>1166</v>
      </c>
      <c r="I449" s="577" t="s">
        <v>1166</v>
      </c>
      <c r="J449" s="577" t="str">
        <f t="shared" ref="J449:J454" si="133">IF(I449="","",ROUND(I449*$J$1,0))</f>
        <v/>
      </c>
      <c r="K449" s="577" t="str">
        <f t="shared" ref="K449:K454" si="134">IF(J449="","",ROUND(J449*$K$1,0))</f>
        <v/>
      </c>
      <c r="L449" s="577" t="str">
        <f t="shared" ref="L449:L454" si="135">IF(K449="","",ROUND(K449*$L$1,0))</f>
        <v/>
      </c>
      <c r="M449" s="577" t="str">
        <f t="shared" ref="M449:M454" si="136">IF(L449="","",ROUND(L449*$M$1,0))</f>
        <v/>
      </c>
      <c r="N449" s="564" t="s">
        <v>1166</v>
      </c>
      <c r="O449" s="577" t="s">
        <v>1166</v>
      </c>
      <c r="P449" s="577" t="s">
        <v>1166</v>
      </c>
      <c r="Q449" s="577" t="s">
        <v>1166</v>
      </c>
      <c r="R449" s="1604" t="str">
        <f t="shared" si="112"/>
        <v/>
      </c>
    </row>
    <row r="450" spans="1:18" x14ac:dyDescent="0.2">
      <c r="A450" s="261">
        <f t="shared" si="111"/>
        <v>1</v>
      </c>
      <c r="B450" s="422" t="str">
        <f>INDEX('LA List'!B:B,MATCH('EZ list'!D450,'LA List'!A:A,0))</f>
        <v>E3902</v>
      </c>
      <c r="C450" s="422" t="str">
        <f t="shared" si="131"/>
        <v>E3902EZ1</v>
      </c>
      <c r="D450" s="261" t="s">
        <v>457</v>
      </c>
      <c r="E450" s="261" t="s">
        <v>1166</v>
      </c>
      <c r="F450" s="261" t="s">
        <v>1166</v>
      </c>
      <c r="G450" s="577" t="s">
        <v>1166</v>
      </c>
      <c r="H450" s="577" t="s">
        <v>1166</v>
      </c>
      <c r="I450" s="577" t="s">
        <v>1166</v>
      </c>
      <c r="J450" s="577" t="str">
        <f t="shared" si="133"/>
        <v/>
      </c>
      <c r="K450" s="577" t="str">
        <f t="shared" si="134"/>
        <v/>
      </c>
      <c r="L450" s="577" t="str">
        <f t="shared" si="135"/>
        <v/>
      </c>
      <c r="M450" s="577" t="str">
        <f t="shared" si="136"/>
        <v/>
      </c>
      <c r="N450" s="564" t="s">
        <v>1166</v>
      </c>
      <c r="O450" s="577" t="s">
        <v>1166</v>
      </c>
      <c r="P450" s="577" t="s">
        <v>1166</v>
      </c>
      <c r="Q450" s="577" t="s">
        <v>1166</v>
      </c>
      <c r="R450" s="1604" t="str">
        <f t="shared" si="112"/>
        <v/>
      </c>
    </row>
    <row r="451" spans="1:18" x14ac:dyDescent="0.2">
      <c r="A451" s="261">
        <f t="shared" si="111"/>
        <v>1</v>
      </c>
      <c r="B451" s="422" t="str">
        <f>INDEX('LA List'!B:B,MATCH('EZ list'!D451,'LA List'!A:A,0))</f>
        <v>E1743</v>
      </c>
      <c r="C451" s="422" t="str">
        <f t="shared" si="131"/>
        <v>E1743EZ1</v>
      </c>
      <c r="D451" s="261" t="s">
        <v>459</v>
      </c>
      <c r="E451" s="261" t="s">
        <v>1166</v>
      </c>
      <c r="F451" s="261" t="s">
        <v>1166</v>
      </c>
      <c r="G451" s="577" t="s">
        <v>1166</v>
      </c>
      <c r="H451" s="577" t="s">
        <v>1166</v>
      </c>
      <c r="I451" s="577" t="s">
        <v>1166</v>
      </c>
      <c r="J451" s="577" t="str">
        <f t="shared" si="133"/>
        <v/>
      </c>
      <c r="K451" s="577" t="str">
        <f t="shared" si="134"/>
        <v/>
      </c>
      <c r="L451" s="577" t="str">
        <f t="shared" si="135"/>
        <v/>
      </c>
      <c r="M451" s="577" t="str">
        <f t="shared" si="136"/>
        <v/>
      </c>
      <c r="N451" s="564" t="s">
        <v>1166</v>
      </c>
      <c r="O451" s="577" t="s">
        <v>1166</v>
      </c>
      <c r="P451" s="577" t="s">
        <v>1166</v>
      </c>
      <c r="Q451" s="577" t="s">
        <v>1166</v>
      </c>
      <c r="R451" s="1604" t="str">
        <f t="shared" si="112"/>
        <v/>
      </c>
    </row>
    <row r="452" spans="1:18" x14ac:dyDescent="0.2">
      <c r="A452" s="261">
        <f t="shared" si="111"/>
        <v>1</v>
      </c>
      <c r="B452" s="422" t="str">
        <f>INDEX('LA List'!B:B,MATCH('EZ list'!D452,'LA List'!A:A,0))</f>
        <v>E0305</v>
      </c>
      <c r="C452" s="422" t="str">
        <f t="shared" si="131"/>
        <v>E0305EZ1</v>
      </c>
      <c r="D452" s="261" t="s">
        <v>461</v>
      </c>
      <c r="E452" s="261" t="s">
        <v>1166</v>
      </c>
      <c r="F452" s="261" t="s">
        <v>1166</v>
      </c>
      <c r="G452" s="577" t="s">
        <v>1166</v>
      </c>
      <c r="H452" s="577" t="s">
        <v>1166</v>
      </c>
      <c r="I452" s="577" t="s">
        <v>1166</v>
      </c>
      <c r="J452" s="577" t="str">
        <f t="shared" si="133"/>
        <v/>
      </c>
      <c r="K452" s="577" t="str">
        <f t="shared" si="134"/>
        <v/>
      </c>
      <c r="L452" s="577" t="str">
        <f t="shared" si="135"/>
        <v/>
      </c>
      <c r="M452" s="577" t="str">
        <f t="shared" si="136"/>
        <v/>
      </c>
      <c r="N452" s="564" t="s">
        <v>1166</v>
      </c>
      <c r="O452" s="577" t="s">
        <v>1166</v>
      </c>
      <c r="P452" s="577" t="s">
        <v>1166</v>
      </c>
      <c r="Q452" s="577" t="s">
        <v>1166</v>
      </c>
      <c r="R452" s="1604" t="str">
        <f t="shared" si="112"/>
        <v/>
      </c>
    </row>
    <row r="453" spans="1:18" x14ac:dyDescent="0.2">
      <c r="A453" s="261">
        <f t="shared" ref="A453:A464" si="137">IF(D453=D452,A452+1,1)</f>
        <v>1</v>
      </c>
      <c r="B453" s="422" t="str">
        <f>INDEX('LA List'!B:B,MATCH('EZ list'!D453,'LA List'!A:A,0))</f>
        <v>E4305</v>
      </c>
      <c r="C453" s="422" t="str">
        <f t="shared" si="131"/>
        <v>E4305EZ1</v>
      </c>
      <c r="D453" s="261" t="s">
        <v>463</v>
      </c>
      <c r="E453" s="261" t="s">
        <v>851</v>
      </c>
      <c r="F453" s="261">
        <v>2013</v>
      </c>
      <c r="G453" s="577">
        <v>0</v>
      </c>
      <c r="H453" s="577">
        <v>0</v>
      </c>
      <c r="I453" s="577">
        <v>0</v>
      </c>
      <c r="J453" s="577">
        <f t="shared" si="133"/>
        <v>0</v>
      </c>
      <c r="K453" s="577">
        <f t="shared" si="134"/>
        <v>0</v>
      </c>
      <c r="L453" s="577">
        <f t="shared" si="135"/>
        <v>0</v>
      </c>
      <c r="M453" s="577">
        <f t="shared" si="136"/>
        <v>0</v>
      </c>
      <c r="N453" s="564">
        <v>0</v>
      </c>
      <c r="O453" s="577">
        <v>0</v>
      </c>
      <c r="P453" s="577" t="s">
        <v>1166</v>
      </c>
      <c r="Q453" s="577" t="s">
        <v>1166</v>
      </c>
      <c r="R453" s="1604">
        <f t="shared" si="112"/>
        <v>0</v>
      </c>
    </row>
    <row r="454" spans="1:18" x14ac:dyDescent="0.2">
      <c r="A454" s="261">
        <f t="shared" si="137"/>
        <v>2</v>
      </c>
      <c r="B454" s="422" t="str">
        <f>INDEX('LA List'!B:B,MATCH('EZ list'!D454,'LA List'!A:A,0))</f>
        <v>E4305</v>
      </c>
      <c r="C454" s="422" t="str">
        <f t="shared" si="131"/>
        <v>E4305EZ2</v>
      </c>
      <c r="D454" s="261" t="s">
        <v>463</v>
      </c>
      <c r="E454" s="261" t="s">
        <v>1138</v>
      </c>
      <c r="F454" s="261">
        <v>2016</v>
      </c>
      <c r="G454" s="577">
        <v>877693</v>
      </c>
      <c r="H454" s="577">
        <v>877693</v>
      </c>
      <c r="I454" s="577">
        <v>904061</v>
      </c>
      <c r="J454" s="577">
        <f t="shared" si="133"/>
        <v>924779</v>
      </c>
      <c r="K454" s="577">
        <f t="shared" si="134"/>
        <v>939847</v>
      </c>
      <c r="L454" s="577">
        <f t="shared" si="135"/>
        <v>939847</v>
      </c>
      <c r="M454" s="577">
        <f t="shared" si="136"/>
        <v>939847</v>
      </c>
      <c r="N454" s="564">
        <v>1238063</v>
      </c>
      <c r="O454" s="577">
        <v>1238063</v>
      </c>
      <c r="P454" s="577" t="s">
        <v>1166</v>
      </c>
      <c r="Q454" s="577" t="s">
        <v>1166</v>
      </c>
      <c r="R454" s="1604">
        <f t="shared" si="112"/>
        <v>1238063</v>
      </c>
    </row>
    <row r="455" spans="1:18" x14ac:dyDescent="0.2">
      <c r="A455" s="261">
        <f t="shared" si="137"/>
        <v>3</v>
      </c>
      <c r="B455" s="422" t="str">
        <f>INDEX('LA List'!B:B,MATCH('EZ list'!D455,'LA List'!A:A,0))</f>
        <v>E4305</v>
      </c>
      <c r="C455" s="422" t="str">
        <f t="shared" si="131"/>
        <v>E4305EZ3</v>
      </c>
      <c r="D455" s="261" t="s">
        <v>463</v>
      </c>
      <c r="E455" s="509" t="s">
        <v>5852</v>
      </c>
      <c r="F455" s="509">
        <v>2023</v>
      </c>
      <c r="G455" s="577">
        <v>0</v>
      </c>
      <c r="H455" s="577">
        <v>0</v>
      </c>
      <c r="I455" s="577">
        <v>0</v>
      </c>
      <c r="J455" s="577">
        <v>0</v>
      </c>
      <c r="K455" s="577">
        <v>0</v>
      </c>
      <c r="L455" s="577">
        <v>0</v>
      </c>
      <c r="M455" s="577">
        <v>988702</v>
      </c>
      <c r="N455" s="564">
        <v>1082655</v>
      </c>
      <c r="O455" s="577">
        <v>1082655</v>
      </c>
      <c r="P455" s="577" t="s">
        <v>1166</v>
      </c>
      <c r="Q455" s="577" t="s">
        <v>1166</v>
      </c>
      <c r="R455" s="1604">
        <f t="shared" ref="R455:R464" si="138">IF($F455 = "","",
IF($F455&lt;2024,O455*$P$1,
IF($F455&gt;=2024,+P455+Q455)))</f>
        <v>1082655</v>
      </c>
    </row>
    <row r="456" spans="1:18" x14ac:dyDescent="0.2">
      <c r="A456" s="261">
        <f t="shared" si="137"/>
        <v>1</v>
      </c>
      <c r="B456" s="422" t="str">
        <f>INDEX('LA List'!B:B,MATCH('EZ list'!D456,'LA List'!A:A,0))</f>
        <v>E3641</v>
      </c>
      <c r="C456" s="422" t="str">
        <f t="shared" si="131"/>
        <v>E3641EZ1</v>
      </c>
      <c r="D456" s="261" t="s">
        <v>465</v>
      </c>
      <c r="E456" s="261" t="s">
        <v>1166</v>
      </c>
      <c r="F456" s="261" t="s">
        <v>1166</v>
      </c>
      <c r="G456" s="577" t="s">
        <v>1166</v>
      </c>
      <c r="H456" s="577" t="s">
        <v>1166</v>
      </c>
      <c r="I456" s="577" t="s">
        <v>1166</v>
      </c>
      <c r="J456" s="577" t="str">
        <f t="shared" ref="J456:J464" si="139">IF(I456="","",ROUND(I456*$J$1,0))</f>
        <v/>
      </c>
      <c r="K456" s="577" t="str">
        <f t="shared" ref="K456:K464" si="140">IF(J456="","",ROUND(J456*$K$1,0))</f>
        <v/>
      </c>
      <c r="L456" s="577" t="str">
        <f t="shared" ref="L456:L464" si="141">IF(K456="","",ROUND(K456*$L$1,0))</f>
        <v/>
      </c>
      <c r="M456" s="577" t="str">
        <f t="shared" ref="M456:M464" si="142">IF(L456="","",ROUND(L456*$M$1,0))</f>
        <v/>
      </c>
      <c r="N456" s="564" t="s">
        <v>1166</v>
      </c>
      <c r="O456" s="577" t="s">
        <v>1166</v>
      </c>
      <c r="P456" s="577" t="s">
        <v>1166</v>
      </c>
      <c r="Q456" s="577" t="s">
        <v>1166</v>
      </c>
      <c r="R456" s="1604" t="str">
        <f t="shared" si="138"/>
        <v/>
      </c>
    </row>
    <row r="457" spans="1:18" x14ac:dyDescent="0.2">
      <c r="A457" s="261">
        <f t="shared" si="137"/>
        <v>1</v>
      </c>
      <c r="B457" s="422" t="str">
        <f>INDEX('LA List'!B:B,MATCH('EZ list'!D457,'LA List'!A:A,0))</f>
        <v>E0306</v>
      </c>
      <c r="C457" s="422" t="str">
        <f t="shared" si="131"/>
        <v>E0306EZ1</v>
      </c>
      <c r="D457" s="261" t="s">
        <v>467</v>
      </c>
      <c r="E457" s="261" t="s">
        <v>1166</v>
      </c>
      <c r="F457" s="261" t="s">
        <v>1166</v>
      </c>
      <c r="G457" s="577" t="s">
        <v>1166</v>
      </c>
      <c r="H457" s="577" t="s">
        <v>1166</v>
      </c>
      <c r="I457" s="577" t="s">
        <v>1166</v>
      </c>
      <c r="J457" s="577" t="str">
        <f t="shared" si="139"/>
        <v/>
      </c>
      <c r="K457" s="577" t="str">
        <f t="shared" si="140"/>
        <v/>
      </c>
      <c r="L457" s="577" t="str">
        <f t="shared" si="141"/>
        <v/>
      </c>
      <c r="M457" s="577" t="str">
        <f t="shared" si="142"/>
        <v/>
      </c>
      <c r="N457" s="564" t="s">
        <v>1166</v>
      </c>
      <c r="O457" s="577" t="s">
        <v>1166</v>
      </c>
      <c r="P457" s="577" t="s">
        <v>1166</v>
      </c>
      <c r="Q457" s="577" t="s">
        <v>1166</v>
      </c>
      <c r="R457" s="1604" t="str">
        <f t="shared" si="138"/>
        <v/>
      </c>
    </row>
    <row r="458" spans="1:18" x14ac:dyDescent="0.2">
      <c r="A458" s="261">
        <f t="shared" si="137"/>
        <v>1</v>
      </c>
      <c r="B458" s="422" t="str">
        <f>INDEX('LA List'!B:B,MATCH('EZ list'!D458,'LA List'!A:A,0))</f>
        <v>E4607</v>
      </c>
      <c r="C458" s="422" t="str">
        <f t="shared" si="131"/>
        <v>E4607EZ1</v>
      </c>
      <c r="D458" s="261" t="s">
        <v>469</v>
      </c>
      <c r="E458" s="261" t="s">
        <v>860</v>
      </c>
      <c r="F458" s="261">
        <v>2013</v>
      </c>
      <c r="G458" s="577">
        <v>97743</v>
      </c>
      <c r="H458" s="577">
        <v>97743</v>
      </c>
      <c r="I458" s="577">
        <v>100679</v>
      </c>
      <c r="J458" s="577">
        <f t="shared" si="139"/>
        <v>102986</v>
      </c>
      <c r="K458" s="577">
        <f t="shared" si="140"/>
        <v>104664</v>
      </c>
      <c r="L458" s="577">
        <f t="shared" si="141"/>
        <v>104664</v>
      </c>
      <c r="M458" s="577">
        <f t="shared" si="142"/>
        <v>104664</v>
      </c>
      <c r="N458" s="564">
        <v>91774</v>
      </c>
      <c r="O458" s="577">
        <v>91774</v>
      </c>
      <c r="P458" s="577" t="s">
        <v>1166</v>
      </c>
      <c r="Q458" s="577" t="s">
        <v>1166</v>
      </c>
      <c r="R458" s="1604">
        <v>120150</v>
      </c>
    </row>
    <row r="459" spans="1:18" x14ac:dyDescent="0.2">
      <c r="A459" s="261">
        <f t="shared" si="137"/>
        <v>1</v>
      </c>
      <c r="B459" s="422" t="str">
        <f>INDEX('LA List'!B:B,MATCH('EZ list'!D459,'LA List'!A:A,0))</f>
        <v>E1837</v>
      </c>
      <c r="C459" s="422" t="str">
        <f t="shared" si="131"/>
        <v>E1837EZ1</v>
      </c>
      <c r="D459" s="261" t="s">
        <v>471</v>
      </c>
      <c r="E459" s="261" t="s">
        <v>1166</v>
      </c>
      <c r="F459" s="261" t="s">
        <v>1166</v>
      </c>
      <c r="G459" s="577" t="s">
        <v>1166</v>
      </c>
      <c r="H459" s="577" t="s">
        <v>1166</v>
      </c>
      <c r="I459" s="577" t="s">
        <v>1166</v>
      </c>
      <c r="J459" s="577" t="str">
        <f t="shared" si="139"/>
        <v/>
      </c>
      <c r="K459" s="577" t="str">
        <f t="shared" si="140"/>
        <v/>
      </c>
      <c r="L459" s="577" t="str">
        <f t="shared" si="141"/>
        <v/>
      </c>
      <c r="M459" s="577" t="str">
        <f t="shared" si="142"/>
        <v/>
      </c>
      <c r="N459" s="564" t="s">
        <v>1166</v>
      </c>
      <c r="O459" s="577" t="s">
        <v>1166</v>
      </c>
      <c r="P459" s="577" t="s">
        <v>1166</v>
      </c>
      <c r="Q459" s="577" t="s">
        <v>1166</v>
      </c>
      <c r="R459" s="1604" t="str">
        <f t="shared" si="138"/>
        <v/>
      </c>
    </row>
    <row r="460" spans="1:18" s="261" customFormat="1" x14ac:dyDescent="0.2">
      <c r="A460" s="261">
        <f t="shared" si="137"/>
        <v>1</v>
      </c>
      <c r="B460" s="422" t="str">
        <f>INDEX('LA List'!B:B,MATCH('EZ list'!D460,'LA List'!A:A,0))</f>
        <v>E3837</v>
      </c>
      <c r="C460" s="422" t="str">
        <f t="shared" si="131"/>
        <v>E3837EZ1</v>
      </c>
      <c r="D460" s="261" t="s">
        <v>473</v>
      </c>
      <c r="E460" s="261" t="s">
        <v>1166</v>
      </c>
      <c r="F460" s="261" t="s">
        <v>1166</v>
      </c>
      <c r="G460" s="577" t="s">
        <v>1166</v>
      </c>
      <c r="H460" s="577" t="s">
        <v>1166</v>
      </c>
      <c r="I460" s="577" t="s">
        <v>1166</v>
      </c>
      <c r="J460" s="577" t="str">
        <f t="shared" si="139"/>
        <v/>
      </c>
      <c r="K460" s="577" t="str">
        <f t="shared" si="140"/>
        <v/>
      </c>
      <c r="L460" s="577" t="str">
        <f t="shared" si="141"/>
        <v/>
      </c>
      <c r="M460" s="577" t="str">
        <f t="shared" si="142"/>
        <v/>
      </c>
      <c r="N460" s="564" t="s">
        <v>1166</v>
      </c>
      <c r="O460" s="577" t="s">
        <v>1166</v>
      </c>
      <c r="P460" s="577" t="s">
        <v>1166</v>
      </c>
      <c r="Q460" s="577" t="s">
        <v>1166</v>
      </c>
      <c r="R460" s="1604" t="str">
        <f t="shared" si="138"/>
        <v/>
      </c>
    </row>
    <row r="461" spans="1:18" s="261" customFormat="1" x14ac:dyDescent="0.2">
      <c r="A461" s="261">
        <f t="shared" si="137"/>
        <v>1</v>
      </c>
      <c r="B461" s="422" t="str">
        <f>INDEX('LA List'!B:B,MATCH('EZ list'!D461,'LA List'!A:A,0))</f>
        <v>E1838</v>
      </c>
      <c r="C461" s="422" t="str">
        <f t="shared" si="131"/>
        <v>E1838EZ1</v>
      </c>
      <c r="D461" s="261" t="s">
        <v>475</v>
      </c>
      <c r="E461" s="261" t="s">
        <v>1166</v>
      </c>
      <c r="F461" s="261" t="s">
        <v>1166</v>
      </c>
      <c r="G461" s="577" t="s">
        <v>1166</v>
      </c>
      <c r="H461" s="577" t="s">
        <v>1166</v>
      </c>
      <c r="I461" s="577" t="s">
        <v>1166</v>
      </c>
      <c r="J461" s="577" t="str">
        <f t="shared" si="139"/>
        <v/>
      </c>
      <c r="K461" s="577" t="str">
        <f t="shared" si="140"/>
        <v/>
      </c>
      <c r="L461" s="577" t="str">
        <f t="shared" si="141"/>
        <v/>
      </c>
      <c r="M461" s="577" t="str">
        <f t="shared" si="142"/>
        <v/>
      </c>
      <c r="N461" s="564" t="s">
        <v>1166</v>
      </c>
      <c r="O461" s="577" t="s">
        <v>1166</v>
      </c>
      <c r="P461" s="577" t="s">
        <v>1166</v>
      </c>
      <c r="Q461" s="577" t="s">
        <v>1166</v>
      </c>
      <c r="R461" s="1604" t="str">
        <f t="shared" si="138"/>
        <v/>
      </c>
    </row>
    <row r="462" spans="1:18" s="261" customFormat="1" x14ac:dyDescent="0.2">
      <c r="A462" s="261">
        <f t="shared" si="137"/>
        <v>1</v>
      </c>
      <c r="B462" s="422" t="str">
        <f>INDEX('LA List'!B:B,MATCH('EZ list'!D462,'LA List'!A:A,0))</f>
        <v>E2344</v>
      </c>
      <c r="C462" s="422" t="str">
        <f t="shared" si="131"/>
        <v>E2344EZ1</v>
      </c>
      <c r="D462" s="261" t="s">
        <v>477</v>
      </c>
      <c r="E462" s="261" t="s">
        <v>1139</v>
      </c>
      <c r="F462" s="261">
        <v>2016</v>
      </c>
      <c r="G462" s="577">
        <v>2412509</v>
      </c>
      <c r="H462" s="577">
        <v>2412509</v>
      </c>
      <c r="I462" s="577">
        <v>2484988</v>
      </c>
      <c r="J462" s="577">
        <f t="shared" si="139"/>
        <v>2541936</v>
      </c>
      <c r="K462" s="577">
        <f t="shared" si="140"/>
        <v>2583352</v>
      </c>
      <c r="L462" s="577">
        <f t="shared" si="141"/>
        <v>2583352</v>
      </c>
      <c r="M462" s="577">
        <f t="shared" si="142"/>
        <v>2583352</v>
      </c>
      <c r="N462" s="564">
        <v>3447878</v>
      </c>
      <c r="O462" s="577">
        <v>3447878</v>
      </c>
      <c r="P462" s="577" t="s">
        <v>1166</v>
      </c>
      <c r="Q462" s="577" t="s">
        <v>1166</v>
      </c>
      <c r="R462" s="1604">
        <f t="shared" si="138"/>
        <v>3447878</v>
      </c>
    </row>
    <row r="463" spans="1:18" s="261" customFormat="1" x14ac:dyDescent="0.2">
      <c r="A463" s="261">
        <f t="shared" si="137"/>
        <v>1</v>
      </c>
      <c r="B463" s="422" t="str">
        <f>INDEX('LA List'!B:B,MATCH('EZ list'!D463,'LA List'!A:A,0))</f>
        <v>E1839</v>
      </c>
      <c r="C463" s="422" t="str">
        <f t="shared" si="131"/>
        <v>E1839EZ1</v>
      </c>
      <c r="D463" s="261" t="s">
        <v>479</v>
      </c>
      <c r="E463" s="261" t="s">
        <v>1166</v>
      </c>
      <c r="F463" s="261" t="s">
        <v>1166</v>
      </c>
      <c r="G463" s="577" t="s">
        <v>1166</v>
      </c>
      <c r="H463" s="577" t="s">
        <v>1166</v>
      </c>
      <c r="I463" s="577" t="s">
        <v>1166</v>
      </c>
      <c r="J463" s="577" t="str">
        <f t="shared" si="139"/>
        <v/>
      </c>
      <c r="K463" s="577" t="str">
        <f t="shared" si="140"/>
        <v/>
      </c>
      <c r="L463" s="577" t="str">
        <f t="shared" si="141"/>
        <v/>
      </c>
      <c r="M463" s="577" t="str">
        <f t="shared" si="142"/>
        <v/>
      </c>
      <c r="N463" s="564" t="s">
        <v>1166</v>
      </c>
      <c r="O463" s="577" t="s">
        <v>1166</v>
      </c>
      <c r="P463" s="577" t="s">
        <v>1166</v>
      </c>
      <c r="Q463" s="577" t="s">
        <v>1166</v>
      </c>
      <c r="R463" s="1604" t="str">
        <f t="shared" si="138"/>
        <v/>
      </c>
    </row>
    <row r="464" spans="1:18" s="261" customFormat="1" x14ac:dyDescent="0.2">
      <c r="A464" s="261">
        <f t="shared" si="137"/>
        <v>1</v>
      </c>
      <c r="B464" s="422" t="str">
        <f>INDEX('LA List'!B:B,MATCH('EZ list'!D464,'LA List'!A:A,0))</f>
        <v>E2701</v>
      </c>
      <c r="C464" s="422" t="str">
        <f t="shared" si="131"/>
        <v>E2701EZ1</v>
      </c>
      <c r="D464" s="261" t="s">
        <v>481</v>
      </c>
      <c r="E464" s="261" t="s">
        <v>1140</v>
      </c>
      <c r="F464" s="261">
        <v>2017</v>
      </c>
      <c r="G464" s="577">
        <v>745853</v>
      </c>
      <c r="H464" s="577">
        <v>745853</v>
      </c>
      <c r="I464" s="577">
        <v>768261</v>
      </c>
      <c r="J464" s="577">
        <f t="shared" si="139"/>
        <v>785867</v>
      </c>
      <c r="K464" s="577">
        <f t="shared" si="140"/>
        <v>798671</v>
      </c>
      <c r="L464" s="577">
        <f t="shared" si="141"/>
        <v>798671</v>
      </c>
      <c r="M464" s="577">
        <f t="shared" si="142"/>
        <v>798671</v>
      </c>
      <c r="N464" s="564">
        <v>772395</v>
      </c>
      <c r="O464" s="577">
        <v>772395</v>
      </c>
      <c r="P464" s="577" t="s">
        <v>1166</v>
      </c>
      <c r="Q464" s="577" t="s">
        <v>1166</v>
      </c>
      <c r="R464" s="1604">
        <f t="shared" si="138"/>
        <v>772395</v>
      </c>
    </row>
    <row r="465" spans="2:11" s="261" customFormat="1" x14ac:dyDescent="0.2">
      <c r="B465" s="255"/>
      <c r="C465" s="255"/>
      <c r="G465" s="509"/>
      <c r="H465" s="509"/>
      <c r="I465" s="509"/>
      <c r="J465" s="509"/>
      <c r="K465"/>
    </row>
    <row r="466" spans="2:11" s="261" customFormat="1" x14ac:dyDescent="0.2">
      <c r="B466" s="255"/>
      <c r="C466" s="255"/>
      <c r="G466" s="509"/>
      <c r="H466" s="509"/>
      <c r="I466" s="509"/>
      <c r="J466" s="509"/>
      <c r="K466"/>
    </row>
    <row r="467" spans="2:11" s="261" customFormat="1" x14ac:dyDescent="0.2">
      <c r="B467" s="255"/>
      <c r="C467" s="255"/>
      <c r="G467" s="509"/>
      <c r="H467" s="509"/>
      <c r="I467" s="509"/>
      <c r="J467" s="509"/>
      <c r="K467"/>
    </row>
    <row r="468" spans="2:11" s="261" customFormat="1" x14ac:dyDescent="0.2">
      <c r="B468" s="255"/>
      <c r="C468" s="255"/>
      <c r="G468" s="509"/>
      <c r="H468" s="509"/>
      <c r="I468" s="509"/>
      <c r="J468" s="509"/>
      <c r="K468"/>
    </row>
    <row r="469" spans="2:11" s="261" customFormat="1" x14ac:dyDescent="0.2">
      <c r="B469" s="255"/>
      <c r="C469" s="255"/>
      <c r="G469" s="509"/>
      <c r="H469" s="509"/>
      <c r="I469" s="509"/>
      <c r="J469" s="509"/>
      <c r="K469"/>
    </row>
    <row r="470" spans="2:11" s="261" customFormat="1" x14ac:dyDescent="0.2">
      <c r="B470" s="255"/>
      <c r="C470" s="255"/>
      <c r="G470" s="509"/>
      <c r="H470" s="509"/>
      <c r="I470" s="509"/>
      <c r="J470" s="509"/>
      <c r="K470"/>
    </row>
    <row r="471" spans="2:11" s="261" customFormat="1" x14ac:dyDescent="0.2">
      <c r="B471" s="255"/>
      <c r="C471" s="255"/>
      <c r="G471" s="509"/>
      <c r="H471" s="509"/>
      <c r="I471" s="509"/>
      <c r="J471" s="509"/>
      <c r="K471"/>
    </row>
    <row r="472" spans="2:11" s="261" customFormat="1" x14ac:dyDescent="0.2">
      <c r="B472" s="255"/>
      <c r="C472" s="255"/>
      <c r="G472" s="509"/>
      <c r="H472" s="509"/>
      <c r="I472" s="509"/>
      <c r="J472" s="509"/>
      <c r="K472"/>
    </row>
    <row r="473" spans="2:11" s="261" customFormat="1" x14ac:dyDescent="0.2">
      <c r="B473" s="255"/>
      <c r="C473" s="255"/>
      <c r="G473" s="509"/>
      <c r="H473" s="509"/>
      <c r="I473" s="509"/>
      <c r="J473" s="509"/>
      <c r="K473"/>
    </row>
    <row r="474" spans="2:11" s="261" customFormat="1" x14ac:dyDescent="0.2">
      <c r="B474" s="255"/>
      <c r="C474" s="255"/>
      <c r="G474" s="509"/>
      <c r="H474" s="509"/>
      <c r="I474" s="509"/>
      <c r="J474" s="509"/>
      <c r="K474"/>
    </row>
    <row r="475" spans="2:11" s="261" customFormat="1" x14ac:dyDescent="0.2">
      <c r="B475" s="255"/>
      <c r="C475" s="255"/>
      <c r="G475" s="509"/>
      <c r="H475" s="509"/>
      <c r="I475" s="509"/>
      <c r="J475" s="509"/>
      <c r="K475"/>
    </row>
    <row r="476" spans="2:11" s="261" customFormat="1" x14ac:dyDescent="0.2">
      <c r="B476" s="255"/>
      <c r="C476" s="255"/>
      <c r="G476" s="509"/>
      <c r="H476" s="509"/>
      <c r="I476" s="509"/>
      <c r="J476" s="509"/>
      <c r="K476"/>
    </row>
    <row r="477" spans="2:11" s="261" customFormat="1" x14ac:dyDescent="0.2">
      <c r="B477" s="255"/>
      <c r="C477" s="255"/>
      <c r="G477" s="509"/>
      <c r="H477" s="509"/>
      <c r="I477" s="509"/>
      <c r="J477" s="509"/>
      <c r="K477"/>
    </row>
    <row r="478" spans="2:11" s="261" customFormat="1" x14ac:dyDescent="0.2">
      <c r="B478" s="255"/>
      <c r="C478" s="255"/>
      <c r="G478" s="509"/>
      <c r="H478" s="509"/>
      <c r="I478" s="509"/>
      <c r="J478" s="509"/>
      <c r="K478"/>
    </row>
    <row r="479" spans="2:11" s="261" customFormat="1" x14ac:dyDescent="0.2">
      <c r="B479" s="255"/>
      <c r="C479" s="255"/>
      <c r="G479" s="509"/>
      <c r="H479" s="509"/>
      <c r="I479" s="509"/>
      <c r="J479" s="509"/>
      <c r="K479"/>
    </row>
    <row r="480" spans="2:11" s="261" customFormat="1" x14ac:dyDescent="0.2">
      <c r="B480" s="255"/>
      <c r="C480" s="255"/>
      <c r="G480" s="509"/>
      <c r="H480" s="509"/>
      <c r="I480" s="509"/>
      <c r="J480" s="509"/>
      <c r="K480"/>
    </row>
    <row r="481" spans="2:11" s="261" customFormat="1" x14ac:dyDescent="0.2">
      <c r="B481" s="255"/>
      <c r="C481" s="255"/>
      <c r="G481" s="509"/>
      <c r="H481" s="509"/>
      <c r="I481" s="509"/>
      <c r="J481" s="509"/>
      <c r="K481"/>
    </row>
    <row r="482" spans="2:11" s="261" customFormat="1" x14ac:dyDescent="0.2">
      <c r="B482" s="255"/>
      <c r="C482" s="255"/>
      <c r="G482" s="509"/>
      <c r="H482" s="509"/>
      <c r="I482" s="509"/>
      <c r="J482" s="509"/>
      <c r="K482"/>
    </row>
    <row r="483" spans="2:11" s="261" customFormat="1" x14ac:dyDescent="0.2">
      <c r="B483" s="255"/>
      <c r="C483" s="255"/>
      <c r="G483" s="509"/>
      <c r="H483" s="509"/>
      <c r="I483" s="509"/>
      <c r="J483" s="509"/>
      <c r="K483"/>
    </row>
    <row r="484" spans="2:11" s="261" customFormat="1" x14ac:dyDescent="0.2">
      <c r="B484" s="255"/>
      <c r="C484" s="255"/>
      <c r="G484" s="509"/>
      <c r="H484" s="509"/>
      <c r="I484" s="509"/>
      <c r="J484" s="509"/>
      <c r="K484"/>
    </row>
    <row r="485" spans="2:11" s="261" customFormat="1" x14ac:dyDescent="0.2">
      <c r="B485" s="255"/>
      <c r="C485" s="255"/>
      <c r="G485" s="509"/>
      <c r="H485" s="509"/>
      <c r="I485" s="509"/>
      <c r="J485" s="509"/>
      <c r="K485"/>
    </row>
    <row r="486" spans="2:11" s="261" customFormat="1" x14ac:dyDescent="0.2">
      <c r="B486" s="255"/>
      <c r="C486" s="255"/>
      <c r="G486" s="509"/>
      <c r="H486" s="509"/>
      <c r="I486" s="509"/>
      <c r="J486" s="509"/>
      <c r="K486"/>
    </row>
    <row r="487" spans="2:11" s="261" customFormat="1" x14ac:dyDescent="0.2">
      <c r="B487" s="255"/>
      <c r="C487" s="255"/>
      <c r="G487" s="509"/>
      <c r="H487" s="509"/>
      <c r="I487" s="509"/>
      <c r="J487" s="509"/>
      <c r="K487"/>
    </row>
    <row r="488" spans="2:11" s="261" customFormat="1" x14ac:dyDescent="0.2">
      <c r="B488" s="255"/>
      <c r="C488" s="255"/>
      <c r="G488" s="509"/>
      <c r="H488" s="509"/>
      <c r="I488" s="509"/>
      <c r="J488" s="509"/>
      <c r="K488"/>
    </row>
    <row r="489" spans="2:11" s="261" customFormat="1" x14ac:dyDescent="0.2">
      <c r="B489" s="255"/>
      <c r="C489" s="255"/>
      <c r="G489" s="509"/>
      <c r="H489" s="509"/>
      <c r="I489" s="509"/>
      <c r="J489" s="509"/>
      <c r="K489"/>
    </row>
    <row r="490" spans="2:11" s="261" customFormat="1" x14ac:dyDescent="0.2">
      <c r="B490" s="255"/>
      <c r="C490" s="255"/>
      <c r="G490" s="509"/>
      <c r="H490" s="509"/>
      <c r="I490" s="509"/>
      <c r="J490" s="509"/>
      <c r="K490"/>
    </row>
    <row r="491" spans="2:11" s="261" customFormat="1" x14ac:dyDescent="0.2">
      <c r="B491" s="255"/>
      <c r="C491" s="255"/>
      <c r="G491" s="509"/>
      <c r="H491" s="509"/>
      <c r="I491" s="509"/>
      <c r="J491" s="509"/>
      <c r="K491"/>
    </row>
    <row r="492" spans="2:11" s="261" customFormat="1" x14ac:dyDescent="0.2">
      <c r="B492" s="255"/>
      <c r="C492" s="255"/>
      <c r="G492" s="509"/>
      <c r="H492" s="509"/>
      <c r="I492" s="509"/>
      <c r="J492" s="509"/>
      <c r="K492"/>
    </row>
    <row r="493" spans="2:11" s="261" customFormat="1" x14ac:dyDescent="0.2">
      <c r="B493" s="255"/>
      <c r="C493" s="255"/>
      <c r="G493" s="509"/>
      <c r="H493" s="509"/>
      <c r="I493" s="509"/>
      <c r="J493" s="509"/>
      <c r="K493"/>
    </row>
    <row r="494" spans="2:11" s="261" customFormat="1" x14ac:dyDescent="0.2">
      <c r="B494" s="255"/>
      <c r="C494" s="255"/>
      <c r="G494" s="509"/>
      <c r="H494" s="509"/>
      <c r="I494" s="509"/>
      <c r="J494" s="509"/>
      <c r="K494"/>
    </row>
    <row r="495" spans="2:11" s="261" customFormat="1" x14ac:dyDescent="0.2">
      <c r="B495" s="255"/>
      <c r="C495" s="255"/>
      <c r="G495" s="509"/>
      <c r="H495" s="509"/>
      <c r="I495" s="509"/>
      <c r="J495" s="509"/>
      <c r="K495"/>
    </row>
    <row r="496" spans="2:11" s="261" customFormat="1" x14ac:dyDescent="0.2">
      <c r="B496" s="255"/>
      <c r="C496" s="255"/>
      <c r="G496" s="509"/>
      <c r="H496" s="509"/>
      <c r="I496" s="509"/>
      <c r="J496" s="509"/>
      <c r="K496"/>
    </row>
    <row r="497" spans="2:11" s="261" customFormat="1" x14ac:dyDescent="0.2">
      <c r="B497" s="255"/>
      <c r="C497" s="255"/>
      <c r="G497" s="509"/>
      <c r="H497" s="509"/>
      <c r="I497" s="509"/>
      <c r="J497" s="509"/>
      <c r="K497"/>
    </row>
    <row r="498" spans="2:11" s="261" customFormat="1" x14ac:dyDescent="0.2">
      <c r="B498" s="255"/>
      <c r="C498" s="255"/>
      <c r="G498" s="509"/>
      <c r="H498" s="509"/>
      <c r="I498" s="509"/>
      <c r="J498" s="509"/>
      <c r="K498"/>
    </row>
    <row r="499" spans="2:11" s="261" customFormat="1" x14ac:dyDescent="0.2">
      <c r="B499" s="255"/>
      <c r="C499" s="255"/>
      <c r="G499" s="509"/>
      <c r="H499" s="509"/>
      <c r="I499" s="509"/>
      <c r="J499" s="509"/>
      <c r="K499"/>
    </row>
    <row r="500" spans="2:11" s="261" customFormat="1" x14ac:dyDescent="0.2">
      <c r="B500" s="255"/>
      <c r="C500" s="255"/>
      <c r="G500" s="509"/>
      <c r="H500" s="509"/>
      <c r="I500" s="509"/>
      <c r="J500" s="509"/>
      <c r="K500"/>
    </row>
    <row r="501" spans="2:11" s="261" customFormat="1" x14ac:dyDescent="0.2">
      <c r="B501" s="255"/>
      <c r="C501" s="255"/>
      <c r="G501" s="509"/>
      <c r="H501" s="509"/>
      <c r="I501" s="509"/>
      <c r="J501" s="509"/>
      <c r="K501"/>
    </row>
    <row r="502" spans="2:11" s="261" customFormat="1" x14ac:dyDescent="0.2">
      <c r="B502" s="255"/>
      <c r="C502" s="255"/>
      <c r="G502" s="509"/>
      <c r="H502" s="509"/>
      <c r="I502" s="509"/>
      <c r="J502" s="509"/>
      <c r="K502"/>
    </row>
    <row r="503" spans="2:11" s="261" customFormat="1" x14ac:dyDescent="0.2">
      <c r="B503" s="255"/>
      <c r="C503" s="255"/>
      <c r="G503" s="509"/>
      <c r="H503" s="509"/>
      <c r="I503" s="509"/>
      <c r="J503" s="509"/>
      <c r="K503"/>
    </row>
    <row r="504" spans="2:11" s="261" customFormat="1" x14ac:dyDescent="0.2">
      <c r="B504" s="255"/>
      <c r="C504" s="255"/>
      <c r="G504" s="509"/>
      <c r="H504" s="509"/>
      <c r="I504" s="509"/>
      <c r="J504" s="509"/>
      <c r="K504"/>
    </row>
    <row r="505" spans="2:11" s="261" customFormat="1" x14ac:dyDescent="0.2">
      <c r="B505" s="255"/>
      <c r="C505" s="255"/>
      <c r="G505" s="509"/>
      <c r="H505" s="509"/>
      <c r="I505" s="509"/>
      <c r="J505" s="509"/>
      <c r="K505"/>
    </row>
    <row r="506" spans="2:11" s="261" customFormat="1" x14ac:dyDescent="0.2">
      <c r="B506" s="255"/>
      <c r="C506" s="255"/>
      <c r="G506" s="509"/>
      <c r="H506" s="509"/>
      <c r="I506" s="509"/>
      <c r="J506" s="509"/>
      <c r="K506"/>
    </row>
    <row r="507" spans="2:11" s="261" customFormat="1" x14ac:dyDescent="0.2">
      <c r="B507" s="255"/>
      <c r="C507" s="255"/>
      <c r="G507" s="509"/>
      <c r="H507" s="509"/>
      <c r="I507" s="509"/>
      <c r="J507" s="509"/>
      <c r="K507"/>
    </row>
    <row r="508" spans="2:11" s="261" customFormat="1" x14ac:dyDescent="0.2">
      <c r="B508" s="255"/>
      <c r="C508" s="255"/>
      <c r="G508" s="509"/>
      <c r="H508" s="509"/>
      <c r="I508" s="509"/>
      <c r="J508" s="509"/>
      <c r="K508"/>
    </row>
    <row r="509" spans="2:11" s="261" customFormat="1" x14ac:dyDescent="0.2">
      <c r="B509" s="255"/>
      <c r="C509" s="255"/>
      <c r="G509" s="509"/>
      <c r="H509" s="509"/>
      <c r="I509" s="509"/>
      <c r="J509" s="509"/>
      <c r="K509"/>
    </row>
    <row r="510" spans="2:11" s="261" customFormat="1" x14ac:dyDescent="0.2">
      <c r="B510" s="255"/>
      <c r="C510" s="255"/>
      <c r="G510" s="509"/>
      <c r="H510" s="509"/>
      <c r="I510" s="509"/>
      <c r="J510" s="509"/>
      <c r="K510"/>
    </row>
    <row r="511" spans="2:11" s="261" customFormat="1" x14ac:dyDescent="0.2">
      <c r="B511" s="255"/>
      <c r="C511" s="255"/>
      <c r="G511" s="509"/>
      <c r="H511" s="509"/>
      <c r="I511" s="509"/>
      <c r="J511" s="509"/>
      <c r="K511"/>
    </row>
    <row r="512" spans="2:11" s="261" customFormat="1" x14ac:dyDescent="0.2">
      <c r="B512" s="255"/>
      <c r="C512" s="255"/>
      <c r="G512" s="509"/>
      <c r="H512" s="509"/>
      <c r="I512" s="509"/>
      <c r="J512" s="509"/>
      <c r="K512"/>
    </row>
    <row r="513" spans="2:11" s="261" customFormat="1" x14ac:dyDescent="0.2">
      <c r="B513" s="255"/>
      <c r="C513" s="255"/>
      <c r="G513" s="509"/>
      <c r="H513" s="509"/>
      <c r="I513" s="509"/>
      <c r="J513" s="509"/>
      <c r="K513"/>
    </row>
    <row r="514" spans="2:11" s="261" customFormat="1" x14ac:dyDescent="0.2">
      <c r="B514" s="255"/>
      <c r="C514" s="255"/>
      <c r="G514" s="509"/>
      <c r="H514" s="509"/>
      <c r="I514" s="509"/>
      <c r="J514" s="509"/>
      <c r="K514"/>
    </row>
    <row r="515" spans="2:11" s="261" customFormat="1" x14ac:dyDescent="0.2">
      <c r="B515" s="255"/>
      <c r="C515" s="255"/>
      <c r="G515" s="509"/>
      <c r="H515" s="509"/>
      <c r="I515" s="509"/>
      <c r="J515" s="509"/>
      <c r="K515"/>
    </row>
    <row r="516" spans="2:11" s="261" customFormat="1" x14ac:dyDescent="0.2">
      <c r="B516" s="255"/>
      <c r="C516" s="255"/>
      <c r="G516" s="509"/>
      <c r="H516" s="509"/>
      <c r="I516" s="509"/>
      <c r="J516" s="509"/>
      <c r="K516"/>
    </row>
    <row r="517" spans="2:11" s="261" customFormat="1" x14ac:dyDescent="0.2">
      <c r="B517" s="255"/>
      <c r="C517" s="255"/>
      <c r="G517" s="509"/>
      <c r="H517" s="509"/>
      <c r="I517" s="509"/>
      <c r="J517" s="509"/>
      <c r="K517"/>
    </row>
    <row r="518" spans="2:11" s="261" customFormat="1" x14ac:dyDescent="0.2">
      <c r="B518" s="255"/>
      <c r="C518" s="255"/>
      <c r="G518" s="509"/>
      <c r="H518" s="509"/>
      <c r="I518" s="509"/>
      <c r="J518" s="509"/>
      <c r="K518"/>
    </row>
    <row r="519" spans="2:11" s="261" customFormat="1" x14ac:dyDescent="0.2">
      <c r="B519" s="255"/>
      <c r="C519" s="255"/>
      <c r="G519" s="509"/>
      <c r="H519" s="509"/>
      <c r="I519" s="509"/>
      <c r="J519" s="509"/>
      <c r="K519"/>
    </row>
    <row r="520" spans="2:11" s="261" customFormat="1" x14ac:dyDescent="0.2">
      <c r="B520" s="255"/>
      <c r="C520" s="255"/>
      <c r="G520" s="509"/>
      <c r="H520" s="509"/>
      <c r="I520" s="509"/>
      <c r="J520" s="509"/>
      <c r="K520"/>
    </row>
    <row r="521" spans="2:11" s="261" customFormat="1" x14ac:dyDescent="0.2">
      <c r="B521" s="255"/>
      <c r="C521" s="255"/>
      <c r="G521" s="509"/>
      <c r="H521" s="509"/>
      <c r="I521" s="509"/>
      <c r="J521" s="509"/>
      <c r="K521"/>
    </row>
    <row r="522" spans="2:11" s="261" customFormat="1" x14ac:dyDescent="0.2">
      <c r="B522" s="255"/>
      <c r="C522" s="255"/>
      <c r="G522" s="509"/>
      <c r="H522" s="509"/>
      <c r="I522" s="509"/>
      <c r="J522" s="509"/>
      <c r="K522"/>
    </row>
    <row r="523" spans="2:11" s="261" customFormat="1" x14ac:dyDescent="0.2">
      <c r="B523" s="255"/>
      <c r="C523" s="255"/>
      <c r="G523" s="509"/>
      <c r="H523" s="509"/>
      <c r="I523" s="509"/>
      <c r="J523" s="509"/>
      <c r="K523"/>
    </row>
    <row r="524" spans="2:11" s="261" customFormat="1" x14ac:dyDescent="0.2">
      <c r="B524" s="255"/>
      <c r="C524" s="255"/>
      <c r="G524" s="509"/>
      <c r="H524" s="509"/>
      <c r="I524" s="509"/>
      <c r="J524" s="509"/>
      <c r="K524"/>
    </row>
    <row r="525" spans="2:11" s="261" customFormat="1" x14ac:dyDescent="0.2">
      <c r="B525" s="255"/>
      <c r="C525" s="255"/>
      <c r="G525" s="509"/>
      <c r="H525" s="509"/>
      <c r="I525" s="509"/>
      <c r="J525" s="509"/>
      <c r="K525"/>
    </row>
    <row r="526" spans="2:11" s="261" customFormat="1" x14ac:dyDescent="0.2">
      <c r="B526" s="255"/>
      <c r="C526" s="255"/>
      <c r="G526" s="509"/>
      <c r="H526" s="509"/>
      <c r="I526" s="509"/>
      <c r="J526" s="509"/>
      <c r="K526"/>
    </row>
    <row r="527" spans="2:11" s="261" customFormat="1" x14ac:dyDescent="0.2">
      <c r="B527" s="255"/>
      <c r="C527" s="255"/>
      <c r="G527" s="509"/>
      <c r="H527" s="509"/>
      <c r="I527" s="509"/>
      <c r="J527" s="509"/>
      <c r="K527"/>
    </row>
    <row r="528" spans="2:11" s="261" customFormat="1" x14ac:dyDescent="0.2">
      <c r="B528" s="255"/>
      <c r="C528" s="255"/>
      <c r="G528" s="509"/>
      <c r="H528" s="509"/>
      <c r="I528" s="509"/>
      <c r="J528" s="509"/>
      <c r="K528"/>
    </row>
    <row r="529" spans="2:11" s="261" customFormat="1" x14ac:dyDescent="0.2">
      <c r="B529" s="255"/>
      <c r="C529" s="255"/>
      <c r="G529" s="509"/>
      <c r="H529" s="509"/>
      <c r="I529" s="509"/>
      <c r="J529" s="509"/>
      <c r="K529"/>
    </row>
    <row r="530" spans="2:11" s="261" customFormat="1" x14ac:dyDescent="0.2">
      <c r="B530" s="255"/>
      <c r="C530" s="255"/>
      <c r="G530" s="509"/>
      <c r="H530" s="509"/>
      <c r="I530" s="509"/>
      <c r="J530" s="509"/>
      <c r="K530"/>
    </row>
    <row r="531" spans="2:11" s="261" customFormat="1" x14ac:dyDescent="0.2">
      <c r="B531" s="255"/>
      <c r="C531" s="255"/>
      <c r="G531" s="509"/>
      <c r="H531" s="509"/>
      <c r="I531" s="509"/>
      <c r="J531" s="509"/>
      <c r="K531"/>
    </row>
    <row r="532" spans="2:11" s="261" customFormat="1" x14ac:dyDescent="0.2">
      <c r="B532" s="255"/>
      <c r="C532" s="255"/>
      <c r="G532" s="509"/>
      <c r="H532" s="509"/>
      <c r="I532" s="509"/>
      <c r="J532" s="509"/>
      <c r="K532"/>
    </row>
    <row r="533" spans="2:11" s="261" customFormat="1" x14ac:dyDescent="0.2">
      <c r="B533" s="255"/>
      <c r="C533" s="255"/>
      <c r="G533" s="509"/>
      <c r="H533" s="509"/>
      <c r="I533" s="509"/>
      <c r="J533" s="509"/>
      <c r="K533"/>
    </row>
    <row r="534" spans="2:11" s="261" customFormat="1" x14ac:dyDescent="0.2">
      <c r="B534" s="255"/>
      <c r="C534" s="255"/>
      <c r="G534" s="509"/>
      <c r="H534" s="509"/>
      <c r="I534" s="509"/>
      <c r="J534" s="509"/>
      <c r="K534"/>
    </row>
    <row r="535" spans="2:11" s="261" customFormat="1" x14ac:dyDescent="0.2">
      <c r="B535" s="255"/>
      <c r="C535" s="255"/>
      <c r="G535" s="509"/>
      <c r="H535" s="509"/>
      <c r="I535" s="509"/>
      <c r="J535" s="509"/>
      <c r="K535"/>
    </row>
    <row r="536" spans="2:11" s="261" customFormat="1" x14ac:dyDescent="0.2">
      <c r="B536" s="255"/>
      <c r="C536" s="255"/>
      <c r="G536" s="509"/>
      <c r="H536" s="509"/>
      <c r="I536" s="509"/>
      <c r="J536" s="509"/>
      <c r="K536"/>
    </row>
    <row r="537" spans="2:11" s="261" customFormat="1" x14ac:dyDescent="0.2">
      <c r="B537" s="255"/>
      <c r="C537" s="255"/>
      <c r="G537" s="509"/>
      <c r="H537" s="509"/>
      <c r="I537" s="509"/>
      <c r="J537" s="509"/>
      <c r="K537"/>
    </row>
    <row r="538" spans="2:11" s="261" customFormat="1" x14ac:dyDescent="0.2">
      <c r="B538" s="255"/>
      <c r="C538" s="255"/>
      <c r="G538" s="509"/>
      <c r="H538" s="509"/>
      <c r="I538" s="509"/>
      <c r="J538" s="509"/>
      <c r="K538"/>
    </row>
    <row r="539" spans="2:11" s="261" customFormat="1" x14ac:dyDescent="0.2">
      <c r="B539" s="255"/>
      <c r="C539" s="255"/>
      <c r="G539" s="509"/>
      <c r="H539" s="509"/>
      <c r="I539" s="509"/>
      <c r="J539" s="509"/>
      <c r="K539"/>
    </row>
    <row r="540" spans="2:11" s="261" customFormat="1" x14ac:dyDescent="0.2">
      <c r="B540" s="255"/>
      <c r="C540" s="255"/>
      <c r="G540" s="509"/>
      <c r="H540" s="509"/>
      <c r="I540" s="509"/>
      <c r="J540" s="509"/>
      <c r="K540"/>
    </row>
    <row r="541" spans="2:11" s="261" customFormat="1" x14ac:dyDescent="0.2">
      <c r="B541" s="255"/>
      <c r="C541" s="255"/>
      <c r="G541" s="509"/>
      <c r="H541" s="509"/>
      <c r="I541" s="509"/>
      <c r="J541" s="509"/>
      <c r="K541"/>
    </row>
    <row r="542" spans="2:11" s="261" customFormat="1" x14ac:dyDescent="0.2">
      <c r="B542" s="255"/>
      <c r="C542" s="255"/>
      <c r="G542" s="509"/>
      <c r="H542" s="509"/>
      <c r="I542" s="509"/>
      <c r="J542" s="509"/>
      <c r="K542"/>
    </row>
    <row r="543" spans="2:11" s="261" customFormat="1" x14ac:dyDescent="0.2">
      <c r="B543" s="255"/>
      <c r="C543" s="255"/>
      <c r="G543" s="509"/>
      <c r="H543" s="509"/>
      <c r="I543" s="509"/>
      <c r="J543" s="509"/>
      <c r="K543"/>
    </row>
    <row r="544" spans="2:11" s="261" customFormat="1" x14ac:dyDescent="0.2">
      <c r="B544" s="255"/>
      <c r="C544" s="255"/>
      <c r="G544" s="509"/>
      <c r="H544" s="509"/>
      <c r="I544" s="509"/>
      <c r="J544" s="509"/>
      <c r="K544"/>
    </row>
    <row r="545" spans="2:11" s="261" customFormat="1" x14ac:dyDescent="0.2">
      <c r="B545" s="255"/>
      <c r="C545" s="255"/>
      <c r="G545" s="509"/>
      <c r="H545" s="509"/>
      <c r="I545" s="509"/>
      <c r="J545" s="509"/>
      <c r="K545"/>
    </row>
    <row r="546" spans="2:11" s="261" customFormat="1" x14ac:dyDescent="0.2">
      <c r="B546" s="255"/>
      <c r="C546" s="255"/>
      <c r="G546" s="509"/>
      <c r="H546" s="509"/>
      <c r="I546" s="509"/>
      <c r="J546" s="509"/>
      <c r="K546"/>
    </row>
    <row r="547" spans="2:11" s="261" customFormat="1" x14ac:dyDescent="0.2">
      <c r="B547" s="255"/>
      <c r="C547" s="255"/>
      <c r="G547" s="509"/>
      <c r="H547" s="509"/>
      <c r="I547" s="509"/>
      <c r="J547" s="509"/>
      <c r="K547"/>
    </row>
    <row r="548" spans="2:11" s="261" customFormat="1" x14ac:dyDescent="0.2">
      <c r="B548" s="255"/>
      <c r="C548" s="255"/>
      <c r="G548" s="509"/>
      <c r="H548" s="509"/>
      <c r="I548" s="509"/>
      <c r="J548" s="509"/>
      <c r="K548"/>
    </row>
    <row r="549" spans="2:11" s="261" customFormat="1" x14ac:dyDescent="0.2">
      <c r="B549" s="255"/>
      <c r="C549" s="255"/>
      <c r="G549" s="509"/>
      <c r="H549" s="509"/>
      <c r="I549" s="509"/>
      <c r="J549" s="509"/>
      <c r="K549"/>
    </row>
    <row r="550" spans="2:11" s="261" customFormat="1" x14ac:dyDescent="0.2">
      <c r="B550" s="255"/>
      <c r="C550" s="255"/>
      <c r="G550" s="509"/>
      <c r="H550" s="509"/>
      <c r="I550" s="509"/>
      <c r="J550" s="509"/>
      <c r="K550"/>
    </row>
    <row r="551" spans="2:11" s="261" customFormat="1" x14ac:dyDescent="0.2">
      <c r="B551" s="255"/>
      <c r="C551" s="255"/>
      <c r="G551" s="509"/>
      <c r="H551" s="509"/>
      <c r="I551" s="509"/>
      <c r="J551" s="509"/>
      <c r="K551"/>
    </row>
    <row r="552" spans="2:11" s="261" customFormat="1" x14ac:dyDescent="0.2">
      <c r="B552" s="255"/>
      <c r="C552" s="255"/>
      <c r="G552" s="509"/>
      <c r="H552" s="509"/>
      <c r="I552" s="509"/>
      <c r="J552" s="509"/>
      <c r="K552"/>
    </row>
    <row r="553" spans="2:11" s="261" customFormat="1" x14ac:dyDescent="0.2">
      <c r="B553" s="255"/>
      <c r="C553" s="255"/>
      <c r="G553" s="509"/>
      <c r="H553" s="509"/>
      <c r="I553" s="509"/>
      <c r="J553" s="509"/>
      <c r="K553"/>
    </row>
  </sheetData>
  <autoFilter ref="A3:AI464" xr:uid="{00000000-0001-0000-0A00-000000000000}"/>
  <phoneticPr fontId="7" type="noConversion"/>
  <pageMargins left="0.75" right="0.75" top="1" bottom="1" header="0.5" footer="0.5"/>
  <pageSetup paperSize="9" scale="81" fitToHeight="0" orientation="portrait" r:id="rId1"/>
  <headerFooter alignWithMargins="0">
    <oddHeader>&amp;C&amp;"Calibri"&amp;10&amp;K000000 OFFICIAL&amp;1#_x000D_</oddHeader>
    <oddFooter>&amp;C_x000D_&amp;1#&amp;"Calibri"&amp;10&amp;K000000 OFFICIAL</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pageSetUpPr autoPageBreaks="0"/>
  </sheetPr>
  <dimension ref="A1:CB298"/>
  <sheetViews>
    <sheetView workbookViewId="0">
      <selection activeCell="CG11" sqref="CG11"/>
    </sheetView>
  </sheetViews>
  <sheetFormatPr defaultRowHeight="12.75" x14ac:dyDescent="0.2"/>
  <cols>
    <col min="1" max="1" width="24.42578125" customWidth="1"/>
    <col min="3" max="3" width="29.28515625" customWidth="1"/>
    <col min="80" max="80" width="6" hidden="1" customWidth="1"/>
  </cols>
  <sheetData>
    <row r="1" spans="1:80" x14ac:dyDescent="0.2">
      <c r="A1" s="672" t="s">
        <v>943</v>
      </c>
      <c r="CB1" s="137" t="s">
        <v>975</v>
      </c>
    </row>
    <row r="2" spans="1:80" x14ac:dyDescent="0.2">
      <c r="B2" t="s">
        <v>942</v>
      </c>
    </row>
    <row r="3" spans="1:80" x14ac:dyDescent="0.2">
      <c r="A3" t="s">
        <v>719</v>
      </c>
      <c r="B3" t="s">
        <v>720</v>
      </c>
      <c r="C3" t="s">
        <v>719</v>
      </c>
    </row>
    <row r="4" spans="1:80" x14ac:dyDescent="0.2">
      <c r="A4" t="s">
        <v>721</v>
      </c>
      <c r="B4" t="s">
        <v>722</v>
      </c>
      <c r="C4" t="s">
        <v>721</v>
      </c>
    </row>
    <row r="5" spans="1:80" x14ac:dyDescent="0.2">
      <c r="A5" t="s">
        <v>723</v>
      </c>
      <c r="B5" t="s">
        <v>724</v>
      </c>
      <c r="C5" t="s">
        <v>723</v>
      </c>
    </row>
    <row r="6" spans="1:80" x14ac:dyDescent="0.2">
      <c r="A6" t="s">
        <v>725</v>
      </c>
      <c r="B6" t="s">
        <v>726</v>
      </c>
      <c r="C6" t="s">
        <v>725</v>
      </c>
    </row>
    <row r="7" spans="1:80" x14ac:dyDescent="0.2">
      <c r="A7" t="s">
        <v>727</v>
      </c>
      <c r="B7" t="s">
        <v>728</v>
      </c>
      <c r="C7" t="s">
        <v>727</v>
      </c>
    </row>
    <row r="8" spans="1:80" x14ac:dyDescent="0.2">
      <c r="A8" t="s">
        <v>729</v>
      </c>
      <c r="B8" t="s">
        <v>730</v>
      </c>
      <c r="C8" t="s">
        <v>729</v>
      </c>
    </row>
    <row r="9" spans="1:80" x14ac:dyDescent="0.2">
      <c r="A9" t="s">
        <v>731</v>
      </c>
      <c r="B9" t="s">
        <v>732</v>
      </c>
      <c r="C9" t="s">
        <v>731</v>
      </c>
    </row>
    <row r="10" spans="1:80" x14ac:dyDescent="0.2">
      <c r="A10" t="s">
        <v>733</v>
      </c>
      <c r="B10" t="s">
        <v>734</v>
      </c>
      <c r="C10" t="s">
        <v>733</v>
      </c>
    </row>
    <row r="11" spans="1:80" x14ac:dyDescent="0.2">
      <c r="A11" t="s">
        <v>735</v>
      </c>
      <c r="B11" t="s">
        <v>736</v>
      </c>
      <c r="C11" t="s">
        <v>735</v>
      </c>
    </row>
    <row r="12" spans="1:80" x14ac:dyDescent="0.2">
      <c r="A12" t="s">
        <v>737</v>
      </c>
      <c r="B12" t="s">
        <v>738</v>
      </c>
      <c r="C12" t="s">
        <v>737</v>
      </c>
    </row>
    <row r="13" spans="1:80" x14ac:dyDescent="0.2">
      <c r="A13" t="s">
        <v>739</v>
      </c>
      <c r="B13" t="s">
        <v>740</v>
      </c>
      <c r="C13" t="s">
        <v>739</v>
      </c>
    </row>
    <row r="14" spans="1:80" x14ac:dyDescent="0.2">
      <c r="A14" t="s">
        <v>741</v>
      </c>
      <c r="B14" t="s">
        <v>742</v>
      </c>
      <c r="C14" t="s">
        <v>741</v>
      </c>
    </row>
    <row r="15" spans="1:80" x14ac:dyDescent="0.2">
      <c r="A15" t="s">
        <v>743</v>
      </c>
      <c r="B15" t="s">
        <v>744</v>
      </c>
      <c r="C15" t="s">
        <v>743</v>
      </c>
    </row>
    <row r="16" spans="1:80" x14ac:dyDescent="0.2">
      <c r="A16" t="s">
        <v>745</v>
      </c>
      <c r="B16" t="s">
        <v>746</v>
      </c>
      <c r="C16" t="s">
        <v>745</v>
      </c>
    </row>
    <row r="17" spans="1:3" x14ac:dyDescent="0.2">
      <c r="A17" t="s">
        <v>747</v>
      </c>
      <c r="B17" t="s">
        <v>748</v>
      </c>
      <c r="C17" t="s">
        <v>747</v>
      </c>
    </row>
    <row r="18" spans="1:3" x14ac:dyDescent="0.2">
      <c r="A18" t="s">
        <v>749</v>
      </c>
      <c r="B18" t="s">
        <v>750</v>
      </c>
      <c r="C18" t="s">
        <v>749</v>
      </c>
    </row>
    <row r="19" spans="1:3" x14ac:dyDescent="0.2">
      <c r="A19" t="s">
        <v>751</v>
      </c>
      <c r="B19" t="s">
        <v>752</v>
      </c>
      <c r="C19" t="s">
        <v>751</v>
      </c>
    </row>
    <row r="20" spans="1:3" x14ac:dyDescent="0.2">
      <c r="A20" t="s">
        <v>753</v>
      </c>
      <c r="B20" t="s">
        <v>754</v>
      </c>
      <c r="C20" t="s">
        <v>753</v>
      </c>
    </row>
    <row r="21" spans="1:3" x14ac:dyDescent="0.2">
      <c r="A21" t="s">
        <v>755</v>
      </c>
      <c r="B21" t="s">
        <v>756</v>
      </c>
      <c r="C21" t="s">
        <v>755</v>
      </c>
    </row>
    <row r="22" spans="1:3" x14ac:dyDescent="0.2">
      <c r="A22" t="s">
        <v>757</v>
      </c>
      <c r="B22" t="s">
        <v>758</v>
      </c>
      <c r="C22" t="s">
        <v>757</v>
      </c>
    </row>
    <row r="23" spans="1:3" x14ac:dyDescent="0.2">
      <c r="A23" t="s">
        <v>759</v>
      </c>
      <c r="B23" t="s">
        <v>760</v>
      </c>
      <c r="C23" t="s">
        <v>759</v>
      </c>
    </row>
    <row r="24" spans="1:3" x14ac:dyDescent="0.2">
      <c r="A24" t="s">
        <v>761</v>
      </c>
      <c r="B24" t="s">
        <v>762</v>
      </c>
      <c r="C24" t="s">
        <v>761</v>
      </c>
    </row>
    <row r="25" spans="1:3" x14ac:dyDescent="0.2">
      <c r="A25" s="137" t="s">
        <v>1193</v>
      </c>
      <c r="B25" s="137" t="s">
        <v>1178</v>
      </c>
      <c r="C25" s="137" t="s">
        <v>1193</v>
      </c>
    </row>
    <row r="26" spans="1:3" x14ac:dyDescent="0.2">
      <c r="A26" t="s">
        <v>763</v>
      </c>
      <c r="B26" t="s">
        <v>764</v>
      </c>
      <c r="C26" t="s">
        <v>763</v>
      </c>
    </row>
    <row r="27" spans="1:3" x14ac:dyDescent="0.2">
      <c r="A27" t="s">
        <v>765</v>
      </c>
      <c r="B27" t="s">
        <v>766</v>
      </c>
      <c r="C27" t="s">
        <v>765</v>
      </c>
    </row>
    <row r="28" spans="1:3" x14ac:dyDescent="0.2">
      <c r="A28" t="s">
        <v>767</v>
      </c>
      <c r="B28" t="s">
        <v>768</v>
      </c>
      <c r="C28" t="s">
        <v>767</v>
      </c>
    </row>
    <row r="29" spans="1:3" x14ac:dyDescent="0.2">
      <c r="A29" t="s">
        <v>769</v>
      </c>
      <c r="B29" t="s">
        <v>770</v>
      </c>
      <c r="C29" t="s">
        <v>769</v>
      </c>
    </row>
    <row r="30" spans="1:3" x14ac:dyDescent="0.2">
      <c r="A30" t="s">
        <v>771</v>
      </c>
      <c r="B30" t="s">
        <v>772</v>
      </c>
      <c r="C30" t="s">
        <v>771</v>
      </c>
    </row>
    <row r="31" spans="1:3" x14ac:dyDescent="0.2">
      <c r="A31" t="s">
        <v>773</v>
      </c>
      <c r="B31" t="s">
        <v>774</v>
      </c>
      <c r="C31" t="s">
        <v>773</v>
      </c>
    </row>
    <row r="32" spans="1:3" x14ac:dyDescent="0.2">
      <c r="A32" t="s">
        <v>775</v>
      </c>
      <c r="B32" t="s">
        <v>776</v>
      </c>
      <c r="C32" t="s">
        <v>775</v>
      </c>
    </row>
    <row r="33" spans="1:3" x14ac:dyDescent="0.2">
      <c r="A33" t="s">
        <v>777</v>
      </c>
      <c r="B33" t="s">
        <v>778</v>
      </c>
      <c r="C33" t="s">
        <v>777</v>
      </c>
    </row>
    <row r="34" spans="1:3" x14ac:dyDescent="0.2">
      <c r="A34" t="s">
        <v>779</v>
      </c>
      <c r="B34" t="s">
        <v>780</v>
      </c>
      <c r="C34" t="s">
        <v>779</v>
      </c>
    </row>
    <row r="35" spans="1:3" x14ac:dyDescent="0.2">
      <c r="A35" t="s">
        <v>781</v>
      </c>
      <c r="B35" t="s">
        <v>782</v>
      </c>
      <c r="C35" t="s">
        <v>781</v>
      </c>
    </row>
    <row r="36" spans="1:3" x14ac:dyDescent="0.2">
      <c r="A36" t="s">
        <v>783</v>
      </c>
      <c r="B36" t="s">
        <v>784</v>
      </c>
      <c r="C36" t="s">
        <v>783</v>
      </c>
    </row>
    <row r="37" spans="1:3" x14ac:dyDescent="0.2">
      <c r="A37" t="s">
        <v>785</v>
      </c>
      <c r="B37" t="s">
        <v>786</v>
      </c>
      <c r="C37" t="s">
        <v>785</v>
      </c>
    </row>
    <row r="38" spans="1:3" x14ac:dyDescent="0.2">
      <c r="A38" t="s">
        <v>787</v>
      </c>
      <c r="B38" t="s">
        <v>788</v>
      </c>
      <c r="C38" t="s">
        <v>787</v>
      </c>
    </row>
    <row r="39" spans="1:3" x14ac:dyDescent="0.2">
      <c r="A39" s="137" t="s">
        <v>1212</v>
      </c>
      <c r="B39" s="137" t="s">
        <v>1213</v>
      </c>
      <c r="C39" s="137" t="s">
        <v>1212</v>
      </c>
    </row>
    <row r="40" spans="1:3" x14ac:dyDescent="0.2">
      <c r="A40" t="s">
        <v>789</v>
      </c>
      <c r="B40" t="s">
        <v>790</v>
      </c>
      <c r="C40" t="s">
        <v>789</v>
      </c>
    </row>
    <row r="41" spans="1:3" x14ac:dyDescent="0.2">
      <c r="A41" t="s">
        <v>791</v>
      </c>
      <c r="B41" t="s">
        <v>792</v>
      </c>
      <c r="C41" t="s">
        <v>791</v>
      </c>
    </row>
    <row r="42" spans="1:3" x14ac:dyDescent="0.2">
      <c r="A42" t="s">
        <v>793</v>
      </c>
      <c r="B42" t="s">
        <v>794</v>
      </c>
      <c r="C42" t="s">
        <v>793</v>
      </c>
    </row>
    <row r="43" spans="1:3" x14ac:dyDescent="0.2">
      <c r="A43" t="s">
        <v>795</v>
      </c>
      <c r="B43" t="s">
        <v>796</v>
      </c>
      <c r="C43" t="s">
        <v>795</v>
      </c>
    </row>
    <row r="44" spans="1:3" x14ac:dyDescent="0.2">
      <c r="A44" t="s">
        <v>797</v>
      </c>
      <c r="B44" t="s">
        <v>798</v>
      </c>
      <c r="C44" t="s">
        <v>797</v>
      </c>
    </row>
    <row r="45" spans="1:3" x14ac:dyDescent="0.2">
      <c r="A45" t="s">
        <v>799</v>
      </c>
      <c r="B45" t="s">
        <v>800</v>
      </c>
      <c r="C45" t="s">
        <v>799</v>
      </c>
    </row>
    <row r="46" spans="1:3" x14ac:dyDescent="0.2">
      <c r="A46" t="s">
        <v>801</v>
      </c>
      <c r="B46" t="s">
        <v>802</v>
      </c>
      <c r="C46" t="s">
        <v>801</v>
      </c>
    </row>
    <row r="47" spans="1:3" x14ac:dyDescent="0.2">
      <c r="A47" t="s">
        <v>803</v>
      </c>
      <c r="B47" t="s">
        <v>804</v>
      </c>
      <c r="C47" t="s">
        <v>803</v>
      </c>
    </row>
    <row r="48" spans="1:3" x14ac:dyDescent="0.2">
      <c r="A48" t="s">
        <v>805</v>
      </c>
      <c r="B48" t="s">
        <v>806</v>
      </c>
      <c r="C48" t="s">
        <v>805</v>
      </c>
    </row>
    <row r="49" spans="1:3" x14ac:dyDescent="0.2">
      <c r="A49" t="s">
        <v>807</v>
      </c>
      <c r="B49" t="s">
        <v>808</v>
      </c>
      <c r="C49" t="s">
        <v>807</v>
      </c>
    </row>
    <row r="50" spans="1:3" x14ac:dyDescent="0.2">
      <c r="A50" t="s">
        <v>809</v>
      </c>
      <c r="B50" t="s">
        <v>810</v>
      </c>
      <c r="C50" t="s">
        <v>809</v>
      </c>
    </row>
    <row r="51" spans="1:3" x14ac:dyDescent="0.2">
      <c r="A51" t="s">
        <v>811</v>
      </c>
      <c r="B51" t="s">
        <v>812</v>
      </c>
      <c r="C51" t="s">
        <v>811</v>
      </c>
    </row>
    <row r="52" spans="1:3" x14ac:dyDescent="0.2">
      <c r="A52" t="s">
        <v>813</v>
      </c>
      <c r="B52" t="s">
        <v>814</v>
      </c>
      <c r="C52" t="s">
        <v>813</v>
      </c>
    </row>
    <row r="53" spans="1:3" x14ac:dyDescent="0.2">
      <c r="A53" t="s">
        <v>815</v>
      </c>
      <c r="B53" t="s">
        <v>816</v>
      </c>
      <c r="C53" t="s">
        <v>815</v>
      </c>
    </row>
    <row r="54" spans="1:3" x14ac:dyDescent="0.2">
      <c r="A54" t="s">
        <v>539</v>
      </c>
      <c r="B54" t="s">
        <v>817</v>
      </c>
      <c r="C54" t="s">
        <v>539</v>
      </c>
    </row>
    <row r="55" spans="1:3" x14ac:dyDescent="0.2">
      <c r="A55" t="s">
        <v>818</v>
      </c>
      <c r="B55" t="s">
        <v>819</v>
      </c>
      <c r="C55" t="s">
        <v>818</v>
      </c>
    </row>
    <row r="56" spans="1:3" x14ac:dyDescent="0.2">
      <c r="A56" t="s">
        <v>820</v>
      </c>
      <c r="B56" t="s">
        <v>821</v>
      </c>
      <c r="C56" t="s">
        <v>820</v>
      </c>
    </row>
    <row r="57" spans="1:3" x14ac:dyDescent="0.2">
      <c r="A57" t="s">
        <v>822</v>
      </c>
      <c r="B57" t="s">
        <v>823</v>
      </c>
      <c r="C57" t="s">
        <v>822</v>
      </c>
    </row>
    <row r="58" spans="1:3" x14ac:dyDescent="0.2">
      <c r="A58" t="s">
        <v>824</v>
      </c>
      <c r="B58" t="s">
        <v>0</v>
      </c>
      <c r="C58" t="s">
        <v>824</v>
      </c>
    </row>
    <row r="59" spans="1:3" x14ac:dyDescent="0.2">
      <c r="A59" t="s">
        <v>1</v>
      </c>
      <c r="B59" t="s">
        <v>2</v>
      </c>
      <c r="C59" t="s">
        <v>1</v>
      </c>
    </row>
    <row r="60" spans="1:3" x14ac:dyDescent="0.2">
      <c r="A60" t="s">
        <v>3</v>
      </c>
      <c r="B60" t="s">
        <v>4</v>
      </c>
      <c r="C60" t="s">
        <v>3</v>
      </c>
    </row>
    <row r="61" spans="1:3" x14ac:dyDescent="0.2">
      <c r="A61" t="s">
        <v>5</v>
      </c>
      <c r="B61" t="s">
        <v>6</v>
      </c>
      <c r="C61" t="s">
        <v>5</v>
      </c>
    </row>
    <row r="62" spans="1:3" x14ac:dyDescent="0.2">
      <c r="A62" t="s">
        <v>7</v>
      </c>
      <c r="B62" t="s">
        <v>8</v>
      </c>
      <c r="C62" t="s">
        <v>7</v>
      </c>
    </row>
    <row r="63" spans="1:3" x14ac:dyDescent="0.2">
      <c r="A63" t="s">
        <v>9</v>
      </c>
      <c r="B63" t="s">
        <v>10</v>
      </c>
      <c r="C63" t="s">
        <v>9</v>
      </c>
    </row>
    <row r="64" spans="1:3" x14ac:dyDescent="0.2">
      <c r="A64" t="s">
        <v>11</v>
      </c>
      <c r="B64" t="s">
        <v>12</v>
      </c>
      <c r="C64" t="s">
        <v>11</v>
      </c>
    </row>
    <row r="65" spans="1:3" x14ac:dyDescent="0.2">
      <c r="A65" s="137" t="s">
        <v>2308</v>
      </c>
      <c r="B65" s="137" t="s">
        <v>2333</v>
      </c>
      <c r="C65" s="137" t="s">
        <v>2308</v>
      </c>
    </row>
    <row r="66" spans="1:3" x14ac:dyDescent="0.2">
      <c r="A66" t="s">
        <v>13</v>
      </c>
      <c r="B66" t="s">
        <v>14</v>
      </c>
      <c r="C66" t="s">
        <v>13</v>
      </c>
    </row>
    <row r="67" spans="1:3" x14ac:dyDescent="0.2">
      <c r="A67" t="s">
        <v>15</v>
      </c>
      <c r="B67" t="s">
        <v>16</v>
      </c>
      <c r="C67" t="s">
        <v>15</v>
      </c>
    </row>
    <row r="68" spans="1:3" x14ac:dyDescent="0.2">
      <c r="A68" t="s">
        <v>17</v>
      </c>
      <c r="B68" t="s">
        <v>18</v>
      </c>
      <c r="C68" t="s">
        <v>17</v>
      </c>
    </row>
    <row r="69" spans="1:3" x14ac:dyDescent="0.2">
      <c r="A69" t="s">
        <v>19</v>
      </c>
      <c r="B69" t="s">
        <v>20</v>
      </c>
      <c r="C69" t="s">
        <v>19</v>
      </c>
    </row>
    <row r="70" spans="1:3" x14ac:dyDescent="0.2">
      <c r="A70" t="s">
        <v>21</v>
      </c>
      <c r="B70" t="s">
        <v>22</v>
      </c>
      <c r="C70" t="s">
        <v>21</v>
      </c>
    </row>
    <row r="71" spans="1:3" x14ac:dyDescent="0.2">
      <c r="A71" t="s">
        <v>23</v>
      </c>
      <c r="B71" t="s">
        <v>24</v>
      </c>
      <c r="C71" t="s">
        <v>23</v>
      </c>
    </row>
    <row r="72" spans="1:3" x14ac:dyDescent="0.2">
      <c r="A72" s="137" t="s">
        <v>1179</v>
      </c>
      <c r="B72" s="137" t="s">
        <v>1180</v>
      </c>
      <c r="C72" s="137" t="s">
        <v>1179</v>
      </c>
    </row>
    <row r="73" spans="1:3" x14ac:dyDescent="0.2">
      <c r="A73" t="s">
        <v>32</v>
      </c>
      <c r="B73" t="s">
        <v>33</v>
      </c>
      <c r="C73" t="s">
        <v>32</v>
      </c>
    </row>
    <row r="74" spans="1:3" x14ac:dyDescent="0.2">
      <c r="A74" t="s">
        <v>34</v>
      </c>
      <c r="B74" t="s">
        <v>35</v>
      </c>
      <c r="C74" t="s">
        <v>34</v>
      </c>
    </row>
    <row r="75" spans="1:3" x14ac:dyDescent="0.2">
      <c r="A75" t="s">
        <v>36</v>
      </c>
      <c r="B75" t="s">
        <v>37</v>
      </c>
      <c r="C75" t="s">
        <v>36</v>
      </c>
    </row>
    <row r="76" spans="1:3" x14ac:dyDescent="0.2">
      <c r="A76" t="s">
        <v>38</v>
      </c>
      <c r="B76" t="s">
        <v>39</v>
      </c>
      <c r="C76" t="s">
        <v>38</v>
      </c>
    </row>
    <row r="77" spans="1:3" x14ac:dyDescent="0.2">
      <c r="A77" t="s">
        <v>40</v>
      </c>
      <c r="B77" t="s">
        <v>41</v>
      </c>
      <c r="C77" t="s">
        <v>40</v>
      </c>
    </row>
    <row r="78" spans="1:3" x14ac:dyDescent="0.2">
      <c r="A78" t="s">
        <v>42</v>
      </c>
      <c r="B78" t="s">
        <v>43</v>
      </c>
      <c r="C78" t="s">
        <v>42</v>
      </c>
    </row>
    <row r="79" spans="1:3" x14ac:dyDescent="0.2">
      <c r="A79" t="s">
        <v>44</v>
      </c>
      <c r="B79" t="s">
        <v>45</v>
      </c>
      <c r="C79" t="s">
        <v>44</v>
      </c>
    </row>
    <row r="80" spans="1:3" x14ac:dyDescent="0.2">
      <c r="A80" t="s">
        <v>46</v>
      </c>
      <c r="B80" t="s">
        <v>47</v>
      </c>
      <c r="C80" t="s">
        <v>46</v>
      </c>
    </row>
    <row r="81" spans="1:3" x14ac:dyDescent="0.2">
      <c r="A81" t="s">
        <v>48</v>
      </c>
      <c r="B81" t="s">
        <v>49</v>
      </c>
      <c r="C81" t="s">
        <v>48</v>
      </c>
    </row>
    <row r="82" spans="1:3" x14ac:dyDescent="0.2">
      <c r="A82" t="s">
        <v>50</v>
      </c>
      <c r="B82" t="s">
        <v>51</v>
      </c>
      <c r="C82" t="s">
        <v>50</v>
      </c>
    </row>
    <row r="83" spans="1:3" x14ac:dyDescent="0.2">
      <c r="A83" t="s">
        <v>54</v>
      </c>
      <c r="B83" t="s">
        <v>55</v>
      </c>
      <c r="C83" t="s">
        <v>54</v>
      </c>
    </row>
    <row r="84" spans="1:3" x14ac:dyDescent="0.2">
      <c r="A84" s="137" t="s">
        <v>1181</v>
      </c>
      <c r="B84" s="137" t="s">
        <v>1182</v>
      </c>
      <c r="C84" s="137" t="s">
        <v>1181</v>
      </c>
    </row>
    <row r="85" spans="1:3" x14ac:dyDescent="0.2">
      <c r="A85" t="s">
        <v>56</v>
      </c>
      <c r="B85" t="s">
        <v>57</v>
      </c>
      <c r="C85" t="s">
        <v>56</v>
      </c>
    </row>
    <row r="86" spans="1:3" x14ac:dyDescent="0.2">
      <c r="A86" t="s">
        <v>58</v>
      </c>
      <c r="B86" t="s">
        <v>59</v>
      </c>
      <c r="C86" t="s">
        <v>58</v>
      </c>
    </row>
    <row r="87" spans="1:3" x14ac:dyDescent="0.2">
      <c r="A87" t="s">
        <v>60</v>
      </c>
      <c r="B87" t="s">
        <v>61</v>
      </c>
      <c r="C87" t="s">
        <v>60</v>
      </c>
    </row>
    <row r="88" spans="1:3" x14ac:dyDescent="0.2">
      <c r="A88" t="s">
        <v>62</v>
      </c>
      <c r="B88" t="s">
        <v>63</v>
      </c>
      <c r="C88" t="s">
        <v>62</v>
      </c>
    </row>
    <row r="89" spans="1:3" x14ac:dyDescent="0.2">
      <c r="A89" t="s">
        <v>64</v>
      </c>
      <c r="B89" t="s">
        <v>65</v>
      </c>
      <c r="C89" t="s">
        <v>64</v>
      </c>
    </row>
    <row r="90" spans="1:3" x14ac:dyDescent="0.2">
      <c r="A90" t="s">
        <v>66</v>
      </c>
      <c r="B90" t="s">
        <v>67</v>
      </c>
      <c r="C90" t="s">
        <v>66</v>
      </c>
    </row>
    <row r="91" spans="1:3" x14ac:dyDescent="0.2">
      <c r="A91" t="s">
        <v>68</v>
      </c>
      <c r="B91" t="s">
        <v>69</v>
      </c>
      <c r="C91" t="s">
        <v>68</v>
      </c>
    </row>
    <row r="92" spans="1:3" x14ac:dyDescent="0.2">
      <c r="A92" t="s">
        <v>70</v>
      </c>
      <c r="B92" t="s">
        <v>71</v>
      </c>
      <c r="C92" t="s">
        <v>70</v>
      </c>
    </row>
    <row r="93" spans="1:3" x14ac:dyDescent="0.2">
      <c r="A93" t="s">
        <v>72</v>
      </c>
      <c r="B93" t="s">
        <v>73</v>
      </c>
      <c r="C93" t="s">
        <v>72</v>
      </c>
    </row>
    <row r="94" spans="1:3" x14ac:dyDescent="0.2">
      <c r="A94" t="s">
        <v>74</v>
      </c>
      <c r="B94" t="s">
        <v>75</v>
      </c>
      <c r="C94" t="s">
        <v>74</v>
      </c>
    </row>
    <row r="95" spans="1:3" x14ac:dyDescent="0.2">
      <c r="A95" t="s">
        <v>76</v>
      </c>
      <c r="B95" t="s">
        <v>77</v>
      </c>
      <c r="C95" t="s">
        <v>76</v>
      </c>
    </row>
    <row r="96" spans="1:3" x14ac:dyDescent="0.2">
      <c r="A96" t="s">
        <v>78</v>
      </c>
      <c r="B96" t="s">
        <v>79</v>
      </c>
      <c r="C96" t="s">
        <v>78</v>
      </c>
    </row>
    <row r="97" spans="1:3" x14ac:dyDescent="0.2">
      <c r="A97" t="s">
        <v>80</v>
      </c>
      <c r="B97" t="s">
        <v>81</v>
      </c>
      <c r="C97" t="s">
        <v>80</v>
      </c>
    </row>
    <row r="98" spans="1:3" x14ac:dyDescent="0.2">
      <c r="A98" t="s">
        <v>82</v>
      </c>
      <c r="B98" t="s">
        <v>83</v>
      </c>
      <c r="C98" t="s">
        <v>82</v>
      </c>
    </row>
    <row r="99" spans="1:3" x14ac:dyDescent="0.2">
      <c r="A99" t="s">
        <v>84</v>
      </c>
      <c r="B99" t="s">
        <v>85</v>
      </c>
      <c r="C99" t="s">
        <v>84</v>
      </c>
    </row>
    <row r="100" spans="1:3" x14ac:dyDescent="0.2">
      <c r="A100" t="s">
        <v>86</v>
      </c>
      <c r="B100" t="s">
        <v>87</v>
      </c>
      <c r="C100" t="s">
        <v>86</v>
      </c>
    </row>
    <row r="101" spans="1:3" x14ac:dyDescent="0.2">
      <c r="A101" t="s">
        <v>88</v>
      </c>
      <c r="B101" t="s">
        <v>89</v>
      </c>
      <c r="C101" t="s">
        <v>88</v>
      </c>
    </row>
    <row r="102" spans="1:3" x14ac:dyDescent="0.2">
      <c r="A102" t="s">
        <v>90</v>
      </c>
      <c r="B102" t="s">
        <v>91</v>
      </c>
      <c r="C102" t="s">
        <v>90</v>
      </c>
    </row>
    <row r="103" spans="1:3" x14ac:dyDescent="0.2">
      <c r="A103" t="s">
        <v>92</v>
      </c>
      <c r="B103" t="s">
        <v>93</v>
      </c>
      <c r="C103" t="s">
        <v>92</v>
      </c>
    </row>
    <row r="104" spans="1:3" x14ac:dyDescent="0.2">
      <c r="A104" t="s">
        <v>94</v>
      </c>
      <c r="B104" t="s">
        <v>95</v>
      </c>
      <c r="C104" t="s">
        <v>94</v>
      </c>
    </row>
    <row r="105" spans="1:3" x14ac:dyDescent="0.2">
      <c r="A105" t="s">
        <v>96</v>
      </c>
      <c r="B105" t="s">
        <v>97</v>
      </c>
      <c r="C105" t="s">
        <v>96</v>
      </c>
    </row>
    <row r="106" spans="1:3" x14ac:dyDescent="0.2">
      <c r="A106" t="s">
        <v>98</v>
      </c>
      <c r="B106" t="s">
        <v>99</v>
      </c>
      <c r="C106" t="s">
        <v>98</v>
      </c>
    </row>
    <row r="107" spans="1:3" x14ac:dyDescent="0.2">
      <c r="A107" t="s">
        <v>100</v>
      </c>
      <c r="B107" t="s">
        <v>101</v>
      </c>
      <c r="C107" t="s">
        <v>100</v>
      </c>
    </row>
    <row r="108" spans="1:3" x14ac:dyDescent="0.2">
      <c r="A108" t="s">
        <v>102</v>
      </c>
      <c r="B108" t="s">
        <v>103</v>
      </c>
      <c r="C108" t="s">
        <v>102</v>
      </c>
    </row>
    <row r="109" spans="1:3" x14ac:dyDescent="0.2">
      <c r="A109" t="s">
        <v>104</v>
      </c>
      <c r="B109" t="s">
        <v>105</v>
      </c>
      <c r="C109" t="s">
        <v>104</v>
      </c>
    </row>
    <row r="110" spans="1:3" x14ac:dyDescent="0.2">
      <c r="A110" t="s">
        <v>106</v>
      </c>
      <c r="B110" t="s">
        <v>107</v>
      </c>
      <c r="C110" t="s">
        <v>106</v>
      </c>
    </row>
    <row r="111" spans="1:3" x14ac:dyDescent="0.2">
      <c r="A111" t="s">
        <v>108</v>
      </c>
      <c r="B111" t="s">
        <v>109</v>
      </c>
      <c r="C111" t="s">
        <v>108</v>
      </c>
    </row>
    <row r="112" spans="1:3" x14ac:dyDescent="0.2">
      <c r="A112" t="s">
        <v>110</v>
      </c>
      <c r="B112" t="s">
        <v>111</v>
      </c>
      <c r="C112" t="s">
        <v>110</v>
      </c>
    </row>
    <row r="113" spans="1:3" x14ac:dyDescent="0.2">
      <c r="A113" t="s">
        <v>112</v>
      </c>
      <c r="B113" t="s">
        <v>113</v>
      </c>
      <c r="C113" t="s">
        <v>112</v>
      </c>
    </row>
    <row r="114" spans="1:3" x14ac:dyDescent="0.2">
      <c r="A114" t="s">
        <v>114</v>
      </c>
      <c r="B114" t="s">
        <v>115</v>
      </c>
      <c r="C114" t="s">
        <v>114</v>
      </c>
    </row>
    <row r="115" spans="1:3" x14ac:dyDescent="0.2">
      <c r="A115" t="s">
        <v>116</v>
      </c>
      <c r="B115" t="s">
        <v>117</v>
      </c>
      <c r="C115" t="s">
        <v>116</v>
      </c>
    </row>
    <row r="116" spans="1:3" x14ac:dyDescent="0.2">
      <c r="A116" t="s">
        <v>118</v>
      </c>
      <c r="B116" t="s">
        <v>119</v>
      </c>
      <c r="C116" t="s">
        <v>118</v>
      </c>
    </row>
    <row r="117" spans="1:3" x14ac:dyDescent="0.2">
      <c r="A117" t="s">
        <v>120</v>
      </c>
      <c r="B117" t="s">
        <v>121</v>
      </c>
      <c r="C117" t="s">
        <v>120</v>
      </c>
    </row>
    <row r="118" spans="1:3" x14ac:dyDescent="0.2">
      <c r="A118" t="s">
        <v>122</v>
      </c>
      <c r="B118" t="s">
        <v>123</v>
      </c>
      <c r="C118" t="s">
        <v>122</v>
      </c>
    </row>
    <row r="119" spans="1:3" x14ac:dyDescent="0.2">
      <c r="A119" t="s">
        <v>124</v>
      </c>
      <c r="B119" t="s">
        <v>125</v>
      </c>
      <c r="C119" t="s">
        <v>124</v>
      </c>
    </row>
    <row r="120" spans="1:3" x14ac:dyDescent="0.2">
      <c r="A120" t="s">
        <v>126</v>
      </c>
      <c r="B120" t="s">
        <v>127</v>
      </c>
      <c r="C120" t="s">
        <v>126</v>
      </c>
    </row>
    <row r="121" spans="1:3" x14ac:dyDescent="0.2">
      <c r="A121" t="s">
        <v>128</v>
      </c>
      <c r="B121" t="s">
        <v>129</v>
      </c>
      <c r="C121" t="s">
        <v>128</v>
      </c>
    </row>
    <row r="122" spans="1:3" x14ac:dyDescent="0.2">
      <c r="A122" t="s">
        <v>130</v>
      </c>
      <c r="B122" t="s">
        <v>131</v>
      </c>
      <c r="C122" t="s">
        <v>130</v>
      </c>
    </row>
    <row r="123" spans="1:3" x14ac:dyDescent="0.2">
      <c r="A123" t="s">
        <v>132</v>
      </c>
      <c r="B123" t="s">
        <v>133</v>
      </c>
      <c r="C123" t="s">
        <v>132</v>
      </c>
    </row>
    <row r="124" spans="1:3" x14ac:dyDescent="0.2">
      <c r="A124" t="s">
        <v>134</v>
      </c>
      <c r="B124" t="s">
        <v>135</v>
      </c>
      <c r="C124" t="s">
        <v>134</v>
      </c>
    </row>
    <row r="125" spans="1:3" x14ac:dyDescent="0.2">
      <c r="A125" t="s">
        <v>136</v>
      </c>
      <c r="B125" t="s">
        <v>137</v>
      </c>
      <c r="C125" t="s">
        <v>136</v>
      </c>
    </row>
    <row r="126" spans="1:3" x14ac:dyDescent="0.2">
      <c r="A126" t="s">
        <v>138</v>
      </c>
      <c r="B126" t="s">
        <v>139</v>
      </c>
      <c r="C126" t="s">
        <v>138</v>
      </c>
    </row>
    <row r="127" spans="1:3" x14ac:dyDescent="0.2">
      <c r="A127" t="s">
        <v>140</v>
      </c>
      <c r="B127" t="s">
        <v>141</v>
      </c>
      <c r="C127" t="s">
        <v>140</v>
      </c>
    </row>
    <row r="128" spans="1:3" x14ac:dyDescent="0.2">
      <c r="A128" t="s">
        <v>142</v>
      </c>
      <c r="B128" t="s">
        <v>143</v>
      </c>
      <c r="C128" t="s">
        <v>142</v>
      </c>
    </row>
    <row r="129" spans="1:3" x14ac:dyDescent="0.2">
      <c r="A129" t="s">
        <v>144</v>
      </c>
      <c r="B129" t="s">
        <v>145</v>
      </c>
      <c r="C129" t="s">
        <v>144</v>
      </c>
    </row>
    <row r="130" spans="1:3" x14ac:dyDescent="0.2">
      <c r="A130" t="s">
        <v>146</v>
      </c>
      <c r="B130" t="s">
        <v>147</v>
      </c>
      <c r="C130" t="s">
        <v>146</v>
      </c>
    </row>
    <row r="131" spans="1:3" x14ac:dyDescent="0.2">
      <c r="A131" t="s">
        <v>148</v>
      </c>
      <c r="B131" t="s">
        <v>149</v>
      </c>
      <c r="C131" t="s">
        <v>148</v>
      </c>
    </row>
    <row r="132" spans="1:3" x14ac:dyDescent="0.2">
      <c r="A132" t="s">
        <v>150</v>
      </c>
      <c r="B132" t="s">
        <v>151</v>
      </c>
      <c r="C132" t="s">
        <v>150</v>
      </c>
    </row>
    <row r="133" spans="1:3" x14ac:dyDescent="0.2">
      <c r="A133" t="s">
        <v>152</v>
      </c>
      <c r="B133" t="s">
        <v>153</v>
      </c>
      <c r="C133" t="s">
        <v>152</v>
      </c>
    </row>
    <row r="134" spans="1:3" x14ac:dyDescent="0.2">
      <c r="A134" t="s">
        <v>154</v>
      </c>
      <c r="B134" t="s">
        <v>155</v>
      </c>
      <c r="C134" t="s">
        <v>154</v>
      </c>
    </row>
    <row r="135" spans="1:3" x14ac:dyDescent="0.2">
      <c r="A135" t="s">
        <v>156</v>
      </c>
      <c r="B135" t="s">
        <v>157</v>
      </c>
      <c r="C135" t="s">
        <v>156</v>
      </c>
    </row>
    <row r="136" spans="1:3" x14ac:dyDescent="0.2">
      <c r="A136" t="s">
        <v>158</v>
      </c>
      <c r="B136" t="s">
        <v>159</v>
      </c>
      <c r="C136" t="s">
        <v>158</v>
      </c>
    </row>
    <row r="137" spans="1:3" x14ac:dyDescent="0.2">
      <c r="A137" t="s">
        <v>160</v>
      </c>
      <c r="B137" t="s">
        <v>161</v>
      </c>
      <c r="C137" t="s">
        <v>160</v>
      </c>
    </row>
    <row r="138" spans="1:3" x14ac:dyDescent="0.2">
      <c r="A138" t="s">
        <v>162</v>
      </c>
      <c r="B138" t="s">
        <v>163</v>
      </c>
      <c r="C138" t="s">
        <v>162</v>
      </c>
    </row>
    <row r="139" spans="1:3" x14ac:dyDescent="0.2">
      <c r="A139" t="s">
        <v>164</v>
      </c>
      <c r="B139" t="s">
        <v>165</v>
      </c>
      <c r="C139" t="s">
        <v>164</v>
      </c>
    </row>
    <row r="140" spans="1:3" x14ac:dyDescent="0.2">
      <c r="A140" t="s">
        <v>166</v>
      </c>
      <c r="B140" t="s">
        <v>167</v>
      </c>
      <c r="C140" t="s">
        <v>166</v>
      </c>
    </row>
    <row r="141" spans="1:3" x14ac:dyDescent="0.2">
      <c r="A141" t="s">
        <v>168</v>
      </c>
      <c r="B141" t="s">
        <v>169</v>
      </c>
      <c r="C141" t="s">
        <v>168</v>
      </c>
    </row>
    <row r="142" spans="1:3" x14ac:dyDescent="0.2">
      <c r="A142" t="s">
        <v>170</v>
      </c>
      <c r="B142" t="s">
        <v>171</v>
      </c>
      <c r="C142" t="s">
        <v>170</v>
      </c>
    </row>
    <row r="143" spans="1:3" x14ac:dyDescent="0.2">
      <c r="A143" t="s">
        <v>172</v>
      </c>
      <c r="B143" t="s">
        <v>173</v>
      </c>
      <c r="C143" t="s">
        <v>172</v>
      </c>
    </row>
    <row r="144" spans="1:3" x14ac:dyDescent="0.2">
      <c r="A144" t="s">
        <v>174</v>
      </c>
      <c r="B144" t="s">
        <v>175</v>
      </c>
      <c r="C144" t="s">
        <v>174</v>
      </c>
    </row>
    <row r="145" spans="1:3" x14ac:dyDescent="0.2">
      <c r="A145" t="s">
        <v>176</v>
      </c>
      <c r="B145" t="s">
        <v>177</v>
      </c>
      <c r="C145" t="s">
        <v>176</v>
      </c>
    </row>
    <row r="146" spans="1:3" x14ac:dyDescent="0.2">
      <c r="A146" t="s">
        <v>178</v>
      </c>
      <c r="B146" t="s">
        <v>179</v>
      </c>
      <c r="C146" t="s">
        <v>178</v>
      </c>
    </row>
    <row r="147" spans="1:3" x14ac:dyDescent="0.2">
      <c r="A147" t="s">
        <v>180</v>
      </c>
      <c r="B147" t="s">
        <v>181</v>
      </c>
      <c r="C147" t="s">
        <v>180</v>
      </c>
    </row>
    <row r="148" spans="1:3" x14ac:dyDescent="0.2">
      <c r="A148" t="s">
        <v>182</v>
      </c>
      <c r="B148" t="s">
        <v>183</v>
      </c>
      <c r="C148" t="s">
        <v>182</v>
      </c>
    </row>
    <row r="149" spans="1:3" x14ac:dyDescent="0.2">
      <c r="A149" t="s">
        <v>184</v>
      </c>
      <c r="B149" t="s">
        <v>185</v>
      </c>
      <c r="C149" t="s">
        <v>184</v>
      </c>
    </row>
    <row r="150" spans="1:3" x14ac:dyDescent="0.2">
      <c r="A150" t="s">
        <v>186</v>
      </c>
      <c r="B150" t="s">
        <v>187</v>
      </c>
      <c r="C150" t="s">
        <v>186</v>
      </c>
    </row>
    <row r="151" spans="1:3" x14ac:dyDescent="0.2">
      <c r="A151" t="s">
        <v>188</v>
      </c>
      <c r="B151" t="s">
        <v>189</v>
      </c>
      <c r="C151" t="s">
        <v>188</v>
      </c>
    </row>
    <row r="152" spans="1:3" x14ac:dyDescent="0.2">
      <c r="A152" t="s">
        <v>190</v>
      </c>
      <c r="B152" t="s">
        <v>191</v>
      </c>
      <c r="C152" t="s">
        <v>190</v>
      </c>
    </row>
    <row r="153" spans="1:3" x14ac:dyDescent="0.2">
      <c r="A153" t="s">
        <v>192</v>
      </c>
      <c r="B153" t="s">
        <v>193</v>
      </c>
      <c r="C153" t="s">
        <v>192</v>
      </c>
    </row>
    <row r="154" spans="1:3" x14ac:dyDescent="0.2">
      <c r="A154" t="s">
        <v>194</v>
      </c>
      <c r="B154" t="s">
        <v>195</v>
      </c>
      <c r="C154" t="s">
        <v>194</v>
      </c>
    </row>
    <row r="155" spans="1:3" x14ac:dyDescent="0.2">
      <c r="A155" t="s">
        <v>196</v>
      </c>
      <c r="B155" t="s">
        <v>197</v>
      </c>
      <c r="C155" t="s">
        <v>196</v>
      </c>
    </row>
    <row r="156" spans="1:3" x14ac:dyDescent="0.2">
      <c r="A156" t="s">
        <v>198</v>
      </c>
      <c r="B156" t="s">
        <v>199</v>
      </c>
      <c r="C156" t="s">
        <v>198</v>
      </c>
    </row>
    <row r="157" spans="1:3" x14ac:dyDescent="0.2">
      <c r="A157" t="s">
        <v>200</v>
      </c>
      <c r="B157" t="s">
        <v>201</v>
      </c>
      <c r="C157" t="s">
        <v>200</v>
      </c>
    </row>
    <row r="158" spans="1:3" x14ac:dyDescent="0.2">
      <c r="A158" t="s">
        <v>202</v>
      </c>
      <c r="B158" t="s">
        <v>203</v>
      </c>
      <c r="C158" t="s">
        <v>202</v>
      </c>
    </row>
    <row r="159" spans="1:3" x14ac:dyDescent="0.2">
      <c r="A159" t="s">
        <v>204</v>
      </c>
      <c r="B159" t="s">
        <v>205</v>
      </c>
      <c r="C159" t="s">
        <v>204</v>
      </c>
    </row>
    <row r="160" spans="1:3" x14ac:dyDescent="0.2">
      <c r="A160" t="s">
        <v>206</v>
      </c>
      <c r="B160" t="s">
        <v>207</v>
      </c>
      <c r="C160" t="s">
        <v>206</v>
      </c>
    </row>
    <row r="161" spans="1:3" x14ac:dyDescent="0.2">
      <c r="A161" t="s">
        <v>208</v>
      </c>
      <c r="B161" t="s">
        <v>209</v>
      </c>
      <c r="C161" t="s">
        <v>208</v>
      </c>
    </row>
    <row r="162" spans="1:3" x14ac:dyDescent="0.2">
      <c r="A162" t="s">
        <v>923</v>
      </c>
      <c r="B162" t="s">
        <v>211</v>
      </c>
      <c r="C162" t="s">
        <v>923</v>
      </c>
    </row>
    <row r="163" spans="1:3" x14ac:dyDescent="0.2">
      <c r="A163" t="s">
        <v>212</v>
      </c>
      <c r="B163" t="s">
        <v>213</v>
      </c>
      <c r="C163" t="s">
        <v>212</v>
      </c>
    </row>
    <row r="164" spans="1:3" x14ac:dyDescent="0.2">
      <c r="A164" t="s">
        <v>214</v>
      </c>
      <c r="B164" t="s">
        <v>215</v>
      </c>
      <c r="C164" t="s">
        <v>214</v>
      </c>
    </row>
    <row r="165" spans="1:3" x14ac:dyDescent="0.2">
      <c r="A165" t="s">
        <v>216</v>
      </c>
      <c r="B165" t="s">
        <v>217</v>
      </c>
      <c r="C165" t="s">
        <v>216</v>
      </c>
    </row>
    <row r="166" spans="1:3" x14ac:dyDescent="0.2">
      <c r="A166" t="s">
        <v>218</v>
      </c>
      <c r="B166" t="s">
        <v>219</v>
      </c>
      <c r="C166" t="s">
        <v>218</v>
      </c>
    </row>
    <row r="167" spans="1:3" x14ac:dyDescent="0.2">
      <c r="A167" t="s">
        <v>220</v>
      </c>
      <c r="B167" t="s">
        <v>221</v>
      </c>
      <c r="C167" t="s">
        <v>220</v>
      </c>
    </row>
    <row r="168" spans="1:3" x14ac:dyDescent="0.2">
      <c r="A168" t="s">
        <v>222</v>
      </c>
      <c r="B168" t="s">
        <v>223</v>
      </c>
      <c r="C168" t="s">
        <v>222</v>
      </c>
    </row>
    <row r="169" spans="1:3" x14ac:dyDescent="0.2">
      <c r="A169" t="s">
        <v>224</v>
      </c>
      <c r="B169" t="s">
        <v>225</v>
      </c>
      <c r="C169" t="s">
        <v>224</v>
      </c>
    </row>
    <row r="170" spans="1:3" x14ac:dyDescent="0.2">
      <c r="A170" t="s">
        <v>226</v>
      </c>
      <c r="B170" t="s">
        <v>227</v>
      </c>
      <c r="C170" t="s">
        <v>226</v>
      </c>
    </row>
    <row r="171" spans="1:3" x14ac:dyDescent="0.2">
      <c r="A171" s="137" t="s">
        <v>228</v>
      </c>
      <c r="B171" s="137" t="s">
        <v>229</v>
      </c>
      <c r="C171" s="137" t="s">
        <v>228</v>
      </c>
    </row>
    <row r="172" spans="1:3" x14ac:dyDescent="0.2">
      <c r="A172" t="s">
        <v>1288</v>
      </c>
      <c r="B172" s="137" t="s">
        <v>1313</v>
      </c>
      <c r="C172" t="s">
        <v>1288</v>
      </c>
    </row>
    <row r="173" spans="1:3" x14ac:dyDescent="0.2">
      <c r="A173" t="s">
        <v>230</v>
      </c>
      <c r="B173" t="s">
        <v>231</v>
      </c>
      <c r="C173" t="s">
        <v>230</v>
      </c>
    </row>
    <row r="174" spans="1:3" x14ac:dyDescent="0.2">
      <c r="A174" t="s">
        <v>232</v>
      </c>
      <c r="B174" t="s">
        <v>233</v>
      </c>
      <c r="C174" t="s">
        <v>232</v>
      </c>
    </row>
    <row r="175" spans="1:3" x14ac:dyDescent="0.2">
      <c r="A175" t="s">
        <v>234</v>
      </c>
      <c r="B175" t="s">
        <v>235</v>
      </c>
      <c r="C175" t="s">
        <v>234</v>
      </c>
    </row>
    <row r="176" spans="1:3" x14ac:dyDescent="0.2">
      <c r="A176" t="s">
        <v>247</v>
      </c>
      <c r="B176" t="s">
        <v>248</v>
      </c>
      <c r="C176" t="s">
        <v>247</v>
      </c>
    </row>
    <row r="177" spans="1:3" x14ac:dyDescent="0.2">
      <c r="A177" s="137" t="s">
        <v>627</v>
      </c>
      <c r="B177" s="137" t="s">
        <v>2334</v>
      </c>
      <c r="C177" s="137" t="s">
        <v>627</v>
      </c>
    </row>
    <row r="178" spans="1:3" x14ac:dyDescent="0.2">
      <c r="A178" t="s">
        <v>249</v>
      </c>
      <c r="B178" t="s">
        <v>250</v>
      </c>
      <c r="C178" t="s">
        <v>249</v>
      </c>
    </row>
    <row r="179" spans="1:3" x14ac:dyDescent="0.2">
      <c r="A179" t="s">
        <v>251</v>
      </c>
      <c r="B179" t="s">
        <v>252</v>
      </c>
      <c r="C179" t="s">
        <v>251</v>
      </c>
    </row>
    <row r="180" spans="1:3" x14ac:dyDescent="0.2">
      <c r="A180" t="s">
        <v>253</v>
      </c>
      <c r="B180" t="s">
        <v>254</v>
      </c>
      <c r="C180" t="s">
        <v>253</v>
      </c>
    </row>
    <row r="181" spans="1:3" x14ac:dyDescent="0.2">
      <c r="A181" t="s">
        <v>255</v>
      </c>
      <c r="B181" t="s">
        <v>256</v>
      </c>
      <c r="C181" t="s">
        <v>255</v>
      </c>
    </row>
    <row r="182" spans="1:3" x14ac:dyDescent="0.2">
      <c r="A182" t="s">
        <v>257</v>
      </c>
      <c r="B182" t="s">
        <v>258</v>
      </c>
      <c r="C182" t="s">
        <v>257</v>
      </c>
    </row>
    <row r="183" spans="1:3" x14ac:dyDescent="0.2">
      <c r="A183" t="s">
        <v>259</v>
      </c>
      <c r="B183" t="s">
        <v>260</v>
      </c>
      <c r="C183" t="s">
        <v>259</v>
      </c>
    </row>
    <row r="184" spans="1:3" x14ac:dyDescent="0.2">
      <c r="A184" t="s">
        <v>261</v>
      </c>
      <c r="B184" t="s">
        <v>262</v>
      </c>
      <c r="C184" t="s">
        <v>261</v>
      </c>
    </row>
    <row r="185" spans="1:3" x14ac:dyDescent="0.2">
      <c r="A185" t="s">
        <v>263</v>
      </c>
      <c r="B185" t="s">
        <v>264</v>
      </c>
      <c r="C185" t="s">
        <v>263</v>
      </c>
    </row>
    <row r="186" spans="1:3" x14ac:dyDescent="0.2">
      <c r="A186" t="s">
        <v>265</v>
      </c>
      <c r="B186" t="s">
        <v>266</v>
      </c>
      <c r="C186" t="s">
        <v>265</v>
      </c>
    </row>
    <row r="187" spans="1:3" x14ac:dyDescent="0.2">
      <c r="A187" t="s">
        <v>267</v>
      </c>
      <c r="B187" t="s">
        <v>268</v>
      </c>
      <c r="C187" t="s">
        <v>267</v>
      </c>
    </row>
    <row r="188" spans="1:3" x14ac:dyDescent="0.2">
      <c r="A188" t="s">
        <v>269</v>
      </c>
      <c r="B188" t="s">
        <v>270</v>
      </c>
      <c r="C188" t="s">
        <v>269</v>
      </c>
    </row>
    <row r="189" spans="1:3" x14ac:dyDescent="0.2">
      <c r="A189" t="s">
        <v>271</v>
      </c>
      <c r="B189" t="s">
        <v>272</v>
      </c>
      <c r="C189" t="s">
        <v>271</v>
      </c>
    </row>
    <row r="190" spans="1:3" x14ac:dyDescent="0.2">
      <c r="A190" t="s">
        <v>273</v>
      </c>
      <c r="B190" t="s">
        <v>274</v>
      </c>
      <c r="C190" t="s">
        <v>273</v>
      </c>
    </row>
    <row r="191" spans="1:3" x14ac:dyDescent="0.2">
      <c r="A191" t="s">
        <v>275</v>
      </c>
      <c r="B191" t="s">
        <v>276</v>
      </c>
      <c r="C191" t="s">
        <v>275</v>
      </c>
    </row>
    <row r="192" spans="1:3" x14ac:dyDescent="0.2">
      <c r="A192" t="s">
        <v>277</v>
      </c>
      <c r="B192" t="s">
        <v>278</v>
      </c>
      <c r="C192" t="s">
        <v>277</v>
      </c>
    </row>
    <row r="193" spans="1:3" x14ac:dyDescent="0.2">
      <c r="A193" t="s">
        <v>279</v>
      </c>
      <c r="B193" t="s">
        <v>280</v>
      </c>
      <c r="C193" t="s">
        <v>279</v>
      </c>
    </row>
    <row r="194" spans="1:3" x14ac:dyDescent="0.2">
      <c r="A194" t="s">
        <v>281</v>
      </c>
      <c r="B194" t="s">
        <v>282</v>
      </c>
      <c r="C194" t="s">
        <v>281</v>
      </c>
    </row>
    <row r="195" spans="1:3" x14ac:dyDescent="0.2">
      <c r="A195" t="s">
        <v>283</v>
      </c>
      <c r="B195" t="s">
        <v>284</v>
      </c>
      <c r="C195" t="s">
        <v>283</v>
      </c>
    </row>
    <row r="196" spans="1:3" x14ac:dyDescent="0.2">
      <c r="A196" t="s">
        <v>285</v>
      </c>
      <c r="B196" t="s">
        <v>286</v>
      </c>
      <c r="C196" t="s">
        <v>285</v>
      </c>
    </row>
    <row r="197" spans="1:3" x14ac:dyDescent="0.2">
      <c r="A197" t="s">
        <v>287</v>
      </c>
      <c r="B197" t="s">
        <v>288</v>
      </c>
      <c r="C197" t="s">
        <v>287</v>
      </c>
    </row>
    <row r="198" spans="1:3" x14ac:dyDescent="0.2">
      <c r="A198" t="s">
        <v>289</v>
      </c>
      <c r="B198" t="s">
        <v>290</v>
      </c>
      <c r="C198" t="s">
        <v>289</v>
      </c>
    </row>
    <row r="199" spans="1:3" x14ac:dyDescent="0.2">
      <c r="A199" t="s">
        <v>291</v>
      </c>
      <c r="B199" t="s">
        <v>292</v>
      </c>
      <c r="C199" t="s">
        <v>291</v>
      </c>
    </row>
    <row r="200" spans="1:3" x14ac:dyDescent="0.2">
      <c r="A200" t="s">
        <v>293</v>
      </c>
      <c r="B200" t="s">
        <v>294</v>
      </c>
      <c r="C200" t="s">
        <v>293</v>
      </c>
    </row>
    <row r="201" spans="1:3" x14ac:dyDescent="0.2">
      <c r="A201" t="s">
        <v>295</v>
      </c>
      <c r="B201" t="s">
        <v>296</v>
      </c>
      <c r="C201" t="s">
        <v>295</v>
      </c>
    </row>
    <row r="202" spans="1:3" x14ac:dyDescent="0.2">
      <c r="A202" t="s">
        <v>297</v>
      </c>
      <c r="B202" t="s">
        <v>298</v>
      </c>
      <c r="C202" t="s">
        <v>297</v>
      </c>
    </row>
    <row r="203" spans="1:3" x14ac:dyDescent="0.2">
      <c r="A203" t="s">
        <v>299</v>
      </c>
      <c r="B203" t="s">
        <v>300</v>
      </c>
      <c r="C203" t="s">
        <v>299</v>
      </c>
    </row>
    <row r="204" spans="1:3" x14ac:dyDescent="0.2">
      <c r="A204" t="s">
        <v>301</v>
      </c>
      <c r="B204" t="s">
        <v>302</v>
      </c>
      <c r="C204" t="s">
        <v>301</v>
      </c>
    </row>
    <row r="205" spans="1:3" x14ac:dyDescent="0.2">
      <c r="A205" t="s">
        <v>303</v>
      </c>
      <c r="B205" t="s">
        <v>304</v>
      </c>
      <c r="C205" t="s">
        <v>303</v>
      </c>
    </row>
    <row r="206" spans="1:3" x14ac:dyDescent="0.2">
      <c r="A206" t="s">
        <v>305</v>
      </c>
      <c r="B206" t="s">
        <v>306</v>
      </c>
      <c r="C206" t="s">
        <v>305</v>
      </c>
    </row>
    <row r="207" spans="1:3" x14ac:dyDescent="0.2">
      <c r="A207" t="s">
        <v>307</v>
      </c>
      <c r="B207" t="s">
        <v>308</v>
      </c>
      <c r="C207" t="s">
        <v>307</v>
      </c>
    </row>
    <row r="208" spans="1:3" x14ac:dyDescent="0.2">
      <c r="A208" t="s">
        <v>309</v>
      </c>
      <c r="B208" t="s">
        <v>310</v>
      </c>
      <c r="C208" t="s">
        <v>309</v>
      </c>
    </row>
    <row r="209" spans="1:3" x14ac:dyDescent="0.2">
      <c r="A209" t="s">
        <v>311</v>
      </c>
      <c r="B209" t="s">
        <v>312</v>
      </c>
      <c r="C209" t="s">
        <v>311</v>
      </c>
    </row>
    <row r="210" spans="1:3" x14ac:dyDescent="0.2">
      <c r="A210" t="s">
        <v>313</v>
      </c>
      <c r="B210" t="s">
        <v>314</v>
      </c>
      <c r="C210" t="s">
        <v>313</v>
      </c>
    </row>
    <row r="211" spans="1:3" x14ac:dyDescent="0.2">
      <c r="A211" t="s">
        <v>315</v>
      </c>
      <c r="B211" t="s">
        <v>316</v>
      </c>
      <c r="C211" t="s">
        <v>315</v>
      </c>
    </row>
    <row r="212" spans="1:3" x14ac:dyDescent="0.2">
      <c r="A212" t="s">
        <v>317</v>
      </c>
      <c r="B212" t="s">
        <v>318</v>
      </c>
      <c r="C212" t="s">
        <v>317</v>
      </c>
    </row>
    <row r="213" spans="1:3" x14ac:dyDescent="0.2">
      <c r="A213" t="s">
        <v>319</v>
      </c>
      <c r="B213" t="s">
        <v>320</v>
      </c>
      <c r="C213" t="s">
        <v>319</v>
      </c>
    </row>
    <row r="214" spans="1:3" x14ac:dyDescent="0.2">
      <c r="A214" t="s">
        <v>321</v>
      </c>
      <c r="B214" t="s">
        <v>322</v>
      </c>
      <c r="C214" t="s">
        <v>321</v>
      </c>
    </row>
    <row r="215" spans="1:3" x14ac:dyDescent="0.2">
      <c r="A215" t="s">
        <v>323</v>
      </c>
      <c r="B215" t="s">
        <v>324</v>
      </c>
      <c r="C215" t="s">
        <v>323</v>
      </c>
    </row>
    <row r="216" spans="1:3" x14ac:dyDescent="0.2">
      <c r="A216" t="s">
        <v>641</v>
      </c>
      <c r="B216" s="137" t="s">
        <v>2335</v>
      </c>
      <c r="C216" t="s">
        <v>641</v>
      </c>
    </row>
    <row r="217" spans="1:3" x14ac:dyDescent="0.2">
      <c r="A217" t="s">
        <v>325</v>
      </c>
      <c r="B217" t="s">
        <v>326</v>
      </c>
      <c r="C217" t="s">
        <v>325</v>
      </c>
    </row>
    <row r="218" spans="1:3" x14ac:dyDescent="0.2">
      <c r="A218" t="s">
        <v>327</v>
      </c>
      <c r="B218" t="s">
        <v>328</v>
      </c>
      <c r="C218" t="s">
        <v>327</v>
      </c>
    </row>
    <row r="219" spans="1:3" x14ac:dyDescent="0.2">
      <c r="A219" t="s">
        <v>329</v>
      </c>
      <c r="B219" t="s">
        <v>330</v>
      </c>
      <c r="C219" t="s">
        <v>329</v>
      </c>
    </row>
    <row r="220" spans="1:3" x14ac:dyDescent="0.2">
      <c r="A220" t="s">
        <v>331</v>
      </c>
      <c r="B220" t="s">
        <v>332</v>
      </c>
      <c r="C220" t="s">
        <v>331</v>
      </c>
    </row>
    <row r="221" spans="1:3" x14ac:dyDescent="0.2">
      <c r="A221" t="s">
        <v>333</v>
      </c>
      <c r="B221" t="s">
        <v>334</v>
      </c>
      <c r="C221" t="s">
        <v>333</v>
      </c>
    </row>
    <row r="222" spans="1:3" x14ac:dyDescent="0.2">
      <c r="A222" t="s">
        <v>335</v>
      </c>
      <c r="B222" t="s">
        <v>336</v>
      </c>
      <c r="C222" t="s">
        <v>335</v>
      </c>
    </row>
    <row r="223" spans="1:3" x14ac:dyDescent="0.2">
      <c r="A223" t="s">
        <v>337</v>
      </c>
      <c r="B223" t="s">
        <v>338</v>
      </c>
      <c r="C223" t="s">
        <v>337</v>
      </c>
    </row>
    <row r="224" spans="1:3" x14ac:dyDescent="0.2">
      <c r="A224" t="s">
        <v>339</v>
      </c>
      <c r="B224" t="s">
        <v>340</v>
      </c>
      <c r="C224" t="s">
        <v>339</v>
      </c>
    </row>
    <row r="225" spans="1:3" x14ac:dyDescent="0.2">
      <c r="A225" t="s">
        <v>341</v>
      </c>
      <c r="B225" t="s">
        <v>342</v>
      </c>
      <c r="C225" t="s">
        <v>341</v>
      </c>
    </row>
    <row r="226" spans="1:3" x14ac:dyDescent="0.2">
      <c r="A226" t="s">
        <v>343</v>
      </c>
      <c r="B226" t="s">
        <v>344</v>
      </c>
      <c r="C226" t="s">
        <v>343</v>
      </c>
    </row>
    <row r="227" spans="1:3" x14ac:dyDescent="0.2">
      <c r="A227" t="s">
        <v>345</v>
      </c>
      <c r="B227" t="s">
        <v>346</v>
      </c>
      <c r="C227" t="s">
        <v>345</v>
      </c>
    </row>
    <row r="228" spans="1:3" x14ac:dyDescent="0.2">
      <c r="A228" t="s">
        <v>347</v>
      </c>
      <c r="B228" t="s">
        <v>348</v>
      </c>
      <c r="C228" t="s">
        <v>347</v>
      </c>
    </row>
    <row r="229" spans="1:3" x14ac:dyDescent="0.2">
      <c r="A229" t="s">
        <v>349</v>
      </c>
      <c r="B229" t="s">
        <v>350</v>
      </c>
      <c r="C229" t="s">
        <v>349</v>
      </c>
    </row>
    <row r="230" spans="1:3" x14ac:dyDescent="0.2">
      <c r="A230" t="s">
        <v>351</v>
      </c>
      <c r="B230" t="s">
        <v>352</v>
      </c>
      <c r="C230" t="s">
        <v>351</v>
      </c>
    </row>
    <row r="231" spans="1:3" x14ac:dyDescent="0.2">
      <c r="A231" t="s">
        <v>353</v>
      </c>
      <c r="B231" t="s">
        <v>354</v>
      </c>
      <c r="C231" t="s">
        <v>353</v>
      </c>
    </row>
    <row r="232" spans="1:3" x14ac:dyDescent="0.2">
      <c r="A232" t="s">
        <v>355</v>
      </c>
      <c r="B232" t="s">
        <v>356</v>
      </c>
      <c r="C232" t="s">
        <v>355</v>
      </c>
    </row>
    <row r="233" spans="1:3" x14ac:dyDescent="0.2">
      <c r="A233" t="s">
        <v>357</v>
      </c>
      <c r="B233" t="s">
        <v>358</v>
      </c>
      <c r="C233" t="s">
        <v>357</v>
      </c>
    </row>
    <row r="234" spans="1:3" x14ac:dyDescent="0.2">
      <c r="A234" t="s">
        <v>359</v>
      </c>
      <c r="B234" t="s">
        <v>360</v>
      </c>
      <c r="C234" t="s">
        <v>359</v>
      </c>
    </row>
    <row r="235" spans="1:3" x14ac:dyDescent="0.2">
      <c r="A235" t="s">
        <v>361</v>
      </c>
      <c r="B235" t="s">
        <v>362</v>
      </c>
      <c r="C235" t="s">
        <v>361</v>
      </c>
    </row>
    <row r="236" spans="1:3" x14ac:dyDescent="0.2">
      <c r="A236" t="s">
        <v>363</v>
      </c>
      <c r="B236" t="s">
        <v>364</v>
      </c>
      <c r="C236" t="s">
        <v>363</v>
      </c>
    </row>
    <row r="237" spans="1:3" x14ac:dyDescent="0.2">
      <c r="A237" t="s">
        <v>365</v>
      </c>
      <c r="B237" t="s">
        <v>366</v>
      </c>
      <c r="C237" t="s">
        <v>365</v>
      </c>
    </row>
    <row r="238" spans="1:3" x14ac:dyDescent="0.2">
      <c r="A238" t="s">
        <v>367</v>
      </c>
      <c r="B238" t="s">
        <v>368</v>
      </c>
      <c r="C238" t="s">
        <v>367</v>
      </c>
    </row>
    <row r="239" spans="1:3" x14ac:dyDescent="0.2">
      <c r="A239" t="s">
        <v>369</v>
      </c>
      <c r="B239" t="s">
        <v>370</v>
      </c>
      <c r="C239" t="s">
        <v>369</v>
      </c>
    </row>
    <row r="240" spans="1:3" x14ac:dyDescent="0.2">
      <c r="A240" t="s">
        <v>371</v>
      </c>
      <c r="B240" t="s">
        <v>372</v>
      </c>
      <c r="C240" t="s">
        <v>371</v>
      </c>
    </row>
    <row r="241" spans="1:3" x14ac:dyDescent="0.2">
      <c r="A241" t="s">
        <v>373</v>
      </c>
      <c r="B241" t="s">
        <v>374</v>
      </c>
      <c r="C241" t="s">
        <v>373</v>
      </c>
    </row>
    <row r="242" spans="1:3" x14ac:dyDescent="0.2">
      <c r="A242" t="s">
        <v>375</v>
      </c>
      <c r="B242" t="s">
        <v>376</v>
      </c>
      <c r="C242" t="s">
        <v>375</v>
      </c>
    </row>
    <row r="243" spans="1:3" x14ac:dyDescent="0.2">
      <c r="A243" t="s">
        <v>377</v>
      </c>
      <c r="B243" t="s">
        <v>378</v>
      </c>
      <c r="C243" t="s">
        <v>377</v>
      </c>
    </row>
    <row r="244" spans="1:3" x14ac:dyDescent="0.2">
      <c r="A244" t="s">
        <v>379</v>
      </c>
      <c r="B244" t="s">
        <v>380</v>
      </c>
      <c r="C244" t="s">
        <v>379</v>
      </c>
    </row>
    <row r="245" spans="1:3" x14ac:dyDescent="0.2">
      <c r="A245" t="s">
        <v>381</v>
      </c>
      <c r="B245" t="s">
        <v>382</v>
      </c>
      <c r="C245" t="s">
        <v>381</v>
      </c>
    </row>
    <row r="246" spans="1:3" x14ac:dyDescent="0.2">
      <c r="A246" t="s">
        <v>383</v>
      </c>
      <c r="B246" t="s">
        <v>384</v>
      </c>
      <c r="C246" t="s">
        <v>383</v>
      </c>
    </row>
    <row r="247" spans="1:3" x14ac:dyDescent="0.2">
      <c r="A247" t="s">
        <v>385</v>
      </c>
      <c r="B247" t="s">
        <v>386</v>
      </c>
      <c r="C247" t="s">
        <v>385</v>
      </c>
    </row>
    <row r="248" spans="1:3" x14ac:dyDescent="0.2">
      <c r="A248" t="s">
        <v>387</v>
      </c>
      <c r="B248" t="s">
        <v>388</v>
      </c>
      <c r="C248" t="s">
        <v>387</v>
      </c>
    </row>
    <row r="249" spans="1:3" x14ac:dyDescent="0.2">
      <c r="A249" t="s">
        <v>389</v>
      </c>
      <c r="B249" t="s">
        <v>390</v>
      </c>
      <c r="C249" t="s">
        <v>389</v>
      </c>
    </row>
    <row r="250" spans="1:3" x14ac:dyDescent="0.2">
      <c r="A250" t="s">
        <v>391</v>
      </c>
      <c r="B250" t="s">
        <v>392</v>
      </c>
      <c r="C250" t="s">
        <v>391</v>
      </c>
    </row>
    <row r="251" spans="1:3" x14ac:dyDescent="0.2">
      <c r="A251" t="s">
        <v>393</v>
      </c>
      <c r="B251" t="s">
        <v>394</v>
      </c>
      <c r="C251" t="s">
        <v>393</v>
      </c>
    </row>
    <row r="252" spans="1:3" x14ac:dyDescent="0.2">
      <c r="A252" t="s">
        <v>395</v>
      </c>
      <c r="B252" t="s">
        <v>396</v>
      </c>
      <c r="C252" t="s">
        <v>395</v>
      </c>
    </row>
    <row r="253" spans="1:3" x14ac:dyDescent="0.2">
      <c r="A253" t="s">
        <v>397</v>
      </c>
      <c r="B253" t="s">
        <v>398</v>
      </c>
      <c r="C253" t="s">
        <v>397</v>
      </c>
    </row>
    <row r="254" spans="1:3" x14ac:dyDescent="0.2">
      <c r="A254" t="s">
        <v>399</v>
      </c>
      <c r="B254" t="s">
        <v>400</v>
      </c>
      <c r="C254" t="s">
        <v>399</v>
      </c>
    </row>
    <row r="255" spans="1:3" x14ac:dyDescent="0.2">
      <c r="A255" t="s">
        <v>401</v>
      </c>
      <c r="B255" t="s">
        <v>402</v>
      </c>
      <c r="C255" t="s">
        <v>401</v>
      </c>
    </row>
    <row r="256" spans="1:3" x14ac:dyDescent="0.2">
      <c r="A256" t="s">
        <v>403</v>
      </c>
      <c r="B256" t="s">
        <v>404</v>
      </c>
      <c r="C256" t="s">
        <v>403</v>
      </c>
    </row>
    <row r="257" spans="1:3" x14ac:dyDescent="0.2">
      <c r="A257" t="s">
        <v>405</v>
      </c>
      <c r="B257" t="s">
        <v>406</v>
      </c>
      <c r="C257" t="s">
        <v>405</v>
      </c>
    </row>
    <row r="258" spans="1:3" x14ac:dyDescent="0.2">
      <c r="A258" t="s">
        <v>407</v>
      </c>
      <c r="B258" t="s">
        <v>408</v>
      </c>
      <c r="C258" t="s">
        <v>407</v>
      </c>
    </row>
    <row r="259" spans="1:3" x14ac:dyDescent="0.2">
      <c r="A259" t="s">
        <v>409</v>
      </c>
      <c r="B259" t="s">
        <v>410</v>
      </c>
      <c r="C259" t="s">
        <v>409</v>
      </c>
    </row>
    <row r="260" spans="1:3" x14ac:dyDescent="0.2">
      <c r="A260" t="s">
        <v>411</v>
      </c>
      <c r="B260" t="s">
        <v>412</v>
      </c>
      <c r="C260" t="s">
        <v>411</v>
      </c>
    </row>
    <row r="261" spans="1:3" x14ac:dyDescent="0.2">
      <c r="A261" t="s">
        <v>413</v>
      </c>
      <c r="B261" t="s">
        <v>414</v>
      </c>
      <c r="C261" t="s">
        <v>413</v>
      </c>
    </row>
    <row r="262" spans="1:3" x14ac:dyDescent="0.2">
      <c r="A262" t="s">
        <v>415</v>
      </c>
      <c r="B262" t="s">
        <v>416</v>
      </c>
      <c r="C262" t="s">
        <v>415</v>
      </c>
    </row>
    <row r="263" spans="1:3" x14ac:dyDescent="0.2">
      <c r="A263" t="s">
        <v>417</v>
      </c>
      <c r="B263" t="s">
        <v>418</v>
      </c>
      <c r="C263" t="s">
        <v>417</v>
      </c>
    </row>
    <row r="264" spans="1:3" x14ac:dyDescent="0.2">
      <c r="A264" t="s">
        <v>419</v>
      </c>
      <c r="B264" t="s">
        <v>420</v>
      </c>
      <c r="C264" t="s">
        <v>419</v>
      </c>
    </row>
    <row r="265" spans="1:3" x14ac:dyDescent="0.2">
      <c r="A265" t="s">
        <v>421</v>
      </c>
      <c r="B265" t="s">
        <v>422</v>
      </c>
      <c r="C265" t="s">
        <v>421</v>
      </c>
    </row>
    <row r="266" spans="1:3" x14ac:dyDescent="0.2">
      <c r="A266" t="s">
        <v>423</v>
      </c>
      <c r="B266" t="s">
        <v>424</v>
      </c>
      <c r="C266" t="s">
        <v>423</v>
      </c>
    </row>
    <row r="267" spans="1:3" x14ac:dyDescent="0.2">
      <c r="A267" t="s">
        <v>425</v>
      </c>
      <c r="B267" t="s">
        <v>426</v>
      </c>
      <c r="C267" t="s">
        <v>425</v>
      </c>
    </row>
    <row r="268" spans="1:3" x14ac:dyDescent="0.2">
      <c r="A268" t="s">
        <v>427</v>
      </c>
      <c r="B268" t="s">
        <v>428</v>
      </c>
      <c r="C268" t="s">
        <v>427</v>
      </c>
    </row>
    <row r="269" spans="1:3" x14ac:dyDescent="0.2">
      <c r="A269" t="s">
        <v>429</v>
      </c>
      <c r="B269" t="s">
        <v>430</v>
      </c>
      <c r="C269" t="s">
        <v>429</v>
      </c>
    </row>
    <row r="270" spans="1:3" x14ac:dyDescent="0.2">
      <c r="A270" t="s">
        <v>431</v>
      </c>
      <c r="B270" t="s">
        <v>432</v>
      </c>
      <c r="C270" t="s">
        <v>431</v>
      </c>
    </row>
    <row r="271" spans="1:3" x14ac:dyDescent="0.2">
      <c r="A271" t="s">
        <v>433</v>
      </c>
      <c r="B271" t="s">
        <v>434</v>
      </c>
      <c r="C271" t="s">
        <v>433</v>
      </c>
    </row>
    <row r="272" spans="1:3" x14ac:dyDescent="0.2">
      <c r="A272" t="s">
        <v>435</v>
      </c>
      <c r="B272" t="s">
        <v>436</v>
      </c>
      <c r="C272" t="s">
        <v>435</v>
      </c>
    </row>
    <row r="273" spans="1:3" x14ac:dyDescent="0.2">
      <c r="A273" t="s">
        <v>437</v>
      </c>
      <c r="B273" t="s">
        <v>438</v>
      </c>
      <c r="C273" t="s">
        <v>437</v>
      </c>
    </row>
    <row r="274" spans="1:3" x14ac:dyDescent="0.2">
      <c r="A274" t="s">
        <v>439</v>
      </c>
      <c r="B274" t="s">
        <v>440</v>
      </c>
      <c r="C274" t="s">
        <v>439</v>
      </c>
    </row>
    <row r="275" spans="1:3" x14ac:dyDescent="0.2">
      <c r="A275" t="s">
        <v>441</v>
      </c>
      <c r="B275" t="s">
        <v>442</v>
      </c>
      <c r="C275" t="s">
        <v>441</v>
      </c>
    </row>
    <row r="276" spans="1:3" x14ac:dyDescent="0.2">
      <c r="A276" t="s">
        <v>443</v>
      </c>
      <c r="B276" t="s">
        <v>444</v>
      </c>
      <c r="C276" t="s">
        <v>443</v>
      </c>
    </row>
    <row r="277" spans="1:3" x14ac:dyDescent="0.2">
      <c r="A277" t="s">
        <v>445</v>
      </c>
      <c r="B277" t="s">
        <v>446</v>
      </c>
      <c r="C277" t="s">
        <v>445</v>
      </c>
    </row>
    <row r="278" spans="1:3" x14ac:dyDescent="0.2">
      <c r="A278" t="s">
        <v>447</v>
      </c>
      <c r="B278" t="s">
        <v>448</v>
      </c>
      <c r="C278" t="s">
        <v>447</v>
      </c>
    </row>
    <row r="279" spans="1:3" x14ac:dyDescent="0.2">
      <c r="A279" t="s">
        <v>449</v>
      </c>
      <c r="B279" t="s">
        <v>450</v>
      </c>
      <c r="C279" t="s">
        <v>449</v>
      </c>
    </row>
    <row r="280" spans="1:3" x14ac:dyDescent="0.2">
      <c r="A280" t="s">
        <v>1289</v>
      </c>
      <c r="B280" s="137" t="s">
        <v>1314</v>
      </c>
      <c r="C280" t="s">
        <v>1289</v>
      </c>
    </row>
    <row r="281" spans="1:3" x14ac:dyDescent="0.2">
      <c r="A281" t="s">
        <v>451</v>
      </c>
      <c r="B281" t="s">
        <v>452</v>
      </c>
      <c r="C281" t="s">
        <v>451</v>
      </c>
    </row>
    <row r="282" spans="1:3" x14ac:dyDescent="0.2">
      <c r="A282" s="137" t="s">
        <v>1183</v>
      </c>
      <c r="B282" s="137" t="s">
        <v>1184</v>
      </c>
      <c r="C282" s="137" t="s">
        <v>1183</v>
      </c>
    </row>
    <row r="283" spans="1:3" x14ac:dyDescent="0.2">
      <c r="A283" t="s">
        <v>453</v>
      </c>
      <c r="B283" t="s">
        <v>454</v>
      </c>
      <c r="C283" t="s">
        <v>453</v>
      </c>
    </row>
    <row r="284" spans="1:3" x14ac:dyDescent="0.2">
      <c r="A284" s="137" t="s">
        <v>2337</v>
      </c>
      <c r="B284" s="137" t="s">
        <v>2336</v>
      </c>
      <c r="C284" s="137" t="s">
        <v>2337</v>
      </c>
    </row>
    <row r="285" spans="1:3" x14ac:dyDescent="0.2">
      <c r="A285" t="s">
        <v>455</v>
      </c>
      <c r="B285" t="s">
        <v>456</v>
      </c>
      <c r="C285" t="s">
        <v>455</v>
      </c>
    </row>
    <row r="286" spans="1:3" x14ac:dyDescent="0.2">
      <c r="A286" t="s">
        <v>457</v>
      </c>
      <c r="B286" t="s">
        <v>458</v>
      </c>
      <c r="C286" t="s">
        <v>457</v>
      </c>
    </row>
    <row r="287" spans="1:3" x14ac:dyDescent="0.2">
      <c r="A287" t="s">
        <v>459</v>
      </c>
      <c r="B287" t="s">
        <v>460</v>
      </c>
      <c r="C287" t="s">
        <v>459</v>
      </c>
    </row>
    <row r="288" spans="1:3" x14ac:dyDescent="0.2">
      <c r="A288" t="s">
        <v>461</v>
      </c>
      <c r="B288" t="s">
        <v>462</v>
      </c>
      <c r="C288" t="s">
        <v>461</v>
      </c>
    </row>
    <row r="289" spans="1:3" x14ac:dyDescent="0.2">
      <c r="A289" t="s">
        <v>463</v>
      </c>
      <c r="B289" t="s">
        <v>464</v>
      </c>
      <c r="C289" t="s">
        <v>463</v>
      </c>
    </row>
    <row r="290" spans="1:3" x14ac:dyDescent="0.2">
      <c r="A290" t="s">
        <v>465</v>
      </c>
      <c r="B290" t="s">
        <v>466</v>
      </c>
      <c r="C290" t="s">
        <v>465</v>
      </c>
    </row>
    <row r="291" spans="1:3" x14ac:dyDescent="0.2">
      <c r="A291" t="s">
        <v>467</v>
      </c>
      <c r="B291" t="s">
        <v>468</v>
      </c>
      <c r="C291" t="s">
        <v>467</v>
      </c>
    </row>
    <row r="292" spans="1:3" x14ac:dyDescent="0.2">
      <c r="A292" t="s">
        <v>469</v>
      </c>
      <c r="B292" t="s">
        <v>470</v>
      </c>
      <c r="C292" t="s">
        <v>469</v>
      </c>
    </row>
    <row r="293" spans="1:3" x14ac:dyDescent="0.2">
      <c r="A293" t="s">
        <v>471</v>
      </c>
      <c r="B293" t="s">
        <v>472</v>
      </c>
      <c r="C293" t="s">
        <v>471</v>
      </c>
    </row>
    <row r="294" spans="1:3" x14ac:dyDescent="0.2">
      <c r="A294" t="s">
        <v>473</v>
      </c>
      <c r="B294" t="s">
        <v>474</v>
      </c>
      <c r="C294" t="s">
        <v>473</v>
      </c>
    </row>
    <row r="295" spans="1:3" x14ac:dyDescent="0.2">
      <c r="A295" t="s">
        <v>475</v>
      </c>
      <c r="B295" t="s">
        <v>476</v>
      </c>
      <c r="C295" t="s">
        <v>475</v>
      </c>
    </row>
    <row r="296" spans="1:3" x14ac:dyDescent="0.2">
      <c r="A296" t="s">
        <v>477</v>
      </c>
      <c r="B296" t="s">
        <v>478</v>
      </c>
      <c r="C296" t="s">
        <v>477</v>
      </c>
    </row>
    <row r="297" spans="1:3" x14ac:dyDescent="0.2">
      <c r="A297" t="s">
        <v>479</v>
      </c>
      <c r="B297" t="s">
        <v>480</v>
      </c>
      <c r="C297" t="s">
        <v>479</v>
      </c>
    </row>
    <row r="298" spans="1:3" x14ac:dyDescent="0.2">
      <c r="A298" t="s">
        <v>481</v>
      </c>
      <c r="B298" t="s">
        <v>482</v>
      </c>
      <c r="C298" t="s">
        <v>481</v>
      </c>
    </row>
  </sheetData>
  <pageMargins left="0.7" right="0.7" top="0.75" bottom="0.75" header="0.3" footer="0.3"/>
  <pageSetup orientation="portrait" r:id="rId1"/>
  <headerFooter>
    <oddHeader>&amp;C&amp;"Calibri"&amp;10&amp;K000000 OFFICIAL&amp;1#_x000D_</oddHeader>
    <oddFooter>&amp;C_x000D_&amp;1#&amp;"Calibri"&amp;10&amp;K000000 OFFICIAL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9D3E1-311C-485A-8934-4193F5F2EB58}">
  <sheetPr codeName="Sheet16">
    <tabColor rgb="FF92D050"/>
  </sheetPr>
  <dimension ref="A1:D7"/>
  <sheetViews>
    <sheetView workbookViewId="0">
      <selection activeCell="C10" sqref="C10"/>
    </sheetView>
  </sheetViews>
  <sheetFormatPr defaultRowHeight="12.75" x14ac:dyDescent="0.2"/>
  <cols>
    <col min="1" max="1" width="60.42578125" style="261" bestFit="1" customWidth="1"/>
    <col min="2" max="2" width="9.140625" style="261"/>
    <col min="3" max="3" width="122.85546875" style="261" customWidth="1"/>
    <col min="4" max="16384" width="9.140625" style="261"/>
  </cols>
  <sheetData>
    <row r="1" spans="1:4" x14ac:dyDescent="0.2">
      <c r="A1" s="508" t="s">
        <v>2687</v>
      </c>
      <c r="B1" s="508" t="s">
        <v>2688</v>
      </c>
      <c r="C1" s="508" t="s">
        <v>2690</v>
      </c>
      <c r="D1" s="508" t="s">
        <v>2689</v>
      </c>
    </row>
    <row r="2" spans="1:4" x14ac:dyDescent="0.2">
      <c r="A2" s="509" t="s">
        <v>3056</v>
      </c>
      <c r="B2" s="1630" t="s">
        <v>5796</v>
      </c>
      <c r="C2" s="509" t="s">
        <v>2691</v>
      </c>
      <c r="D2" s="261" t="s">
        <v>5869</v>
      </c>
    </row>
    <row r="3" spans="1:4" x14ac:dyDescent="0.2">
      <c r="A3" s="509" t="s">
        <v>3057</v>
      </c>
      <c r="B3" s="1630" t="s">
        <v>5797</v>
      </c>
      <c r="C3" s="509" t="s">
        <v>3058</v>
      </c>
      <c r="D3" s="261" t="s">
        <v>5869</v>
      </c>
    </row>
    <row r="4" spans="1:4" x14ac:dyDescent="0.2">
      <c r="A4" s="509" t="s">
        <v>3054</v>
      </c>
      <c r="B4" s="261">
        <v>49.9</v>
      </c>
      <c r="C4" s="509" t="s">
        <v>2692</v>
      </c>
      <c r="D4" s="261" t="s">
        <v>5869</v>
      </c>
    </row>
    <row r="5" spans="1:4" x14ac:dyDescent="0.2">
      <c r="A5" s="509" t="s">
        <v>3055</v>
      </c>
      <c r="B5" s="261">
        <v>5.6000000000000001E-2</v>
      </c>
      <c r="C5" s="509" t="s">
        <v>2693</v>
      </c>
      <c r="D5" s="261" t="s">
        <v>5869</v>
      </c>
    </row>
    <row r="6" spans="1:4" x14ac:dyDescent="0.2">
      <c r="A6" s="509" t="s">
        <v>3066</v>
      </c>
      <c r="B6" s="261" t="s">
        <v>3067</v>
      </c>
      <c r="C6" s="509" t="s">
        <v>5853</v>
      </c>
    </row>
    <row r="7" spans="1:4" x14ac:dyDescent="0.2">
      <c r="A7" s="509" t="s">
        <v>3082</v>
      </c>
      <c r="B7" s="261">
        <v>1.2999999999999999E-2</v>
      </c>
      <c r="C7" s="509" t="s">
        <v>3083</v>
      </c>
      <c r="D7" s="261" t="s">
        <v>5869</v>
      </c>
    </row>
  </sheetData>
  <pageMargins left="0.7" right="0.7" top="0.75" bottom="0.75" header="0.3" footer="0.3"/>
  <pageSetup orientation="portrait" r:id="rId1"/>
  <headerFooter>
    <oddHeader>&amp;C&amp;"Calibri"&amp;10&amp;K000000 OFFICIAL&amp;1#_x000D_</oddHeader>
    <oddFooter>&amp;C_x000D_&amp;1#&amp;"Calibri"&amp;10&amp;K000000 OFFICIAL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438F5-D33F-4149-B8C0-0164A2B8C01A}">
  <sheetPr codeName="Sheet17">
    <tabColor rgb="FF92D050"/>
    <pageSetUpPr autoPageBreaks="0"/>
  </sheetPr>
  <dimension ref="A1:E310"/>
  <sheetViews>
    <sheetView workbookViewId="0">
      <selection activeCell="CG11" sqref="CG11"/>
    </sheetView>
  </sheetViews>
  <sheetFormatPr defaultRowHeight="12.75" x14ac:dyDescent="0.2"/>
  <cols>
    <col min="1" max="1" width="31.42578125" bestFit="1" customWidth="1"/>
    <col min="3" max="3" width="22.28515625" bestFit="1" customWidth="1"/>
    <col min="4" max="4" width="19.5703125" bestFit="1" customWidth="1"/>
  </cols>
  <sheetData>
    <row r="1" spans="1:5" ht="13.5" thickBot="1" x14ac:dyDescent="0.25">
      <c r="A1" t="s">
        <v>1294</v>
      </c>
      <c r="B1" t="s">
        <v>1174</v>
      </c>
      <c r="C1" s="137" t="s">
        <v>2694</v>
      </c>
      <c r="D1" s="137" t="s">
        <v>2265</v>
      </c>
      <c r="E1" s="672" t="s">
        <v>3032</v>
      </c>
    </row>
    <row r="2" spans="1:5" x14ac:dyDescent="0.2">
      <c r="A2" s="652" t="s">
        <v>719</v>
      </c>
      <c r="B2" s="653" t="s">
        <v>720</v>
      </c>
      <c r="C2">
        <v>10000000000</v>
      </c>
      <c r="D2">
        <f>C2*-1</f>
        <v>-10000000000</v>
      </c>
    </row>
    <row r="3" spans="1:5" x14ac:dyDescent="0.2">
      <c r="A3" s="649" t="s">
        <v>721</v>
      </c>
      <c r="B3" s="654" t="s">
        <v>722</v>
      </c>
      <c r="C3">
        <v>10000000000</v>
      </c>
      <c r="D3">
        <f t="shared" ref="D3:D66" si="0">C3*-1</f>
        <v>-10000000000</v>
      </c>
    </row>
    <row r="4" spans="1:5" x14ac:dyDescent="0.2">
      <c r="A4" s="649" t="s">
        <v>723</v>
      </c>
      <c r="B4" s="654" t="s">
        <v>724</v>
      </c>
      <c r="C4">
        <v>10000000000</v>
      </c>
      <c r="D4">
        <f t="shared" si="0"/>
        <v>-10000000000</v>
      </c>
    </row>
    <row r="5" spans="1:5" x14ac:dyDescent="0.2">
      <c r="A5" s="649" t="s">
        <v>725</v>
      </c>
      <c r="B5" s="654" t="s">
        <v>726</v>
      </c>
      <c r="C5">
        <v>10000000000</v>
      </c>
      <c r="D5">
        <f t="shared" si="0"/>
        <v>-10000000000</v>
      </c>
    </row>
    <row r="6" spans="1:5" x14ac:dyDescent="0.2">
      <c r="A6" s="649" t="s">
        <v>727</v>
      </c>
      <c r="B6" s="654" t="s">
        <v>728</v>
      </c>
      <c r="C6">
        <v>10000000000</v>
      </c>
      <c r="D6">
        <f t="shared" si="0"/>
        <v>-10000000000</v>
      </c>
    </row>
    <row r="7" spans="1:5" x14ac:dyDescent="0.2">
      <c r="A7" s="649" t="s">
        <v>729</v>
      </c>
      <c r="B7" s="654" t="s">
        <v>730</v>
      </c>
      <c r="C7">
        <v>10000000000</v>
      </c>
      <c r="D7">
        <f t="shared" si="0"/>
        <v>-10000000000</v>
      </c>
    </row>
    <row r="8" spans="1:5" x14ac:dyDescent="0.2">
      <c r="A8" s="649" t="s">
        <v>731</v>
      </c>
      <c r="B8" s="654" t="s">
        <v>732</v>
      </c>
      <c r="C8">
        <v>10000000000</v>
      </c>
      <c r="D8">
        <f t="shared" si="0"/>
        <v>-10000000000</v>
      </c>
    </row>
    <row r="9" spans="1:5" x14ac:dyDescent="0.2">
      <c r="A9" s="649" t="s">
        <v>733</v>
      </c>
      <c r="B9" s="654" t="s">
        <v>734</v>
      </c>
      <c r="C9">
        <v>10000000000</v>
      </c>
      <c r="D9">
        <f t="shared" si="0"/>
        <v>-10000000000</v>
      </c>
    </row>
    <row r="10" spans="1:5" x14ac:dyDescent="0.2">
      <c r="A10" s="649" t="s">
        <v>735</v>
      </c>
      <c r="B10" s="654" t="s">
        <v>736</v>
      </c>
      <c r="C10">
        <v>10000000000</v>
      </c>
      <c r="D10">
        <f t="shared" si="0"/>
        <v>-10000000000</v>
      </c>
    </row>
    <row r="11" spans="1:5" x14ac:dyDescent="0.2">
      <c r="A11" s="649" t="s">
        <v>737</v>
      </c>
      <c r="B11" s="654" t="s">
        <v>738</v>
      </c>
      <c r="C11">
        <v>10000000000</v>
      </c>
      <c r="D11">
        <f t="shared" si="0"/>
        <v>-10000000000</v>
      </c>
    </row>
    <row r="12" spans="1:5" x14ac:dyDescent="0.2">
      <c r="A12" s="649" t="s">
        <v>969</v>
      </c>
      <c r="B12" s="654" t="s">
        <v>740</v>
      </c>
      <c r="C12">
        <v>10000000000</v>
      </c>
      <c r="D12">
        <f t="shared" si="0"/>
        <v>-10000000000</v>
      </c>
    </row>
    <row r="13" spans="1:5" x14ac:dyDescent="0.2">
      <c r="A13" s="649" t="s">
        <v>741</v>
      </c>
      <c r="B13" s="654" t="s">
        <v>742</v>
      </c>
      <c r="C13">
        <v>10000000000</v>
      </c>
      <c r="D13">
        <f t="shared" si="0"/>
        <v>-10000000000</v>
      </c>
    </row>
    <row r="14" spans="1:5" x14ac:dyDescent="0.2">
      <c r="A14" s="649" t="s">
        <v>970</v>
      </c>
      <c r="B14" s="654" t="s">
        <v>744</v>
      </c>
      <c r="C14">
        <v>10000000000</v>
      </c>
      <c r="D14">
        <f t="shared" si="0"/>
        <v>-10000000000</v>
      </c>
    </row>
    <row r="15" spans="1:5" x14ac:dyDescent="0.2">
      <c r="A15" s="649" t="s">
        <v>745</v>
      </c>
      <c r="B15" s="654" t="s">
        <v>746</v>
      </c>
      <c r="C15">
        <v>10000000000</v>
      </c>
      <c r="D15">
        <f t="shared" si="0"/>
        <v>-10000000000</v>
      </c>
    </row>
    <row r="16" spans="1:5" x14ac:dyDescent="0.2">
      <c r="A16" s="649" t="s">
        <v>747</v>
      </c>
      <c r="B16" s="654" t="s">
        <v>748</v>
      </c>
      <c r="C16">
        <v>10000000000</v>
      </c>
      <c r="D16">
        <f t="shared" si="0"/>
        <v>-10000000000</v>
      </c>
    </row>
    <row r="17" spans="1:4" x14ac:dyDescent="0.2">
      <c r="A17" s="649" t="s">
        <v>749</v>
      </c>
      <c r="B17" s="654" t="s">
        <v>750</v>
      </c>
      <c r="C17">
        <v>10000000000</v>
      </c>
      <c r="D17">
        <f t="shared" si="0"/>
        <v>-10000000000</v>
      </c>
    </row>
    <row r="18" spans="1:4" x14ac:dyDescent="0.2">
      <c r="A18" s="649" t="s">
        <v>751</v>
      </c>
      <c r="B18" s="654" t="s">
        <v>752</v>
      </c>
      <c r="C18">
        <v>10000000000</v>
      </c>
      <c r="D18">
        <f t="shared" si="0"/>
        <v>-10000000000</v>
      </c>
    </row>
    <row r="19" spans="1:4" x14ac:dyDescent="0.2">
      <c r="A19" s="649" t="s">
        <v>605</v>
      </c>
      <c r="B19" s="654" t="s">
        <v>754</v>
      </c>
      <c r="C19">
        <v>10000000000</v>
      </c>
      <c r="D19">
        <f t="shared" si="0"/>
        <v>-10000000000</v>
      </c>
    </row>
    <row r="20" spans="1:4" x14ac:dyDescent="0.2">
      <c r="A20" s="649" t="s">
        <v>608</v>
      </c>
      <c r="B20" s="654" t="s">
        <v>756</v>
      </c>
      <c r="C20">
        <v>10000000000</v>
      </c>
      <c r="D20">
        <f t="shared" si="0"/>
        <v>-10000000000</v>
      </c>
    </row>
    <row r="21" spans="1:4" x14ac:dyDescent="0.2">
      <c r="A21" s="649" t="s">
        <v>757</v>
      </c>
      <c r="B21" s="654" t="s">
        <v>758</v>
      </c>
      <c r="C21">
        <v>10000000000</v>
      </c>
      <c r="D21">
        <f t="shared" si="0"/>
        <v>-10000000000</v>
      </c>
    </row>
    <row r="22" spans="1:4" x14ac:dyDescent="0.2">
      <c r="A22" s="649" t="s">
        <v>759</v>
      </c>
      <c r="B22" s="654" t="s">
        <v>760</v>
      </c>
      <c r="C22">
        <v>10000000000</v>
      </c>
      <c r="D22">
        <f t="shared" si="0"/>
        <v>-10000000000</v>
      </c>
    </row>
    <row r="23" spans="1:4" x14ac:dyDescent="0.2">
      <c r="A23" s="649" t="s">
        <v>761</v>
      </c>
      <c r="B23" s="654" t="s">
        <v>762</v>
      </c>
      <c r="C23">
        <v>10000000000</v>
      </c>
      <c r="D23">
        <f t="shared" si="0"/>
        <v>-10000000000</v>
      </c>
    </row>
    <row r="24" spans="1:4" x14ac:dyDescent="0.2">
      <c r="A24" s="655" t="s">
        <v>1193</v>
      </c>
      <c r="B24" s="656" t="s">
        <v>1178</v>
      </c>
      <c r="C24">
        <v>10000000000</v>
      </c>
      <c r="D24">
        <f t="shared" si="0"/>
        <v>-10000000000</v>
      </c>
    </row>
    <row r="25" spans="1:4" x14ac:dyDescent="0.2">
      <c r="A25" s="649" t="s">
        <v>518</v>
      </c>
      <c r="B25" s="654" t="s">
        <v>764</v>
      </c>
      <c r="C25">
        <v>10000000000</v>
      </c>
      <c r="D25">
        <f t="shared" si="0"/>
        <v>-10000000000</v>
      </c>
    </row>
    <row r="26" spans="1:4" x14ac:dyDescent="0.2">
      <c r="A26" s="649" t="s">
        <v>765</v>
      </c>
      <c r="B26" s="654" t="s">
        <v>766</v>
      </c>
      <c r="C26">
        <v>10000000000</v>
      </c>
      <c r="D26">
        <f t="shared" si="0"/>
        <v>-10000000000</v>
      </c>
    </row>
    <row r="27" spans="1:4" x14ac:dyDescent="0.2">
      <c r="A27" s="649" t="s">
        <v>767</v>
      </c>
      <c r="B27" s="654" t="s">
        <v>768</v>
      </c>
      <c r="C27">
        <v>10000000000</v>
      </c>
      <c r="D27">
        <f t="shared" si="0"/>
        <v>-10000000000</v>
      </c>
    </row>
    <row r="28" spans="1:4" x14ac:dyDescent="0.2">
      <c r="A28" s="649" t="s">
        <v>769</v>
      </c>
      <c r="B28" s="654" t="s">
        <v>770</v>
      </c>
      <c r="C28">
        <v>10000000000</v>
      </c>
      <c r="D28">
        <f t="shared" si="0"/>
        <v>-10000000000</v>
      </c>
    </row>
    <row r="29" spans="1:4" x14ac:dyDescent="0.2">
      <c r="A29" s="649" t="s">
        <v>771</v>
      </c>
      <c r="B29" s="654" t="s">
        <v>772</v>
      </c>
      <c r="C29">
        <v>10000000000</v>
      </c>
      <c r="D29">
        <f t="shared" si="0"/>
        <v>-10000000000</v>
      </c>
    </row>
    <row r="30" spans="1:4" x14ac:dyDescent="0.2">
      <c r="A30" s="649" t="s">
        <v>773</v>
      </c>
      <c r="B30" s="654" t="s">
        <v>774</v>
      </c>
      <c r="C30">
        <v>10000000000</v>
      </c>
      <c r="D30">
        <f t="shared" si="0"/>
        <v>-10000000000</v>
      </c>
    </row>
    <row r="31" spans="1:4" x14ac:dyDescent="0.2">
      <c r="A31" s="649" t="s">
        <v>968</v>
      </c>
      <c r="B31" s="654" t="s">
        <v>776</v>
      </c>
      <c r="C31">
        <v>10000000000</v>
      </c>
      <c r="D31">
        <f t="shared" si="0"/>
        <v>-10000000000</v>
      </c>
    </row>
    <row r="32" spans="1:4" x14ac:dyDescent="0.2">
      <c r="A32" s="649" t="s">
        <v>512</v>
      </c>
      <c r="B32" s="654" t="s">
        <v>778</v>
      </c>
      <c r="C32">
        <v>10000000000</v>
      </c>
      <c r="D32">
        <f t="shared" si="0"/>
        <v>-10000000000</v>
      </c>
    </row>
    <row r="33" spans="1:4" x14ac:dyDescent="0.2">
      <c r="A33" s="649" t="s">
        <v>779</v>
      </c>
      <c r="B33" s="654" t="s">
        <v>780</v>
      </c>
      <c r="C33">
        <v>10000000000</v>
      </c>
      <c r="D33">
        <f t="shared" si="0"/>
        <v>-10000000000</v>
      </c>
    </row>
    <row r="34" spans="1:4" x14ac:dyDescent="0.2">
      <c r="A34" s="649" t="s">
        <v>781</v>
      </c>
      <c r="B34" s="654" t="s">
        <v>782</v>
      </c>
      <c r="C34">
        <v>10000000000</v>
      </c>
      <c r="D34">
        <f t="shared" si="0"/>
        <v>-10000000000</v>
      </c>
    </row>
    <row r="35" spans="1:4" x14ac:dyDescent="0.2">
      <c r="A35" s="649" t="s">
        <v>783</v>
      </c>
      <c r="B35" s="654" t="s">
        <v>784</v>
      </c>
      <c r="C35">
        <v>10000000000</v>
      </c>
      <c r="D35">
        <f t="shared" si="0"/>
        <v>-10000000000</v>
      </c>
    </row>
    <row r="36" spans="1:4" x14ac:dyDescent="0.2">
      <c r="A36" s="649" t="s">
        <v>785</v>
      </c>
      <c r="B36" s="654" t="s">
        <v>786</v>
      </c>
      <c r="C36">
        <v>10000000000</v>
      </c>
      <c r="D36">
        <f t="shared" si="0"/>
        <v>-10000000000</v>
      </c>
    </row>
    <row r="37" spans="1:4" x14ac:dyDescent="0.2">
      <c r="A37" s="649" t="s">
        <v>787</v>
      </c>
      <c r="B37" s="654" t="s">
        <v>788</v>
      </c>
      <c r="C37">
        <v>10000000000</v>
      </c>
      <c r="D37">
        <f t="shared" si="0"/>
        <v>-10000000000</v>
      </c>
    </row>
    <row r="38" spans="1:4" x14ac:dyDescent="0.2">
      <c r="A38" s="649" t="s">
        <v>529</v>
      </c>
      <c r="B38" s="654" t="s">
        <v>1213</v>
      </c>
      <c r="C38">
        <v>10000000000</v>
      </c>
      <c r="D38">
        <f t="shared" si="0"/>
        <v>-10000000000</v>
      </c>
    </row>
    <row r="39" spans="1:4" x14ac:dyDescent="0.2">
      <c r="A39" s="649" t="s">
        <v>789</v>
      </c>
      <c r="B39" s="654" t="s">
        <v>790</v>
      </c>
      <c r="C39">
        <v>10000000000</v>
      </c>
      <c r="D39">
        <f t="shared" si="0"/>
        <v>-10000000000</v>
      </c>
    </row>
    <row r="40" spans="1:4" x14ac:dyDescent="0.2">
      <c r="A40" s="649" t="s">
        <v>791</v>
      </c>
      <c r="B40" s="654" t="s">
        <v>792</v>
      </c>
      <c r="C40">
        <v>10000000000</v>
      </c>
      <c r="D40">
        <f t="shared" si="0"/>
        <v>-10000000000</v>
      </c>
    </row>
    <row r="41" spans="1:4" x14ac:dyDescent="0.2">
      <c r="A41" s="649" t="s">
        <v>793</v>
      </c>
      <c r="B41" s="654" t="s">
        <v>794</v>
      </c>
      <c r="C41">
        <v>10000000000</v>
      </c>
      <c r="D41">
        <f t="shared" si="0"/>
        <v>-10000000000</v>
      </c>
    </row>
    <row r="42" spans="1:4" x14ac:dyDescent="0.2">
      <c r="A42" s="649" t="s">
        <v>795</v>
      </c>
      <c r="B42" s="654" t="s">
        <v>796</v>
      </c>
      <c r="C42">
        <v>10000000000</v>
      </c>
      <c r="D42">
        <f t="shared" si="0"/>
        <v>-10000000000</v>
      </c>
    </row>
    <row r="43" spans="1:4" x14ac:dyDescent="0.2">
      <c r="A43" s="649" t="s">
        <v>797</v>
      </c>
      <c r="B43" s="654" t="s">
        <v>798</v>
      </c>
      <c r="C43">
        <v>10000000000</v>
      </c>
      <c r="D43">
        <f t="shared" si="0"/>
        <v>-10000000000</v>
      </c>
    </row>
    <row r="44" spans="1:4" x14ac:dyDescent="0.2">
      <c r="A44" s="649" t="s">
        <v>799</v>
      </c>
      <c r="B44" s="654" t="s">
        <v>800</v>
      </c>
      <c r="C44">
        <v>10000000000</v>
      </c>
      <c r="D44">
        <f t="shared" si="0"/>
        <v>-10000000000</v>
      </c>
    </row>
    <row r="45" spans="1:4" x14ac:dyDescent="0.2">
      <c r="A45" s="649" t="s">
        <v>801</v>
      </c>
      <c r="B45" s="654" t="s">
        <v>802</v>
      </c>
      <c r="C45">
        <v>10000000000</v>
      </c>
      <c r="D45">
        <f t="shared" si="0"/>
        <v>-10000000000</v>
      </c>
    </row>
    <row r="46" spans="1:4" x14ac:dyDescent="0.2">
      <c r="A46" s="649" t="s">
        <v>803</v>
      </c>
      <c r="B46" s="654" t="s">
        <v>804</v>
      </c>
      <c r="C46">
        <v>10000000000</v>
      </c>
      <c r="D46">
        <f t="shared" si="0"/>
        <v>-10000000000</v>
      </c>
    </row>
    <row r="47" spans="1:4" x14ac:dyDescent="0.2">
      <c r="A47" s="655" t="s">
        <v>805</v>
      </c>
      <c r="B47" s="656" t="s">
        <v>806</v>
      </c>
      <c r="C47">
        <v>10000000000</v>
      </c>
      <c r="D47">
        <f t="shared" si="0"/>
        <v>-10000000000</v>
      </c>
    </row>
    <row r="48" spans="1:4" x14ac:dyDescent="0.2">
      <c r="A48" s="649" t="s">
        <v>807</v>
      </c>
      <c r="B48" s="654" t="s">
        <v>808</v>
      </c>
      <c r="C48">
        <v>10000000000</v>
      </c>
      <c r="D48">
        <f t="shared" si="0"/>
        <v>-10000000000</v>
      </c>
    </row>
    <row r="49" spans="1:4" x14ac:dyDescent="0.2">
      <c r="A49" s="649" t="s">
        <v>809</v>
      </c>
      <c r="B49" s="654" t="s">
        <v>810</v>
      </c>
      <c r="C49">
        <v>10000000000</v>
      </c>
      <c r="D49">
        <f t="shared" si="0"/>
        <v>-10000000000</v>
      </c>
    </row>
    <row r="50" spans="1:4" x14ac:dyDescent="0.2">
      <c r="A50" s="649" t="s">
        <v>811</v>
      </c>
      <c r="B50" s="654" t="s">
        <v>812</v>
      </c>
      <c r="C50">
        <v>10000000000</v>
      </c>
      <c r="D50">
        <f t="shared" si="0"/>
        <v>-10000000000</v>
      </c>
    </row>
    <row r="51" spans="1:4" x14ac:dyDescent="0.2">
      <c r="A51" s="649" t="s">
        <v>813</v>
      </c>
      <c r="B51" s="654" t="s">
        <v>814</v>
      </c>
      <c r="C51">
        <v>10000000000</v>
      </c>
      <c r="D51">
        <f t="shared" si="0"/>
        <v>-10000000000</v>
      </c>
    </row>
    <row r="52" spans="1:4" x14ac:dyDescent="0.2">
      <c r="A52" s="649" t="s">
        <v>815</v>
      </c>
      <c r="B52" s="654" t="s">
        <v>816</v>
      </c>
      <c r="C52">
        <v>10000000000</v>
      </c>
      <c r="D52">
        <f t="shared" si="0"/>
        <v>-10000000000</v>
      </c>
    </row>
    <row r="53" spans="1:4" x14ac:dyDescent="0.2">
      <c r="A53" s="649" t="s">
        <v>539</v>
      </c>
      <c r="B53" s="654" t="s">
        <v>817</v>
      </c>
      <c r="C53">
        <v>10000000000</v>
      </c>
      <c r="D53">
        <f t="shared" si="0"/>
        <v>-10000000000</v>
      </c>
    </row>
    <row r="54" spans="1:4" x14ac:dyDescent="0.2">
      <c r="A54" s="649" t="s">
        <v>818</v>
      </c>
      <c r="B54" s="654" t="s">
        <v>819</v>
      </c>
      <c r="C54">
        <v>10000000000</v>
      </c>
      <c r="D54">
        <f t="shared" si="0"/>
        <v>-10000000000</v>
      </c>
    </row>
    <row r="55" spans="1:4" x14ac:dyDescent="0.2">
      <c r="A55" s="649" t="s">
        <v>820</v>
      </c>
      <c r="B55" s="654" t="s">
        <v>821</v>
      </c>
      <c r="C55">
        <v>10000000000</v>
      </c>
      <c r="D55">
        <f t="shared" si="0"/>
        <v>-10000000000</v>
      </c>
    </row>
    <row r="56" spans="1:4" x14ac:dyDescent="0.2">
      <c r="A56" s="649" t="s">
        <v>822</v>
      </c>
      <c r="B56" s="654" t="s">
        <v>823</v>
      </c>
      <c r="C56">
        <v>10000000000</v>
      </c>
      <c r="D56">
        <f t="shared" si="0"/>
        <v>-10000000000</v>
      </c>
    </row>
    <row r="57" spans="1:4" x14ac:dyDescent="0.2">
      <c r="A57" s="649" t="s">
        <v>824</v>
      </c>
      <c r="B57" s="654" t="s">
        <v>0</v>
      </c>
      <c r="C57">
        <v>10000000000</v>
      </c>
      <c r="D57">
        <f t="shared" si="0"/>
        <v>-10000000000</v>
      </c>
    </row>
    <row r="58" spans="1:4" x14ac:dyDescent="0.2">
      <c r="A58" s="649" t="s">
        <v>1</v>
      </c>
      <c r="B58" s="654" t="s">
        <v>2</v>
      </c>
      <c r="C58">
        <v>10000000000</v>
      </c>
      <c r="D58">
        <f t="shared" si="0"/>
        <v>-10000000000</v>
      </c>
    </row>
    <row r="59" spans="1:4" x14ac:dyDescent="0.2">
      <c r="A59" s="649" t="s">
        <v>3</v>
      </c>
      <c r="B59" s="654" t="s">
        <v>4</v>
      </c>
      <c r="C59">
        <v>10000000000</v>
      </c>
      <c r="D59">
        <f t="shared" si="0"/>
        <v>-10000000000</v>
      </c>
    </row>
    <row r="60" spans="1:4" x14ac:dyDescent="0.2">
      <c r="A60" s="649" t="s">
        <v>5</v>
      </c>
      <c r="B60" s="654" t="s">
        <v>6</v>
      </c>
      <c r="C60">
        <v>10000000000</v>
      </c>
      <c r="D60">
        <f t="shared" si="0"/>
        <v>-10000000000</v>
      </c>
    </row>
    <row r="61" spans="1:4" x14ac:dyDescent="0.2">
      <c r="A61" s="649" t="s">
        <v>7</v>
      </c>
      <c r="B61" s="654" t="s">
        <v>8</v>
      </c>
      <c r="C61">
        <v>10000000000</v>
      </c>
      <c r="D61">
        <f t="shared" si="0"/>
        <v>-10000000000</v>
      </c>
    </row>
    <row r="62" spans="1:4" x14ac:dyDescent="0.2">
      <c r="A62" s="649" t="s">
        <v>9</v>
      </c>
      <c r="B62" s="654" t="s">
        <v>10</v>
      </c>
      <c r="C62">
        <v>10000000000</v>
      </c>
      <c r="D62">
        <f t="shared" si="0"/>
        <v>-10000000000</v>
      </c>
    </row>
    <row r="63" spans="1:4" x14ac:dyDescent="0.2">
      <c r="A63" s="649" t="s">
        <v>11</v>
      </c>
      <c r="B63" s="654" t="s">
        <v>12</v>
      </c>
      <c r="C63">
        <v>10000000000</v>
      </c>
      <c r="D63">
        <f t="shared" si="0"/>
        <v>-10000000000</v>
      </c>
    </row>
    <row r="64" spans="1:4" x14ac:dyDescent="0.2">
      <c r="A64" s="728" t="s">
        <v>2308</v>
      </c>
      <c r="B64" s="729" t="s">
        <v>2333</v>
      </c>
      <c r="C64">
        <v>10000000000</v>
      </c>
      <c r="D64">
        <f t="shared" si="0"/>
        <v>-10000000000</v>
      </c>
    </row>
    <row r="65" spans="1:4" x14ac:dyDescent="0.2">
      <c r="A65" s="649" t="s">
        <v>13</v>
      </c>
      <c r="B65" s="654" t="s">
        <v>14</v>
      </c>
      <c r="C65">
        <v>10000000000</v>
      </c>
      <c r="D65">
        <f t="shared" si="0"/>
        <v>-10000000000</v>
      </c>
    </row>
    <row r="66" spans="1:4" x14ac:dyDescent="0.2">
      <c r="A66" s="649" t="s">
        <v>563</v>
      </c>
      <c r="B66" s="654" t="s">
        <v>16</v>
      </c>
      <c r="C66">
        <v>10000000000</v>
      </c>
      <c r="D66">
        <f t="shared" si="0"/>
        <v>-10000000000</v>
      </c>
    </row>
    <row r="67" spans="1:4" x14ac:dyDescent="0.2">
      <c r="A67" s="649" t="s">
        <v>17</v>
      </c>
      <c r="B67" s="654" t="s">
        <v>18</v>
      </c>
      <c r="C67">
        <v>10000000000</v>
      </c>
      <c r="D67">
        <f t="shared" ref="D67:D130" si="1">C67*-1</f>
        <v>-10000000000</v>
      </c>
    </row>
    <row r="68" spans="1:4" x14ac:dyDescent="0.2">
      <c r="A68" s="649" t="s">
        <v>547</v>
      </c>
      <c r="B68" s="654" t="s">
        <v>20</v>
      </c>
      <c r="C68">
        <v>10000000000</v>
      </c>
      <c r="D68">
        <f t="shared" si="1"/>
        <v>-10000000000</v>
      </c>
    </row>
    <row r="69" spans="1:4" x14ac:dyDescent="0.2">
      <c r="A69" s="649" t="s">
        <v>21</v>
      </c>
      <c r="B69" s="654" t="s">
        <v>22</v>
      </c>
      <c r="C69">
        <v>10000000000</v>
      </c>
      <c r="D69">
        <f t="shared" si="1"/>
        <v>-10000000000</v>
      </c>
    </row>
    <row r="70" spans="1:4" x14ac:dyDescent="0.2">
      <c r="A70" s="649" t="s">
        <v>23</v>
      </c>
      <c r="B70" s="654" t="s">
        <v>24</v>
      </c>
      <c r="C70">
        <v>10000000000</v>
      </c>
      <c r="D70">
        <f t="shared" si="1"/>
        <v>-10000000000</v>
      </c>
    </row>
    <row r="71" spans="1:4" x14ac:dyDescent="0.2">
      <c r="A71" s="655" t="s">
        <v>1179</v>
      </c>
      <c r="B71" s="654" t="s">
        <v>1180</v>
      </c>
      <c r="C71">
        <v>10000000000</v>
      </c>
      <c r="D71">
        <f t="shared" si="1"/>
        <v>-10000000000</v>
      </c>
    </row>
    <row r="72" spans="1:4" x14ac:dyDescent="0.2">
      <c r="A72" s="649" t="s">
        <v>32</v>
      </c>
      <c r="B72" s="654" t="s">
        <v>33</v>
      </c>
      <c r="C72">
        <v>10000000000</v>
      </c>
      <c r="D72">
        <f t="shared" si="1"/>
        <v>-10000000000</v>
      </c>
    </row>
    <row r="73" spans="1:4" x14ac:dyDescent="0.2">
      <c r="A73" s="649" t="s">
        <v>34</v>
      </c>
      <c r="B73" s="654" t="s">
        <v>35</v>
      </c>
      <c r="C73">
        <v>10000000000</v>
      </c>
      <c r="D73">
        <f t="shared" si="1"/>
        <v>-10000000000</v>
      </c>
    </row>
    <row r="74" spans="1:4" x14ac:dyDescent="0.2">
      <c r="A74" s="649" t="s">
        <v>36</v>
      </c>
      <c r="B74" s="654" t="s">
        <v>37</v>
      </c>
      <c r="C74">
        <v>10000000000</v>
      </c>
      <c r="D74">
        <f t="shared" si="1"/>
        <v>-10000000000</v>
      </c>
    </row>
    <row r="75" spans="1:4" x14ac:dyDescent="0.2">
      <c r="A75" s="649" t="s">
        <v>38</v>
      </c>
      <c r="B75" s="654" t="s">
        <v>39</v>
      </c>
      <c r="C75">
        <v>10000000000</v>
      </c>
      <c r="D75">
        <f t="shared" si="1"/>
        <v>-10000000000</v>
      </c>
    </row>
    <row r="76" spans="1:4" x14ac:dyDescent="0.2">
      <c r="A76" s="649" t="s">
        <v>40</v>
      </c>
      <c r="B76" s="654" t="s">
        <v>41</v>
      </c>
      <c r="C76">
        <v>10000000000</v>
      </c>
      <c r="D76">
        <f t="shared" si="1"/>
        <v>-10000000000</v>
      </c>
    </row>
    <row r="77" spans="1:4" x14ac:dyDescent="0.2">
      <c r="A77" s="649" t="s">
        <v>42</v>
      </c>
      <c r="B77" s="654" t="s">
        <v>43</v>
      </c>
      <c r="C77">
        <v>10000000000</v>
      </c>
      <c r="D77">
        <f t="shared" si="1"/>
        <v>-10000000000</v>
      </c>
    </row>
    <row r="78" spans="1:4" x14ac:dyDescent="0.2">
      <c r="A78" s="649" t="s">
        <v>44</v>
      </c>
      <c r="B78" s="654" t="s">
        <v>45</v>
      </c>
      <c r="C78">
        <v>10000000000</v>
      </c>
      <c r="D78">
        <f t="shared" si="1"/>
        <v>-10000000000</v>
      </c>
    </row>
    <row r="79" spans="1:4" x14ac:dyDescent="0.2">
      <c r="A79" s="649" t="s">
        <v>46</v>
      </c>
      <c r="B79" s="654" t="s">
        <v>47</v>
      </c>
      <c r="C79">
        <v>10000000000</v>
      </c>
      <c r="D79">
        <f t="shared" si="1"/>
        <v>-10000000000</v>
      </c>
    </row>
    <row r="80" spans="1:4" x14ac:dyDescent="0.2">
      <c r="A80" s="649" t="s">
        <v>48</v>
      </c>
      <c r="B80" s="654" t="s">
        <v>49</v>
      </c>
      <c r="C80">
        <v>10000000000</v>
      </c>
      <c r="D80">
        <f t="shared" si="1"/>
        <v>-10000000000</v>
      </c>
    </row>
    <row r="81" spans="1:4" x14ac:dyDescent="0.2">
      <c r="A81" s="649" t="s">
        <v>592</v>
      </c>
      <c r="B81" s="654" t="s">
        <v>51</v>
      </c>
      <c r="C81">
        <v>10000000000</v>
      </c>
      <c r="D81">
        <f t="shared" si="1"/>
        <v>-10000000000</v>
      </c>
    </row>
    <row r="82" spans="1:4" x14ac:dyDescent="0.2">
      <c r="A82" s="649" t="s">
        <v>54</v>
      </c>
      <c r="B82" s="654" t="s">
        <v>55</v>
      </c>
      <c r="C82">
        <v>10000000000</v>
      </c>
      <c r="D82">
        <f t="shared" si="1"/>
        <v>-10000000000</v>
      </c>
    </row>
    <row r="83" spans="1:4" x14ac:dyDescent="0.2">
      <c r="A83" s="655" t="s">
        <v>1181</v>
      </c>
      <c r="B83" s="656" t="s">
        <v>1182</v>
      </c>
      <c r="C83">
        <v>10000000000</v>
      </c>
      <c r="D83">
        <f t="shared" si="1"/>
        <v>-10000000000</v>
      </c>
    </row>
    <row r="84" spans="1:4" x14ac:dyDescent="0.2">
      <c r="A84" s="649" t="s">
        <v>56</v>
      </c>
      <c r="B84" s="654" t="s">
        <v>57</v>
      </c>
      <c r="C84">
        <v>10000000000</v>
      </c>
      <c r="D84">
        <f t="shared" si="1"/>
        <v>-10000000000</v>
      </c>
    </row>
    <row r="85" spans="1:4" x14ac:dyDescent="0.2">
      <c r="A85" s="649" t="s">
        <v>58</v>
      </c>
      <c r="B85" s="654" t="s">
        <v>59</v>
      </c>
      <c r="C85">
        <v>10000000000</v>
      </c>
      <c r="D85">
        <f t="shared" si="1"/>
        <v>-10000000000</v>
      </c>
    </row>
    <row r="86" spans="1:4" x14ac:dyDescent="0.2">
      <c r="A86" s="649" t="s">
        <v>60</v>
      </c>
      <c r="B86" s="654" t="s">
        <v>61</v>
      </c>
      <c r="C86">
        <v>10000000000</v>
      </c>
      <c r="D86">
        <f t="shared" si="1"/>
        <v>-10000000000</v>
      </c>
    </row>
    <row r="87" spans="1:4" x14ac:dyDescent="0.2">
      <c r="A87" s="649" t="s">
        <v>62</v>
      </c>
      <c r="B87" s="654" t="s">
        <v>63</v>
      </c>
      <c r="C87">
        <v>10000000000</v>
      </c>
      <c r="D87">
        <f t="shared" si="1"/>
        <v>-10000000000</v>
      </c>
    </row>
    <row r="88" spans="1:4" x14ac:dyDescent="0.2">
      <c r="A88" s="649" t="s">
        <v>64</v>
      </c>
      <c r="B88" s="654" t="s">
        <v>65</v>
      </c>
      <c r="C88">
        <v>10000000000</v>
      </c>
      <c r="D88">
        <f t="shared" si="1"/>
        <v>-10000000000</v>
      </c>
    </row>
    <row r="89" spans="1:4" x14ac:dyDescent="0.2">
      <c r="A89" s="649" t="s">
        <v>966</v>
      </c>
      <c r="B89" s="654" t="s">
        <v>67</v>
      </c>
      <c r="C89">
        <v>10000000000</v>
      </c>
      <c r="D89">
        <f t="shared" si="1"/>
        <v>-10000000000</v>
      </c>
    </row>
    <row r="90" spans="1:4" x14ac:dyDescent="0.2">
      <c r="A90" s="649" t="s">
        <v>68</v>
      </c>
      <c r="B90" s="654" t="s">
        <v>69</v>
      </c>
      <c r="C90">
        <v>10000000000</v>
      </c>
      <c r="D90">
        <f t="shared" si="1"/>
        <v>-10000000000</v>
      </c>
    </row>
    <row r="91" spans="1:4" x14ac:dyDescent="0.2">
      <c r="A91" s="649" t="s">
        <v>70</v>
      </c>
      <c r="B91" s="654" t="s">
        <v>71</v>
      </c>
      <c r="C91">
        <v>10000000000</v>
      </c>
      <c r="D91">
        <f t="shared" si="1"/>
        <v>-10000000000</v>
      </c>
    </row>
    <row r="92" spans="1:4" x14ac:dyDescent="0.2">
      <c r="A92" s="649" t="s">
        <v>72</v>
      </c>
      <c r="B92" s="654" t="s">
        <v>73</v>
      </c>
      <c r="C92">
        <v>10000000000</v>
      </c>
      <c r="D92">
        <f t="shared" si="1"/>
        <v>-10000000000</v>
      </c>
    </row>
    <row r="93" spans="1:4" x14ac:dyDescent="0.2">
      <c r="A93" s="649" t="s">
        <v>74</v>
      </c>
      <c r="B93" s="654" t="s">
        <v>75</v>
      </c>
      <c r="C93">
        <v>10000000000</v>
      </c>
      <c r="D93">
        <f t="shared" si="1"/>
        <v>-10000000000</v>
      </c>
    </row>
    <row r="94" spans="1:4" x14ac:dyDescent="0.2">
      <c r="A94" s="649" t="s">
        <v>1170</v>
      </c>
      <c r="B94" s="654" t="s">
        <v>318</v>
      </c>
      <c r="C94">
        <v>10000000000</v>
      </c>
      <c r="D94">
        <f t="shared" si="1"/>
        <v>-10000000000</v>
      </c>
    </row>
    <row r="95" spans="1:4" x14ac:dyDescent="0.2">
      <c r="A95" s="649" t="s">
        <v>76</v>
      </c>
      <c r="B95" s="654" t="s">
        <v>77</v>
      </c>
      <c r="C95">
        <v>10000000000</v>
      </c>
      <c r="D95">
        <f t="shared" si="1"/>
        <v>-10000000000</v>
      </c>
    </row>
    <row r="96" spans="1:4" x14ac:dyDescent="0.2">
      <c r="A96" s="649" t="s">
        <v>78</v>
      </c>
      <c r="B96" s="654" t="s">
        <v>79</v>
      </c>
      <c r="C96">
        <v>10000000000</v>
      </c>
      <c r="D96">
        <f t="shared" si="1"/>
        <v>-10000000000</v>
      </c>
    </row>
    <row r="97" spans="1:4" x14ac:dyDescent="0.2">
      <c r="A97" s="649" t="s">
        <v>80</v>
      </c>
      <c r="B97" s="654" t="s">
        <v>81</v>
      </c>
      <c r="C97">
        <v>10000000000</v>
      </c>
      <c r="D97">
        <f t="shared" si="1"/>
        <v>-10000000000</v>
      </c>
    </row>
    <row r="98" spans="1:4" x14ac:dyDescent="0.2">
      <c r="A98" s="649" t="s">
        <v>82</v>
      </c>
      <c r="B98" s="654" t="s">
        <v>83</v>
      </c>
      <c r="C98">
        <v>10000000000</v>
      </c>
      <c r="D98">
        <f t="shared" si="1"/>
        <v>-10000000000</v>
      </c>
    </row>
    <row r="99" spans="1:4" x14ac:dyDescent="0.2">
      <c r="A99" s="649" t="s">
        <v>84</v>
      </c>
      <c r="B99" s="654" t="s">
        <v>85</v>
      </c>
      <c r="C99">
        <v>10000000000</v>
      </c>
      <c r="D99">
        <f t="shared" si="1"/>
        <v>-10000000000</v>
      </c>
    </row>
    <row r="100" spans="1:4" x14ac:dyDescent="0.2">
      <c r="A100" s="649" t="s">
        <v>86</v>
      </c>
      <c r="B100" s="654" t="s">
        <v>87</v>
      </c>
      <c r="C100">
        <v>10000000000</v>
      </c>
      <c r="D100">
        <f t="shared" si="1"/>
        <v>-10000000000</v>
      </c>
    </row>
    <row r="101" spans="1:4" x14ac:dyDescent="0.2">
      <c r="A101" s="649" t="s">
        <v>88</v>
      </c>
      <c r="B101" s="654" t="s">
        <v>89</v>
      </c>
      <c r="C101">
        <v>10000000000</v>
      </c>
      <c r="D101">
        <f t="shared" si="1"/>
        <v>-10000000000</v>
      </c>
    </row>
    <row r="102" spans="1:4" x14ac:dyDescent="0.2">
      <c r="A102" s="649" t="s">
        <v>90</v>
      </c>
      <c r="B102" s="654" t="s">
        <v>91</v>
      </c>
      <c r="C102">
        <v>10000000000</v>
      </c>
      <c r="D102">
        <f t="shared" si="1"/>
        <v>-10000000000</v>
      </c>
    </row>
    <row r="103" spans="1:4" x14ac:dyDescent="0.2">
      <c r="A103" s="649" t="s">
        <v>92</v>
      </c>
      <c r="B103" s="654" t="s">
        <v>93</v>
      </c>
      <c r="C103">
        <v>10000000000</v>
      </c>
      <c r="D103">
        <f t="shared" si="1"/>
        <v>-10000000000</v>
      </c>
    </row>
    <row r="104" spans="1:4" x14ac:dyDescent="0.2">
      <c r="A104" s="649" t="s">
        <v>94</v>
      </c>
      <c r="B104" s="654" t="s">
        <v>95</v>
      </c>
      <c r="C104">
        <v>10000000000</v>
      </c>
      <c r="D104">
        <f t="shared" si="1"/>
        <v>-10000000000</v>
      </c>
    </row>
    <row r="105" spans="1:4" x14ac:dyDescent="0.2">
      <c r="A105" s="649" t="s">
        <v>96</v>
      </c>
      <c r="B105" s="654" t="s">
        <v>97</v>
      </c>
      <c r="C105">
        <v>10000000000</v>
      </c>
      <c r="D105">
        <f t="shared" si="1"/>
        <v>-10000000000</v>
      </c>
    </row>
    <row r="106" spans="1:4" x14ac:dyDescent="0.2">
      <c r="A106" s="649" t="s">
        <v>535</v>
      </c>
      <c r="B106" s="654" t="s">
        <v>99</v>
      </c>
      <c r="C106">
        <v>10000000000</v>
      </c>
      <c r="D106">
        <f t="shared" si="1"/>
        <v>-10000000000</v>
      </c>
    </row>
    <row r="107" spans="1:4" x14ac:dyDescent="0.2">
      <c r="A107" s="649" t="s">
        <v>100</v>
      </c>
      <c r="B107" s="654" t="s">
        <v>101</v>
      </c>
      <c r="C107">
        <v>10000000000</v>
      </c>
      <c r="D107">
        <f t="shared" si="1"/>
        <v>-10000000000</v>
      </c>
    </row>
    <row r="108" spans="1:4" x14ac:dyDescent="0.2">
      <c r="A108" s="649" t="s">
        <v>102</v>
      </c>
      <c r="B108" s="654" t="s">
        <v>103</v>
      </c>
      <c r="C108">
        <v>10000000000</v>
      </c>
      <c r="D108">
        <f t="shared" si="1"/>
        <v>-10000000000</v>
      </c>
    </row>
    <row r="109" spans="1:4" x14ac:dyDescent="0.2">
      <c r="A109" s="649" t="s">
        <v>104</v>
      </c>
      <c r="B109" s="654" t="s">
        <v>105</v>
      </c>
      <c r="C109">
        <v>10000000000</v>
      </c>
      <c r="D109">
        <f t="shared" si="1"/>
        <v>-10000000000</v>
      </c>
    </row>
    <row r="110" spans="1:4" x14ac:dyDescent="0.2">
      <c r="A110" s="649" t="s">
        <v>106</v>
      </c>
      <c r="B110" s="654" t="s">
        <v>107</v>
      </c>
      <c r="C110">
        <v>10000000000</v>
      </c>
      <c r="D110">
        <f t="shared" si="1"/>
        <v>-10000000000</v>
      </c>
    </row>
    <row r="111" spans="1:4" x14ac:dyDescent="0.2">
      <c r="A111" s="649" t="s">
        <v>108</v>
      </c>
      <c r="B111" s="654" t="s">
        <v>109</v>
      </c>
      <c r="C111">
        <v>10000000000</v>
      </c>
      <c r="D111">
        <f t="shared" si="1"/>
        <v>-10000000000</v>
      </c>
    </row>
    <row r="112" spans="1:4" x14ac:dyDescent="0.2">
      <c r="A112" s="649" t="s">
        <v>110</v>
      </c>
      <c r="B112" s="654" t="s">
        <v>111</v>
      </c>
      <c r="C112">
        <v>10000000000</v>
      </c>
      <c r="D112">
        <f t="shared" si="1"/>
        <v>-10000000000</v>
      </c>
    </row>
    <row r="113" spans="1:4" x14ac:dyDescent="0.2">
      <c r="A113" s="649" t="s">
        <v>540</v>
      </c>
      <c r="B113" s="654" t="s">
        <v>113</v>
      </c>
      <c r="C113">
        <v>10000000000</v>
      </c>
      <c r="D113">
        <f t="shared" si="1"/>
        <v>-10000000000</v>
      </c>
    </row>
    <row r="114" spans="1:4" x14ac:dyDescent="0.2">
      <c r="A114" s="649" t="s">
        <v>114</v>
      </c>
      <c r="B114" s="654" t="s">
        <v>115</v>
      </c>
      <c r="C114">
        <v>10000000000</v>
      </c>
      <c r="D114">
        <f t="shared" si="1"/>
        <v>-10000000000</v>
      </c>
    </row>
    <row r="115" spans="1:4" x14ac:dyDescent="0.2">
      <c r="A115" s="649" t="s">
        <v>116</v>
      </c>
      <c r="B115" s="654" t="s">
        <v>117</v>
      </c>
      <c r="C115">
        <v>10000000000</v>
      </c>
      <c r="D115">
        <f t="shared" si="1"/>
        <v>-10000000000</v>
      </c>
    </row>
    <row r="116" spans="1:4" x14ac:dyDescent="0.2">
      <c r="A116" s="649" t="s">
        <v>118</v>
      </c>
      <c r="B116" s="654" t="s">
        <v>119</v>
      </c>
      <c r="C116">
        <v>10000000000</v>
      </c>
      <c r="D116">
        <f t="shared" si="1"/>
        <v>-10000000000</v>
      </c>
    </row>
    <row r="117" spans="1:4" x14ac:dyDescent="0.2">
      <c r="A117" s="649" t="s">
        <v>585</v>
      </c>
      <c r="B117" s="654" t="s">
        <v>121</v>
      </c>
      <c r="C117">
        <v>10000000000</v>
      </c>
      <c r="D117">
        <f t="shared" si="1"/>
        <v>-10000000000</v>
      </c>
    </row>
    <row r="118" spans="1:4" x14ac:dyDescent="0.2">
      <c r="A118" s="649" t="s">
        <v>122</v>
      </c>
      <c r="B118" s="654" t="s">
        <v>123</v>
      </c>
      <c r="C118">
        <v>10000000000</v>
      </c>
      <c r="D118">
        <f t="shared" si="1"/>
        <v>-10000000000</v>
      </c>
    </row>
    <row r="119" spans="1:4" x14ac:dyDescent="0.2">
      <c r="A119" s="649" t="s">
        <v>124</v>
      </c>
      <c r="B119" s="654" t="s">
        <v>125</v>
      </c>
      <c r="C119">
        <v>10000000000</v>
      </c>
      <c r="D119">
        <f t="shared" si="1"/>
        <v>-10000000000</v>
      </c>
    </row>
    <row r="120" spans="1:4" x14ac:dyDescent="0.2">
      <c r="A120" s="649" t="s">
        <v>126</v>
      </c>
      <c r="B120" s="654" t="s">
        <v>127</v>
      </c>
      <c r="C120">
        <v>10000000000</v>
      </c>
      <c r="D120">
        <f t="shared" si="1"/>
        <v>-10000000000</v>
      </c>
    </row>
    <row r="121" spans="1:4" x14ac:dyDescent="0.2">
      <c r="A121" s="649" t="s">
        <v>128</v>
      </c>
      <c r="B121" s="654" t="s">
        <v>129</v>
      </c>
      <c r="C121">
        <v>10000000000</v>
      </c>
      <c r="D121">
        <f t="shared" si="1"/>
        <v>-10000000000</v>
      </c>
    </row>
    <row r="122" spans="1:4" x14ac:dyDescent="0.2">
      <c r="A122" s="649" t="s">
        <v>130</v>
      </c>
      <c r="B122" s="654" t="s">
        <v>131</v>
      </c>
      <c r="C122">
        <v>10000000000</v>
      </c>
      <c r="D122">
        <f t="shared" si="1"/>
        <v>-10000000000</v>
      </c>
    </row>
    <row r="123" spans="1:4" x14ac:dyDescent="0.2">
      <c r="A123" s="649" t="s">
        <v>132</v>
      </c>
      <c r="B123" s="654" t="s">
        <v>133</v>
      </c>
      <c r="C123">
        <v>10000000000</v>
      </c>
      <c r="D123">
        <f t="shared" si="1"/>
        <v>-10000000000</v>
      </c>
    </row>
    <row r="124" spans="1:4" x14ac:dyDescent="0.2">
      <c r="A124" s="649" t="s">
        <v>134</v>
      </c>
      <c r="B124" s="654" t="s">
        <v>135</v>
      </c>
      <c r="C124">
        <v>10000000000</v>
      </c>
      <c r="D124">
        <f t="shared" si="1"/>
        <v>-10000000000</v>
      </c>
    </row>
    <row r="125" spans="1:4" x14ac:dyDescent="0.2">
      <c r="A125" s="649" t="s">
        <v>136</v>
      </c>
      <c r="B125" s="654" t="s">
        <v>137</v>
      </c>
      <c r="C125">
        <v>10000000000</v>
      </c>
      <c r="D125">
        <f t="shared" si="1"/>
        <v>-10000000000</v>
      </c>
    </row>
    <row r="126" spans="1:4" x14ac:dyDescent="0.2">
      <c r="A126" s="649" t="s">
        <v>138</v>
      </c>
      <c r="B126" s="654" t="s">
        <v>139</v>
      </c>
      <c r="C126">
        <v>10000000000</v>
      </c>
      <c r="D126">
        <f t="shared" si="1"/>
        <v>-10000000000</v>
      </c>
    </row>
    <row r="127" spans="1:4" x14ac:dyDescent="0.2">
      <c r="A127" s="649" t="s">
        <v>964</v>
      </c>
      <c r="B127" s="654" t="s">
        <v>141</v>
      </c>
      <c r="C127">
        <v>10000000000</v>
      </c>
      <c r="D127">
        <f t="shared" si="1"/>
        <v>-10000000000</v>
      </c>
    </row>
    <row r="128" spans="1:4" x14ac:dyDescent="0.2">
      <c r="A128" s="649" t="s">
        <v>965</v>
      </c>
      <c r="B128" s="654" t="s">
        <v>143</v>
      </c>
      <c r="C128">
        <v>10000000000</v>
      </c>
      <c r="D128">
        <f t="shared" si="1"/>
        <v>-10000000000</v>
      </c>
    </row>
    <row r="129" spans="1:4" x14ac:dyDescent="0.2">
      <c r="A129" s="649" t="s">
        <v>144</v>
      </c>
      <c r="B129" s="654" t="s">
        <v>145</v>
      </c>
      <c r="C129">
        <v>10000000000</v>
      </c>
      <c r="D129">
        <f t="shared" si="1"/>
        <v>-10000000000</v>
      </c>
    </row>
    <row r="130" spans="1:4" x14ac:dyDescent="0.2">
      <c r="A130" s="649" t="s">
        <v>146</v>
      </c>
      <c r="B130" s="654" t="s">
        <v>147</v>
      </c>
      <c r="C130">
        <v>10000000000</v>
      </c>
      <c r="D130">
        <f t="shared" si="1"/>
        <v>-10000000000</v>
      </c>
    </row>
    <row r="131" spans="1:4" x14ac:dyDescent="0.2">
      <c r="A131" s="649" t="s">
        <v>967</v>
      </c>
      <c r="B131" s="654" t="s">
        <v>149</v>
      </c>
      <c r="C131">
        <v>10000000000</v>
      </c>
      <c r="D131">
        <f t="shared" ref="D131:D194" si="2">C131*-1</f>
        <v>-10000000000</v>
      </c>
    </row>
    <row r="132" spans="1:4" x14ac:dyDescent="0.2">
      <c r="A132" s="649" t="s">
        <v>963</v>
      </c>
      <c r="B132" s="654" t="s">
        <v>151</v>
      </c>
      <c r="C132">
        <v>10000000000</v>
      </c>
      <c r="D132">
        <f t="shared" si="2"/>
        <v>-10000000000</v>
      </c>
    </row>
    <row r="133" spans="1:4" x14ac:dyDescent="0.2">
      <c r="A133" s="649" t="s">
        <v>152</v>
      </c>
      <c r="B133" s="654" t="s">
        <v>153</v>
      </c>
      <c r="C133">
        <v>10000000000</v>
      </c>
      <c r="D133">
        <f t="shared" si="2"/>
        <v>-10000000000</v>
      </c>
    </row>
    <row r="134" spans="1:4" x14ac:dyDescent="0.2">
      <c r="A134" s="649" t="s">
        <v>154</v>
      </c>
      <c r="B134" s="654" t="s">
        <v>155</v>
      </c>
      <c r="C134">
        <v>10000000000</v>
      </c>
      <c r="D134">
        <f t="shared" si="2"/>
        <v>-10000000000</v>
      </c>
    </row>
    <row r="135" spans="1:4" x14ac:dyDescent="0.2">
      <c r="A135" s="649" t="s">
        <v>156</v>
      </c>
      <c r="B135" s="654" t="s">
        <v>157</v>
      </c>
      <c r="C135">
        <v>10000000000</v>
      </c>
      <c r="D135">
        <f t="shared" si="2"/>
        <v>-10000000000</v>
      </c>
    </row>
    <row r="136" spans="1:4" x14ac:dyDescent="0.2">
      <c r="A136" s="649" t="s">
        <v>158</v>
      </c>
      <c r="B136" s="654" t="s">
        <v>159</v>
      </c>
      <c r="C136">
        <v>10000000000</v>
      </c>
      <c r="D136">
        <f t="shared" si="2"/>
        <v>-10000000000</v>
      </c>
    </row>
    <row r="137" spans="1:4" x14ac:dyDescent="0.2">
      <c r="A137" s="649" t="s">
        <v>160</v>
      </c>
      <c r="B137" s="654" t="s">
        <v>161</v>
      </c>
      <c r="C137">
        <v>10000000000</v>
      </c>
      <c r="D137">
        <f t="shared" si="2"/>
        <v>-10000000000</v>
      </c>
    </row>
    <row r="138" spans="1:4" x14ac:dyDescent="0.2">
      <c r="A138" s="649" t="s">
        <v>162</v>
      </c>
      <c r="B138" s="654" t="s">
        <v>163</v>
      </c>
      <c r="C138">
        <v>10000000000</v>
      </c>
      <c r="D138">
        <f t="shared" si="2"/>
        <v>-10000000000</v>
      </c>
    </row>
    <row r="139" spans="1:4" x14ac:dyDescent="0.2">
      <c r="A139" s="649" t="s">
        <v>611</v>
      </c>
      <c r="B139" s="654" t="s">
        <v>165</v>
      </c>
      <c r="C139">
        <v>10000000000</v>
      </c>
      <c r="D139">
        <f t="shared" si="2"/>
        <v>-10000000000</v>
      </c>
    </row>
    <row r="140" spans="1:4" x14ac:dyDescent="0.2">
      <c r="A140" s="649" t="s">
        <v>166</v>
      </c>
      <c r="B140" s="654" t="s">
        <v>167</v>
      </c>
      <c r="C140">
        <v>10000000000</v>
      </c>
      <c r="D140">
        <f t="shared" si="2"/>
        <v>-10000000000</v>
      </c>
    </row>
    <row r="141" spans="1:4" x14ac:dyDescent="0.2">
      <c r="A141" s="649" t="s">
        <v>168</v>
      </c>
      <c r="B141" s="654" t="s">
        <v>169</v>
      </c>
      <c r="C141">
        <v>10000000000</v>
      </c>
      <c r="D141">
        <f t="shared" si="2"/>
        <v>-10000000000</v>
      </c>
    </row>
    <row r="142" spans="1:4" x14ac:dyDescent="0.2">
      <c r="A142" s="649" t="s">
        <v>170</v>
      </c>
      <c r="B142" s="654" t="s">
        <v>171</v>
      </c>
      <c r="C142">
        <v>10000000000</v>
      </c>
      <c r="D142">
        <f t="shared" si="2"/>
        <v>-10000000000</v>
      </c>
    </row>
    <row r="143" spans="1:4" x14ac:dyDescent="0.2">
      <c r="A143" s="649" t="s">
        <v>172</v>
      </c>
      <c r="B143" s="654" t="s">
        <v>173</v>
      </c>
      <c r="C143">
        <v>10000000000</v>
      </c>
      <c r="D143">
        <f t="shared" si="2"/>
        <v>-10000000000</v>
      </c>
    </row>
    <row r="144" spans="1:4" x14ac:dyDescent="0.2">
      <c r="A144" s="649" t="s">
        <v>174</v>
      </c>
      <c r="B144" s="654" t="s">
        <v>175</v>
      </c>
      <c r="C144">
        <v>10000000000</v>
      </c>
      <c r="D144">
        <f t="shared" si="2"/>
        <v>-10000000000</v>
      </c>
    </row>
    <row r="145" spans="1:4" x14ac:dyDescent="0.2">
      <c r="A145" s="649" t="s">
        <v>515</v>
      </c>
      <c r="B145" s="654" t="s">
        <v>177</v>
      </c>
      <c r="C145">
        <v>10000000000</v>
      </c>
      <c r="D145">
        <f t="shared" si="2"/>
        <v>-10000000000</v>
      </c>
    </row>
    <row r="146" spans="1:4" x14ac:dyDescent="0.2">
      <c r="A146" s="649" t="s">
        <v>178</v>
      </c>
      <c r="B146" s="654" t="s">
        <v>179</v>
      </c>
      <c r="C146">
        <v>10000000000</v>
      </c>
      <c r="D146">
        <f t="shared" si="2"/>
        <v>-10000000000</v>
      </c>
    </row>
    <row r="147" spans="1:4" x14ac:dyDescent="0.2">
      <c r="A147" s="649" t="s">
        <v>180</v>
      </c>
      <c r="B147" s="654" t="s">
        <v>181</v>
      </c>
      <c r="C147">
        <v>10000000000</v>
      </c>
      <c r="D147">
        <f t="shared" si="2"/>
        <v>-10000000000</v>
      </c>
    </row>
    <row r="148" spans="1:4" x14ac:dyDescent="0.2">
      <c r="A148" s="649" t="s">
        <v>182</v>
      </c>
      <c r="B148" s="654" t="s">
        <v>183</v>
      </c>
      <c r="C148">
        <v>10000000000</v>
      </c>
      <c r="D148">
        <f t="shared" si="2"/>
        <v>-10000000000</v>
      </c>
    </row>
    <row r="149" spans="1:4" x14ac:dyDescent="0.2">
      <c r="A149" s="649" t="s">
        <v>184</v>
      </c>
      <c r="B149" s="654" t="s">
        <v>185</v>
      </c>
      <c r="C149">
        <v>10000000000</v>
      </c>
      <c r="D149">
        <f t="shared" si="2"/>
        <v>-10000000000</v>
      </c>
    </row>
    <row r="150" spans="1:4" x14ac:dyDescent="0.2">
      <c r="A150" s="649" t="s">
        <v>186</v>
      </c>
      <c r="B150" s="654" t="s">
        <v>187</v>
      </c>
      <c r="C150">
        <v>10000000000</v>
      </c>
      <c r="D150">
        <f t="shared" si="2"/>
        <v>-10000000000</v>
      </c>
    </row>
    <row r="151" spans="1:4" x14ac:dyDescent="0.2">
      <c r="A151" s="649" t="s">
        <v>599</v>
      </c>
      <c r="B151" s="654" t="s">
        <v>189</v>
      </c>
      <c r="C151">
        <v>10000000000</v>
      </c>
      <c r="D151">
        <f t="shared" si="2"/>
        <v>-10000000000</v>
      </c>
    </row>
    <row r="152" spans="1:4" x14ac:dyDescent="0.2">
      <c r="A152" s="649" t="s">
        <v>190</v>
      </c>
      <c r="B152" s="654" t="s">
        <v>191</v>
      </c>
      <c r="C152">
        <v>10000000000</v>
      </c>
      <c r="D152">
        <f t="shared" si="2"/>
        <v>-10000000000</v>
      </c>
    </row>
    <row r="153" spans="1:4" x14ac:dyDescent="0.2">
      <c r="A153" s="649" t="s">
        <v>192</v>
      </c>
      <c r="B153" s="654" t="s">
        <v>193</v>
      </c>
      <c r="C153">
        <v>10000000000</v>
      </c>
      <c r="D153">
        <f t="shared" si="2"/>
        <v>-10000000000</v>
      </c>
    </row>
    <row r="154" spans="1:4" x14ac:dyDescent="0.2">
      <c r="A154" s="649" t="s">
        <v>194</v>
      </c>
      <c r="B154" s="654" t="s">
        <v>195</v>
      </c>
      <c r="C154">
        <v>10000000000</v>
      </c>
      <c r="D154">
        <f t="shared" si="2"/>
        <v>-10000000000</v>
      </c>
    </row>
    <row r="155" spans="1:4" x14ac:dyDescent="0.2">
      <c r="A155" s="649" t="s">
        <v>196</v>
      </c>
      <c r="B155" s="654" t="s">
        <v>197</v>
      </c>
      <c r="C155">
        <v>10000000000</v>
      </c>
      <c r="D155">
        <f t="shared" si="2"/>
        <v>-10000000000</v>
      </c>
    </row>
    <row r="156" spans="1:4" x14ac:dyDescent="0.2">
      <c r="A156" s="649" t="s">
        <v>198</v>
      </c>
      <c r="B156" s="654" t="s">
        <v>199</v>
      </c>
      <c r="C156">
        <v>10000000000</v>
      </c>
      <c r="D156">
        <f t="shared" si="2"/>
        <v>-10000000000</v>
      </c>
    </row>
    <row r="157" spans="1:4" x14ac:dyDescent="0.2">
      <c r="A157" s="649" t="s">
        <v>543</v>
      </c>
      <c r="B157" s="654" t="s">
        <v>201</v>
      </c>
      <c r="C157">
        <v>10000000000</v>
      </c>
      <c r="D157">
        <f t="shared" si="2"/>
        <v>-10000000000</v>
      </c>
    </row>
    <row r="158" spans="1:4" x14ac:dyDescent="0.2">
      <c r="A158" s="649" t="s">
        <v>526</v>
      </c>
      <c r="B158" s="654" t="s">
        <v>203</v>
      </c>
      <c r="C158">
        <v>10000000000</v>
      </c>
      <c r="D158">
        <f t="shared" si="2"/>
        <v>-10000000000</v>
      </c>
    </row>
    <row r="159" spans="1:4" x14ac:dyDescent="0.2">
      <c r="A159" s="649" t="s">
        <v>204</v>
      </c>
      <c r="B159" s="654" t="s">
        <v>205</v>
      </c>
      <c r="C159">
        <v>10000000000</v>
      </c>
      <c r="D159">
        <f t="shared" si="2"/>
        <v>-10000000000</v>
      </c>
    </row>
    <row r="160" spans="1:4" x14ac:dyDescent="0.2">
      <c r="A160" s="649" t="s">
        <v>206</v>
      </c>
      <c r="B160" s="654" t="s">
        <v>207</v>
      </c>
      <c r="C160">
        <v>10000000000</v>
      </c>
      <c r="D160">
        <f t="shared" si="2"/>
        <v>-10000000000</v>
      </c>
    </row>
    <row r="161" spans="1:4" x14ac:dyDescent="0.2">
      <c r="A161" s="649" t="s">
        <v>208</v>
      </c>
      <c r="B161" s="654" t="s">
        <v>209</v>
      </c>
      <c r="C161">
        <v>10000000000</v>
      </c>
      <c r="D161">
        <f t="shared" si="2"/>
        <v>-10000000000</v>
      </c>
    </row>
    <row r="162" spans="1:4" x14ac:dyDescent="0.2">
      <c r="A162" s="649" t="s">
        <v>923</v>
      </c>
      <c r="B162" s="654" t="s">
        <v>211</v>
      </c>
      <c r="C162">
        <v>10000000000</v>
      </c>
      <c r="D162">
        <f t="shared" si="2"/>
        <v>-10000000000</v>
      </c>
    </row>
    <row r="163" spans="1:4" x14ac:dyDescent="0.2">
      <c r="A163" s="649" t="s">
        <v>212</v>
      </c>
      <c r="B163" s="654" t="s">
        <v>213</v>
      </c>
      <c r="C163">
        <v>10000000000</v>
      </c>
      <c r="D163">
        <f t="shared" si="2"/>
        <v>-10000000000</v>
      </c>
    </row>
    <row r="164" spans="1:4" x14ac:dyDescent="0.2">
      <c r="A164" s="649" t="s">
        <v>214</v>
      </c>
      <c r="B164" s="654" t="s">
        <v>215</v>
      </c>
      <c r="C164">
        <v>10000000000</v>
      </c>
      <c r="D164">
        <f t="shared" si="2"/>
        <v>-10000000000</v>
      </c>
    </row>
    <row r="165" spans="1:4" x14ac:dyDescent="0.2">
      <c r="A165" s="649" t="s">
        <v>216</v>
      </c>
      <c r="B165" s="654" t="s">
        <v>217</v>
      </c>
      <c r="C165">
        <v>10000000000</v>
      </c>
      <c r="D165">
        <f t="shared" si="2"/>
        <v>-10000000000</v>
      </c>
    </row>
    <row r="166" spans="1:4" x14ac:dyDescent="0.2">
      <c r="A166" s="649" t="s">
        <v>218</v>
      </c>
      <c r="B166" s="654" t="s">
        <v>219</v>
      </c>
      <c r="C166">
        <v>10000000000</v>
      </c>
      <c r="D166">
        <f t="shared" si="2"/>
        <v>-10000000000</v>
      </c>
    </row>
    <row r="167" spans="1:4" x14ac:dyDescent="0.2">
      <c r="A167" s="649" t="s">
        <v>596</v>
      </c>
      <c r="B167" s="654" t="s">
        <v>221</v>
      </c>
      <c r="C167">
        <v>10000000000</v>
      </c>
      <c r="D167">
        <f t="shared" si="2"/>
        <v>-10000000000</v>
      </c>
    </row>
    <row r="168" spans="1:4" x14ac:dyDescent="0.2">
      <c r="A168" s="649" t="s">
        <v>222</v>
      </c>
      <c r="B168" s="654" t="s">
        <v>223</v>
      </c>
      <c r="C168">
        <v>10000000000</v>
      </c>
      <c r="D168">
        <f t="shared" si="2"/>
        <v>-10000000000</v>
      </c>
    </row>
    <row r="169" spans="1:4" x14ac:dyDescent="0.2">
      <c r="A169" s="649" t="s">
        <v>224</v>
      </c>
      <c r="B169" s="654" t="s">
        <v>225</v>
      </c>
      <c r="C169">
        <v>10000000000</v>
      </c>
      <c r="D169">
        <f t="shared" si="2"/>
        <v>-10000000000</v>
      </c>
    </row>
    <row r="170" spans="1:4" x14ac:dyDescent="0.2">
      <c r="A170" s="649" t="s">
        <v>597</v>
      </c>
      <c r="B170" s="654" t="s">
        <v>227</v>
      </c>
      <c r="C170">
        <v>10000000000</v>
      </c>
      <c r="D170">
        <f t="shared" si="2"/>
        <v>-10000000000</v>
      </c>
    </row>
    <row r="171" spans="1:4" x14ac:dyDescent="0.2">
      <c r="A171" s="649" t="s">
        <v>228</v>
      </c>
      <c r="B171" s="654" t="s">
        <v>229</v>
      </c>
      <c r="C171">
        <v>10000000000</v>
      </c>
      <c r="D171">
        <f t="shared" si="2"/>
        <v>-10000000000</v>
      </c>
    </row>
    <row r="172" spans="1:4" x14ac:dyDescent="0.2">
      <c r="A172" s="649" t="s">
        <v>1288</v>
      </c>
      <c r="B172" s="654" t="s">
        <v>1313</v>
      </c>
      <c r="C172">
        <v>10000000000</v>
      </c>
      <c r="D172">
        <f t="shared" si="2"/>
        <v>-10000000000</v>
      </c>
    </row>
    <row r="173" spans="1:4" x14ac:dyDescent="0.2">
      <c r="A173" s="649" t="s">
        <v>514</v>
      </c>
      <c r="B173" s="654" t="s">
        <v>231</v>
      </c>
      <c r="C173">
        <v>10000000000</v>
      </c>
      <c r="D173">
        <f t="shared" si="2"/>
        <v>-10000000000</v>
      </c>
    </row>
    <row r="174" spans="1:4" x14ac:dyDescent="0.2">
      <c r="A174" s="649" t="s">
        <v>232</v>
      </c>
      <c r="B174" s="654" t="s">
        <v>233</v>
      </c>
      <c r="C174">
        <v>10000000000</v>
      </c>
      <c r="D174">
        <f t="shared" si="2"/>
        <v>-10000000000</v>
      </c>
    </row>
    <row r="175" spans="1:4" x14ac:dyDescent="0.2">
      <c r="A175" s="649" t="s">
        <v>234</v>
      </c>
      <c r="B175" s="654" t="s">
        <v>235</v>
      </c>
      <c r="C175">
        <v>10000000000</v>
      </c>
      <c r="D175">
        <f t="shared" si="2"/>
        <v>-10000000000</v>
      </c>
    </row>
    <row r="176" spans="1:4" x14ac:dyDescent="0.2">
      <c r="A176" s="649" t="s">
        <v>247</v>
      </c>
      <c r="B176" s="654" t="s">
        <v>248</v>
      </c>
      <c r="C176">
        <v>10000000000</v>
      </c>
      <c r="D176">
        <f t="shared" si="2"/>
        <v>-10000000000</v>
      </c>
    </row>
    <row r="177" spans="1:4" x14ac:dyDescent="0.2">
      <c r="A177" s="728" t="s">
        <v>627</v>
      </c>
      <c r="B177" s="729" t="s">
        <v>2334</v>
      </c>
      <c r="C177">
        <v>10000000000</v>
      </c>
      <c r="D177">
        <f t="shared" si="2"/>
        <v>-10000000000</v>
      </c>
    </row>
    <row r="178" spans="1:4" x14ac:dyDescent="0.2">
      <c r="A178" s="649" t="s">
        <v>249</v>
      </c>
      <c r="B178" s="654" t="s">
        <v>250</v>
      </c>
      <c r="C178">
        <v>10000000000</v>
      </c>
      <c r="D178">
        <f t="shared" si="2"/>
        <v>-10000000000</v>
      </c>
    </row>
    <row r="179" spans="1:4" x14ac:dyDescent="0.2">
      <c r="A179" s="649" t="s">
        <v>251</v>
      </c>
      <c r="B179" s="654" t="s">
        <v>252</v>
      </c>
      <c r="C179">
        <v>10000000000</v>
      </c>
      <c r="D179">
        <f t="shared" si="2"/>
        <v>-10000000000</v>
      </c>
    </row>
    <row r="180" spans="1:4" x14ac:dyDescent="0.2">
      <c r="A180" s="649" t="s">
        <v>630</v>
      </c>
      <c r="B180" s="654" t="s">
        <v>254</v>
      </c>
      <c r="C180">
        <v>10000000000</v>
      </c>
      <c r="D180">
        <f t="shared" si="2"/>
        <v>-10000000000</v>
      </c>
    </row>
    <row r="181" spans="1:4" x14ac:dyDescent="0.2">
      <c r="A181" s="649" t="s">
        <v>255</v>
      </c>
      <c r="B181" s="654" t="s">
        <v>256</v>
      </c>
      <c r="C181">
        <v>10000000000</v>
      </c>
      <c r="D181">
        <f t="shared" si="2"/>
        <v>-10000000000</v>
      </c>
    </row>
    <row r="182" spans="1:4" x14ac:dyDescent="0.2">
      <c r="A182" s="649" t="s">
        <v>257</v>
      </c>
      <c r="B182" s="654" t="s">
        <v>258</v>
      </c>
      <c r="C182">
        <v>10000000000</v>
      </c>
      <c r="D182">
        <f t="shared" si="2"/>
        <v>-10000000000</v>
      </c>
    </row>
    <row r="183" spans="1:4" x14ac:dyDescent="0.2">
      <c r="A183" s="649" t="s">
        <v>259</v>
      </c>
      <c r="B183" s="654" t="s">
        <v>260</v>
      </c>
      <c r="C183">
        <v>10000000000</v>
      </c>
      <c r="D183">
        <f t="shared" si="2"/>
        <v>-10000000000</v>
      </c>
    </row>
    <row r="184" spans="1:4" x14ac:dyDescent="0.2">
      <c r="A184" s="649" t="s">
        <v>261</v>
      </c>
      <c r="B184" s="654" t="s">
        <v>262</v>
      </c>
      <c r="C184">
        <v>10000000000</v>
      </c>
      <c r="D184">
        <f t="shared" si="2"/>
        <v>-10000000000</v>
      </c>
    </row>
    <row r="185" spans="1:4" x14ac:dyDescent="0.2">
      <c r="A185" s="649" t="s">
        <v>263</v>
      </c>
      <c r="B185" s="654" t="s">
        <v>264</v>
      </c>
      <c r="C185">
        <v>10000000000</v>
      </c>
      <c r="D185">
        <f t="shared" si="2"/>
        <v>-10000000000</v>
      </c>
    </row>
    <row r="186" spans="1:4" x14ac:dyDescent="0.2">
      <c r="A186" s="649" t="s">
        <v>530</v>
      </c>
      <c r="B186" s="654" t="s">
        <v>266</v>
      </c>
      <c r="C186">
        <v>10000000000</v>
      </c>
      <c r="D186">
        <f t="shared" si="2"/>
        <v>-10000000000</v>
      </c>
    </row>
    <row r="187" spans="1:4" x14ac:dyDescent="0.2">
      <c r="A187" s="649" t="s">
        <v>553</v>
      </c>
      <c r="B187" s="654" t="s">
        <v>268</v>
      </c>
      <c r="C187">
        <v>10000000000</v>
      </c>
      <c r="D187">
        <f t="shared" si="2"/>
        <v>-10000000000</v>
      </c>
    </row>
    <row r="188" spans="1:4" x14ac:dyDescent="0.2">
      <c r="A188" s="649" t="s">
        <v>579</v>
      </c>
      <c r="B188" s="654" t="s">
        <v>270</v>
      </c>
      <c r="C188">
        <v>10000000000</v>
      </c>
      <c r="D188">
        <f t="shared" si="2"/>
        <v>-10000000000</v>
      </c>
    </row>
    <row r="189" spans="1:4" x14ac:dyDescent="0.2">
      <c r="A189" s="649" t="s">
        <v>271</v>
      </c>
      <c r="B189" s="654" t="s">
        <v>272</v>
      </c>
      <c r="C189">
        <v>10000000000</v>
      </c>
      <c r="D189">
        <f t="shared" si="2"/>
        <v>-10000000000</v>
      </c>
    </row>
    <row r="190" spans="1:4" x14ac:dyDescent="0.2">
      <c r="A190" s="649" t="s">
        <v>522</v>
      </c>
      <c r="B190" s="654" t="s">
        <v>274</v>
      </c>
      <c r="C190">
        <v>10000000000</v>
      </c>
      <c r="D190">
        <f t="shared" si="2"/>
        <v>-10000000000</v>
      </c>
    </row>
    <row r="191" spans="1:4" x14ac:dyDescent="0.2">
      <c r="A191" s="649" t="s">
        <v>275</v>
      </c>
      <c r="B191" s="654" t="s">
        <v>276</v>
      </c>
      <c r="C191">
        <v>10000000000</v>
      </c>
      <c r="D191">
        <f t="shared" si="2"/>
        <v>-10000000000</v>
      </c>
    </row>
    <row r="192" spans="1:4" x14ac:dyDescent="0.2">
      <c r="A192" s="649" t="s">
        <v>962</v>
      </c>
      <c r="B192" s="654" t="s">
        <v>278</v>
      </c>
      <c r="C192">
        <v>10000000000</v>
      </c>
      <c r="D192">
        <f t="shared" si="2"/>
        <v>-10000000000</v>
      </c>
    </row>
    <row r="193" spans="1:4" x14ac:dyDescent="0.2">
      <c r="A193" s="649" t="s">
        <v>279</v>
      </c>
      <c r="B193" s="654" t="s">
        <v>280</v>
      </c>
      <c r="C193">
        <v>10000000000</v>
      </c>
      <c r="D193">
        <f t="shared" si="2"/>
        <v>-10000000000</v>
      </c>
    </row>
    <row r="194" spans="1:4" x14ac:dyDescent="0.2">
      <c r="A194" s="649" t="s">
        <v>281</v>
      </c>
      <c r="B194" s="654" t="s">
        <v>282</v>
      </c>
      <c r="C194">
        <v>10000000000</v>
      </c>
      <c r="D194">
        <f t="shared" si="2"/>
        <v>-10000000000</v>
      </c>
    </row>
    <row r="195" spans="1:4" x14ac:dyDescent="0.2">
      <c r="A195" s="649" t="s">
        <v>283</v>
      </c>
      <c r="B195" s="654" t="s">
        <v>284</v>
      </c>
      <c r="C195">
        <v>10000000000</v>
      </c>
      <c r="D195">
        <f t="shared" ref="D195:D258" si="3">C195*-1</f>
        <v>-10000000000</v>
      </c>
    </row>
    <row r="196" spans="1:4" x14ac:dyDescent="0.2">
      <c r="A196" s="649" t="s">
        <v>285</v>
      </c>
      <c r="B196" s="654" t="s">
        <v>286</v>
      </c>
      <c r="C196">
        <v>10000000000</v>
      </c>
      <c r="D196">
        <f t="shared" si="3"/>
        <v>-10000000000</v>
      </c>
    </row>
    <row r="197" spans="1:4" x14ac:dyDescent="0.2">
      <c r="A197" s="649" t="s">
        <v>287</v>
      </c>
      <c r="B197" s="654" t="s">
        <v>288</v>
      </c>
      <c r="C197">
        <v>10000000000</v>
      </c>
      <c r="D197">
        <f t="shared" si="3"/>
        <v>-10000000000</v>
      </c>
    </row>
    <row r="198" spans="1:4" x14ac:dyDescent="0.2">
      <c r="A198" s="649" t="s">
        <v>289</v>
      </c>
      <c r="B198" s="654" t="s">
        <v>290</v>
      </c>
      <c r="C198">
        <v>10000000000</v>
      </c>
      <c r="D198">
        <f t="shared" si="3"/>
        <v>-10000000000</v>
      </c>
    </row>
    <row r="199" spans="1:4" x14ac:dyDescent="0.2">
      <c r="A199" s="649" t="s">
        <v>291</v>
      </c>
      <c r="B199" s="654" t="s">
        <v>292</v>
      </c>
      <c r="C199">
        <v>10000000000</v>
      </c>
      <c r="D199">
        <f t="shared" si="3"/>
        <v>-10000000000</v>
      </c>
    </row>
    <row r="200" spans="1:4" x14ac:dyDescent="0.2">
      <c r="A200" s="649" t="s">
        <v>293</v>
      </c>
      <c r="B200" s="654" t="s">
        <v>294</v>
      </c>
      <c r="C200">
        <v>10000000000</v>
      </c>
      <c r="D200">
        <f t="shared" si="3"/>
        <v>-10000000000</v>
      </c>
    </row>
    <row r="201" spans="1:4" x14ac:dyDescent="0.2">
      <c r="A201" s="649" t="s">
        <v>295</v>
      </c>
      <c r="B201" s="654" t="s">
        <v>296</v>
      </c>
      <c r="C201">
        <v>10000000000</v>
      </c>
      <c r="D201">
        <f t="shared" si="3"/>
        <v>-10000000000</v>
      </c>
    </row>
    <row r="202" spans="1:4" x14ac:dyDescent="0.2">
      <c r="A202" s="649" t="s">
        <v>297</v>
      </c>
      <c r="B202" s="654" t="s">
        <v>298</v>
      </c>
      <c r="C202">
        <v>10000000000</v>
      </c>
      <c r="D202">
        <f t="shared" si="3"/>
        <v>-10000000000</v>
      </c>
    </row>
    <row r="203" spans="1:4" x14ac:dyDescent="0.2">
      <c r="A203" s="649" t="s">
        <v>299</v>
      </c>
      <c r="B203" s="654" t="s">
        <v>300</v>
      </c>
      <c r="C203">
        <v>10000000000</v>
      </c>
      <c r="D203">
        <f t="shared" si="3"/>
        <v>-10000000000</v>
      </c>
    </row>
    <row r="204" spans="1:4" x14ac:dyDescent="0.2">
      <c r="A204" s="649" t="s">
        <v>301</v>
      </c>
      <c r="B204" s="654" t="s">
        <v>302</v>
      </c>
      <c r="C204">
        <v>10000000000</v>
      </c>
      <c r="D204">
        <f t="shared" si="3"/>
        <v>-10000000000</v>
      </c>
    </row>
    <row r="205" spans="1:4" x14ac:dyDescent="0.2">
      <c r="A205" s="649" t="s">
        <v>303</v>
      </c>
      <c r="B205" s="654" t="s">
        <v>304</v>
      </c>
      <c r="C205">
        <v>10000000000</v>
      </c>
      <c r="D205">
        <f t="shared" si="3"/>
        <v>-10000000000</v>
      </c>
    </row>
    <row r="206" spans="1:4" x14ac:dyDescent="0.2">
      <c r="A206" s="649" t="s">
        <v>614</v>
      </c>
      <c r="B206" s="654" t="s">
        <v>306</v>
      </c>
      <c r="C206">
        <v>10000000000</v>
      </c>
      <c r="D206">
        <f t="shared" si="3"/>
        <v>-10000000000</v>
      </c>
    </row>
    <row r="207" spans="1:4" x14ac:dyDescent="0.2">
      <c r="A207" s="649" t="s">
        <v>307</v>
      </c>
      <c r="B207" s="654" t="s">
        <v>308</v>
      </c>
      <c r="C207">
        <v>10000000000</v>
      </c>
      <c r="D207">
        <f t="shared" si="3"/>
        <v>-10000000000</v>
      </c>
    </row>
    <row r="208" spans="1:4" x14ac:dyDescent="0.2">
      <c r="A208" s="649" t="s">
        <v>309</v>
      </c>
      <c r="B208" s="654" t="s">
        <v>310</v>
      </c>
      <c r="C208">
        <v>10000000000</v>
      </c>
      <c r="D208">
        <f t="shared" si="3"/>
        <v>-10000000000</v>
      </c>
    </row>
    <row r="209" spans="1:4" x14ac:dyDescent="0.2">
      <c r="A209" s="649" t="s">
        <v>311</v>
      </c>
      <c r="B209" s="654" t="s">
        <v>312</v>
      </c>
      <c r="C209">
        <v>10000000000</v>
      </c>
      <c r="D209">
        <f t="shared" si="3"/>
        <v>-10000000000</v>
      </c>
    </row>
    <row r="210" spans="1:4" x14ac:dyDescent="0.2">
      <c r="A210" s="649" t="s">
        <v>313</v>
      </c>
      <c r="B210" s="654" t="s">
        <v>314</v>
      </c>
      <c r="C210">
        <v>10000000000</v>
      </c>
      <c r="D210">
        <f t="shared" si="3"/>
        <v>-10000000000</v>
      </c>
    </row>
    <row r="211" spans="1:4" x14ac:dyDescent="0.2">
      <c r="A211" s="649" t="s">
        <v>315</v>
      </c>
      <c r="B211" s="654" t="s">
        <v>316</v>
      </c>
      <c r="C211">
        <v>10000000000</v>
      </c>
      <c r="D211">
        <f t="shared" si="3"/>
        <v>-10000000000</v>
      </c>
    </row>
    <row r="212" spans="1:4" x14ac:dyDescent="0.2">
      <c r="A212" s="649" t="s">
        <v>319</v>
      </c>
      <c r="B212" s="654" t="s">
        <v>320</v>
      </c>
      <c r="C212">
        <v>10000000000</v>
      </c>
      <c r="D212">
        <f t="shared" si="3"/>
        <v>-10000000000</v>
      </c>
    </row>
    <row r="213" spans="1:4" x14ac:dyDescent="0.2">
      <c r="A213" s="649" t="s">
        <v>523</v>
      </c>
      <c r="B213" s="654" t="s">
        <v>322</v>
      </c>
      <c r="C213">
        <v>10000000000</v>
      </c>
      <c r="D213">
        <f t="shared" si="3"/>
        <v>-10000000000</v>
      </c>
    </row>
    <row r="214" spans="1:4" x14ac:dyDescent="0.2">
      <c r="A214" s="649" t="s">
        <v>323</v>
      </c>
      <c r="B214" s="654" t="s">
        <v>324</v>
      </c>
      <c r="C214">
        <v>10000000000</v>
      </c>
      <c r="D214">
        <f t="shared" si="3"/>
        <v>-10000000000</v>
      </c>
    </row>
    <row r="215" spans="1:4" x14ac:dyDescent="0.2">
      <c r="A215" s="728" t="s">
        <v>641</v>
      </c>
      <c r="B215" s="729" t="s">
        <v>2335</v>
      </c>
      <c r="C215">
        <v>10000000000</v>
      </c>
      <c r="D215">
        <f t="shared" si="3"/>
        <v>-10000000000</v>
      </c>
    </row>
    <row r="216" spans="1:4" x14ac:dyDescent="0.2">
      <c r="A216" s="649" t="s">
        <v>325</v>
      </c>
      <c r="B216" s="654" t="s">
        <v>326</v>
      </c>
      <c r="C216">
        <v>10000000000</v>
      </c>
      <c r="D216">
        <f t="shared" si="3"/>
        <v>-10000000000</v>
      </c>
    </row>
    <row r="217" spans="1:4" x14ac:dyDescent="0.2">
      <c r="A217" s="649" t="s">
        <v>327</v>
      </c>
      <c r="B217" s="654" t="s">
        <v>328</v>
      </c>
      <c r="C217">
        <v>10000000000</v>
      </c>
      <c r="D217">
        <f t="shared" si="3"/>
        <v>-10000000000</v>
      </c>
    </row>
    <row r="218" spans="1:4" x14ac:dyDescent="0.2">
      <c r="A218" s="649" t="s">
        <v>513</v>
      </c>
      <c r="B218" s="654" t="s">
        <v>330</v>
      </c>
      <c r="C218">
        <v>10000000000</v>
      </c>
      <c r="D218">
        <f t="shared" si="3"/>
        <v>-10000000000</v>
      </c>
    </row>
    <row r="219" spans="1:4" x14ac:dyDescent="0.2">
      <c r="A219" s="649" t="s">
        <v>331</v>
      </c>
      <c r="B219" s="654" t="s">
        <v>332</v>
      </c>
      <c r="C219">
        <v>10000000000</v>
      </c>
      <c r="D219">
        <f t="shared" si="3"/>
        <v>-10000000000</v>
      </c>
    </row>
    <row r="220" spans="1:4" x14ac:dyDescent="0.2">
      <c r="A220" s="649" t="s">
        <v>333</v>
      </c>
      <c r="B220" s="654" t="s">
        <v>334</v>
      </c>
      <c r="C220">
        <v>10000000000</v>
      </c>
      <c r="D220">
        <f t="shared" si="3"/>
        <v>-10000000000</v>
      </c>
    </row>
    <row r="221" spans="1:4" x14ac:dyDescent="0.2">
      <c r="A221" s="649" t="s">
        <v>335</v>
      </c>
      <c r="B221" s="654" t="s">
        <v>336</v>
      </c>
      <c r="C221">
        <v>10000000000</v>
      </c>
      <c r="D221">
        <f t="shared" si="3"/>
        <v>-10000000000</v>
      </c>
    </row>
    <row r="222" spans="1:4" x14ac:dyDescent="0.2">
      <c r="A222" s="649" t="s">
        <v>337</v>
      </c>
      <c r="B222" s="654" t="s">
        <v>338</v>
      </c>
      <c r="C222">
        <v>10000000000</v>
      </c>
      <c r="D222">
        <f t="shared" si="3"/>
        <v>-10000000000</v>
      </c>
    </row>
    <row r="223" spans="1:4" x14ac:dyDescent="0.2">
      <c r="A223" s="649" t="s">
        <v>339</v>
      </c>
      <c r="B223" s="654" t="s">
        <v>340</v>
      </c>
      <c r="C223">
        <v>10000000000</v>
      </c>
      <c r="D223">
        <f t="shared" si="3"/>
        <v>-10000000000</v>
      </c>
    </row>
    <row r="224" spans="1:4" x14ac:dyDescent="0.2">
      <c r="A224" s="649" t="s">
        <v>341</v>
      </c>
      <c r="B224" s="654" t="s">
        <v>342</v>
      </c>
      <c r="C224">
        <v>10000000000</v>
      </c>
      <c r="D224">
        <f t="shared" si="3"/>
        <v>-10000000000</v>
      </c>
    </row>
    <row r="225" spans="1:4" x14ac:dyDescent="0.2">
      <c r="A225" s="649" t="s">
        <v>343</v>
      </c>
      <c r="B225" s="654" t="s">
        <v>344</v>
      </c>
      <c r="C225">
        <v>10000000000</v>
      </c>
      <c r="D225">
        <f t="shared" si="3"/>
        <v>-10000000000</v>
      </c>
    </row>
    <row r="226" spans="1:4" x14ac:dyDescent="0.2">
      <c r="A226" s="649" t="s">
        <v>345</v>
      </c>
      <c r="B226" s="654" t="s">
        <v>346</v>
      </c>
      <c r="C226">
        <v>10000000000</v>
      </c>
      <c r="D226">
        <f t="shared" si="3"/>
        <v>-10000000000</v>
      </c>
    </row>
    <row r="227" spans="1:4" x14ac:dyDescent="0.2">
      <c r="A227" s="649" t="s">
        <v>582</v>
      </c>
      <c r="B227" s="654" t="s">
        <v>348</v>
      </c>
      <c r="C227">
        <v>10000000000</v>
      </c>
      <c r="D227">
        <f t="shared" si="3"/>
        <v>-10000000000</v>
      </c>
    </row>
    <row r="228" spans="1:4" x14ac:dyDescent="0.2">
      <c r="A228" s="649" t="s">
        <v>571</v>
      </c>
      <c r="B228" s="654" t="s">
        <v>350</v>
      </c>
      <c r="C228">
        <v>10000000000</v>
      </c>
      <c r="D228">
        <f t="shared" si="3"/>
        <v>-10000000000</v>
      </c>
    </row>
    <row r="229" spans="1:4" x14ac:dyDescent="0.2">
      <c r="A229" s="649" t="s">
        <v>351</v>
      </c>
      <c r="B229" s="654" t="s">
        <v>352</v>
      </c>
      <c r="C229">
        <v>10000000000</v>
      </c>
      <c r="D229">
        <f t="shared" si="3"/>
        <v>-10000000000</v>
      </c>
    </row>
    <row r="230" spans="1:4" x14ac:dyDescent="0.2">
      <c r="A230" s="649" t="s">
        <v>353</v>
      </c>
      <c r="B230" s="654" t="s">
        <v>354</v>
      </c>
      <c r="C230">
        <v>10000000000</v>
      </c>
      <c r="D230">
        <f t="shared" si="3"/>
        <v>-10000000000</v>
      </c>
    </row>
    <row r="231" spans="1:4" x14ac:dyDescent="0.2">
      <c r="A231" s="649" t="s">
        <v>355</v>
      </c>
      <c r="B231" s="654" t="s">
        <v>356</v>
      </c>
      <c r="C231">
        <v>10000000000</v>
      </c>
      <c r="D231">
        <f t="shared" si="3"/>
        <v>-10000000000</v>
      </c>
    </row>
    <row r="232" spans="1:4" x14ac:dyDescent="0.2">
      <c r="A232" s="649" t="s">
        <v>961</v>
      </c>
      <c r="B232" s="654" t="s">
        <v>358</v>
      </c>
      <c r="C232">
        <v>10000000000</v>
      </c>
      <c r="D232">
        <f t="shared" si="3"/>
        <v>-10000000000</v>
      </c>
    </row>
    <row r="233" spans="1:4" x14ac:dyDescent="0.2">
      <c r="A233" s="649" t="s">
        <v>359</v>
      </c>
      <c r="B233" s="654" t="s">
        <v>360</v>
      </c>
      <c r="C233">
        <v>10000000000</v>
      </c>
      <c r="D233">
        <f t="shared" si="3"/>
        <v>-10000000000</v>
      </c>
    </row>
    <row r="234" spans="1:4" x14ac:dyDescent="0.2">
      <c r="A234" s="649" t="s">
        <v>361</v>
      </c>
      <c r="B234" s="654" t="s">
        <v>362</v>
      </c>
      <c r="C234">
        <v>10000000000</v>
      </c>
      <c r="D234">
        <f t="shared" si="3"/>
        <v>-10000000000</v>
      </c>
    </row>
    <row r="235" spans="1:4" x14ac:dyDescent="0.2">
      <c r="A235" s="649" t="s">
        <v>363</v>
      </c>
      <c r="B235" s="654" t="s">
        <v>364</v>
      </c>
      <c r="C235">
        <v>10000000000</v>
      </c>
      <c r="D235">
        <f t="shared" si="3"/>
        <v>-10000000000</v>
      </c>
    </row>
    <row r="236" spans="1:4" x14ac:dyDescent="0.2">
      <c r="A236" s="649" t="s">
        <v>365</v>
      </c>
      <c r="B236" s="654" t="s">
        <v>366</v>
      </c>
      <c r="C236">
        <v>10000000000</v>
      </c>
      <c r="D236">
        <f t="shared" si="3"/>
        <v>-10000000000</v>
      </c>
    </row>
    <row r="237" spans="1:4" x14ac:dyDescent="0.2">
      <c r="A237" s="649" t="s">
        <v>545</v>
      </c>
      <c r="B237" s="654" t="s">
        <v>368</v>
      </c>
      <c r="C237">
        <v>10000000000</v>
      </c>
      <c r="D237">
        <f t="shared" si="3"/>
        <v>-10000000000</v>
      </c>
    </row>
    <row r="238" spans="1:4" x14ac:dyDescent="0.2">
      <c r="A238" s="649" t="s">
        <v>642</v>
      </c>
      <c r="B238" s="654" t="s">
        <v>370</v>
      </c>
      <c r="C238">
        <v>10000000000</v>
      </c>
      <c r="D238">
        <f t="shared" si="3"/>
        <v>-10000000000</v>
      </c>
    </row>
    <row r="239" spans="1:4" x14ac:dyDescent="0.2">
      <c r="A239" s="649" t="s">
        <v>371</v>
      </c>
      <c r="B239" s="654" t="s">
        <v>372</v>
      </c>
      <c r="C239">
        <v>10000000000</v>
      </c>
      <c r="D239">
        <f t="shared" si="3"/>
        <v>-10000000000</v>
      </c>
    </row>
    <row r="240" spans="1:4" x14ac:dyDescent="0.2">
      <c r="A240" s="649" t="s">
        <v>373</v>
      </c>
      <c r="B240" s="654" t="s">
        <v>374</v>
      </c>
      <c r="C240">
        <v>10000000000</v>
      </c>
      <c r="D240">
        <f t="shared" si="3"/>
        <v>-10000000000</v>
      </c>
    </row>
    <row r="241" spans="1:4" x14ac:dyDescent="0.2">
      <c r="A241" s="649" t="s">
        <v>375</v>
      </c>
      <c r="B241" s="654" t="s">
        <v>376</v>
      </c>
      <c r="C241">
        <v>10000000000</v>
      </c>
      <c r="D241">
        <f t="shared" si="3"/>
        <v>-10000000000</v>
      </c>
    </row>
    <row r="242" spans="1:4" x14ac:dyDescent="0.2">
      <c r="A242" s="649" t="s">
        <v>377</v>
      </c>
      <c r="B242" s="654" t="s">
        <v>378</v>
      </c>
      <c r="C242">
        <v>10000000000</v>
      </c>
      <c r="D242">
        <f t="shared" si="3"/>
        <v>-10000000000</v>
      </c>
    </row>
    <row r="243" spans="1:4" x14ac:dyDescent="0.2">
      <c r="A243" s="649" t="s">
        <v>379</v>
      </c>
      <c r="B243" s="654" t="s">
        <v>380</v>
      </c>
      <c r="C243">
        <v>10000000000</v>
      </c>
      <c r="D243">
        <f t="shared" si="3"/>
        <v>-10000000000</v>
      </c>
    </row>
    <row r="244" spans="1:4" x14ac:dyDescent="0.2">
      <c r="A244" s="649" t="s">
        <v>381</v>
      </c>
      <c r="B244" s="654" t="s">
        <v>382</v>
      </c>
      <c r="C244">
        <v>10000000000</v>
      </c>
      <c r="D244">
        <f t="shared" si="3"/>
        <v>-10000000000</v>
      </c>
    </row>
    <row r="245" spans="1:4" x14ac:dyDescent="0.2">
      <c r="A245" s="649" t="s">
        <v>657</v>
      </c>
      <c r="B245" s="654" t="s">
        <v>384</v>
      </c>
      <c r="C245">
        <v>10000000000</v>
      </c>
      <c r="D245">
        <f t="shared" si="3"/>
        <v>-10000000000</v>
      </c>
    </row>
    <row r="246" spans="1:4" x14ac:dyDescent="0.2">
      <c r="A246" s="649" t="s">
        <v>385</v>
      </c>
      <c r="B246" s="654" t="s">
        <v>386</v>
      </c>
      <c r="C246">
        <v>10000000000</v>
      </c>
      <c r="D246">
        <f t="shared" si="3"/>
        <v>-10000000000</v>
      </c>
    </row>
    <row r="247" spans="1:4" x14ac:dyDescent="0.2">
      <c r="A247" s="649" t="s">
        <v>387</v>
      </c>
      <c r="B247" s="654" t="s">
        <v>388</v>
      </c>
      <c r="C247">
        <v>10000000000</v>
      </c>
      <c r="D247">
        <f t="shared" si="3"/>
        <v>-10000000000</v>
      </c>
    </row>
    <row r="248" spans="1:4" x14ac:dyDescent="0.2">
      <c r="A248" s="649" t="s">
        <v>389</v>
      </c>
      <c r="B248" s="654" t="s">
        <v>390</v>
      </c>
      <c r="C248">
        <v>10000000000</v>
      </c>
      <c r="D248">
        <f t="shared" si="3"/>
        <v>-10000000000</v>
      </c>
    </row>
    <row r="249" spans="1:4" x14ac:dyDescent="0.2">
      <c r="A249" s="649" t="s">
        <v>391</v>
      </c>
      <c r="B249" s="654" t="s">
        <v>392</v>
      </c>
      <c r="C249">
        <v>10000000000</v>
      </c>
      <c r="D249">
        <f t="shared" si="3"/>
        <v>-10000000000</v>
      </c>
    </row>
    <row r="250" spans="1:4" x14ac:dyDescent="0.2">
      <c r="A250" s="649" t="s">
        <v>971</v>
      </c>
      <c r="B250" s="654" t="s">
        <v>394</v>
      </c>
      <c r="C250">
        <v>10000000000</v>
      </c>
      <c r="D250">
        <f t="shared" si="3"/>
        <v>-10000000000</v>
      </c>
    </row>
    <row r="251" spans="1:4" x14ac:dyDescent="0.2">
      <c r="A251" s="649" t="s">
        <v>395</v>
      </c>
      <c r="B251" s="654" t="s">
        <v>396</v>
      </c>
      <c r="C251">
        <v>10000000000</v>
      </c>
      <c r="D251">
        <f t="shared" si="3"/>
        <v>-10000000000</v>
      </c>
    </row>
    <row r="252" spans="1:4" x14ac:dyDescent="0.2">
      <c r="A252" s="649" t="s">
        <v>397</v>
      </c>
      <c r="B252" s="654" t="s">
        <v>398</v>
      </c>
      <c r="C252">
        <v>10000000000</v>
      </c>
      <c r="D252">
        <f t="shared" si="3"/>
        <v>-10000000000</v>
      </c>
    </row>
    <row r="253" spans="1:4" x14ac:dyDescent="0.2">
      <c r="A253" s="649" t="s">
        <v>399</v>
      </c>
      <c r="B253" s="654" t="s">
        <v>400</v>
      </c>
      <c r="C253">
        <v>10000000000</v>
      </c>
      <c r="D253">
        <f t="shared" si="3"/>
        <v>-10000000000</v>
      </c>
    </row>
    <row r="254" spans="1:4" x14ac:dyDescent="0.2">
      <c r="A254" s="649" t="s">
        <v>401</v>
      </c>
      <c r="B254" s="654" t="s">
        <v>402</v>
      </c>
      <c r="C254">
        <v>10000000000</v>
      </c>
      <c r="D254">
        <f t="shared" si="3"/>
        <v>-10000000000</v>
      </c>
    </row>
    <row r="255" spans="1:4" x14ac:dyDescent="0.2">
      <c r="A255" s="649" t="s">
        <v>403</v>
      </c>
      <c r="B255" s="654" t="s">
        <v>404</v>
      </c>
      <c r="C255">
        <v>10000000000</v>
      </c>
      <c r="D255">
        <f t="shared" si="3"/>
        <v>-10000000000</v>
      </c>
    </row>
    <row r="256" spans="1:4" x14ac:dyDescent="0.2">
      <c r="A256" s="649" t="s">
        <v>574</v>
      </c>
      <c r="B256" s="654" t="s">
        <v>406</v>
      </c>
      <c r="C256">
        <v>10000000000</v>
      </c>
      <c r="D256">
        <f t="shared" si="3"/>
        <v>-10000000000</v>
      </c>
    </row>
    <row r="257" spans="1:4" x14ac:dyDescent="0.2">
      <c r="A257" s="649" t="s">
        <v>407</v>
      </c>
      <c r="B257" s="654" t="s">
        <v>408</v>
      </c>
      <c r="C257">
        <v>10000000000</v>
      </c>
      <c r="D257">
        <f t="shared" si="3"/>
        <v>-10000000000</v>
      </c>
    </row>
    <row r="258" spans="1:4" x14ac:dyDescent="0.2">
      <c r="A258" s="649" t="s">
        <v>556</v>
      </c>
      <c r="B258" s="654" t="s">
        <v>410</v>
      </c>
      <c r="C258">
        <v>10000000000</v>
      </c>
      <c r="D258">
        <f t="shared" si="3"/>
        <v>-10000000000</v>
      </c>
    </row>
    <row r="259" spans="1:4" x14ac:dyDescent="0.2">
      <c r="A259" s="649" t="s">
        <v>411</v>
      </c>
      <c r="B259" s="654" t="s">
        <v>412</v>
      </c>
      <c r="C259">
        <v>10000000000</v>
      </c>
      <c r="D259">
        <f t="shared" ref="D259:D297" si="4">C259*-1</f>
        <v>-10000000000</v>
      </c>
    </row>
    <row r="260" spans="1:4" x14ac:dyDescent="0.2">
      <c r="A260" s="649" t="s">
        <v>413</v>
      </c>
      <c r="B260" s="654" t="s">
        <v>414</v>
      </c>
      <c r="C260">
        <v>10000000000</v>
      </c>
      <c r="D260">
        <f t="shared" si="4"/>
        <v>-10000000000</v>
      </c>
    </row>
    <row r="261" spans="1:4" x14ac:dyDescent="0.2">
      <c r="A261" s="649" t="s">
        <v>415</v>
      </c>
      <c r="B261" s="654" t="s">
        <v>416</v>
      </c>
      <c r="C261">
        <v>10000000000</v>
      </c>
      <c r="D261">
        <f t="shared" si="4"/>
        <v>-10000000000</v>
      </c>
    </row>
    <row r="262" spans="1:4" x14ac:dyDescent="0.2">
      <c r="A262" s="649" t="s">
        <v>417</v>
      </c>
      <c r="B262" s="654" t="s">
        <v>418</v>
      </c>
      <c r="C262">
        <v>10000000000</v>
      </c>
      <c r="D262">
        <f t="shared" si="4"/>
        <v>-10000000000</v>
      </c>
    </row>
    <row r="263" spans="1:4" x14ac:dyDescent="0.2">
      <c r="A263" s="649" t="s">
        <v>419</v>
      </c>
      <c r="B263" s="654" t="s">
        <v>420</v>
      </c>
      <c r="C263">
        <v>10000000000</v>
      </c>
      <c r="D263">
        <f t="shared" si="4"/>
        <v>-10000000000</v>
      </c>
    </row>
    <row r="264" spans="1:4" x14ac:dyDescent="0.2">
      <c r="A264" s="649" t="s">
        <v>421</v>
      </c>
      <c r="B264" s="654" t="s">
        <v>422</v>
      </c>
      <c r="C264">
        <v>10000000000</v>
      </c>
      <c r="D264">
        <f t="shared" si="4"/>
        <v>-10000000000</v>
      </c>
    </row>
    <row r="265" spans="1:4" x14ac:dyDescent="0.2">
      <c r="A265" s="649" t="s">
        <v>423</v>
      </c>
      <c r="B265" s="654" t="s">
        <v>424</v>
      </c>
      <c r="C265">
        <v>10000000000</v>
      </c>
      <c r="D265">
        <f t="shared" si="4"/>
        <v>-10000000000</v>
      </c>
    </row>
    <row r="266" spans="1:4" x14ac:dyDescent="0.2">
      <c r="A266" s="649" t="s">
        <v>425</v>
      </c>
      <c r="B266" s="654" t="s">
        <v>426</v>
      </c>
      <c r="C266">
        <v>10000000000</v>
      </c>
      <c r="D266">
        <f t="shared" si="4"/>
        <v>-10000000000</v>
      </c>
    </row>
    <row r="267" spans="1:4" x14ac:dyDescent="0.2">
      <c r="A267" s="649" t="s">
        <v>427</v>
      </c>
      <c r="B267" s="654" t="s">
        <v>428</v>
      </c>
      <c r="C267">
        <v>10000000000</v>
      </c>
      <c r="D267">
        <f t="shared" si="4"/>
        <v>-10000000000</v>
      </c>
    </row>
    <row r="268" spans="1:4" x14ac:dyDescent="0.2">
      <c r="A268" s="649" t="s">
        <v>429</v>
      </c>
      <c r="B268" s="654" t="s">
        <v>430</v>
      </c>
      <c r="C268">
        <v>10000000000</v>
      </c>
      <c r="D268">
        <f t="shared" si="4"/>
        <v>-10000000000</v>
      </c>
    </row>
    <row r="269" spans="1:4" x14ac:dyDescent="0.2">
      <c r="A269" s="649" t="s">
        <v>538</v>
      </c>
      <c r="B269" s="654" t="s">
        <v>432</v>
      </c>
      <c r="C269">
        <v>10000000000</v>
      </c>
      <c r="D269">
        <f t="shared" si="4"/>
        <v>-10000000000</v>
      </c>
    </row>
    <row r="270" spans="1:4" x14ac:dyDescent="0.2">
      <c r="A270" s="649" t="s">
        <v>433</v>
      </c>
      <c r="B270" s="654" t="s">
        <v>434</v>
      </c>
      <c r="C270">
        <v>10000000000</v>
      </c>
      <c r="D270">
        <f t="shared" si="4"/>
        <v>-10000000000</v>
      </c>
    </row>
    <row r="271" spans="1:4" x14ac:dyDescent="0.2">
      <c r="A271" s="649" t="s">
        <v>435</v>
      </c>
      <c r="B271" s="654" t="s">
        <v>436</v>
      </c>
      <c r="C271">
        <v>10000000000</v>
      </c>
      <c r="D271">
        <f t="shared" si="4"/>
        <v>-10000000000</v>
      </c>
    </row>
    <row r="272" spans="1:4" x14ac:dyDescent="0.2">
      <c r="A272" s="649" t="s">
        <v>437</v>
      </c>
      <c r="B272" s="654" t="s">
        <v>438</v>
      </c>
      <c r="C272">
        <v>10000000000</v>
      </c>
      <c r="D272">
        <f t="shared" si="4"/>
        <v>-10000000000</v>
      </c>
    </row>
    <row r="273" spans="1:4" x14ac:dyDescent="0.2">
      <c r="A273" s="649" t="s">
        <v>439</v>
      </c>
      <c r="B273" s="654" t="s">
        <v>440</v>
      </c>
      <c r="C273">
        <v>10000000000</v>
      </c>
      <c r="D273">
        <f t="shared" si="4"/>
        <v>-10000000000</v>
      </c>
    </row>
    <row r="274" spans="1:4" x14ac:dyDescent="0.2">
      <c r="A274" s="649" t="s">
        <v>441</v>
      </c>
      <c r="B274" s="654" t="s">
        <v>442</v>
      </c>
      <c r="C274">
        <v>10000000000</v>
      </c>
      <c r="D274">
        <f t="shared" si="4"/>
        <v>-10000000000</v>
      </c>
    </row>
    <row r="275" spans="1:4" x14ac:dyDescent="0.2">
      <c r="A275" s="649" t="s">
        <v>521</v>
      </c>
      <c r="B275" s="654" t="s">
        <v>444</v>
      </c>
      <c r="C275">
        <v>10000000000</v>
      </c>
      <c r="D275">
        <f t="shared" si="4"/>
        <v>-10000000000</v>
      </c>
    </row>
    <row r="276" spans="1:4" x14ac:dyDescent="0.2">
      <c r="A276" s="649" t="s">
        <v>445</v>
      </c>
      <c r="B276" s="654" t="s">
        <v>446</v>
      </c>
      <c r="C276">
        <v>10000000000</v>
      </c>
      <c r="D276">
        <f t="shared" si="4"/>
        <v>-10000000000</v>
      </c>
    </row>
    <row r="277" spans="1:4" x14ac:dyDescent="0.2">
      <c r="A277" s="649" t="s">
        <v>447</v>
      </c>
      <c r="B277" s="654" t="s">
        <v>448</v>
      </c>
      <c r="C277">
        <v>10000000000</v>
      </c>
      <c r="D277">
        <f t="shared" si="4"/>
        <v>-10000000000</v>
      </c>
    </row>
    <row r="278" spans="1:4" x14ac:dyDescent="0.2">
      <c r="A278" s="649" t="s">
        <v>449</v>
      </c>
      <c r="B278" s="654" t="s">
        <v>450</v>
      </c>
      <c r="C278">
        <v>10000000000</v>
      </c>
      <c r="D278">
        <f t="shared" si="4"/>
        <v>-10000000000</v>
      </c>
    </row>
    <row r="279" spans="1:4" x14ac:dyDescent="0.2">
      <c r="A279" s="649" t="s">
        <v>1289</v>
      </c>
      <c r="B279" s="654" t="s">
        <v>1314</v>
      </c>
      <c r="C279">
        <v>10000000000</v>
      </c>
      <c r="D279">
        <f t="shared" si="4"/>
        <v>-10000000000</v>
      </c>
    </row>
    <row r="280" spans="1:4" x14ac:dyDescent="0.2">
      <c r="A280" s="649" t="s">
        <v>451</v>
      </c>
      <c r="B280" s="654" t="s">
        <v>452</v>
      </c>
      <c r="C280">
        <v>10000000000</v>
      </c>
      <c r="D280">
        <f t="shared" si="4"/>
        <v>-10000000000</v>
      </c>
    </row>
    <row r="281" spans="1:4" x14ac:dyDescent="0.2">
      <c r="A281" s="655" t="s">
        <v>1183</v>
      </c>
      <c r="B281" s="656" t="s">
        <v>1184</v>
      </c>
      <c r="C281">
        <v>10000000000</v>
      </c>
      <c r="D281">
        <f t="shared" si="4"/>
        <v>-10000000000</v>
      </c>
    </row>
    <row r="282" spans="1:4" x14ac:dyDescent="0.2">
      <c r="A282" s="649" t="s">
        <v>453</v>
      </c>
      <c r="B282" s="654" t="s">
        <v>454</v>
      </c>
      <c r="C282">
        <v>10000000000</v>
      </c>
      <c r="D282">
        <f t="shared" si="4"/>
        <v>-10000000000</v>
      </c>
    </row>
    <row r="283" spans="1:4" x14ac:dyDescent="0.2">
      <c r="A283" s="772" t="s">
        <v>2337</v>
      </c>
      <c r="B283" s="773" t="s">
        <v>2336</v>
      </c>
      <c r="C283">
        <v>10000000000</v>
      </c>
      <c r="D283">
        <f t="shared" si="4"/>
        <v>-10000000000</v>
      </c>
    </row>
    <row r="284" spans="1:4" x14ac:dyDescent="0.2">
      <c r="A284" s="649" t="s">
        <v>455</v>
      </c>
      <c r="B284" s="654" t="s">
        <v>456</v>
      </c>
      <c r="C284">
        <v>10000000000</v>
      </c>
      <c r="D284">
        <f t="shared" si="4"/>
        <v>-10000000000</v>
      </c>
    </row>
    <row r="285" spans="1:4" x14ac:dyDescent="0.2">
      <c r="A285" s="649" t="s">
        <v>457</v>
      </c>
      <c r="B285" s="654" t="s">
        <v>458</v>
      </c>
      <c r="C285">
        <v>10000000000</v>
      </c>
      <c r="D285">
        <f t="shared" si="4"/>
        <v>-10000000000</v>
      </c>
    </row>
    <row r="286" spans="1:4" x14ac:dyDescent="0.2">
      <c r="A286" s="649" t="s">
        <v>459</v>
      </c>
      <c r="B286" s="654" t="s">
        <v>460</v>
      </c>
      <c r="C286">
        <v>10000000000</v>
      </c>
      <c r="D286">
        <f t="shared" si="4"/>
        <v>-10000000000</v>
      </c>
    </row>
    <row r="287" spans="1:4" x14ac:dyDescent="0.2">
      <c r="A287" s="649" t="s">
        <v>960</v>
      </c>
      <c r="B287" s="654" t="s">
        <v>462</v>
      </c>
      <c r="C287">
        <v>10000000000</v>
      </c>
      <c r="D287">
        <f t="shared" si="4"/>
        <v>-10000000000</v>
      </c>
    </row>
    <row r="288" spans="1:4" x14ac:dyDescent="0.2">
      <c r="A288" s="649" t="s">
        <v>463</v>
      </c>
      <c r="B288" s="654" t="s">
        <v>464</v>
      </c>
      <c r="C288">
        <v>10000000000</v>
      </c>
      <c r="D288">
        <f t="shared" si="4"/>
        <v>-10000000000</v>
      </c>
    </row>
    <row r="289" spans="1:4" x14ac:dyDescent="0.2">
      <c r="A289" s="649" t="s">
        <v>465</v>
      </c>
      <c r="B289" s="654" t="s">
        <v>466</v>
      </c>
      <c r="C289">
        <v>10000000000</v>
      </c>
      <c r="D289">
        <f t="shared" si="4"/>
        <v>-10000000000</v>
      </c>
    </row>
    <row r="290" spans="1:4" x14ac:dyDescent="0.2">
      <c r="A290" s="649" t="s">
        <v>525</v>
      </c>
      <c r="B290" s="654" t="s">
        <v>468</v>
      </c>
      <c r="C290">
        <v>10000000000</v>
      </c>
      <c r="D290">
        <f t="shared" si="4"/>
        <v>-10000000000</v>
      </c>
    </row>
    <row r="291" spans="1:4" x14ac:dyDescent="0.2">
      <c r="A291" s="649" t="s">
        <v>469</v>
      </c>
      <c r="B291" s="654" t="s">
        <v>470</v>
      </c>
      <c r="C291">
        <v>10000000000</v>
      </c>
      <c r="D291">
        <f t="shared" si="4"/>
        <v>-10000000000</v>
      </c>
    </row>
    <row r="292" spans="1:4" x14ac:dyDescent="0.2">
      <c r="A292" s="649" t="s">
        <v>471</v>
      </c>
      <c r="B292" s="654" t="s">
        <v>472</v>
      </c>
      <c r="C292">
        <v>10000000000</v>
      </c>
      <c r="D292">
        <f t="shared" si="4"/>
        <v>-10000000000</v>
      </c>
    </row>
    <row r="293" spans="1:4" x14ac:dyDescent="0.2">
      <c r="A293" s="649" t="s">
        <v>473</v>
      </c>
      <c r="B293" s="654" t="s">
        <v>474</v>
      </c>
      <c r="C293">
        <v>10000000000</v>
      </c>
      <c r="D293">
        <f t="shared" si="4"/>
        <v>-10000000000</v>
      </c>
    </row>
    <row r="294" spans="1:4" x14ac:dyDescent="0.2">
      <c r="A294" s="649" t="s">
        <v>475</v>
      </c>
      <c r="B294" s="654" t="s">
        <v>476</v>
      </c>
      <c r="C294">
        <v>10000000000</v>
      </c>
      <c r="D294">
        <f t="shared" si="4"/>
        <v>-10000000000</v>
      </c>
    </row>
    <row r="295" spans="1:4" x14ac:dyDescent="0.2">
      <c r="A295" s="649" t="s">
        <v>477</v>
      </c>
      <c r="B295" s="654" t="s">
        <v>478</v>
      </c>
      <c r="C295">
        <v>10000000000</v>
      </c>
      <c r="D295">
        <f t="shared" si="4"/>
        <v>-10000000000</v>
      </c>
    </row>
    <row r="296" spans="1:4" x14ac:dyDescent="0.2">
      <c r="A296" s="649" t="s">
        <v>479</v>
      </c>
      <c r="B296" s="654" t="s">
        <v>480</v>
      </c>
      <c r="C296">
        <v>10000000000</v>
      </c>
      <c r="D296">
        <f t="shared" si="4"/>
        <v>-10000000000</v>
      </c>
    </row>
    <row r="297" spans="1:4" ht="13.5" thickBot="1" x14ac:dyDescent="0.25">
      <c r="A297" s="650" t="s">
        <v>624</v>
      </c>
      <c r="B297" s="658" t="s">
        <v>482</v>
      </c>
      <c r="C297">
        <v>10000000000</v>
      </c>
      <c r="D297">
        <f t="shared" si="4"/>
        <v>-10000000000</v>
      </c>
    </row>
    <row r="298" spans="1:4" x14ac:dyDescent="0.2">
      <c r="A298" s="649"/>
      <c r="B298" s="654"/>
    </row>
    <row r="299" spans="1:4" x14ac:dyDescent="0.2">
      <c r="A299" s="649"/>
      <c r="B299" s="654"/>
    </row>
    <row r="300" spans="1:4" x14ac:dyDescent="0.2">
      <c r="A300" s="649"/>
      <c r="B300" s="654"/>
    </row>
    <row r="301" spans="1:4" x14ac:dyDescent="0.2">
      <c r="A301" s="649"/>
      <c r="B301" s="654"/>
    </row>
    <row r="302" spans="1:4" x14ac:dyDescent="0.2">
      <c r="A302" s="649"/>
      <c r="B302" s="654"/>
    </row>
    <row r="303" spans="1:4" x14ac:dyDescent="0.2">
      <c r="A303" s="649"/>
      <c r="B303" s="654"/>
    </row>
    <row r="304" spans="1:4" x14ac:dyDescent="0.2">
      <c r="A304" s="649"/>
      <c r="B304" s="654"/>
    </row>
    <row r="305" spans="1:2" x14ac:dyDescent="0.2">
      <c r="A305" s="649"/>
      <c r="B305" s="654"/>
    </row>
    <row r="306" spans="1:2" x14ac:dyDescent="0.2">
      <c r="A306" s="649"/>
      <c r="B306" s="654"/>
    </row>
    <row r="307" spans="1:2" x14ac:dyDescent="0.2">
      <c r="A307" s="649"/>
      <c r="B307" s="654"/>
    </row>
    <row r="308" spans="1:2" x14ac:dyDescent="0.2">
      <c r="A308" s="649"/>
      <c r="B308" s="654"/>
    </row>
    <row r="309" spans="1:2" x14ac:dyDescent="0.2">
      <c r="A309" s="649"/>
      <c r="B309" s="654"/>
    </row>
    <row r="310" spans="1:2" ht="13.5" thickBot="1" x14ac:dyDescent="0.25">
      <c r="A310" s="650"/>
      <c r="B310" s="658"/>
    </row>
  </sheetData>
  <dataValidations count="2">
    <dataValidation type="custom" allowBlank="1" showInputMessage="1" showErrorMessage="1" errorTitle="DO NOT AMEND" sqref="A279:B279 A172:B172" xr:uid="{49620517-9E1B-4CEE-B2FE-041E297C213D}">
      <formula1>"cb1=""unlock"""</formula1>
    </dataValidation>
    <dataValidation type="custom" allowBlank="1" showInputMessage="1" showErrorMessage="1" sqref="A308:B310 A295:B306 A173:B278 A2:B171 A280:B293" xr:uid="{11533DC9-1A19-4A8D-BB20-5D348771BF53}">
      <formula1>$BR$1="UNLOCK"</formula1>
    </dataValidation>
  </dataValidations>
  <pageMargins left="0.7" right="0.7" top="0.75" bottom="0.75" header="0.3" footer="0.3"/>
  <headerFooter>
    <oddHeader>&amp;C&amp;"Calibri"&amp;10&amp;K000000 OFFICIAL&amp;1#_x000D_</oddHeader>
    <oddFooter>&amp;C_x000D_&amp;1#&amp;"Calibri"&amp;10&amp;K000000 OFFICIAL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92D050"/>
    <pageSetUpPr autoPageBreaks="0"/>
  </sheetPr>
  <dimension ref="A1:AZ1"/>
  <sheetViews>
    <sheetView workbookViewId="0">
      <selection activeCell="CG11" sqref="CG11"/>
    </sheetView>
  </sheetViews>
  <sheetFormatPr defaultRowHeight="12.75" x14ac:dyDescent="0.2"/>
  <cols>
    <col min="52" max="52" width="0" hidden="1" customWidth="1"/>
  </cols>
  <sheetData>
    <row r="1" spans="1:52" x14ac:dyDescent="0.2">
      <c r="A1" t="str">
        <f>'Part 1'!K15</f>
        <v>ZZZZ</v>
      </c>
      <c r="B1" s="137" t="s">
        <v>955</v>
      </c>
      <c r="C1">
        <v>2020</v>
      </c>
      <c r="AZ1" s="137" t="s">
        <v>1214</v>
      </c>
    </row>
  </sheetData>
  <sheetProtection sheet="1" objects="1" scenarios="1"/>
  <dataValidations count="1">
    <dataValidation type="custom" allowBlank="1" showInputMessage="1" showErrorMessage="1" errorTitle="DO NOT AMEND" sqref="A1:C1" xr:uid="{39683868-170B-4324-96FB-DD919DAC1894}">
      <formula1>"if(AZ1=""na"")"</formula1>
    </dataValidation>
  </dataValidations>
  <pageMargins left="0.7" right="0.7" top="0.75" bottom="0.75" header="0.3" footer="0.3"/>
  <headerFooter>
    <oddHeader>&amp;C&amp;"Calibri"&amp;10&amp;K000000 OFFICIAL&amp;1#_x000D_</oddHeader>
    <oddFooter>&amp;C_x000D_&amp;1#&amp;"Calibri"&amp;10&amp;K000000 OFFICIAL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2E21E-DCC5-44F5-9681-26A1DA8CAC18}">
  <sheetPr codeName="Sheet22">
    <tabColor rgb="FF92D050"/>
  </sheetPr>
  <dimension ref="A1:U305"/>
  <sheetViews>
    <sheetView workbookViewId="0">
      <selection activeCell="R7" sqref="R7"/>
    </sheetView>
  </sheetViews>
  <sheetFormatPr defaultRowHeight="12.75" x14ac:dyDescent="0.2"/>
  <cols>
    <col min="1" max="1" width="31.42578125" bestFit="1" customWidth="1"/>
    <col min="2" max="2" width="6.5703125" bestFit="1" customWidth="1"/>
    <col min="3" max="3" width="7" bestFit="1" customWidth="1"/>
    <col min="4" max="4" width="15.42578125" bestFit="1" customWidth="1"/>
    <col min="5" max="5" width="14.42578125" bestFit="1" customWidth="1"/>
    <col min="6" max="6" width="15.42578125" bestFit="1" customWidth="1"/>
    <col min="7" max="7" width="11.28515625" bestFit="1" customWidth="1"/>
    <col min="8" max="8" width="18.28515625" customWidth="1"/>
    <col min="9" max="9" width="21.140625" customWidth="1"/>
    <col min="10" max="10" width="15.5703125" bestFit="1" customWidth="1"/>
    <col min="11" max="11" width="17.5703125" bestFit="1" customWidth="1"/>
    <col min="12" max="12" width="19" customWidth="1"/>
    <col min="13" max="13" width="3.42578125" customWidth="1"/>
    <col min="14" max="14" width="14.42578125" bestFit="1" customWidth="1"/>
    <col min="15" max="15" width="10.28515625" bestFit="1" customWidth="1"/>
    <col min="16" max="16" width="12.28515625" bestFit="1" customWidth="1"/>
    <col min="18" max="18" width="11.5703125" bestFit="1" customWidth="1"/>
    <col min="19" max="19" width="10.28515625" bestFit="1" customWidth="1"/>
  </cols>
  <sheetData>
    <row r="1" spans="1:21" ht="13.5" thickBot="1" x14ac:dyDescent="0.25">
      <c r="A1" s="672" t="s">
        <v>5854</v>
      </c>
    </row>
    <row r="2" spans="1:21" ht="24.75" customHeight="1" thickBot="1" x14ac:dyDescent="0.25">
      <c r="A2" s="1444" t="s">
        <v>1294</v>
      </c>
      <c r="B2" s="1445" t="s">
        <v>1174</v>
      </c>
      <c r="C2" s="1446" t="s">
        <v>5434</v>
      </c>
      <c r="D2" s="1447" t="s">
        <v>5435</v>
      </c>
      <c r="E2" s="1448" t="s">
        <v>5436</v>
      </c>
      <c r="F2" s="1445" t="s">
        <v>5437</v>
      </c>
      <c r="G2" s="1446" t="s">
        <v>5438</v>
      </c>
      <c r="H2" s="1447" t="s">
        <v>5439</v>
      </c>
      <c r="I2" s="1448" t="s">
        <v>5440</v>
      </c>
      <c r="J2" s="1446" t="s">
        <v>5441</v>
      </c>
      <c r="K2" s="1447" t="s">
        <v>5442</v>
      </c>
      <c r="L2" s="1448" t="s">
        <v>5443</v>
      </c>
      <c r="M2" s="374"/>
      <c r="N2" s="1618" t="s">
        <v>5444</v>
      </c>
      <c r="O2" s="1618" t="s">
        <v>5445</v>
      </c>
      <c r="P2" s="1617" t="s">
        <v>5446</v>
      </c>
    </row>
    <row r="3" spans="1:21" ht="26.25" thickBot="1" x14ac:dyDescent="0.25">
      <c r="A3" s="1449"/>
      <c r="B3" s="1450"/>
      <c r="C3" s="1450"/>
      <c r="D3" s="1451" t="s">
        <v>928</v>
      </c>
      <c r="E3" s="1450" t="s">
        <v>928</v>
      </c>
      <c r="F3" s="1450"/>
      <c r="G3" s="1450"/>
      <c r="H3" s="1451"/>
      <c r="I3" s="1450"/>
      <c r="J3" s="1450"/>
      <c r="K3" s="1451"/>
      <c r="L3" s="1450" t="s">
        <v>5856</v>
      </c>
      <c r="N3" s="1401" t="s">
        <v>5855</v>
      </c>
      <c r="O3" s="1451"/>
      <c r="P3" s="1451"/>
      <c r="R3" s="1619" t="s">
        <v>5857</v>
      </c>
      <c r="S3" s="1619" t="s">
        <v>5445</v>
      </c>
      <c r="T3" s="1619" t="s">
        <v>5858</v>
      </c>
    </row>
    <row r="4" spans="1:21" x14ac:dyDescent="0.2">
      <c r="A4" s="1452" t="s">
        <v>719</v>
      </c>
      <c r="B4" s="1453" t="s">
        <v>720</v>
      </c>
      <c r="C4" s="1454">
        <v>1</v>
      </c>
      <c r="D4" s="1455">
        <f>INDEX(Data!$E$5:$E$300,MATCH('Cost of Collection'!B4,Data!$C$5:$C$300,0))</f>
        <v>52520695</v>
      </c>
      <c r="E4" s="1455">
        <f>INDEX(Data!$F$5:$F$300,MATCH('Cost of Collection'!B4,Data!$C$5:$C$300,0))</f>
        <v>2305</v>
      </c>
      <c r="F4" s="1610">
        <f>D4*C4</f>
        <v>52520695</v>
      </c>
      <c r="G4" s="1456">
        <f>E4*C4</f>
        <v>2305</v>
      </c>
      <c r="H4" s="1613">
        <f>20160000</f>
        <v>20160000</v>
      </c>
      <c r="I4" s="1457">
        <f>63840000</f>
        <v>63840000</v>
      </c>
      <c r="J4" s="1456">
        <f t="shared" ref="J4:K67" si="0">(F4*H4)/F$301</f>
        <v>14386.615612525824</v>
      </c>
      <c r="K4" s="1456">
        <f t="shared" si="0"/>
        <v>70551.650434885174</v>
      </c>
      <c r="L4" s="1458">
        <f>ROUND(J4+K4,0)</f>
        <v>84938</v>
      </c>
      <c r="N4" s="1616">
        <v>84463.064981050295</v>
      </c>
      <c r="O4" s="1459">
        <f>N4-L4</f>
        <v>-474.93501894970541</v>
      </c>
      <c r="P4" s="1460">
        <f>O4/N4</f>
        <v>-5.622990582407345E-3</v>
      </c>
      <c r="R4" s="1605">
        <v>84938.25</v>
      </c>
      <c r="S4" s="750">
        <f>R4-L4</f>
        <v>0.25</v>
      </c>
      <c r="T4" cm="1">
        <f t="array" ref="T4">MAX(ABS(S4:S299))</f>
        <v>0.68200000002980232</v>
      </c>
      <c r="U4" s="750"/>
    </row>
    <row r="5" spans="1:21" x14ac:dyDescent="0.2">
      <c r="A5" s="1461" t="s">
        <v>721</v>
      </c>
      <c r="B5" s="1462" t="s">
        <v>722</v>
      </c>
      <c r="C5" s="1463">
        <v>1</v>
      </c>
      <c r="D5" s="1464">
        <f>INDEX(Data!$E$5:$E$300,MATCH('Cost of Collection'!B5,Data!$C$5:$C$300,0))</f>
        <v>93515998</v>
      </c>
      <c r="E5" s="1464">
        <f>INDEX(Data!$F$5:$F$300,MATCH('Cost of Collection'!B5,Data!$C$5:$C$300,0))</f>
        <v>4002</v>
      </c>
      <c r="F5" s="1611">
        <f t="shared" ref="F5:F68" si="1">D5*C5</f>
        <v>93515998</v>
      </c>
      <c r="G5" s="1465">
        <f t="shared" ref="G5:G68" si="2">E5*C5</f>
        <v>4002</v>
      </c>
      <c r="H5" s="1614">
        <f t="shared" ref="H5:H68" si="3">20160000</f>
        <v>20160000</v>
      </c>
      <c r="I5" s="1466">
        <f t="shared" ref="I5:I68" si="4">63840000</f>
        <v>63840000</v>
      </c>
      <c r="J5" s="1465">
        <f t="shared" si="0"/>
        <v>25616.163625552435</v>
      </c>
      <c r="K5" s="1465">
        <f t="shared" si="0"/>
        <v>122493.58136243404</v>
      </c>
      <c r="L5" s="1467">
        <f t="shared" ref="L5:L68" si="5">ROUND(J5+K5,0)</f>
        <v>148110</v>
      </c>
      <c r="N5" s="1616">
        <v>147302.41643431701</v>
      </c>
      <c r="O5" s="1468">
        <f t="shared" ref="O5:O68" si="6">N5-L5</f>
        <v>-807.58356568298768</v>
      </c>
      <c r="P5" s="1469">
        <f t="shared" ref="P5:P68" si="7">O5/N5</f>
        <v>-5.482486881286797E-3</v>
      </c>
      <c r="R5" s="1605">
        <v>148109.71710000001</v>
      </c>
      <c r="S5" s="750">
        <f t="shared" ref="S5:S68" si="8">R5-L5</f>
        <v>-0.2828999999910593</v>
      </c>
    </row>
    <row r="6" spans="1:21" x14ac:dyDescent="0.2">
      <c r="A6" s="1461" t="s">
        <v>723</v>
      </c>
      <c r="B6" s="1462" t="s">
        <v>724</v>
      </c>
      <c r="C6" s="1463">
        <v>1</v>
      </c>
      <c r="D6" s="1464">
        <f>INDEX(Data!$E$5:$E$300,MATCH('Cost of Collection'!B6,Data!$C$5:$C$300,0))</f>
        <v>106042745</v>
      </c>
      <c r="E6" s="1464">
        <f>INDEX(Data!$F$5:$F$300,MATCH('Cost of Collection'!B6,Data!$C$5:$C$300,0))</f>
        <v>4933</v>
      </c>
      <c r="F6" s="1611">
        <f t="shared" si="1"/>
        <v>106042745</v>
      </c>
      <c r="G6" s="1465">
        <f t="shared" si="2"/>
        <v>4933</v>
      </c>
      <c r="H6" s="1614">
        <f t="shared" si="3"/>
        <v>20160000</v>
      </c>
      <c r="I6" s="1466">
        <f t="shared" si="4"/>
        <v>63840000</v>
      </c>
      <c r="J6" s="1465">
        <f t="shared" si="0"/>
        <v>29047.525186254574</v>
      </c>
      <c r="K6" s="1465">
        <f t="shared" si="0"/>
        <v>150989.71435804275</v>
      </c>
      <c r="L6" s="1467">
        <f t="shared" si="5"/>
        <v>180037</v>
      </c>
      <c r="N6" s="1616">
        <v>179592.04000283199</v>
      </c>
      <c r="O6" s="1468">
        <f t="shared" si="6"/>
        <v>-444.95999716801452</v>
      </c>
      <c r="P6" s="1469">
        <f t="shared" si="7"/>
        <v>-2.4776153617999883E-3</v>
      </c>
      <c r="R6" s="1605">
        <v>180037.2052</v>
      </c>
      <c r="S6" s="750">
        <f t="shared" si="8"/>
        <v>0.2051999999966938</v>
      </c>
    </row>
    <row r="7" spans="1:21" x14ac:dyDescent="0.2">
      <c r="A7" s="1461" t="s">
        <v>725</v>
      </c>
      <c r="B7" s="1462" t="s">
        <v>726</v>
      </c>
      <c r="C7" s="1463">
        <v>1.0121</v>
      </c>
      <c r="D7" s="1464">
        <f>INDEX(Data!$E$5:$E$300,MATCH('Cost of Collection'!B7,Data!$C$5:$C$300,0))</f>
        <v>114138973</v>
      </c>
      <c r="E7" s="1464">
        <f>INDEX(Data!$F$5:$F$300,MATCH('Cost of Collection'!B7,Data!$C$5:$C$300,0))</f>
        <v>4008</v>
      </c>
      <c r="F7" s="1611">
        <f t="shared" si="1"/>
        <v>115520054.5733</v>
      </c>
      <c r="G7" s="1465">
        <f t="shared" si="2"/>
        <v>4056.4967999999999</v>
      </c>
      <c r="H7" s="1614">
        <f t="shared" si="3"/>
        <v>20160000</v>
      </c>
      <c r="I7" s="1466">
        <f t="shared" si="4"/>
        <v>63840000</v>
      </c>
      <c r="J7" s="1465">
        <f t="shared" si="0"/>
        <v>31643.576321373374</v>
      </c>
      <c r="K7" s="1465">
        <f t="shared" si="0"/>
        <v>124161.62439211727</v>
      </c>
      <c r="L7" s="1467">
        <f t="shared" si="5"/>
        <v>155805</v>
      </c>
      <c r="N7" s="1616">
        <v>155792.15225931199</v>
      </c>
      <c r="O7" s="1468">
        <f t="shared" si="6"/>
        <v>-12.847740688011982</v>
      </c>
      <c r="P7" s="1469">
        <f t="shared" si="7"/>
        <v>-8.2467187863399243E-5</v>
      </c>
      <c r="R7" s="1605">
        <v>155805.17249999999</v>
      </c>
      <c r="S7" s="750">
        <f t="shared" si="8"/>
        <v>0.17249999998603016</v>
      </c>
    </row>
    <row r="8" spans="1:21" x14ac:dyDescent="0.2">
      <c r="A8" s="1461" t="s">
        <v>727</v>
      </c>
      <c r="B8" s="1462" t="s">
        <v>728</v>
      </c>
      <c r="C8" s="1463">
        <v>1.0067999999999999</v>
      </c>
      <c r="D8" s="1464">
        <f>INDEX(Data!$E$5:$E$300,MATCH('Cost of Collection'!B8,Data!$C$5:$C$300,0))</f>
        <v>144720253</v>
      </c>
      <c r="E8" s="1464">
        <f>INDEX(Data!$F$5:$F$300,MATCH('Cost of Collection'!B8,Data!$C$5:$C$300,0))</f>
        <v>5415</v>
      </c>
      <c r="F8" s="1611">
        <f t="shared" si="1"/>
        <v>145704350.72039998</v>
      </c>
      <c r="G8" s="1465">
        <f t="shared" si="2"/>
        <v>5451.8219999999992</v>
      </c>
      <c r="H8" s="1614">
        <f t="shared" si="3"/>
        <v>20160000</v>
      </c>
      <c r="I8" s="1466">
        <f t="shared" si="4"/>
        <v>63840000</v>
      </c>
      <c r="J8" s="1465">
        <f t="shared" si="0"/>
        <v>39911.743111682823</v>
      </c>
      <c r="K8" s="1465">
        <f t="shared" si="0"/>
        <v>166869.86549987699</v>
      </c>
      <c r="L8" s="1467">
        <f t="shared" si="5"/>
        <v>206782</v>
      </c>
      <c r="N8" s="1616">
        <v>207114.91735613401</v>
      </c>
      <c r="O8" s="1468">
        <f t="shared" si="6"/>
        <v>332.91735613401397</v>
      </c>
      <c r="P8" s="1469">
        <f t="shared" si="7"/>
        <v>1.6074040459459649E-3</v>
      </c>
      <c r="R8" s="1605">
        <v>206781.57070000001</v>
      </c>
      <c r="S8" s="750">
        <f t="shared" si="8"/>
        <v>-0.4292999999888707</v>
      </c>
    </row>
    <row r="9" spans="1:21" x14ac:dyDescent="0.2">
      <c r="A9" s="1461" t="s">
        <v>729</v>
      </c>
      <c r="B9" s="1462" t="s">
        <v>730</v>
      </c>
      <c r="C9" s="1463">
        <v>1.0054000000000001</v>
      </c>
      <c r="D9" s="1464">
        <f>INDEX(Data!$E$5:$E$300,MATCH('Cost of Collection'!B9,Data!$C$5:$C$300,0))</f>
        <v>73437892</v>
      </c>
      <c r="E9" s="1464">
        <f>INDEX(Data!$F$5:$F$300,MATCH('Cost of Collection'!B9,Data!$C$5:$C$300,0))</f>
        <v>3707</v>
      </c>
      <c r="F9" s="1611">
        <f t="shared" si="1"/>
        <v>73834456.61680001</v>
      </c>
      <c r="G9" s="1465">
        <f t="shared" si="2"/>
        <v>3727.0178000000001</v>
      </c>
      <c r="H9" s="1614">
        <f t="shared" si="3"/>
        <v>20160000</v>
      </c>
      <c r="I9" s="1466">
        <f t="shared" si="4"/>
        <v>63840000</v>
      </c>
      <c r="J9" s="1465">
        <f t="shared" si="0"/>
        <v>20224.940783925569</v>
      </c>
      <c r="K9" s="1465">
        <f t="shared" si="0"/>
        <v>114076.9010803448</v>
      </c>
      <c r="L9" s="1467">
        <f t="shared" si="5"/>
        <v>134302</v>
      </c>
      <c r="N9" s="1616">
        <v>134653.09405835901</v>
      </c>
      <c r="O9" s="1468">
        <f t="shared" si="6"/>
        <v>351.09405835901271</v>
      </c>
      <c r="P9" s="1469">
        <f t="shared" si="7"/>
        <v>2.607396887641123E-3</v>
      </c>
      <c r="R9" s="1605">
        <v>134301.81589999999</v>
      </c>
      <c r="S9" s="750">
        <f t="shared" si="8"/>
        <v>-0.18410000001313165</v>
      </c>
    </row>
    <row r="10" spans="1:21" x14ac:dyDescent="0.2">
      <c r="A10" s="1461" t="s">
        <v>731</v>
      </c>
      <c r="B10" s="1462" t="s">
        <v>732</v>
      </c>
      <c r="C10" s="1463">
        <v>1.0760000000000001</v>
      </c>
      <c r="D10" s="1464">
        <f>INDEX(Data!$E$5:$E$300,MATCH('Cost of Collection'!B10,Data!$C$5:$C$300,0))</f>
        <v>188899649</v>
      </c>
      <c r="E10" s="1464">
        <f>INDEX(Data!$F$5:$F$300,MATCH('Cost of Collection'!B10,Data!$C$5:$C$300,0))</f>
        <v>4460</v>
      </c>
      <c r="F10" s="1611">
        <f t="shared" si="1"/>
        <v>203256022.324</v>
      </c>
      <c r="G10" s="1465">
        <f t="shared" si="2"/>
        <v>4798.96</v>
      </c>
      <c r="H10" s="1614">
        <f t="shared" si="3"/>
        <v>20160000</v>
      </c>
      <c r="I10" s="1466">
        <f t="shared" si="4"/>
        <v>63840000</v>
      </c>
      <c r="J10" s="1465">
        <f t="shared" si="0"/>
        <v>55676.457901144597</v>
      </c>
      <c r="K10" s="1465">
        <f t="shared" si="0"/>
        <v>146887.00580086617</v>
      </c>
      <c r="L10" s="1467">
        <f t="shared" si="5"/>
        <v>202563</v>
      </c>
      <c r="N10" s="1616">
        <v>200983.025236488</v>
      </c>
      <c r="O10" s="1468">
        <f t="shared" si="6"/>
        <v>-1579.9747635120002</v>
      </c>
      <c r="P10" s="1469">
        <f t="shared" si="7"/>
        <v>-7.8612348562915324E-3</v>
      </c>
      <c r="R10" s="1605">
        <v>202563.43030000001</v>
      </c>
      <c r="S10" s="750">
        <f t="shared" si="8"/>
        <v>0.43030000000726432</v>
      </c>
    </row>
    <row r="11" spans="1:21" x14ac:dyDescent="0.2">
      <c r="A11" s="1461" t="s">
        <v>733</v>
      </c>
      <c r="B11" s="1462" t="s">
        <v>734</v>
      </c>
      <c r="C11" s="1463">
        <v>1.1113</v>
      </c>
      <c r="D11" s="1464">
        <f>INDEX(Data!$E$5:$E$300,MATCH('Cost of Collection'!B11,Data!$C$5:$C$300,0))</f>
        <v>297965681</v>
      </c>
      <c r="E11" s="1464">
        <f>INDEX(Data!$F$5:$F$300,MATCH('Cost of Collection'!B11,Data!$C$5:$C$300,0))</f>
        <v>8149</v>
      </c>
      <c r="F11" s="1611">
        <f t="shared" si="1"/>
        <v>331129261.29530001</v>
      </c>
      <c r="G11" s="1465">
        <f t="shared" si="2"/>
        <v>9055.9836999999989</v>
      </c>
      <c r="H11" s="1614">
        <f t="shared" si="3"/>
        <v>20160000</v>
      </c>
      <c r="I11" s="1466">
        <f t="shared" si="4"/>
        <v>63840000</v>
      </c>
      <c r="J11" s="1465">
        <f t="shared" si="0"/>
        <v>90703.853030031416</v>
      </c>
      <c r="K11" s="1465">
        <f t="shared" si="0"/>
        <v>277186.37585527892</v>
      </c>
      <c r="L11" s="1467">
        <f t="shared" si="5"/>
        <v>367890</v>
      </c>
      <c r="N11" s="1616">
        <v>369203.91064689797</v>
      </c>
      <c r="O11" s="1468">
        <f t="shared" si="6"/>
        <v>1313.9106468979735</v>
      </c>
      <c r="P11" s="1469">
        <f t="shared" si="7"/>
        <v>3.5587668738281089E-3</v>
      </c>
      <c r="R11" s="1605">
        <v>367890.16580000002</v>
      </c>
      <c r="S11" s="750">
        <f t="shared" si="8"/>
        <v>0.1658000000170432</v>
      </c>
    </row>
    <row r="12" spans="1:21" x14ac:dyDescent="0.2">
      <c r="A12" s="1461" t="s">
        <v>735</v>
      </c>
      <c r="B12" s="1462" t="s">
        <v>736</v>
      </c>
      <c r="C12" s="1463">
        <v>1</v>
      </c>
      <c r="D12" s="1464">
        <f>INDEX(Data!$E$5:$E$300,MATCH('Cost of Collection'!B12,Data!$C$5:$C$300,0))</f>
        <v>165492707</v>
      </c>
      <c r="E12" s="1464">
        <f>INDEX(Data!$F$5:$F$300,MATCH('Cost of Collection'!B12,Data!$C$5:$C$300,0))</f>
        <v>9053</v>
      </c>
      <c r="F12" s="1611">
        <f t="shared" si="1"/>
        <v>165492707</v>
      </c>
      <c r="G12" s="1465">
        <f t="shared" si="2"/>
        <v>9053</v>
      </c>
      <c r="H12" s="1614">
        <f t="shared" si="3"/>
        <v>20160000</v>
      </c>
      <c r="I12" s="1466">
        <f t="shared" si="4"/>
        <v>63840000</v>
      </c>
      <c r="J12" s="1465">
        <f t="shared" si="0"/>
        <v>45332.224988366237</v>
      </c>
      <c r="K12" s="1465">
        <f t="shared" si="0"/>
        <v>277095.05049328221</v>
      </c>
      <c r="L12" s="1467">
        <f t="shared" si="5"/>
        <v>322427</v>
      </c>
      <c r="N12" s="1616">
        <v>320551.324350034</v>
      </c>
      <c r="O12" s="1468">
        <f t="shared" si="6"/>
        <v>-1875.6756499659969</v>
      </c>
      <c r="P12" s="1469">
        <f t="shared" si="7"/>
        <v>-5.8514050870612103E-3</v>
      </c>
      <c r="R12" s="1605">
        <v>322427.21250000002</v>
      </c>
      <c r="S12" s="750">
        <f t="shared" si="8"/>
        <v>0.21250000002328306</v>
      </c>
    </row>
    <row r="13" spans="1:21" x14ac:dyDescent="0.2">
      <c r="A13" s="1461" t="s">
        <v>737</v>
      </c>
      <c r="B13" s="1462" t="s">
        <v>738</v>
      </c>
      <c r="C13" s="1463">
        <v>1.0618000000000001</v>
      </c>
      <c r="D13" s="1464">
        <f>INDEX(Data!$E$5:$E$300,MATCH('Cost of Collection'!B13,Data!$C$5:$C$300,0))</f>
        <v>213759155</v>
      </c>
      <c r="E13" s="1464">
        <f>INDEX(Data!$F$5:$F$300,MATCH('Cost of Collection'!B13,Data!$C$5:$C$300,0))</f>
        <v>4989</v>
      </c>
      <c r="F13" s="1611">
        <f t="shared" si="1"/>
        <v>226969470.77900001</v>
      </c>
      <c r="G13" s="1465">
        <f t="shared" si="2"/>
        <v>5297.3202000000001</v>
      </c>
      <c r="H13" s="1614">
        <f t="shared" si="3"/>
        <v>20160000</v>
      </c>
      <c r="I13" s="1466">
        <f t="shared" si="4"/>
        <v>63840000</v>
      </c>
      <c r="J13" s="1465">
        <f t="shared" si="0"/>
        <v>62172.112000343579</v>
      </c>
      <c r="K13" s="1465">
        <f t="shared" si="0"/>
        <v>162140.86030024121</v>
      </c>
      <c r="L13" s="1467">
        <f t="shared" si="5"/>
        <v>224313</v>
      </c>
      <c r="N13" s="1616">
        <v>222538.16175378999</v>
      </c>
      <c r="O13" s="1468">
        <f t="shared" si="6"/>
        <v>-1774.8382462100126</v>
      </c>
      <c r="P13" s="1469">
        <f t="shared" si="7"/>
        <v>-7.9754332120961988E-3</v>
      </c>
      <c r="R13" s="1605">
        <v>224312.93539999999</v>
      </c>
      <c r="S13" s="750">
        <f t="shared" si="8"/>
        <v>-6.4600000012433156E-2</v>
      </c>
    </row>
    <row r="14" spans="1:21" x14ac:dyDescent="0.2">
      <c r="A14" s="1461" t="s">
        <v>969</v>
      </c>
      <c r="B14" s="1462" t="s">
        <v>740</v>
      </c>
      <c r="C14" s="1463">
        <v>1.036</v>
      </c>
      <c r="D14" s="1464">
        <f>INDEX(Data!$E$5:$E$300,MATCH('Cost of Collection'!B14,Data!$C$5:$C$300,0))</f>
        <v>197982471</v>
      </c>
      <c r="E14" s="1464">
        <f>INDEX(Data!$F$5:$F$300,MATCH('Cost of Collection'!B14,Data!$C$5:$C$300,0))</f>
        <v>4541</v>
      </c>
      <c r="F14" s="1611">
        <f t="shared" si="1"/>
        <v>205109839.956</v>
      </c>
      <c r="G14" s="1465">
        <f t="shared" si="2"/>
        <v>4704.4760000000006</v>
      </c>
      <c r="H14" s="1614">
        <f t="shared" si="3"/>
        <v>20160000</v>
      </c>
      <c r="I14" s="1466">
        <f t="shared" si="4"/>
        <v>63840000</v>
      </c>
      <c r="J14" s="1465">
        <f t="shared" si="0"/>
        <v>56184.260809832442</v>
      </c>
      <c r="K14" s="1465">
        <f t="shared" si="0"/>
        <v>143995.03090295312</v>
      </c>
      <c r="L14" s="1467">
        <f t="shared" si="5"/>
        <v>200179</v>
      </c>
      <c r="N14" s="1616">
        <v>200786.10877300001</v>
      </c>
      <c r="O14" s="1468">
        <f t="shared" si="6"/>
        <v>607.10877300001448</v>
      </c>
      <c r="P14" s="1469">
        <f t="shared" si="7"/>
        <v>3.0236592397255187E-3</v>
      </c>
      <c r="R14" s="1605">
        <v>200179.25899999999</v>
      </c>
      <c r="S14" s="750">
        <f t="shared" si="8"/>
        <v>0.2589999999909196</v>
      </c>
    </row>
    <row r="15" spans="1:21" x14ac:dyDescent="0.2">
      <c r="A15" s="1461" t="s">
        <v>741</v>
      </c>
      <c r="B15" s="1462" t="s">
        <v>742</v>
      </c>
      <c r="C15" s="1463">
        <v>1.0121</v>
      </c>
      <c r="D15" s="1464">
        <f>INDEX(Data!$E$5:$E$300,MATCH('Cost of Collection'!B15,Data!$C$5:$C$300,0))</f>
        <v>128045608</v>
      </c>
      <c r="E15" s="1464">
        <f>INDEX(Data!$F$5:$F$300,MATCH('Cost of Collection'!B15,Data!$C$5:$C$300,0))</f>
        <v>4551</v>
      </c>
      <c r="F15" s="1611">
        <f t="shared" si="1"/>
        <v>129594959.8568</v>
      </c>
      <c r="G15" s="1465">
        <f t="shared" si="2"/>
        <v>4606.0671000000002</v>
      </c>
      <c r="H15" s="1614">
        <f t="shared" si="3"/>
        <v>20160000</v>
      </c>
      <c r="I15" s="1466">
        <f t="shared" si="4"/>
        <v>63840000</v>
      </c>
      <c r="J15" s="1465">
        <f t="shared" si="0"/>
        <v>35499.013727455364</v>
      </c>
      <c r="K15" s="1465">
        <f t="shared" si="0"/>
        <v>140982.92230751639</v>
      </c>
      <c r="L15" s="1467">
        <f t="shared" si="5"/>
        <v>176482</v>
      </c>
      <c r="N15" s="1616">
        <v>174015.09984886801</v>
      </c>
      <c r="O15" s="1468">
        <f t="shared" si="6"/>
        <v>-2466.9001511319948</v>
      </c>
      <c r="P15" s="1469">
        <f t="shared" si="7"/>
        <v>-1.4176356840725293E-2</v>
      </c>
      <c r="R15" s="1605">
        <v>176481.90400000001</v>
      </c>
      <c r="S15" s="750">
        <f t="shared" si="8"/>
        <v>-9.5999999990453944E-2</v>
      </c>
    </row>
    <row r="16" spans="1:21" x14ac:dyDescent="0.2">
      <c r="A16" s="1461" t="s">
        <v>970</v>
      </c>
      <c r="B16" s="1462" t="s">
        <v>744</v>
      </c>
      <c r="C16" s="1463">
        <v>1.0378000000000001</v>
      </c>
      <c r="D16" s="1464">
        <f>INDEX(Data!$E$5:$E$300,MATCH('Cost of Collection'!B16,Data!$C$5:$C$300,0))</f>
        <v>194611716</v>
      </c>
      <c r="E16" s="1464">
        <f>INDEX(Data!$F$5:$F$300,MATCH('Cost of Collection'!B16,Data!$C$5:$C$300,0))</f>
        <v>6637</v>
      </c>
      <c r="F16" s="1611">
        <f t="shared" si="1"/>
        <v>201968038.86480001</v>
      </c>
      <c r="G16" s="1465">
        <f t="shared" si="2"/>
        <v>6887.8786</v>
      </c>
      <c r="H16" s="1614">
        <f t="shared" si="3"/>
        <v>20160000</v>
      </c>
      <c r="I16" s="1466">
        <f t="shared" si="4"/>
        <v>63840000</v>
      </c>
      <c r="J16" s="1465">
        <f t="shared" si="0"/>
        <v>55323.649871037574</v>
      </c>
      <c r="K16" s="1465">
        <f t="shared" si="0"/>
        <v>210824.81701740835</v>
      </c>
      <c r="L16" s="1467">
        <f t="shared" si="5"/>
        <v>266148</v>
      </c>
      <c r="N16" s="1616">
        <v>268074.31839887099</v>
      </c>
      <c r="O16" s="1468">
        <f t="shared" si="6"/>
        <v>1926.3183988709934</v>
      </c>
      <c r="P16" s="1469">
        <f t="shared" si="7"/>
        <v>7.1857625541168072E-3</v>
      </c>
      <c r="R16" s="1605">
        <v>266148.41889999999</v>
      </c>
      <c r="S16" s="750">
        <f t="shared" si="8"/>
        <v>0.41889999998966232</v>
      </c>
    </row>
    <row r="17" spans="1:19" x14ac:dyDescent="0.2">
      <c r="A17" s="1461" t="s">
        <v>745</v>
      </c>
      <c r="B17" s="1462" t="s">
        <v>746</v>
      </c>
      <c r="C17" s="1463">
        <v>1.0392999999999999</v>
      </c>
      <c r="D17" s="1464">
        <f>INDEX(Data!$E$5:$E$300,MATCH('Cost of Collection'!B17,Data!$C$5:$C$300,0))</f>
        <v>215657108</v>
      </c>
      <c r="E17" s="1464">
        <f>INDEX(Data!$F$5:$F$300,MATCH('Cost of Collection'!B17,Data!$C$5:$C$300,0))</f>
        <v>5626</v>
      </c>
      <c r="F17" s="1611">
        <f t="shared" si="1"/>
        <v>224132432.34439999</v>
      </c>
      <c r="G17" s="1465">
        <f t="shared" si="2"/>
        <v>5847.1017999999995</v>
      </c>
      <c r="H17" s="1614">
        <f t="shared" si="3"/>
        <v>20160000</v>
      </c>
      <c r="I17" s="1466">
        <f t="shared" si="4"/>
        <v>63840000</v>
      </c>
      <c r="J17" s="1465">
        <f t="shared" si="0"/>
        <v>61394.982500504477</v>
      </c>
      <c r="K17" s="1465">
        <f t="shared" si="0"/>
        <v>178968.62570533092</v>
      </c>
      <c r="L17" s="1467">
        <f t="shared" si="5"/>
        <v>240364</v>
      </c>
      <c r="N17" s="1616">
        <v>238394.225389578</v>
      </c>
      <c r="O17" s="1468">
        <f t="shared" si="6"/>
        <v>-1969.7746104219987</v>
      </c>
      <c r="P17" s="1469">
        <f t="shared" si="7"/>
        <v>-8.2626775342525237E-3</v>
      </c>
      <c r="R17" s="1605">
        <v>240363.5675</v>
      </c>
      <c r="S17" s="750">
        <f t="shared" si="8"/>
        <v>-0.43249999999534339</v>
      </c>
    </row>
    <row r="18" spans="1:19" x14ac:dyDescent="0.2">
      <c r="A18" s="1461" t="s">
        <v>747</v>
      </c>
      <c r="B18" s="1462" t="s">
        <v>748</v>
      </c>
      <c r="C18" s="1463">
        <v>1.0760000000000001</v>
      </c>
      <c r="D18" s="1464">
        <f>INDEX(Data!$E$5:$E$300,MATCH('Cost of Collection'!B18,Data!$C$5:$C$300,0))</f>
        <v>229895072</v>
      </c>
      <c r="E18" s="1464">
        <f>INDEX(Data!$F$5:$F$300,MATCH('Cost of Collection'!B18,Data!$C$5:$C$300,0))</f>
        <v>5374</v>
      </c>
      <c r="F18" s="1611">
        <f t="shared" si="1"/>
        <v>247367097.472</v>
      </c>
      <c r="G18" s="1465">
        <f t="shared" si="2"/>
        <v>5782.424</v>
      </c>
      <c r="H18" s="1614">
        <f t="shared" si="3"/>
        <v>20160000</v>
      </c>
      <c r="I18" s="1466">
        <f t="shared" si="4"/>
        <v>63840000</v>
      </c>
      <c r="J18" s="1465">
        <f t="shared" si="0"/>
        <v>67759.486932072628</v>
      </c>
      <c r="K18" s="1465">
        <f t="shared" si="0"/>
        <v>176988.96169817372</v>
      </c>
      <c r="L18" s="1467">
        <f t="shared" si="5"/>
        <v>244748</v>
      </c>
      <c r="N18" s="1616">
        <v>242476.20944863299</v>
      </c>
      <c r="O18" s="1468">
        <f t="shared" si="6"/>
        <v>-2271.7905513670121</v>
      </c>
      <c r="P18" s="1469">
        <f t="shared" si="7"/>
        <v>-9.3691276209440909E-3</v>
      </c>
      <c r="R18" s="1605">
        <v>244748.40839999999</v>
      </c>
      <c r="S18" s="750">
        <f t="shared" si="8"/>
        <v>0.4083999999857042</v>
      </c>
    </row>
    <row r="19" spans="1:19" x14ac:dyDescent="0.2">
      <c r="A19" s="1461" t="s">
        <v>749</v>
      </c>
      <c r="B19" s="1462" t="s">
        <v>750</v>
      </c>
      <c r="C19" s="1463">
        <v>1.0134000000000001</v>
      </c>
      <c r="D19" s="1464">
        <f>INDEX(Data!$E$5:$E$300,MATCH('Cost of Collection'!B19,Data!$C$5:$C$300,0))</f>
        <v>1215327025</v>
      </c>
      <c r="E19" s="1464">
        <f>INDEX(Data!$F$5:$F$300,MATCH('Cost of Collection'!B19,Data!$C$5:$C$300,0))</f>
        <v>46938</v>
      </c>
      <c r="F19" s="1611">
        <f t="shared" si="1"/>
        <v>1231612407.135</v>
      </c>
      <c r="G19" s="1465">
        <f t="shared" si="2"/>
        <v>47566.969200000007</v>
      </c>
      <c r="H19" s="1614">
        <f t="shared" si="3"/>
        <v>20160000</v>
      </c>
      <c r="I19" s="1466">
        <f t="shared" si="4"/>
        <v>63840000</v>
      </c>
      <c r="J19" s="1465">
        <f t="shared" si="0"/>
        <v>337366.7139223672</v>
      </c>
      <c r="K19" s="1465">
        <f t="shared" si="0"/>
        <v>1455934.1358981996</v>
      </c>
      <c r="L19" s="1467">
        <f t="shared" si="5"/>
        <v>1793301</v>
      </c>
      <c r="N19" s="1616">
        <v>1806958.2250574899</v>
      </c>
      <c r="O19" s="1468">
        <f t="shared" si="6"/>
        <v>13657.225057489937</v>
      </c>
      <c r="P19" s="1469">
        <f t="shared" si="7"/>
        <v>7.5581299379820586E-3</v>
      </c>
      <c r="R19" s="1605">
        <v>1793300.5190000001</v>
      </c>
      <c r="S19" s="750">
        <f t="shared" si="8"/>
        <v>-0.48099999991245568</v>
      </c>
    </row>
    <row r="20" spans="1:19" x14ac:dyDescent="0.2">
      <c r="A20" s="1461" t="s">
        <v>751</v>
      </c>
      <c r="B20" s="1462" t="s">
        <v>752</v>
      </c>
      <c r="C20" s="1463">
        <v>1</v>
      </c>
      <c r="D20" s="1464">
        <f>INDEX(Data!$E$5:$E$300,MATCH('Cost of Collection'!B20,Data!$C$5:$C$300,0))</f>
        <v>119082735</v>
      </c>
      <c r="E20" s="1464">
        <f>INDEX(Data!$F$5:$F$300,MATCH('Cost of Collection'!B20,Data!$C$5:$C$300,0))</f>
        <v>2462</v>
      </c>
      <c r="F20" s="1611">
        <f t="shared" si="1"/>
        <v>119082735</v>
      </c>
      <c r="G20" s="1465">
        <f t="shared" si="2"/>
        <v>2462</v>
      </c>
      <c r="H20" s="1614">
        <f t="shared" si="3"/>
        <v>20160000</v>
      </c>
      <c r="I20" s="1466">
        <f t="shared" si="4"/>
        <v>63840000</v>
      </c>
      <c r="J20" s="1465">
        <f t="shared" si="0"/>
        <v>32619.475704448985</v>
      </c>
      <c r="K20" s="1465">
        <f t="shared" si="0"/>
        <v>75357.120768194058</v>
      </c>
      <c r="L20" s="1467">
        <f t="shared" si="5"/>
        <v>107977</v>
      </c>
      <c r="N20" s="1616">
        <v>106386.4551965</v>
      </c>
      <c r="O20" s="1468">
        <f t="shared" si="6"/>
        <v>-1590.5448035000009</v>
      </c>
      <c r="P20" s="1469">
        <f t="shared" si="7"/>
        <v>-1.4950632583463765E-2</v>
      </c>
      <c r="R20" s="1605">
        <v>107976.5793</v>
      </c>
      <c r="S20" s="750">
        <f t="shared" si="8"/>
        <v>-0.42070000000239816</v>
      </c>
    </row>
    <row r="21" spans="1:19" x14ac:dyDescent="0.2">
      <c r="A21" s="1461" t="s">
        <v>605</v>
      </c>
      <c r="B21" s="1462" t="s">
        <v>754</v>
      </c>
      <c r="C21" s="1463">
        <v>1</v>
      </c>
      <c r="D21" s="1464">
        <f>INDEX(Data!$E$5:$E$300,MATCH('Cost of Collection'!B21,Data!$C$5:$C$300,0))</f>
        <v>130183055</v>
      </c>
      <c r="E21" s="1464">
        <f>INDEX(Data!$F$5:$F$300,MATCH('Cost of Collection'!B21,Data!$C$5:$C$300,0))</f>
        <v>8269</v>
      </c>
      <c r="F21" s="1611">
        <f t="shared" si="1"/>
        <v>130183055</v>
      </c>
      <c r="G21" s="1465">
        <f t="shared" si="2"/>
        <v>8269</v>
      </c>
      <c r="H21" s="1614">
        <f t="shared" si="3"/>
        <v>20160000</v>
      </c>
      <c r="I21" s="1466">
        <f t="shared" si="4"/>
        <v>63840000</v>
      </c>
      <c r="J21" s="1465">
        <f t="shared" si="0"/>
        <v>35660.106393285692</v>
      </c>
      <c r="K21" s="1465">
        <f t="shared" si="0"/>
        <v>253098.30691803273</v>
      </c>
      <c r="L21" s="1467">
        <f t="shared" si="5"/>
        <v>288758</v>
      </c>
      <c r="N21" s="1616">
        <v>289050.364627812</v>
      </c>
      <c r="O21" s="1468">
        <f t="shared" si="6"/>
        <v>292.36462781199953</v>
      </c>
      <c r="P21" s="1469">
        <f t="shared" si="7"/>
        <v>1.0114660404890166E-3</v>
      </c>
      <c r="R21" s="1605">
        <v>288758.35570000001</v>
      </c>
      <c r="S21" s="750">
        <f t="shared" si="8"/>
        <v>0.35570000001462176</v>
      </c>
    </row>
    <row r="22" spans="1:19" x14ac:dyDescent="0.2">
      <c r="A22" s="1461" t="s">
        <v>608</v>
      </c>
      <c r="B22" s="1462" t="s">
        <v>756</v>
      </c>
      <c r="C22" s="1463">
        <v>1</v>
      </c>
      <c r="D22" s="1464">
        <f>INDEX(Data!$E$5:$E$300,MATCH('Cost of Collection'!B22,Data!$C$5:$C$300,0))</f>
        <v>119883273</v>
      </c>
      <c r="E22" s="1464">
        <f>INDEX(Data!$F$5:$F$300,MATCH('Cost of Collection'!B22,Data!$C$5:$C$300,0))</f>
        <v>6575</v>
      </c>
      <c r="F22" s="1611">
        <f t="shared" si="1"/>
        <v>119883273</v>
      </c>
      <c r="G22" s="1465">
        <f t="shared" si="2"/>
        <v>6575</v>
      </c>
      <c r="H22" s="1614">
        <f t="shared" si="3"/>
        <v>20160000</v>
      </c>
      <c r="I22" s="1466">
        <f t="shared" si="4"/>
        <v>63840000</v>
      </c>
      <c r="J22" s="1465">
        <f t="shared" si="0"/>
        <v>32838.761311564813</v>
      </c>
      <c r="K22" s="1465">
        <f t="shared" si="0"/>
        <v>201248.20026436876</v>
      </c>
      <c r="L22" s="1467">
        <f t="shared" si="5"/>
        <v>234087</v>
      </c>
      <c r="N22" s="1616">
        <v>236204.66602298999</v>
      </c>
      <c r="O22" s="1468">
        <f t="shared" si="6"/>
        <v>2117.6660229899862</v>
      </c>
      <c r="P22" s="1469">
        <f t="shared" si="7"/>
        <v>8.965386072364346E-3</v>
      </c>
      <c r="R22" s="1605">
        <v>234086.91579999999</v>
      </c>
      <c r="S22" s="750">
        <f t="shared" si="8"/>
        <v>-8.4200000012060627E-2</v>
      </c>
    </row>
    <row r="23" spans="1:19" x14ac:dyDescent="0.2">
      <c r="A23" s="1461" t="s">
        <v>757</v>
      </c>
      <c r="B23" s="1462" t="s">
        <v>758</v>
      </c>
      <c r="C23" s="1463">
        <v>1</v>
      </c>
      <c r="D23" s="1464">
        <f>INDEX(Data!$E$5:$E$300,MATCH('Cost of Collection'!B23,Data!$C$5:$C$300,0))</f>
        <v>74092935</v>
      </c>
      <c r="E23" s="1464">
        <f>INDEX(Data!$F$5:$F$300,MATCH('Cost of Collection'!B23,Data!$C$5:$C$300,0))</f>
        <v>2437</v>
      </c>
      <c r="F23" s="1611">
        <f t="shared" si="1"/>
        <v>74092935</v>
      </c>
      <c r="G23" s="1465">
        <f t="shared" si="2"/>
        <v>2437</v>
      </c>
      <c r="H23" s="1614">
        <f t="shared" si="3"/>
        <v>20160000</v>
      </c>
      <c r="I23" s="1466">
        <f t="shared" si="4"/>
        <v>63840000</v>
      </c>
      <c r="J23" s="1465">
        <f t="shared" si="0"/>
        <v>20295.743905309344</v>
      </c>
      <c r="K23" s="1465">
        <f t="shared" si="0"/>
        <v>74591.918485820031</v>
      </c>
      <c r="L23" s="1467">
        <f t="shared" si="5"/>
        <v>94888</v>
      </c>
      <c r="N23" s="1616">
        <v>94093.073225321801</v>
      </c>
      <c r="O23" s="1468">
        <f t="shared" si="6"/>
        <v>-794.92677467819885</v>
      </c>
      <c r="P23" s="1469">
        <f t="shared" si="7"/>
        <v>-8.4483028073130528E-3</v>
      </c>
      <c r="R23" s="1605">
        <v>94887.645430000004</v>
      </c>
      <c r="S23" s="750">
        <f t="shared" si="8"/>
        <v>-0.35456999999587424</v>
      </c>
    </row>
    <row r="24" spans="1:19" x14ac:dyDescent="0.2">
      <c r="A24" s="1461" t="s">
        <v>759</v>
      </c>
      <c r="B24" s="1462" t="s">
        <v>760</v>
      </c>
      <c r="C24" s="1463">
        <v>1.0168999999999999</v>
      </c>
      <c r="D24" s="1464">
        <f>INDEX(Data!$E$5:$E$300,MATCH('Cost of Collection'!B24,Data!$C$5:$C$300,0))</f>
        <v>249810677</v>
      </c>
      <c r="E24" s="1464">
        <f>INDEX(Data!$F$5:$F$300,MATCH('Cost of Collection'!B24,Data!$C$5:$C$300,0))</f>
        <v>10759</v>
      </c>
      <c r="F24" s="1611">
        <f t="shared" si="1"/>
        <v>254032477.44129997</v>
      </c>
      <c r="G24" s="1465">
        <f t="shared" si="2"/>
        <v>10940.827099999999</v>
      </c>
      <c r="H24" s="1614">
        <f t="shared" si="3"/>
        <v>20160000</v>
      </c>
      <c r="I24" s="1466">
        <f t="shared" si="4"/>
        <v>63840000</v>
      </c>
      <c r="J24" s="1465">
        <f t="shared" si="0"/>
        <v>69585.286448429892</v>
      </c>
      <c r="K24" s="1465">
        <f t="shared" si="0"/>
        <v>334877.83471918362</v>
      </c>
      <c r="L24" s="1467">
        <f t="shared" si="5"/>
        <v>404463</v>
      </c>
      <c r="N24" s="1616">
        <v>403635.312089429</v>
      </c>
      <c r="O24" s="1468">
        <f t="shared" si="6"/>
        <v>-827.68791057099588</v>
      </c>
      <c r="P24" s="1469">
        <f t="shared" si="7"/>
        <v>-2.0505834989670434E-3</v>
      </c>
      <c r="R24" s="1605">
        <v>404463.04499999998</v>
      </c>
      <c r="S24" s="750">
        <f t="shared" si="8"/>
        <v>4.4999999983701855E-2</v>
      </c>
    </row>
    <row r="25" spans="1:19" x14ac:dyDescent="0.2">
      <c r="A25" s="1461" t="s">
        <v>761</v>
      </c>
      <c r="B25" s="1462" t="s">
        <v>762</v>
      </c>
      <c r="C25" s="1463">
        <v>1</v>
      </c>
      <c r="D25" s="1464">
        <f>INDEX(Data!$E$5:$E$300,MATCH('Cost of Collection'!B25,Data!$C$5:$C$300,0))</f>
        <v>55782515</v>
      </c>
      <c r="E25" s="1464">
        <f>INDEX(Data!$F$5:$F$300,MATCH('Cost of Collection'!B25,Data!$C$5:$C$300,0))</f>
        <v>2485</v>
      </c>
      <c r="F25" s="1611">
        <f t="shared" si="1"/>
        <v>55782515</v>
      </c>
      <c r="G25" s="1465">
        <f t="shared" si="2"/>
        <v>2485</v>
      </c>
      <c r="H25" s="1614">
        <f t="shared" si="3"/>
        <v>20160000</v>
      </c>
      <c r="I25" s="1466">
        <f t="shared" si="4"/>
        <v>63840000</v>
      </c>
      <c r="J25" s="1465">
        <f t="shared" si="0"/>
        <v>15280.102466369797</v>
      </c>
      <c r="K25" s="1465">
        <f t="shared" si="0"/>
        <v>76061.10686797816</v>
      </c>
      <c r="L25" s="1467">
        <f t="shared" si="5"/>
        <v>91341</v>
      </c>
      <c r="N25" s="1616">
        <v>91263.553364413499</v>
      </c>
      <c r="O25" s="1468">
        <f t="shared" si="6"/>
        <v>-77.446635586500634</v>
      </c>
      <c r="P25" s="1469">
        <f t="shared" si="7"/>
        <v>-8.4860420980166973E-4</v>
      </c>
      <c r="R25" s="1605">
        <v>91341.192030000006</v>
      </c>
      <c r="S25" s="750">
        <f t="shared" si="8"/>
        <v>0.19203000000561588</v>
      </c>
    </row>
    <row r="26" spans="1:19" x14ac:dyDescent="0.2">
      <c r="A26" s="1470" t="s">
        <v>1193</v>
      </c>
      <c r="B26" s="1471" t="s">
        <v>1178</v>
      </c>
      <c r="C26" s="1463">
        <v>1</v>
      </c>
      <c r="D26" s="1464">
        <f>INDEX(Data!$E$5:$E$300,MATCH('Cost of Collection'!B26,Data!$C$5:$C$300,0))</f>
        <v>398700258</v>
      </c>
      <c r="E26" s="1464">
        <f>INDEX(Data!$F$5:$F$300,MATCH('Cost of Collection'!B26,Data!$C$5:$C$300,0))</f>
        <v>15890</v>
      </c>
      <c r="F26" s="1611">
        <f t="shared" si="1"/>
        <v>398700258</v>
      </c>
      <c r="G26" s="1465">
        <f t="shared" si="2"/>
        <v>15890</v>
      </c>
      <c r="H26" s="1614">
        <f t="shared" si="3"/>
        <v>20160000</v>
      </c>
      <c r="I26" s="1466">
        <f t="shared" si="4"/>
        <v>63840000</v>
      </c>
      <c r="J26" s="1465">
        <f t="shared" si="0"/>
        <v>109213.08936336188</v>
      </c>
      <c r="K26" s="1465">
        <f t="shared" si="0"/>
        <v>486362.57067693071</v>
      </c>
      <c r="L26" s="1467">
        <f t="shared" si="5"/>
        <v>595576</v>
      </c>
      <c r="N26" s="1616">
        <v>599262.11962260096</v>
      </c>
      <c r="O26" s="1468">
        <f t="shared" si="6"/>
        <v>3686.1196226009633</v>
      </c>
      <c r="P26" s="1469">
        <f t="shared" si="7"/>
        <v>6.1510973276975717E-3</v>
      </c>
      <c r="R26" s="1605">
        <v>595575.54940000002</v>
      </c>
      <c r="S26" s="750">
        <f t="shared" si="8"/>
        <v>-0.45059999998193234</v>
      </c>
    </row>
    <row r="27" spans="1:19" x14ac:dyDescent="0.2">
      <c r="A27" s="1461" t="s">
        <v>518</v>
      </c>
      <c r="B27" s="1462" t="s">
        <v>764</v>
      </c>
      <c r="C27" s="1463">
        <v>1.1039000000000001</v>
      </c>
      <c r="D27" s="1464">
        <f>INDEX(Data!$E$5:$E$300,MATCH('Cost of Collection'!B27,Data!$C$5:$C$300,0))</f>
        <v>139240262</v>
      </c>
      <c r="E27" s="1464">
        <f>INDEX(Data!$F$5:$F$300,MATCH('Cost of Collection'!B27,Data!$C$5:$C$300,0))</f>
        <v>2623</v>
      </c>
      <c r="F27" s="1611">
        <f t="shared" si="1"/>
        <v>153707325.22180003</v>
      </c>
      <c r="G27" s="1465">
        <f t="shared" si="2"/>
        <v>2895.5297</v>
      </c>
      <c r="H27" s="1614">
        <f t="shared" si="3"/>
        <v>20160000</v>
      </c>
      <c r="I27" s="1466">
        <f t="shared" si="4"/>
        <v>63840000</v>
      </c>
      <c r="J27" s="1465">
        <f t="shared" si="0"/>
        <v>42103.940261939271</v>
      </c>
      <c r="K27" s="1465">
        <f t="shared" si="0"/>
        <v>88626.637404871115</v>
      </c>
      <c r="L27" s="1467">
        <f t="shared" si="5"/>
        <v>130731</v>
      </c>
      <c r="N27" s="1616">
        <v>130623.63940399099</v>
      </c>
      <c r="O27" s="1468">
        <f t="shared" si="6"/>
        <v>-107.36059600900626</v>
      </c>
      <c r="P27" s="1469">
        <f t="shared" si="7"/>
        <v>-8.2190786062056416E-4</v>
      </c>
      <c r="R27" s="1605">
        <v>130730.5575</v>
      </c>
      <c r="S27" s="750">
        <f t="shared" si="8"/>
        <v>-0.44250000000465661</v>
      </c>
    </row>
    <row r="28" spans="1:19" x14ac:dyDescent="0.2">
      <c r="A28" s="1461" t="s">
        <v>765</v>
      </c>
      <c r="B28" s="1462" t="s">
        <v>766</v>
      </c>
      <c r="C28" s="1463">
        <v>1.0055000000000001</v>
      </c>
      <c r="D28" s="1464">
        <f>INDEX(Data!$E$5:$E$300,MATCH('Cost of Collection'!B28,Data!$C$5:$C$300,0))</f>
        <v>387214468</v>
      </c>
      <c r="E28" s="1464">
        <f>INDEX(Data!$F$5:$F$300,MATCH('Cost of Collection'!B28,Data!$C$5:$C$300,0))</f>
        <v>19721</v>
      </c>
      <c r="F28" s="1611">
        <f t="shared" si="1"/>
        <v>389344147.574</v>
      </c>
      <c r="G28" s="1465">
        <f t="shared" si="2"/>
        <v>19829.465500000002</v>
      </c>
      <c r="H28" s="1614">
        <f t="shared" si="3"/>
        <v>20160000</v>
      </c>
      <c r="I28" s="1466">
        <f t="shared" si="4"/>
        <v>63840000</v>
      </c>
      <c r="J28" s="1465">
        <f t="shared" si="0"/>
        <v>106650.23743752185</v>
      </c>
      <c r="K28" s="1465">
        <f t="shared" si="0"/>
        <v>606942.0903542802</v>
      </c>
      <c r="L28" s="1467">
        <f t="shared" si="5"/>
        <v>713592</v>
      </c>
      <c r="N28" s="1616">
        <v>712028.93727997295</v>
      </c>
      <c r="O28" s="1468">
        <f t="shared" si="6"/>
        <v>-1563.0627200270537</v>
      </c>
      <c r="P28" s="1469">
        <f t="shared" si="7"/>
        <v>-2.1952235902070517E-3</v>
      </c>
      <c r="R28" s="1605">
        <v>713592.18969999999</v>
      </c>
      <c r="S28" s="750">
        <f t="shared" si="8"/>
        <v>0.18969999998807907</v>
      </c>
    </row>
    <row r="29" spans="1:19" x14ac:dyDescent="0.2">
      <c r="A29" s="1461" t="s">
        <v>767</v>
      </c>
      <c r="B29" s="1462" t="s">
        <v>768</v>
      </c>
      <c r="C29" s="1463">
        <v>1.0129999999999999</v>
      </c>
      <c r="D29" s="1464">
        <f>INDEX(Data!$E$5:$E$300,MATCH('Cost of Collection'!B29,Data!$C$5:$C$300,0))</f>
        <v>138126393</v>
      </c>
      <c r="E29" s="1464">
        <f>INDEX(Data!$F$5:$F$300,MATCH('Cost of Collection'!B29,Data!$C$5:$C$300,0))</f>
        <v>5127</v>
      </c>
      <c r="F29" s="1611">
        <f t="shared" si="1"/>
        <v>139922036.109</v>
      </c>
      <c r="G29" s="1465">
        <f t="shared" si="2"/>
        <v>5193.6509999999998</v>
      </c>
      <c r="H29" s="1614">
        <f t="shared" si="3"/>
        <v>20160000</v>
      </c>
      <c r="I29" s="1466">
        <f t="shared" si="4"/>
        <v>63840000</v>
      </c>
      <c r="J29" s="1465">
        <f t="shared" si="0"/>
        <v>38327.835327048539</v>
      </c>
      <c r="K29" s="1465">
        <f t="shared" si="0"/>
        <v>158967.74396216564</v>
      </c>
      <c r="L29" s="1467">
        <f t="shared" si="5"/>
        <v>197296</v>
      </c>
      <c r="N29" s="1616">
        <v>194663.50008227199</v>
      </c>
      <c r="O29" s="1468">
        <f t="shared" si="6"/>
        <v>-2632.4999177280115</v>
      </c>
      <c r="P29" s="1469">
        <f t="shared" si="7"/>
        <v>-1.3523335995784622E-2</v>
      </c>
      <c r="R29" s="1605">
        <v>197295.54310000001</v>
      </c>
      <c r="S29" s="750">
        <f t="shared" si="8"/>
        <v>-0.45689999999012798</v>
      </c>
    </row>
    <row r="30" spans="1:19" x14ac:dyDescent="0.2">
      <c r="A30" s="1461" t="s">
        <v>769</v>
      </c>
      <c r="B30" s="1462" t="s">
        <v>770</v>
      </c>
      <c r="C30" s="1463">
        <v>1</v>
      </c>
      <c r="D30" s="1464">
        <f>INDEX(Data!$E$5:$E$300,MATCH('Cost of Collection'!B30,Data!$C$5:$C$300,0))</f>
        <v>104197579</v>
      </c>
      <c r="E30" s="1464">
        <f>INDEX(Data!$F$5:$F$300,MATCH('Cost of Collection'!B30,Data!$C$5:$C$300,0))</f>
        <v>4683</v>
      </c>
      <c r="F30" s="1611">
        <f t="shared" si="1"/>
        <v>104197579</v>
      </c>
      <c r="G30" s="1465">
        <f t="shared" si="2"/>
        <v>4683</v>
      </c>
      <c r="H30" s="1614">
        <f t="shared" si="3"/>
        <v>20160000</v>
      </c>
      <c r="I30" s="1466">
        <f t="shared" si="4"/>
        <v>63840000</v>
      </c>
      <c r="J30" s="1465">
        <f t="shared" si="0"/>
        <v>28542.092156792532</v>
      </c>
      <c r="K30" s="1465">
        <f t="shared" si="0"/>
        <v>143337.69153430249</v>
      </c>
      <c r="L30" s="1467">
        <f t="shared" si="5"/>
        <v>171880</v>
      </c>
      <c r="N30" s="1616">
        <v>172024.068694224</v>
      </c>
      <c r="O30" s="1468">
        <f t="shared" si="6"/>
        <v>144.06869422399905</v>
      </c>
      <c r="P30" s="1469">
        <f t="shared" si="7"/>
        <v>8.3749149358909678E-4</v>
      </c>
      <c r="R30" s="1605">
        <v>171879.75109999999</v>
      </c>
      <c r="S30" s="750">
        <f t="shared" si="8"/>
        <v>-0.24890000000596046</v>
      </c>
    </row>
    <row r="31" spans="1:19" x14ac:dyDescent="0.2">
      <c r="A31" s="1461" t="s">
        <v>771</v>
      </c>
      <c r="B31" s="1462" t="s">
        <v>772</v>
      </c>
      <c r="C31" s="1463">
        <v>1.1113</v>
      </c>
      <c r="D31" s="1464">
        <f>INDEX(Data!$E$5:$E$300,MATCH('Cost of Collection'!B31,Data!$C$5:$C$300,0))</f>
        <v>375185904</v>
      </c>
      <c r="E31" s="1464">
        <f>INDEX(Data!$F$5:$F$300,MATCH('Cost of Collection'!B31,Data!$C$5:$C$300,0))</f>
        <v>9130</v>
      </c>
      <c r="F31" s="1611">
        <f t="shared" si="1"/>
        <v>416944095.11519998</v>
      </c>
      <c r="G31" s="1465">
        <f t="shared" si="2"/>
        <v>10146.169</v>
      </c>
      <c r="H31" s="1614">
        <f t="shared" si="3"/>
        <v>20160000</v>
      </c>
      <c r="I31" s="1466">
        <f t="shared" si="4"/>
        <v>63840000</v>
      </c>
      <c r="J31" s="1465">
        <f t="shared" si="0"/>
        <v>114210.49223234362</v>
      </c>
      <c r="K31" s="1465">
        <f t="shared" si="0"/>
        <v>310554.86704610346</v>
      </c>
      <c r="L31" s="1467">
        <f t="shared" si="5"/>
        <v>424765</v>
      </c>
      <c r="N31" s="1616">
        <v>419467.40855562902</v>
      </c>
      <c r="O31" s="1468">
        <f t="shared" si="6"/>
        <v>-5297.5914443709771</v>
      </c>
      <c r="P31" s="1469">
        <f t="shared" si="7"/>
        <v>-1.2629327896087117E-2</v>
      </c>
      <c r="R31" s="1605">
        <v>424765.28860000003</v>
      </c>
      <c r="S31" s="750">
        <f t="shared" si="8"/>
        <v>0.28860000002896413</v>
      </c>
    </row>
    <row r="32" spans="1:19" x14ac:dyDescent="0.2">
      <c r="A32" s="1461" t="s">
        <v>773</v>
      </c>
      <c r="B32" s="1462" t="s">
        <v>774</v>
      </c>
      <c r="C32" s="1463">
        <v>1.0618000000000001</v>
      </c>
      <c r="D32" s="1464">
        <f>INDEX(Data!$E$5:$E$300,MATCH('Cost of Collection'!B32,Data!$C$5:$C$300,0))</f>
        <v>72931552</v>
      </c>
      <c r="E32" s="1464">
        <f>INDEX(Data!$F$5:$F$300,MATCH('Cost of Collection'!B32,Data!$C$5:$C$300,0))</f>
        <v>2538</v>
      </c>
      <c r="F32" s="1611">
        <f t="shared" si="1"/>
        <v>77438721.913600013</v>
      </c>
      <c r="G32" s="1465">
        <f t="shared" si="2"/>
        <v>2694.8484000000003</v>
      </c>
      <c r="H32" s="1614">
        <f t="shared" si="3"/>
        <v>20160000</v>
      </c>
      <c r="I32" s="1466">
        <f t="shared" si="4"/>
        <v>63840000</v>
      </c>
      <c r="J32" s="1465">
        <f t="shared" si="0"/>
        <v>21212.231210882557</v>
      </c>
      <c r="K32" s="1465">
        <f t="shared" si="0"/>
        <v>82484.165853279672</v>
      </c>
      <c r="L32" s="1467">
        <f t="shared" si="5"/>
        <v>103696</v>
      </c>
      <c r="N32" s="1616">
        <v>103410.82806008399</v>
      </c>
      <c r="O32" s="1468">
        <f t="shared" si="6"/>
        <v>-285.17193991600652</v>
      </c>
      <c r="P32" s="1469">
        <f t="shared" si="7"/>
        <v>-2.7576603462677552E-3</v>
      </c>
      <c r="R32" s="1605">
        <v>103696.3783</v>
      </c>
      <c r="S32" s="750">
        <f t="shared" si="8"/>
        <v>0.37829999999667052</v>
      </c>
    </row>
    <row r="33" spans="1:19" x14ac:dyDescent="0.2">
      <c r="A33" s="1461" t="s">
        <v>968</v>
      </c>
      <c r="B33" s="1462" t="s">
        <v>776</v>
      </c>
      <c r="C33" s="1463">
        <v>1.0089999999999999</v>
      </c>
      <c r="D33" s="1464">
        <f>INDEX(Data!$E$5:$E$300,MATCH('Cost of Collection'!B33,Data!$C$5:$C$300,0))</f>
        <v>312590181</v>
      </c>
      <c r="E33" s="1464">
        <f>INDEX(Data!$F$5:$F$300,MATCH('Cost of Collection'!B33,Data!$C$5:$C$300,0))</f>
        <v>11420</v>
      </c>
      <c r="F33" s="1611">
        <f t="shared" si="1"/>
        <v>315403492.62899995</v>
      </c>
      <c r="G33" s="1465">
        <f t="shared" si="2"/>
        <v>11522.779999999999</v>
      </c>
      <c r="H33" s="1614">
        <f t="shared" si="3"/>
        <v>20160000</v>
      </c>
      <c r="I33" s="1466">
        <f t="shared" si="4"/>
        <v>63840000</v>
      </c>
      <c r="J33" s="1465">
        <f t="shared" si="0"/>
        <v>86396.206510624892</v>
      </c>
      <c r="K33" s="1465">
        <f t="shared" si="0"/>
        <v>352690.302211751</v>
      </c>
      <c r="L33" s="1467">
        <f t="shared" si="5"/>
        <v>439087</v>
      </c>
      <c r="N33" s="1616">
        <v>439200.812156156</v>
      </c>
      <c r="O33" s="1468">
        <f t="shared" si="6"/>
        <v>113.81215615599649</v>
      </c>
      <c r="P33" s="1469">
        <f t="shared" si="7"/>
        <v>2.5913466689021298E-4</v>
      </c>
      <c r="R33" s="1605">
        <v>439086.42849999998</v>
      </c>
      <c r="S33" s="750">
        <f t="shared" si="8"/>
        <v>-0.57150000002002344</v>
      </c>
    </row>
    <row r="34" spans="1:19" x14ac:dyDescent="0.2">
      <c r="A34" s="1461" t="s">
        <v>512</v>
      </c>
      <c r="B34" s="1462" t="s">
        <v>778</v>
      </c>
      <c r="C34" s="1463">
        <v>1.0378000000000001</v>
      </c>
      <c r="D34" s="1464">
        <f>INDEX(Data!$E$5:$E$300,MATCH('Cost of Collection'!B34,Data!$C$5:$C$300,0))</f>
        <v>602256178</v>
      </c>
      <c r="E34" s="1464">
        <f>INDEX(Data!$F$5:$F$300,MATCH('Cost of Collection'!B34,Data!$C$5:$C$300,0))</f>
        <v>16529</v>
      </c>
      <c r="F34" s="1611">
        <f t="shared" si="1"/>
        <v>625021461.52840006</v>
      </c>
      <c r="G34" s="1465">
        <f t="shared" si="2"/>
        <v>17153.796200000001</v>
      </c>
      <c r="H34" s="1614">
        <f t="shared" si="3"/>
        <v>20160000</v>
      </c>
      <c r="I34" s="1466">
        <f t="shared" si="4"/>
        <v>63840000</v>
      </c>
      <c r="J34" s="1465">
        <f t="shared" si="0"/>
        <v>171207.6261859861</v>
      </c>
      <c r="K34" s="1465">
        <f t="shared" si="0"/>
        <v>525044.96014475555</v>
      </c>
      <c r="L34" s="1467">
        <f t="shared" si="5"/>
        <v>696253</v>
      </c>
      <c r="N34" s="1616">
        <v>700844.22002719506</v>
      </c>
      <c r="O34" s="1468">
        <f t="shared" si="6"/>
        <v>4591.2200271950569</v>
      </c>
      <c r="P34" s="1469">
        <f t="shared" si="7"/>
        <v>6.5509850777065726E-3</v>
      </c>
      <c r="R34" s="1605">
        <v>696252.4669</v>
      </c>
      <c r="S34" s="750">
        <f t="shared" si="8"/>
        <v>-0.53310000000055879</v>
      </c>
    </row>
    <row r="35" spans="1:19" x14ac:dyDescent="0.2">
      <c r="A35" s="1461" t="s">
        <v>779</v>
      </c>
      <c r="B35" s="1462" t="s">
        <v>780</v>
      </c>
      <c r="C35" s="1463">
        <v>1</v>
      </c>
      <c r="D35" s="1464">
        <f>INDEX(Data!$E$5:$E$300,MATCH('Cost of Collection'!B35,Data!$C$5:$C$300,0))</f>
        <v>88016882</v>
      </c>
      <c r="E35" s="1464">
        <f>INDEX(Data!$F$5:$F$300,MATCH('Cost of Collection'!B35,Data!$C$5:$C$300,0))</f>
        <v>3910</v>
      </c>
      <c r="F35" s="1611">
        <f t="shared" si="1"/>
        <v>88016882</v>
      </c>
      <c r="G35" s="1465">
        <f t="shared" si="2"/>
        <v>3910</v>
      </c>
      <c r="H35" s="1614">
        <f t="shared" si="3"/>
        <v>20160000</v>
      </c>
      <c r="I35" s="1466">
        <f t="shared" si="4"/>
        <v>63840000</v>
      </c>
      <c r="J35" s="1465">
        <f t="shared" si="0"/>
        <v>24109.830396323643</v>
      </c>
      <c r="K35" s="1465">
        <f t="shared" si="0"/>
        <v>119677.63696329761</v>
      </c>
      <c r="L35" s="1467">
        <f t="shared" si="5"/>
        <v>143787</v>
      </c>
      <c r="N35" s="1616">
        <v>142547.25171124499</v>
      </c>
      <c r="O35" s="1468">
        <f t="shared" si="6"/>
        <v>-1239.7482887550141</v>
      </c>
      <c r="P35" s="1469">
        <f t="shared" si="7"/>
        <v>-8.6971041101960109E-3</v>
      </c>
      <c r="R35" s="1605">
        <v>143787.44010000001</v>
      </c>
      <c r="S35" s="750">
        <f t="shared" si="8"/>
        <v>0.44010000000707805</v>
      </c>
    </row>
    <row r="36" spans="1:19" x14ac:dyDescent="0.2">
      <c r="A36" s="1461" t="s">
        <v>781</v>
      </c>
      <c r="B36" s="1462" t="s">
        <v>782</v>
      </c>
      <c r="C36" s="1463">
        <v>1.0760000000000001</v>
      </c>
      <c r="D36" s="1464">
        <f>INDEX(Data!$E$5:$E$300,MATCH('Cost of Collection'!B36,Data!$C$5:$C$300,0))</f>
        <v>247410940</v>
      </c>
      <c r="E36" s="1464">
        <f>INDEX(Data!$F$5:$F$300,MATCH('Cost of Collection'!B36,Data!$C$5:$C$300,0))</f>
        <v>7458</v>
      </c>
      <c r="F36" s="1611">
        <f t="shared" si="1"/>
        <v>266214171.44000003</v>
      </c>
      <c r="G36" s="1465">
        <f t="shared" si="2"/>
        <v>8024.8080000000009</v>
      </c>
      <c r="H36" s="1614">
        <f t="shared" si="3"/>
        <v>20160000</v>
      </c>
      <c r="I36" s="1466">
        <f t="shared" si="4"/>
        <v>63840000</v>
      </c>
      <c r="J36" s="1465">
        <f t="shared" si="0"/>
        <v>72922.130126311749</v>
      </c>
      <c r="K36" s="1465">
        <f t="shared" si="0"/>
        <v>245624.05588853365</v>
      </c>
      <c r="L36" s="1467">
        <f t="shared" si="5"/>
        <v>318546</v>
      </c>
      <c r="N36" s="1616">
        <v>313317.63870475098</v>
      </c>
      <c r="O36" s="1468">
        <f t="shared" si="6"/>
        <v>-5228.3612952490221</v>
      </c>
      <c r="P36" s="1469">
        <f t="shared" si="7"/>
        <v>-1.6687095296846248E-2</v>
      </c>
      <c r="R36" s="1605">
        <v>318546.13010000001</v>
      </c>
      <c r="S36" s="750">
        <f t="shared" si="8"/>
        <v>0.13010000000940636</v>
      </c>
    </row>
    <row r="37" spans="1:19" x14ac:dyDescent="0.2">
      <c r="A37" s="1461" t="s">
        <v>783</v>
      </c>
      <c r="B37" s="1462" t="s">
        <v>784</v>
      </c>
      <c r="C37" s="1463">
        <v>1</v>
      </c>
      <c r="D37" s="1464">
        <f>INDEX(Data!$E$5:$E$300,MATCH('Cost of Collection'!B37,Data!$C$5:$C$300,0))</f>
        <v>79566440</v>
      </c>
      <c r="E37" s="1464">
        <f>INDEX(Data!$F$5:$F$300,MATCH('Cost of Collection'!B37,Data!$C$5:$C$300,0))</f>
        <v>3452</v>
      </c>
      <c r="F37" s="1611">
        <f t="shared" si="1"/>
        <v>79566440</v>
      </c>
      <c r="G37" s="1465">
        <f t="shared" si="2"/>
        <v>3452</v>
      </c>
      <c r="H37" s="1614">
        <f t="shared" si="3"/>
        <v>20160000</v>
      </c>
      <c r="I37" s="1466">
        <f t="shared" si="4"/>
        <v>63840000</v>
      </c>
      <c r="J37" s="1465">
        <f t="shared" si="0"/>
        <v>21795.06169781453</v>
      </c>
      <c r="K37" s="1465">
        <f t="shared" si="0"/>
        <v>105659.13115020547</v>
      </c>
      <c r="L37" s="1467">
        <f t="shared" si="5"/>
        <v>127454</v>
      </c>
      <c r="N37" s="1616">
        <v>126462.21392852601</v>
      </c>
      <c r="O37" s="1468">
        <f t="shared" si="6"/>
        <v>-991.78607147399453</v>
      </c>
      <c r="P37" s="1469">
        <f t="shared" si="7"/>
        <v>-7.842548700234939E-3</v>
      </c>
      <c r="R37" s="1605">
        <v>127454.1688</v>
      </c>
      <c r="S37" s="750">
        <f t="shared" si="8"/>
        <v>0.16879999999946449</v>
      </c>
    </row>
    <row r="38" spans="1:19" x14ac:dyDescent="0.2">
      <c r="A38" s="1461" t="s">
        <v>785</v>
      </c>
      <c r="B38" s="1462" t="s">
        <v>786</v>
      </c>
      <c r="C38" s="1463">
        <v>1.0815999999999999</v>
      </c>
      <c r="D38" s="1464">
        <f>INDEX(Data!$E$5:$E$300,MATCH('Cost of Collection'!B38,Data!$C$5:$C$300,0))</f>
        <v>106887109</v>
      </c>
      <c r="E38" s="1464">
        <f>INDEX(Data!$F$5:$F$300,MATCH('Cost of Collection'!B38,Data!$C$5:$C$300,0))</f>
        <v>2342</v>
      </c>
      <c r="F38" s="1611">
        <f t="shared" si="1"/>
        <v>115609097.09439999</v>
      </c>
      <c r="G38" s="1465">
        <f t="shared" si="2"/>
        <v>2533.1071999999999</v>
      </c>
      <c r="H38" s="1614">
        <f t="shared" si="3"/>
        <v>20160000</v>
      </c>
      <c r="I38" s="1466">
        <f t="shared" si="4"/>
        <v>63840000</v>
      </c>
      <c r="J38" s="1465">
        <f t="shared" si="0"/>
        <v>31667.967097699464</v>
      </c>
      <c r="K38" s="1465">
        <f t="shared" si="0"/>
        <v>77533.576437523108</v>
      </c>
      <c r="L38" s="1467">
        <f t="shared" si="5"/>
        <v>109202</v>
      </c>
      <c r="N38" s="1616">
        <v>109116.495213218</v>
      </c>
      <c r="O38" s="1468">
        <f t="shared" si="6"/>
        <v>-85.50478678199579</v>
      </c>
      <c r="P38" s="1469">
        <f t="shared" si="7"/>
        <v>-7.8361009135159644E-4</v>
      </c>
      <c r="R38" s="1605">
        <v>109201.52589999999</v>
      </c>
      <c r="S38" s="750">
        <f t="shared" si="8"/>
        <v>-0.47410000000672881</v>
      </c>
    </row>
    <row r="39" spans="1:19" x14ac:dyDescent="0.2">
      <c r="A39" s="1461" t="s">
        <v>787</v>
      </c>
      <c r="B39" s="1462" t="s">
        <v>788</v>
      </c>
      <c r="C39" s="1463">
        <v>1.0121</v>
      </c>
      <c r="D39" s="1464">
        <f>INDEX(Data!$E$5:$E$300,MATCH('Cost of Collection'!B39,Data!$C$5:$C$300,0))</f>
        <v>74701775</v>
      </c>
      <c r="E39" s="1464">
        <f>INDEX(Data!$F$5:$F$300,MATCH('Cost of Collection'!B39,Data!$C$5:$C$300,0))</f>
        <v>2686</v>
      </c>
      <c r="F39" s="1611">
        <f t="shared" si="1"/>
        <v>75605666.477500007</v>
      </c>
      <c r="G39" s="1465">
        <f t="shared" si="2"/>
        <v>2718.5005999999998</v>
      </c>
      <c r="H39" s="1614">
        <f t="shared" si="3"/>
        <v>20160000</v>
      </c>
      <c r="I39" s="1466">
        <f t="shared" si="4"/>
        <v>63840000</v>
      </c>
      <c r="J39" s="1465">
        <f t="shared" si="0"/>
        <v>20710.115540942897</v>
      </c>
      <c r="K39" s="1465">
        <f t="shared" si="0"/>
        <v>83208.11455020633</v>
      </c>
      <c r="L39" s="1467">
        <f t="shared" si="5"/>
        <v>103918</v>
      </c>
      <c r="N39" s="1616">
        <v>103231.09410846799</v>
      </c>
      <c r="O39" s="1468">
        <f t="shared" si="6"/>
        <v>-686.90589153200563</v>
      </c>
      <c r="P39" s="1469">
        <f t="shared" si="7"/>
        <v>-6.6540599754784449E-3</v>
      </c>
      <c r="R39" s="1605">
        <v>103918.21120000001</v>
      </c>
      <c r="S39" s="750">
        <f t="shared" si="8"/>
        <v>0.21120000000519212</v>
      </c>
    </row>
    <row r="40" spans="1:19" x14ac:dyDescent="0.2">
      <c r="A40" s="1461" t="s">
        <v>529</v>
      </c>
      <c r="B40" s="1462" t="s">
        <v>1213</v>
      </c>
      <c r="C40" s="1463">
        <v>1.0719000000000001</v>
      </c>
      <c r="D40" s="1464">
        <f>INDEX(Data!$E$5:$E$300,MATCH('Cost of Collection'!B40,Data!$C$5:$C$300,0))</f>
        <v>549331954</v>
      </c>
      <c r="E40" s="1464">
        <f>INDEX(Data!$F$5:$F$300,MATCH('Cost of Collection'!B40,Data!$C$5:$C$300,0))</f>
        <v>15414</v>
      </c>
      <c r="F40" s="1611">
        <f t="shared" si="1"/>
        <v>588828921.49260008</v>
      </c>
      <c r="G40" s="1465">
        <f t="shared" si="2"/>
        <v>16522.266600000003</v>
      </c>
      <c r="H40" s="1614">
        <f t="shared" si="3"/>
        <v>20160000</v>
      </c>
      <c r="I40" s="1466">
        <f t="shared" si="4"/>
        <v>63840000</v>
      </c>
      <c r="J40" s="1465">
        <f t="shared" si="0"/>
        <v>161293.66443174795</v>
      </c>
      <c r="K40" s="1465">
        <f t="shared" si="0"/>
        <v>505715.04449248541</v>
      </c>
      <c r="L40" s="1467">
        <f t="shared" si="5"/>
        <v>667009</v>
      </c>
      <c r="N40" s="1616">
        <v>664280.03882251901</v>
      </c>
      <c r="O40" s="1468">
        <f t="shared" si="6"/>
        <v>-2728.9611774809891</v>
      </c>
      <c r="P40" s="1469">
        <f t="shared" si="7"/>
        <v>-4.1081486993320713E-3</v>
      </c>
      <c r="R40" s="1605">
        <v>667008.59389999998</v>
      </c>
      <c r="S40" s="750">
        <f t="shared" si="8"/>
        <v>-0.40610000002197921</v>
      </c>
    </row>
    <row r="41" spans="1:19" x14ac:dyDescent="0.2">
      <c r="A41" s="1461" t="s">
        <v>789</v>
      </c>
      <c r="B41" s="1462" t="s">
        <v>790</v>
      </c>
      <c r="C41" s="1463">
        <v>1</v>
      </c>
      <c r="D41" s="1464">
        <f>INDEX(Data!$E$5:$E$300,MATCH('Cost of Collection'!B41,Data!$C$5:$C$300,0))</f>
        <v>83446543</v>
      </c>
      <c r="E41" s="1464">
        <f>INDEX(Data!$F$5:$F$300,MATCH('Cost of Collection'!B41,Data!$C$5:$C$300,0))</f>
        <v>5414</v>
      </c>
      <c r="F41" s="1611">
        <f t="shared" si="1"/>
        <v>83446543</v>
      </c>
      <c r="G41" s="1465">
        <f t="shared" si="2"/>
        <v>5414</v>
      </c>
      <c r="H41" s="1614">
        <f t="shared" si="3"/>
        <v>20160000</v>
      </c>
      <c r="I41" s="1466">
        <f t="shared" si="4"/>
        <v>63840000</v>
      </c>
      <c r="J41" s="1465">
        <f t="shared" si="0"/>
        <v>22857.910359623143</v>
      </c>
      <c r="K41" s="1465">
        <f t="shared" si="0"/>
        <v>165712.20627091901</v>
      </c>
      <c r="L41" s="1467">
        <f t="shared" si="5"/>
        <v>188570</v>
      </c>
      <c r="N41" s="1616">
        <v>188033.577717393</v>
      </c>
      <c r="O41" s="1468">
        <f t="shared" si="6"/>
        <v>-536.42228260700358</v>
      </c>
      <c r="P41" s="1469">
        <f t="shared" si="7"/>
        <v>-2.8528004897786126E-3</v>
      </c>
      <c r="R41" s="1605">
        <v>188570.07889999999</v>
      </c>
      <c r="S41" s="750">
        <f t="shared" si="8"/>
        <v>7.8899999993154779E-2</v>
      </c>
    </row>
    <row r="42" spans="1:19" x14ac:dyDescent="0.2">
      <c r="A42" s="1461" t="s">
        <v>791</v>
      </c>
      <c r="B42" s="1462" t="s">
        <v>792</v>
      </c>
      <c r="C42" s="1463">
        <v>1.0168999999999999</v>
      </c>
      <c r="D42" s="1464">
        <f>INDEX(Data!$E$5:$E$300,MATCH('Cost of Collection'!B42,Data!$C$5:$C$300,0))</f>
        <v>136095635</v>
      </c>
      <c r="E42" s="1464">
        <f>INDEX(Data!$F$5:$F$300,MATCH('Cost of Collection'!B42,Data!$C$5:$C$300,0))</f>
        <v>6344</v>
      </c>
      <c r="F42" s="1611">
        <f t="shared" si="1"/>
        <v>138395651.2315</v>
      </c>
      <c r="G42" s="1465">
        <f t="shared" si="2"/>
        <v>6451.2135999999991</v>
      </c>
      <c r="H42" s="1614">
        <f t="shared" si="3"/>
        <v>20160000</v>
      </c>
      <c r="I42" s="1466">
        <f t="shared" si="4"/>
        <v>63840000</v>
      </c>
      <c r="J42" s="1465">
        <f t="shared" si="0"/>
        <v>37909.723713914609</v>
      </c>
      <c r="K42" s="1465">
        <f t="shared" si="0"/>
        <v>197459.33483209417</v>
      </c>
      <c r="L42" s="1467">
        <f t="shared" si="5"/>
        <v>235369</v>
      </c>
      <c r="N42" s="1616">
        <v>233877.86375720601</v>
      </c>
      <c r="O42" s="1468">
        <f t="shared" si="6"/>
        <v>-1491.1362427939894</v>
      </c>
      <c r="P42" s="1469">
        <f t="shared" si="7"/>
        <v>-6.3757049035729702E-3</v>
      </c>
      <c r="R42" s="1605">
        <v>235369.01360000001</v>
      </c>
      <c r="S42" s="750">
        <f t="shared" si="8"/>
        <v>1.3600000005681068E-2</v>
      </c>
    </row>
    <row r="43" spans="1:19" x14ac:dyDescent="0.2">
      <c r="A43" s="1461" t="s">
        <v>793</v>
      </c>
      <c r="B43" s="1462" t="s">
        <v>794</v>
      </c>
      <c r="C43" s="1463">
        <v>1.0055000000000001</v>
      </c>
      <c r="D43" s="1464">
        <f>INDEX(Data!$E$5:$E$300,MATCH('Cost of Collection'!B43,Data!$C$5:$C$300,0))</f>
        <v>170183566</v>
      </c>
      <c r="E43" s="1464">
        <f>INDEX(Data!$F$5:$F$300,MATCH('Cost of Collection'!B43,Data!$C$5:$C$300,0))</f>
        <v>9839</v>
      </c>
      <c r="F43" s="1611">
        <f t="shared" si="1"/>
        <v>171119575.61300001</v>
      </c>
      <c r="G43" s="1465">
        <f t="shared" si="2"/>
        <v>9893.1145000000015</v>
      </c>
      <c r="H43" s="1614">
        <f t="shared" si="3"/>
        <v>20160000</v>
      </c>
      <c r="I43" s="1466">
        <f t="shared" si="4"/>
        <v>63840000</v>
      </c>
      <c r="J43" s="1465">
        <f t="shared" si="0"/>
        <v>46873.552570520609</v>
      </c>
      <c r="K43" s="1465">
        <f t="shared" si="0"/>
        <v>302809.3518075028</v>
      </c>
      <c r="L43" s="1467">
        <f t="shared" si="5"/>
        <v>349683</v>
      </c>
      <c r="N43" s="1616">
        <v>347924.70180895698</v>
      </c>
      <c r="O43" s="1468">
        <f t="shared" si="6"/>
        <v>-1758.2981910430244</v>
      </c>
      <c r="P43" s="1469">
        <f t="shared" si="7"/>
        <v>-5.0536744930760723E-3</v>
      </c>
      <c r="R43" s="1605">
        <v>349682.83549999999</v>
      </c>
      <c r="S43" s="750">
        <f t="shared" si="8"/>
        <v>-0.16450000001350418</v>
      </c>
    </row>
    <row r="44" spans="1:19" x14ac:dyDescent="0.2">
      <c r="A44" s="1461" t="s">
        <v>795</v>
      </c>
      <c r="B44" s="1462" t="s">
        <v>796</v>
      </c>
      <c r="C44" s="1463">
        <v>1.0339</v>
      </c>
      <c r="D44" s="1464">
        <f>INDEX(Data!$E$5:$E$300,MATCH('Cost of Collection'!B44,Data!$C$5:$C$300,0))</f>
        <v>343403246</v>
      </c>
      <c r="E44" s="1464">
        <f>INDEX(Data!$F$5:$F$300,MATCH('Cost of Collection'!B44,Data!$C$5:$C$300,0))</f>
        <v>4293</v>
      </c>
      <c r="F44" s="1611">
        <f t="shared" si="1"/>
        <v>355044616.03940004</v>
      </c>
      <c r="G44" s="1465">
        <f t="shared" si="2"/>
        <v>4438.5326999999997</v>
      </c>
      <c r="H44" s="1614">
        <f t="shared" si="3"/>
        <v>20160000</v>
      </c>
      <c r="I44" s="1466">
        <f t="shared" si="4"/>
        <v>63840000</v>
      </c>
      <c r="J44" s="1465">
        <f t="shared" si="0"/>
        <v>97254.813864433236</v>
      </c>
      <c r="K44" s="1465">
        <f t="shared" si="0"/>
        <v>135855.01409726986</v>
      </c>
      <c r="L44" s="1467">
        <f t="shared" si="5"/>
        <v>233110</v>
      </c>
      <c r="N44" s="1616">
        <v>236192.244384961</v>
      </c>
      <c r="O44" s="1468">
        <f t="shared" si="6"/>
        <v>3082.244384960999</v>
      </c>
      <c r="P44" s="1469">
        <f t="shared" si="7"/>
        <v>1.3049727322703123E-2</v>
      </c>
      <c r="R44" s="1605">
        <v>233109.7971</v>
      </c>
      <c r="S44" s="750">
        <f t="shared" si="8"/>
        <v>-0.20290000000386499</v>
      </c>
    </row>
    <row r="45" spans="1:19" x14ac:dyDescent="0.2">
      <c r="A45" s="1461" t="s">
        <v>797</v>
      </c>
      <c r="B45" s="1462" t="s">
        <v>798</v>
      </c>
      <c r="C45" s="1463">
        <v>1.2208000000000001</v>
      </c>
      <c r="D45" s="1464">
        <f>INDEX(Data!$E$5:$E$300,MATCH('Cost of Collection'!B45,Data!$C$5:$C$300,0))</f>
        <v>1567963333</v>
      </c>
      <c r="E45" s="1464">
        <f>INDEX(Data!$F$5:$F$300,MATCH('Cost of Collection'!B45,Data!$C$5:$C$300,0))</f>
        <v>18284</v>
      </c>
      <c r="F45" s="1611">
        <f t="shared" si="1"/>
        <v>1914169636.9264002</v>
      </c>
      <c r="G45" s="1465">
        <f t="shared" si="2"/>
        <v>22321.107200000002</v>
      </c>
      <c r="H45" s="1614">
        <f t="shared" si="3"/>
        <v>20160000</v>
      </c>
      <c r="I45" s="1466">
        <f t="shared" si="4"/>
        <v>63840000</v>
      </c>
      <c r="J45" s="1465">
        <f t="shared" si="0"/>
        <v>524334.69861029508</v>
      </c>
      <c r="K45" s="1465">
        <f t="shared" si="0"/>
        <v>683206.48698221205</v>
      </c>
      <c r="L45" s="1467">
        <f t="shared" si="5"/>
        <v>1207541</v>
      </c>
      <c r="N45" s="1616">
        <v>1212015.23839192</v>
      </c>
      <c r="O45" s="1468">
        <f t="shared" si="6"/>
        <v>4474.2383919199929</v>
      </c>
      <c r="P45" s="1469">
        <f t="shared" si="7"/>
        <v>3.6915694210712499E-3</v>
      </c>
      <c r="R45" s="1605">
        <v>1207541.03</v>
      </c>
      <c r="S45" s="750">
        <f t="shared" si="8"/>
        <v>3.0000000027939677E-2</v>
      </c>
    </row>
    <row r="46" spans="1:19" x14ac:dyDescent="0.2">
      <c r="A46" s="1461" t="s">
        <v>799</v>
      </c>
      <c r="B46" s="1462" t="s">
        <v>800</v>
      </c>
      <c r="C46" s="1463">
        <v>1</v>
      </c>
      <c r="D46" s="1464">
        <f>INDEX(Data!$E$5:$E$300,MATCH('Cost of Collection'!B46,Data!$C$5:$C$300,0))</f>
        <v>93482401</v>
      </c>
      <c r="E46" s="1464">
        <f>INDEX(Data!$F$5:$F$300,MATCH('Cost of Collection'!B46,Data!$C$5:$C$300,0))</f>
        <v>3664</v>
      </c>
      <c r="F46" s="1611">
        <f t="shared" si="1"/>
        <v>93482401</v>
      </c>
      <c r="G46" s="1465">
        <f t="shared" si="2"/>
        <v>3664</v>
      </c>
      <c r="H46" s="1614">
        <f t="shared" si="3"/>
        <v>20160000</v>
      </c>
      <c r="I46" s="1466">
        <f t="shared" si="4"/>
        <v>63840000</v>
      </c>
      <c r="J46" s="1465">
        <f t="shared" si="0"/>
        <v>25606.960641381451</v>
      </c>
      <c r="K46" s="1465">
        <f t="shared" si="0"/>
        <v>112148.04650473721</v>
      </c>
      <c r="L46" s="1467">
        <f t="shared" si="5"/>
        <v>137755</v>
      </c>
      <c r="N46" s="1616">
        <v>137938.08216034199</v>
      </c>
      <c r="O46" s="1468">
        <f t="shared" si="6"/>
        <v>183.08216034198995</v>
      </c>
      <c r="P46" s="1469">
        <f t="shared" si="7"/>
        <v>1.3272778443386764E-3</v>
      </c>
      <c r="R46" s="1605">
        <v>137754.9816</v>
      </c>
      <c r="S46" s="750">
        <f t="shared" si="8"/>
        <v>-1.840000000083819E-2</v>
      </c>
    </row>
    <row r="47" spans="1:19" x14ac:dyDescent="0.2">
      <c r="A47" s="1461" t="s">
        <v>801</v>
      </c>
      <c r="B47" s="1462" t="s">
        <v>802</v>
      </c>
      <c r="C47" s="1463">
        <v>1.0067999999999999</v>
      </c>
      <c r="D47" s="1464">
        <f>INDEX(Data!$E$5:$E$300,MATCH('Cost of Collection'!B47,Data!$C$5:$C$300,0))</f>
        <v>153866823</v>
      </c>
      <c r="E47" s="1464">
        <f>INDEX(Data!$F$5:$F$300,MATCH('Cost of Collection'!B47,Data!$C$5:$C$300,0))</f>
        <v>6353</v>
      </c>
      <c r="F47" s="1611">
        <f t="shared" si="1"/>
        <v>154913117.39639997</v>
      </c>
      <c r="G47" s="1465">
        <f t="shared" si="2"/>
        <v>6396.2003999999997</v>
      </c>
      <c r="H47" s="1614">
        <f t="shared" si="3"/>
        <v>20160000</v>
      </c>
      <c r="I47" s="1466">
        <f t="shared" si="4"/>
        <v>63840000</v>
      </c>
      <c r="J47" s="1465">
        <f t="shared" si="0"/>
        <v>42434.234225577056</v>
      </c>
      <c r="K47" s="1465">
        <f t="shared" si="0"/>
        <v>195775.48578406626</v>
      </c>
      <c r="L47" s="1467">
        <f t="shared" si="5"/>
        <v>238210</v>
      </c>
      <c r="N47" s="1616">
        <v>237394.46771331999</v>
      </c>
      <c r="O47" s="1468">
        <f t="shared" si="6"/>
        <v>-815.53228668001248</v>
      </c>
      <c r="P47" s="1469">
        <f t="shared" si="7"/>
        <v>-3.4353466385950394E-3</v>
      </c>
      <c r="R47" s="1605">
        <v>238209.67550000001</v>
      </c>
      <c r="S47" s="750">
        <f t="shared" si="8"/>
        <v>-0.32449999998789281</v>
      </c>
    </row>
    <row r="48" spans="1:19" x14ac:dyDescent="0.2">
      <c r="A48" s="1461" t="s">
        <v>803</v>
      </c>
      <c r="B48" s="1462" t="s">
        <v>804</v>
      </c>
      <c r="C48" s="1463">
        <v>1.0129999999999999</v>
      </c>
      <c r="D48" s="1464">
        <f>INDEX(Data!$E$5:$E$300,MATCH('Cost of Collection'!B48,Data!$C$5:$C$300,0))</f>
        <v>47314897</v>
      </c>
      <c r="E48" s="1464">
        <f>INDEX(Data!$F$5:$F$300,MATCH('Cost of Collection'!B48,Data!$C$5:$C$300,0))</f>
        <v>2056</v>
      </c>
      <c r="F48" s="1611">
        <f t="shared" si="1"/>
        <v>47929990.660999998</v>
      </c>
      <c r="G48" s="1465">
        <f t="shared" si="2"/>
        <v>2082.7279999999996</v>
      </c>
      <c r="H48" s="1614">
        <f t="shared" si="3"/>
        <v>20160000</v>
      </c>
      <c r="I48" s="1466">
        <f t="shared" si="4"/>
        <v>63840000</v>
      </c>
      <c r="J48" s="1465">
        <f t="shared" si="0"/>
        <v>13129.117045228733</v>
      </c>
      <c r="K48" s="1465">
        <f t="shared" si="0"/>
        <v>63748.328766571576</v>
      </c>
      <c r="L48" s="1467">
        <f t="shared" si="5"/>
        <v>76877</v>
      </c>
      <c r="N48" s="1616">
        <v>75253.7296196401</v>
      </c>
      <c r="O48" s="1468">
        <f t="shared" si="6"/>
        <v>-1623.2703803598997</v>
      </c>
      <c r="P48" s="1469">
        <f t="shared" si="7"/>
        <v>-2.1570630300511383E-2</v>
      </c>
      <c r="R48" s="1605">
        <v>76877.43131</v>
      </c>
      <c r="S48" s="750">
        <f t="shared" si="8"/>
        <v>0.43130999999993946</v>
      </c>
    </row>
    <row r="49" spans="1:19" x14ac:dyDescent="0.2">
      <c r="A49" s="1470" t="s">
        <v>805</v>
      </c>
      <c r="B49" s="1471" t="s">
        <v>806</v>
      </c>
      <c r="C49" s="1463">
        <v>1.0392999999999999</v>
      </c>
      <c r="D49" s="1464">
        <f>INDEX(Data!$E$5:$E$300,MATCH('Cost of Collection'!B49,Data!$C$5:$C$300,0))</f>
        <v>308906805</v>
      </c>
      <c r="E49" s="1464">
        <f>INDEX(Data!$F$5:$F$300,MATCH('Cost of Collection'!B49,Data!$C$5:$C$300,0))</f>
        <v>7340</v>
      </c>
      <c r="F49" s="1611">
        <f t="shared" si="1"/>
        <v>321046842.43649995</v>
      </c>
      <c r="G49" s="1465">
        <f t="shared" si="2"/>
        <v>7628.4619999999995</v>
      </c>
      <c r="H49" s="1614">
        <f t="shared" si="3"/>
        <v>20160000</v>
      </c>
      <c r="I49" s="1466">
        <f t="shared" si="4"/>
        <v>63840000</v>
      </c>
      <c r="J49" s="1465">
        <f t="shared" si="0"/>
        <v>87942.048667655064</v>
      </c>
      <c r="K49" s="1465">
        <f t="shared" si="0"/>
        <v>233492.661336141</v>
      </c>
      <c r="L49" s="1467">
        <f t="shared" si="5"/>
        <v>321435</v>
      </c>
      <c r="N49" s="1616">
        <v>318647.47057558899</v>
      </c>
      <c r="O49" s="1468">
        <f t="shared" si="6"/>
        <v>-2787.5294244110119</v>
      </c>
      <c r="P49" s="1469">
        <f t="shared" si="7"/>
        <v>-8.7480042423552177E-3</v>
      </c>
      <c r="R49" s="1605">
        <v>321434.6569</v>
      </c>
      <c r="S49" s="750">
        <f t="shared" si="8"/>
        <v>-0.34309999999823049</v>
      </c>
    </row>
    <row r="50" spans="1:19" x14ac:dyDescent="0.2">
      <c r="A50" s="1461" t="s">
        <v>807</v>
      </c>
      <c r="B50" s="1462" t="s">
        <v>808</v>
      </c>
      <c r="C50" s="1463">
        <v>1</v>
      </c>
      <c r="D50" s="1464">
        <f>INDEX(Data!$E$5:$E$300,MATCH('Cost of Collection'!B50,Data!$C$5:$C$300,0))</f>
        <v>142747787</v>
      </c>
      <c r="E50" s="1464">
        <f>INDEX(Data!$F$5:$F$300,MATCH('Cost of Collection'!B50,Data!$C$5:$C$300,0))</f>
        <v>4866</v>
      </c>
      <c r="F50" s="1611">
        <f t="shared" si="1"/>
        <v>142747787</v>
      </c>
      <c r="G50" s="1465">
        <f t="shared" si="2"/>
        <v>4866</v>
      </c>
      <c r="H50" s="1614">
        <f t="shared" si="3"/>
        <v>20160000</v>
      </c>
      <c r="I50" s="1466">
        <f t="shared" si="4"/>
        <v>63840000</v>
      </c>
      <c r="J50" s="1465">
        <f t="shared" si="0"/>
        <v>39101.872911386847</v>
      </c>
      <c r="K50" s="1465">
        <f t="shared" si="0"/>
        <v>148938.97224128037</v>
      </c>
      <c r="L50" s="1467">
        <f t="shared" si="5"/>
        <v>188041</v>
      </c>
      <c r="N50" s="1616">
        <v>186912.10564282001</v>
      </c>
      <c r="O50" s="1468">
        <f t="shared" si="6"/>
        <v>-1128.89435717999</v>
      </c>
      <c r="P50" s="1469">
        <f t="shared" si="7"/>
        <v>-6.0397070232425312E-3</v>
      </c>
      <c r="R50" s="1605">
        <v>188040.8113</v>
      </c>
      <c r="S50" s="750">
        <f t="shared" si="8"/>
        <v>-0.18869999999878928</v>
      </c>
    </row>
    <row r="51" spans="1:19" x14ac:dyDescent="0.2">
      <c r="A51" s="1461" t="s">
        <v>809</v>
      </c>
      <c r="B51" s="1462" t="s">
        <v>810</v>
      </c>
      <c r="C51" s="1463">
        <v>1.0129999999999999</v>
      </c>
      <c r="D51" s="1464">
        <f>INDEX(Data!$E$5:$E$300,MATCH('Cost of Collection'!B51,Data!$C$5:$C$300,0))</f>
        <v>206530805</v>
      </c>
      <c r="E51" s="1464">
        <f>INDEX(Data!$F$5:$F$300,MATCH('Cost of Collection'!B51,Data!$C$5:$C$300,0))</f>
        <v>5179</v>
      </c>
      <c r="F51" s="1611">
        <f t="shared" si="1"/>
        <v>209215705.46499997</v>
      </c>
      <c r="G51" s="1465">
        <f t="shared" si="2"/>
        <v>5246.3269999999993</v>
      </c>
      <c r="H51" s="1614">
        <f t="shared" si="3"/>
        <v>20160000</v>
      </c>
      <c r="I51" s="1466">
        <f t="shared" si="4"/>
        <v>63840000</v>
      </c>
      <c r="J51" s="1465">
        <f t="shared" si="0"/>
        <v>57308.950969296442</v>
      </c>
      <c r="K51" s="1465">
        <f t="shared" si="0"/>
        <v>160580.05577921896</v>
      </c>
      <c r="L51" s="1467">
        <f t="shared" si="5"/>
        <v>217889</v>
      </c>
      <c r="N51" s="1616">
        <v>219313.43788661601</v>
      </c>
      <c r="O51" s="1468">
        <f t="shared" si="6"/>
        <v>1424.4378866160114</v>
      </c>
      <c r="P51" s="1469">
        <f t="shared" si="7"/>
        <v>6.494986811307198E-3</v>
      </c>
      <c r="R51" s="1605">
        <v>217888.97020000001</v>
      </c>
      <c r="S51" s="750">
        <f t="shared" si="8"/>
        <v>-2.9799999989336357E-2</v>
      </c>
    </row>
    <row r="52" spans="1:19" x14ac:dyDescent="0.2">
      <c r="A52" s="1461" t="s">
        <v>811</v>
      </c>
      <c r="B52" s="1462" t="s">
        <v>812</v>
      </c>
      <c r="C52" s="1463">
        <v>1.0197000000000001</v>
      </c>
      <c r="D52" s="1464">
        <f>INDEX(Data!$E$5:$E$300,MATCH('Cost of Collection'!B52,Data!$C$5:$C$300,0))</f>
        <v>149169021</v>
      </c>
      <c r="E52" s="1464">
        <f>INDEX(Data!$F$5:$F$300,MATCH('Cost of Collection'!B52,Data!$C$5:$C$300,0))</f>
        <v>4019</v>
      </c>
      <c r="F52" s="1611">
        <f t="shared" si="1"/>
        <v>152107650.7137</v>
      </c>
      <c r="G52" s="1465">
        <f t="shared" si="2"/>
        <v>4098.1743000000006</v>
      </c>
      <c r="H52" s="1614">
        <f t="shared" si="3"/>
        <v>20160000</v>
      </c>
      <c r="I52" s="1466">
        <f t="shared" si="4"/>
        <v>63840000</v>
      </c>
      <c r="J52" s="1465">
        <f t="shared" si="0"/>
        <v>41665.752948287169</v>
      </c>
      <c r="K52" s="1465">
        <f t="shared" si="0"/>
        <v>125437.29311706302</v>
      </c>
      <c r="L52" s="1467">
        <f t="shared" si="5"/>
        <v>167103</v>
      </c>
      <c r="N52" s="1616">
        <v>167152.50693161899</v>
      </c>
      <c r="O52" s="1468">
        <f t="shared" si="6"/>
        <v>49.506931618991075</v>
      </c>
      <c r="P52" s="1469">
        <f t="shared" si="7"/>
        <v>2.9617821789082731E-4</v>
      </c>
      <c r="R52" s="1605">
        <v>167103.01749999999</v>
      </c>
      <c r="S52" s="750">
        <f t="shared" si="8"/>
        <v>1.7499999987194315E-2</v>
      </c>
    </row>
    <row r="53" spans="1:19" x14ac:dyDescent="0.2">
      <c r="A53" s="1461" t="s">
        <v>813</v>
      </c>
      <c r="B53" s="1462" t="s">
        <v>814</v>
      </c>
      <c r="C53" s="1463">
        <v>1.0533999999999999</v>
      </c>
      <c r="D53" s="1464">
        <f>INDEX(Data!$E$5:$E$300,MATCH('Cost of Collection'!B53,Data!$C$5:$C$300,0))</f>
        <v>264465446</v>
      </c>
      <c r="E53" s="1464">
        <f>INDEX(Data!$F$5:$F$300,MATCH('Cost of Collection'!B53,Data!$C$5:$C$300,0))</f>
        <v>5200</v>
      </c>
      <c r="F53" s="1611">
        <f t="shared" si="1"/>
        <v>278587900.81639999</v>
      </c>
      <c r="G53" s="1465">
        <f t="shared" si="2"/>
        <v>5477.6799999999994</v>
      </c>
      <c r="H53" s="1614">
        <f t="shared" si="3"/>
        <v>20160000</v>
      </c>
      <c r="I53" s="1466">
        <f t="shared" si="4"/>
        <v>63840000</v>
      </c>
      <c r="J53" s="1465">
        <f t="shared" si="0"/>
        <v>76311.576671748451</v>
      </c>
      <c r="K53" s="1465">
        <f t="shared" si="0"/>
        <v>167661.32952458211</v>
      </c>
      <c r="L53" s="1467">
        <f t="shared" si="5"/>
        <v>243973</v>
      </c>
      <c r="N53" s="1616">
        <v>242545.77115128699</v>
      </c>
      <c r="O53" s="1468">
        <f t="shared" si="6"/>
        <v>-1427.2288487130136</v>
      </c>
      <c r="P53" s="1469">
        <f t="shared" si="7"/>
        <v>-5.8843691313949361E-3</v>
      </c>
      <c r="R53" s="1605">
        <v>243972.86809999999</v>
      </c>
      <c r="S53" s="750">
        <f t="shared" si="8"/>
        <v>-0.13190000000759028</v>
      </c>
    </row>
    <row r="54" spans="1:19" x14ac:dyDescent="0.2">
      <c r="A54" s="1461" t="s">
        <v>815</v>
      </c>
      <c r="B54" s="1462" t="s">
        <v>816</v>
      </c>
      <c r="C54" s="1463">
        <v>1.0129999999999999</v>
      </c>
      <c r="D54" s="1464">
        <f>INDEX(Data!$E$5:$E$300,MATCH('Cost of Collection'!B54,Data!$C$5:$C$300,0))</f>
        <v>387531801</v>
      </c>
      <c r="E54" s="1464">
        <f>INDEX(Data!$F$5:$F$300,MATCH('Cost of Collection'!B54,Data!$C$5:$C$300,0))</f>
        <v>15395</v>
      </c>
      <c r="F54" s="1611">
        <f t="shared" si="1"/>
        <v>392569714.41299999</v>
      </c>
      <c r="G54" s="1465">
        <f t="shared" si="2"/>
        <v>15595.134999999998</v>
      </c>
      <c r="H54" s="1614">
        <f t="shared" si="3"/>
        <v>20160000</v>
      </c>
      <c r="I54" s="1466">
        <f t="shared" si="4"/>
        <v>63840000</v>
      </c>
      <c r="J54" s="1465">
        <f t="shared" si="0"/>
        <v>107533.79372414759</v>
      </c>
      <c r="K54" s="1465">
        <f t="shared" si="0"/>
        <v>477337.315837242</v>
      </c>
      <c r="L54" s="1467">
        <f t="shared" si="5"/>
        <v>584871</v>
      </c>
      <c r="N54" s="1616">
        <v>578438.29918089195</v>
      </c>
      <c r="O54" s="1468">
        <f t="shared" si="6"/>
        <v>-6432.7008191080531</v>
      </c>
      <c r="P54" s="1469">
        <f t="shared" si="7"/>
        <v>-1.1120807229080779E-2</v>
      </c>
      <c r="R54" s="1605">
        <v>584871.00100000005</v>
      </c>
      <c r="S54" s="750">
        <f t="shared" si="8"/>
        <v>1.0000000474974513E-3</v>
      </c>
    </row>
    <row r="55" spans="1:19" x14ac:dyDescent="0.2">
      <c r="A55" s="1461" t="s">
        <v>539</v>
      </c>
      <c r="B55" s="1462" t="s">
        <v>817</v>
      </c>
      <c r="C55" s="1463">
        <v>1.0129999999999999</v>
      </c>
      <c r="D55" s="1464">
        <f>INDEX(Data!$E$5:$E$300,MATCH('Cost of Collection'!B55,Data!$C$5:$C$300,0))</f>
        <v>408687895</v>
      </c>
      <c r="E55" s="1464">
        <f>INDEX(Data!$F$5:$F$300,MATCH('Cost of Collection'!B55,Data!$C$5:$C$300,0))</f>
        <v>12392</v>
      </c>
      <c r="F55" s="1611">
        <f t="shared" si="1"/>
        <v>414000837.63499993</v>
      </c>
      <c r="G55" s="1465">
        <f t="shared" si="2"/>
        <v>12553.096</v>
      </c>
      <c r="H55" s="1614">
        <f t="shared" si="3"/>
        <v>20160000</v>
      </c>
      <c r="I55" s="1466">
        <f t="shared" si="4"/>
        <v>63840000</v>
      </c>
      <c r="J55" s="1465">
        <f t="shared" si="0"/>
        <v>113404.26691456499</v>
      </c>
      <c r="K55" s="1465">
        <f t="shared" si="0"/>
        <v>384226.30840241013</v>
      </c>
      <c r="L55" s="1467">
        <f t="shared" si="5"/>
        <v>497631</v>
      </c>
      <c r="N55" s="1616">
        <v>495065.026278148</v>
      </c>
      <c r="O55" s="1468">
        <f t="shared" si="6"/>
        <v>-2565.9737218520022</v>
      </c>
      <c r="P55" s="1469">
        <f t="shared" si="7"/>
        <v>-5.1831044118441361E-3</v>
      </c>
      <c r="R55" s="1605">
        <v>497630.48790000001</v>
      </c>
      <c r="S55" s="750">
        <f t="shared" si="8"/>
        <v>-0.51209999999264255</v>
      </c>
    </row>
    <row r="56" spans="1:19" x14ac:dyDescent="0.2">
      <c r="A56" s="1461" t="s">
        <v>818</v>
      </c>
      <c r="B56" s="1462" t="s">
        <v>819</v>
      </c>
      <c r="C56" s="1463">
        <v>1</v>
      </c>
      <c r="D56" s="1464">
        <f>INDEX(Data!$E$5:$E$300,MATCH('Cost of Collection'!B56,Data!$C$5:$C$300,0))</f>
        <v>106713552</v>
      </c>
      <c r="E56" s="1464">
        <f>INDEX(Data!$F$5:$F$300,MATCH('Cost of Collection'!B56,Data!$C$5:$C$300,0))</f>
        <v>4399</v>
      </c>
      <c r="F56" s="1611">
        <f t="shared" si="1"/>
        <v>106713552</v>
      </c>
      <c r="G56" s="1465">
        <f t="shared" si="2"/>
        <v>4399</v>
      </c>
      <c r="H56" s="1614">
        <f t="shared" si="3"/>
        <v>20160000</v>
      </c>
      <c r="I56" s="1466">
        <f t="shared" si="4"/>
        <v>63840000</v>
      </c>
      <c r="J56" s="1465">
        <f t="shared" si="0"/>
        <v>29231.274515146579</v>
      </c>
      <c r="K56" s="1465">
        <f t="shared" si="0"/>
        <v>134644.99360653356</v>
      </c>
      <c r="L56" s="1467">
        <f t="shared" si="5"/>
        <v>163876</v>
      </c>
      <c r="N56" s="1616">
        <v>162875.346239982</v>
      </c>
      <c r="O56" s="1468">
        <f t="shared" si="6"/>
        <v>-1000.6537600180018</v>
      </c>
      <c r="P56" s="1469">
        <f t="shared" si="7"/>
        <v>-6.1436784824612407E-3</v>
      </c>
      <c r="R56" s="1605">
        <v>163876.23749999999</v>
      </c>
      <c r="S56" s="750">
        <f t="shared" si="8"/>
        <v>0.23749999998835847</v>
      </c>
    </row>
    <row r="57" spans="1:19" x14ac:dyDescent="0.2">
      <c r="A57" s="1461" t="s">
        <v>820</v>
      </c>
      <c r="B57" s="1462" t="s">
        <v>821</v>
      </c>
      <c r="C57" s="1463">
        <v>1</v>
      </c>
      <c r="D57" s="1464">
        <f>INDEX(Data!$E$5:$E$300,MATCH('Cost of Collection'!B57,Data!$C$5:$C$300,0))</f>
        <v>135544835</v>
      </c>
      <c r="E57" s="1464">
        <f>INDEX(Data!$F$5:$F$300,MATCH('Cost of Collection'!B57,Data!$C$5:$C$300,0))</f>
        <v>5500</v>
      </c>
      <c r="F57" s="1611">
        <f t="shared" si="1"/>
        <v>135544835</v>
      </c>
      <c r="G57" s="1465">
        <f t="shared" si="2"/>
        <v>5500</v>
      </c>
      <c r="H57" s="1614">
        <f t="shared" si="3"/>
        <v>20160000</v>
      </c>
      <c r="I57" s="1466">
        <f t="shared" si="4"/>
        <v>63840000</v>
      </c>
      <c r="J57" s="1465">
        <f t="shared" si="0"/>
        <v>37128.820161428492</v>
      </c>
      <c r="K57" s="1465">
        <f t="shared" si="0"/>
        <v>168344.50212228566</v>
      </c>
      <c r="L57" s="1467">
        <f t="shared" si="5"/>
        <v>205473</v>
      </c>
      <c r="N57" s="1616">
        <v>203750.021156856</v>
      </c>
      <c r="O57" s="1468">
        <f t="shared" si="6"/>
        <v>-1722.9788431439956</v>
      </c>
      <c r="P57" s="1469">
        <f t="shared" si="7"/>
        <v>-8.4563370023778717E-3</v>
      </c>
      <c r="R57" s="1605">
        <v>205473.28400000001</v>
      </c>
      <c r="S57" s="750">
        <f t="shared" si="8"/>
        <v>0.28400000001420267</v>
      </c>
    </row>
    <row r="58" spans="1:19" x14ac:dyDescent="0.2">
      <c r="A58" s="1461" t="s">
        <v>822</v>
      </c>
      <c r="B58" s="1462" t="s">
        <v>823</v>
      </c>
      <c r="C58" s="1463">
        <v>1</v>
      </c>
      <c r="D58" s="1464">
        <f>INDEX(Data!$E$5:$E$300,MATCH('Cost of Collection'!B58,Data!$C$5:$C$300,0))</f>
        <v>78198704</v>
      </c>
      <c r="E58" s="1464">
        <f>INDEX(Data!$F$5:$F$300,MATCH('Cost of Collection'!B58,Data!$C$5:$C$300,0))</f>
        <v>3793</v>
      </c>
      <c r="F58" s="1611">
        <f t="shared" si="1"/>
        <v>78198704</v>
      </c>
      <c r="G58" s="1465">
        <f t="shared" si="2"/>
        <v>3793</v>
      </c>
      <c r="H58" s="1614">
        <f t="shared" si="3"/>
        <v>20160000</v>
      </c>
      <c r="I58" s="1466">
        <f t="shared" si="4"/>
        <v>63840000</v>
      </c>
      <c r="J58" s="1465">
        <f t="shared" si="0"/>
        <v>21420.407628758254</v>
      </c>
      <c r="K58" s="1465">
        <f t="shared" si="0"/>
        <v>116096.49028178718</v>
      </c>
      <c r="L58" s="1467">
        <f t="shared" si="5"/>
        <v>137517</v>
      </c>
      <c r="N58" s="1616">
        <v>135366.80702104501</v>
      </c>
      <c r="O58" s="1468">
        <f t="shared" si="6"/>
        <v>-2150.1929789549904</v>
      </c>
      <c r="P58" s="1469">
        <f t="shared" si="7"/>
        <v>-1.5884196623037045E-2</v>
      </c>
      <c r="R58" s="1605">
        <v>137516.87150000001</v>
      </c>
      <c r="S58" s="750">
        <f t="shared" si="8"/>
        <v>-0.1284999999916181</v>
      </c>
    </row>
    <row r="59" spans="1:19" x14ac:dyDescent="0.2">
      <c r="A59" s="1461" t="s">
        <v>824</v>
      </c>
      <c r="B59" s="1462" t="s">
        <v>0</v>
      </c>
      <c r="C59" s="1463">
        <v>1.4058999999999999</v>
      </c>
      <c r="D59" s="1464">
        <f>INDEX(Data!$E$5:$E$300,MATCH('Cost of Collection'!B59,Data!$C$5:$C$300,0))</f>
        <v>2621056847</v>
      </c>
      <c r="E59" s="1464">
        <f>INDEX(Data!$F$5:$F$300,MATCH('Cost of Collection'!B59,Data!$C$5:$C$300,0))</f>
        <v>19200</v>
      </c>
      <c r="F59" s="1611">
        <f t="shared" si="1"/>
        <v>3684943821.1973</v>
      </c>
      <c r="G59" s="1465">
        <f t="shared" si="2"/>
        <v>26993.279999999999</v>
      </c>
      <c r="H59" s="1614">
        <f t="shared" si="3"/>
        <v>20160000</v>
      </c>
      <c r="I59" s="1466">
        <f t="shared" si="4"/>
        <v>63840000</v>
      </c>
      <c r="J59" s="1465">
        <f t="shared" si="0"/>
        <v>1009390.1139220957</v>
      </c>
      <c r="K59" s="1465">
        <f t="shared" si="0"/>
        <v>826212.77859044564</v>
      </c>
      <c r="L59" s="1467">
        <f t="shared" si="5"/>
        <v>1835603</v>
      </c>
      <c r="N59" s="1616">
        <v>1856080.67896145</v>
      </c>
      <c r="O59" s="1468">
        <f t="shared" si="6"/>
        <v>20477.678961450001</v>
      </c>
      <c r="P59" s="1469">
        <f t="shared" si="7"/>
        <v>1.1032752613376735E-2</v>
      </c>
      <c r="R59" s="1605">
        <v>1835602.7050000001</v>
      </c>
      <c r="S59" s="750">
        <f t="shared" si="8"/>
        <v>-0.29499999992549419</v>
      </c>
    </row>
    <row r="60" spans="1:19" x14ac:dyDescent="0.2">
      <c r="A60" s="1461" t="s">
        <v>1</v>
      </c>
      <c r="B60" s="1462" t="s">
        <v>2</v>
      </c>
      <c r="C60" s="1463">
        <v>1.0129999999999999</v>
      </c>
      <c r="D60" s="1464">
        <f>INDEX(Data!$E$5:$E$300,MATCH('Cost of Collection'!B60,Data!$C$5:$C$300,0))</f>
        <v>174520348</v>
      </c>
      <c r="E60" s="1464">
        <f>INDEX(Data!$F$5:$F$300,MATCH('Cost of Collection'!B60,Data!$C$5:$C$300,0))</f>
        <v>6179</v>
      </c>
      <c r="F60" s="1611">
        <f t="shared" si="1"/>
        <v>176789112.52399999</v>
      </c>
      <c r="G60" s="1465">
        <f t="shared" si="2"/>
        <v>6259.3269999999993</v>
      </c>
      <c r="H60" s="1614">
        <f t="shared" si="3"/>
        <v>20160000</v>
      </c>
      <c r="I60" s="1466">
        <f t="shared" si="4"/>
        <v>63840000</v>
      </c>
      <c r="J60" s="1465">
        <f t="shared" si="0"/>
        <v>48426.567972155797</v>
      </c>
      <c r="K60" s="1465">
        <f t="shared" si="0"/>
        <v>191586.0522610145</v>
      </c>
      <c r="L60" s="1467">
        <f t="shared" si="5"/>
        <v>240013</v>
      </c>
      <c r="N60" s="1616">
        <v>238804.6829208</v>
      </c>
      <c r="O60" s="1468">
        <f t="shared" si="6"/>
        <v>-1208.3170792000019</v>
      </c>
      <c r="P60" s="1469">
        <f t="shared" si="7"/>
        <v>-5.0598550431305506E-3</v>
      </c>
      <c r="R60" s="1605">
        <v>240012.57670000001</v>
      </c>
      <c r="S60" s="750">
        <f t="shared" si="8"/>
        <v>-0.42329999999492429</v>
      </c>
    </row>
    <row r="61" spans="1:19" x14ac:dyDescent="0.2">
      <c r="A61" s="1461" t="s">
        <v>3</v>
      </c>
      <c r="B61" s="1462" t="s">
        <v>4</v>
      </c>
      <c r="C61" s="1463">
        <v>1</v>
      </c>
      <c r="D61" s="1464">
        <f>INDEX(Data!$E$5:$E$300,MATCH('Cost of Collection'!B61,Data!$C$5:$C$300,0))</f>
        <v>522401204</v>
      </c>
      <c r="E61" s="1464">
        <f>INDEX(Data!$F$5:$F$300,MATCH('Cost of Collection'!B61,Data!$C$5:$C$300,0))</f>
        <v>35566</v>
      </c>
      <c r="F61" s="1611">
        <f t="shared" si="1"/>
        <v>522401204</v>
      </c>
      <c r="G61" s="1465">
        <f t="shared" si="2"/>
        <v>35566</v>
      </c>
      <c r="H61" s="1614">
        <f t="shared" si="3"/>
        <v>20160000</v>
      </c>
      <c r="I61" s="1466">
        <f t="shared" si="4"/>
        <v>63840000</v>
      </c>
      <c r="J61" s="1465">
        <f t="shared" si="0"/>
        <v>143097.59833659261</v>
      </c>
      <c r="K61" s="1465">
        <f t="shared" si="0"/>
        <v>1088607.3749965839</v>
      </c>
      <c r="L61" s="1467">
        <f t="shared" si="5"/>
        <v>1231705</v>
      </c>
      <c r="N61" s="1616">
        <v>1255310.9133250399</v>
      </c>
      <c r="O61" s="1468">
        <f t="shared" si="6"/>
        <v>23605.913325039903</v>
      </c>
      <c r="P61" s="1469">
        <f t="shared" si="7"/>
        <v>1.8804833985321675E-2</v>
      </c>
      <c r="R61" s="1605">
        <v>1231704.726</v>
      </c>
      <c r="S61" s="750">
        <f t="shared" si="8"/>
        <v>-0.27399999997578561</v>
      </c>
    </row>
    <row r="62" spans="1:19" x14ac:dyDescent="0.2">
      <c r="A62" s="1461" t="s">
        <v>5</v>
      </c>
      <c r="B62" s="1462" t="s">
        <v>6</v>
      </c>
      <c r="C62" s="1463">
        <v>1.0197000000000001</v>
      </c>
      <c r="D62" s="1464">
        <f>INDEX(Data!$E$5:$E$300,MATCH('Cost of Collection'!B62,Data!$C$5:$C$300,0))</f>
        <v>103210299</v>
      </c>
      <c r="E62" s="1464">
        <f>INDEX(Data!$F$5:$F$300,MATCH('Cost of Collection'!B62,Data!$C$5:$C$300,0))</f>
        <v>5350</v>
      </c>
      <c r="F62" s="1611">
        <f t="shared" si="1"/>
        <v>105243541.89030001</v>
      </c>
      <c r="G62" s="1465">
        <f t="shared" si="2"/>
        <v>5455.3950000000004</v>
      </c>
      <c r="H62" s="1614">
        <f t="shared" si="3"/>
        <v>20160000</v>
      </c>
      <c r="I62" s="1466">
        <f t="shared" si="4"/>
        <v>63840000</v>
      </c>
      <c r="J62" s="1465">
        <f t="shared" si="0"/>
        <v>28828.605236021827</v>
      </c>
      <c r="K62" s="1465">
        <f t="shared" si="0"/>
        <v>166979.22821007392</v>
      </c>
      <c r="L62" s="1467">
        <f t="shared" si="5"/>
        <v>195808</v>
      </c>
      <c r="N62" s="1616">
        <v>196273.15749442301</v>
      </c>
      <c r="O62" s="1468">
        <f t="shared" si="6"/>
        <v>465.15749442300876</v>
      </c>
      <c r="P62" s="1469">
        <f t="shared" si="7"/>
        <v>2.3699496169578152E-3</v>
      </c>
      <c r="R62" s="1605">
        <v>195807.79550000001</v>
      </c>
      <c r="S62" s="750">
        <f t="shared" si="8"/>
        <v>-0.20449999999254942</v>
      </c>
    </row>
    <row r="63" spans="1:19" x14ac:dyDescent="0.2">
      <c r="A63" s="1461" t="s">
        <v>7</v>
      </c>
      <c r="B63" s="1462" t="s">
        <v>8</v>
      </c>
      <c r="C63" s="1463">
        <v>1.0134000000000001</v>
      </c>
      <c r="D63" s="1464">
        <f>INDEX(Data!$E$5:$E$300,MATCH('Cost of Collection'!B63,Data!$C$5:$C$300,0))</f>
        <v>342451615</v>
      </c>
      <c r="E63" s="1464">
        <f>INDEX(Data!$F$5:$F$300,MATCH('Cost of Collection'!B63,Data!$C$5:$C$300,0))</f>
        <v>8823</v>
      </c>
      <c r="F63" s="1611">
        <f t="shared" si="1"/>
        <v>347040466.64100003</v>
      </c>
      <c r="G63" s="1465">
        <f t="shared" si="2"/>
        <v>8941.2282000000014</v>
      </c>
      <c r="H63" s="1614">
        <f t="shared" si="3"/>
        <v>20160000</v>
      </c>
      <c r="I63" s="1466">
        <f t="shared" si="4"/>
        <v>63840000</v>
      </c>
      <c r="J63" s="1465">
        <f t="shared" si="0"/>
        <v>95062.294883105758</v>
      </c>
      <c r="K63" s="1465">
        <f t="shared" si="0"/>
        <v>273673.92903468013</v>
      </c>
      <c r="L63" s="1467">
        <f t="shared" si="5"/>
        <v>368736</v>
      </c>
      <c r="N63" s="1616">
        <v>368210.216705831</v>
      </c>
      <c r="O63" s="1468">
        <f t="shared" si="6"/>
        <v>-525.78329416899942</v>
      </c>
      <c r="P63" s="1469">
        <f t="shared" si="7"/>
        <v>-1.4279432517459341E-3</v>
      </c>
      <c r="R63" s="1605">
        <v>368736.1617</v>
      </c>
      <c r="S63" s="750">
        <f t="shared" si="8"/>
        <v>0.16169999999692664</v>
      </c>
    </row>
    <row r="64" spans="1:19" x14ac:dyDescent="0.2">
      <c r="A64" s="1461" t="s">
        <v>9</v>
      </c>
      <c r="B64" s="1462" t="s">
        <v>10</v>
      </c>
      <c r="C64" s="1463">
        <v>1.1039000000000001</v>
      </c>
      <c r="D64" s="1464">
        <f>INDEX(Data!$E$5:$E$300,MATCH('Cost of Collection'!B64,Data!$C$5:$C$300,0))</f>
        <v>298568634</v>
      </c>
      <c r="E64" s="1464">
        <f>INDEX(Data!$F$5:$F$300,MATCH('Cost of Collection'!B64,Data!$C$5:$C$300,0))</f>
        <v>3714</v>
      </c>
      <c r="F64" s="1611">
        <f t="shared" si="1"/>
        <v>329589915.07260001</v>
      </c>
      <c r="G64" s="1465">
        <f t="shared" si="2"/>
        <v>4099.8846000000003</v>
      </c>
      <c r="H64" s="1614">
        <f t="shared" si="3"/>
        <v>20160000</v>
      </c>
      <c r="I64" s="1466">
        <f t="shared" si="4"/>
        <v>63840000</v>
      </c>
      <c r="J64" s="1465">
        <f t="shared" si="0"/>
        <v>90282.191008982787</v>
      </c>
      <c r="K64" s="1465">
        <f t="shared" si="0"/>
        <v>125489.64213560479</v>
      </c>
      <c r="L64" s="1467">
        <f t="shared" si="5"/>
        <v>215772</v>
      </c>
      <c r="N64" s="1616">
        <v>214392.58102398599</v>
      </c>
      <c r="O64" s="1468">
        <f t="shared" si="6"/>
        <v>-1379.4189760140143</v>
      </c>
      <c r="P64" s="1469">
        <f t="shared" si="7"/>
        <v>-6.4340798054933002E-3</v>
      </c>
      <c r="R64" s="1605">
        <v>215771.8046</v>
      </c>
      <c r="S64" s="750">
        <f t="shared" si="8"/>
        <v>-0.19539999999688007</v>
      </c>
    </row>
    <row r="65" spans="1:19" x14ac:dyDescent="0.2">
      <c r="A65" s="1461" t="s">
        <v>11</v>
      </c>
      <c r="B65" s="1462" t="s">
        <v>12</v>
      </c>
      <c r="C65" s="1463">
        <v>1.0760000000000001</v>
      </c>
      <c r="D65" s="1464">
        <f>INDEX(Data!$E$5:$E$300,MATCH('Cost of Collection'!B65,Data!$C$5:$C$300,0))</f>
        <v>320389065</v>
      </c>
      <c r="E65" s="1464">
        <f>INDEX(Data!$F$5:$F$300,MATCH('Cost of Collection'!B65,Data!$C$5:$C$300,0))</f>
        <v>8600</v>
      </c>
      <c r="F65" s="1611">
        <f t="shared" si="1"/>
        <v>344738633.94</v>
      </c>
      <c r="G65" s="1465">
        <f t="shared" si="2"/>
        <v>9253.6</v>
      </c>
      <c r="H65" s="1614">
        <f t="shared" si="3"/>
        <v>20160000</v>
      </c>
      <c r="I65" s="1466">
        <f t="shared" si="4"/>
        <v>63840000</v>
      </c>
      <c r="J65" s="1465">
        <f t="shared" si="0"/>
        <v>94431.770434150356</v>
      </c>
      <c r="K65" s="1465">
        <f t="shared" si="0"/>
        <v>283235.03360705136</v>
      </c>
      <c r="L65" s="1467">
        <f t="shared" si="5"/>
        <v>377667</v>
      </c>
      <c r="N65" s="1616">
        <v>384089.94957287901</v>
      </c>
      <c r="O65" s="1468">
        <f t="shared" si="6"/>
        <v>6422.9495728790062</v>
      </c>
      <c r="P65" s="1469">
        <f t="shared" si="7"/>
        <v>1.6722514036156225E-2</v>
      </c>
      <c r="R65" s="1605">
        <v>377666.73959999997</v>
      </c>
      <c r="S65" s="750">
        <f t="shared" si="8"/>
        <v>-0.26040000002831221</v>
      </c>
    </row>
    <row r="66" spans="1:19" x14ac:dyDescent="0.2">
      <c r="A66" s="1472" t="s">
        <v>2308</v>
      </c>
      <c r="B66" s="1473" t="s">
        <v>2333</v>
      </c>
      <c r="C66" s="1474">
        <v>1</v>
      </c>
      <c r="D66" s="1464">
        <f>INDEX(Data!$E$5:$E$300,MATCH('Cost of Collection'!B66,Data!$C$5:$C$300,0))</f>
        <v>285476674</v>
      </c>
      <c r="E66" s="1464">
        <f>INDEX(Data!$F$5:$F$300,MATCH('Cost of Collection'!B66,Data!$C$5:$C$300,0))</f>
        <v>12676</v>
      </c>
      <c r="F66" s="1611">
        <f t="shared" si="1"/>
        <v>285476674</v>
      </c>
      <c r="G66" s="1465">
        <f t="shared" si="2"/>
        <v>12676</v>
      </c>
      <c r="H66" s="1614">
        <f t="shared" si="3"/>
        <v>20160000</v>
      </c>
      <c r="I66" s="1466">
        <f t="shared" si="4"/>
        <v>63840000</v>
      </c>
      <c r="J66" s="1465">
        <f t="shared" si="0"/>
        <v>78198.568681932797</v>
      </c>
      <c r="K66" s="1465">
        <f t="shared" si="0"/>
        <v>387988.16525492602</v>
      </c>
      <c r="L66" s="1467">
        <f t="shared" si="5"/>
        <v>466187</v>
      </c>
      <c r="N66" s="1616">
        <v>470426.92172382498</v>
      </c>
      <c r="O66" s="1468">
        <f t="shared" si="6"/>
        <v>4239.9217238249839</v>
      </c>
      <c r="P66" s="1469">
        <f t="shared" si="7"/>
        <v>9.0129232151261278E-3</v>
      </c>
      <c r="R66" s="1605">
        <v>466186.64569999999</v>
      </c>
      <c r="S66" s="750">
        <f t="shared" si="8"/>
        <v>-0.35430000000633299</v>
      </c>
    </row>
    <row r="67" spans="1:19" x14ac:dyDescent="0.2">
      <c r="A67" s="1461" t="s">
        <v>13</v>
      </c>
      <c r="B67" s="1462" t="s">
        <v>14</v>
      </c>
      <c r="C67" s="1463">
        <v>1.0815999999999999</v>
      </c>
      <c r="D67" s="1464">
        <f>INDEX(Data!$E$5:$E$300,MATCH('Cost of Collection'!B67,Data!$C$5:$C$300,0))</f>
        <v>199272591</v>
      </c>
      <c r="E67" s="1464">
        <f>INDEX(Data!$F$5:$F$300,MATCH('Cost of Collection'!B67,Data!$C$5:$C$300,0))</f>
        <v>4383</v>
      </c>
      <c r="F67" s="1611">
        <f t="shared" si="1"/>
        <v>215533234.42559999</v>
      </c>
      <c r="G67" s="1465">
        <f t="shared" si="2"/>
        <v>4740.6527999999998</v>
      </c>
      <c r="H67" s="1614">
        <f t="shared" si="3"/>
        <v>20160000</v>
      </c>
      <c r="I67" s="1466">
        <f t="shared" si="4"/>
        <v>63840000</v>
      </c>
      <c r="J67" s="1465">
        <f t="shared" si="0"/>
        <v>59039.466164823702</v>
      </c>
      <c r="K67" s="1465">
        <f t="shared" si="0"/>
        <v>145102.33370011262</v>
      </c>
      <c r="L67" s="1467">
        <f t="shared" si="5"/>
        <v>204142</v>
      </c>
      <c r="N67" s="1616">
        <v>205103.60515545099</v>
      </c>
      <c r="O67" s="1468">
        <f t="shared" si="6"/>
        <v>961.60515545099042</v>
      </c>
      <c r="P67" s="1469">
        <f t="shared" si="7"/>
        <v>4.6883873870582427E-3</v>
      </c>
      <c r="R67" s="1605">
        <v>204141.76689999999</v>
      </c>
      <c r="S67" s="750">
        <f t="shared" si="8"/>
        <v>-0.23310000001220033</v>
      </c>
    </row>
    <row r="68" spans="1:19" x14ac:dyDescent="0.2">
      <c r="A68" s="1461" t="s">
        <v>563</v>
      </c>
      <c r="B68" s="1462" t="s">
        <v>16</v>
      </c>
      <c r="C68" s="1463">
        <v>1</v>
      </c>
      <c r="D68" s="1464">
        <f>INDEX(Data!$E$5:$E$300,MATCH('Cost of Collection'!B68,Data!$C$5:$C$300,0))</f>
        <v>90881946</v>
      </c>
      <c r="E68" s="1464">
        <f>INDEX(Data!$F$5:$F$300,MATCH('Cost of Collection'!B68,Data!$C$5:$C$300,0))</f>
        <v>3974</v>
      </c>
      <c r="F68" s="1611">
        <f t="shared" si="1"/>
        <v>90881946</v>
      </c>
      <c r="G68" s="1465">
        <f t="shared" si="2"/>
        <v>3974</v>
      </c>
      <c r="H68" s="1614">
        <f t="shared" si="3"/>
        <v>20160000</v>
      </c>
      <c r="I68" s="1466">
        <f t="shared" si="4"/>
        <v>63840000</v>
      </c>
      <c r="J68" s="1465">
        <f t="shared" ref="J68:K131" si="9">(F68*H68)/F$301</f>
        <v>24894.6367373914</v>
      </c>
      <c r="K68" s="1465">
        <f t="shared" si="9"/>
        <v>121636.55480617512</v>
      </c>
      <c r="L68" s="1467">
        <f t="shared" si="5"/>
        <v>146531</v>
      </c>
      <c r="N68" s="1616">
        <v>146649.71400954001</v>
      </c>
      <c r="O68" s="1468">
        <f t="shared" si="6"/>
        <v>118.71400954001001</v>
      </c>
      <c r="P68" s="1469">
        <f t="shared" si="7"/>
        <v>8.0950726935810667E-4</v>
      </c>
      <c r="R68" s="1605">
        <v>146531.16390000001</v>
      </c>
      <c r="S68" s="750">
        <f t="shared" si="8"/>
        <v>0.16390000001410954</v>
      </c>
    </row>
    <row r="69" spans="1:19" x14ac:dyDescent="0.2">
      <c r="A69" s="1461" t="s">
        <v>17</v>
      </c>
      <c r="B69" s="1462" t="s">
        <v>18</v>
      </c>
      <c r="C69" s="1463">
        <v>1.0618000000000001</v>
      </c>
      <c r="D69" s="1464">
        <f>INDEX(Data!$E$5:$E$300,MATCH('Cost of Collection'!B69,Data!$C$5:$C$300,0))</f>
        <v>212886346</v>
      </c>
      <c r="E69" s="1464">
        <f>INDEX(Data!$F$5:$F$300,MATCH('Cost of Collection'!B69,Data!$C$5:$C$300,0))</f>
        <v>3406</v>
      </c>
      <c r="F69" s="1611">
        <f t="shared" ref="F69:F132" si="10">D69*C69</f>
        <v>226042722.18280002</v>
      </c>
      <c r="G69" s="1465">
        <f t="shared" ref="G69:G132" si="11">E69*C69</f>
        <v>3616.4908</v>
      </c>
      <c r="H69" s="1614">
        <f t="shared" ref="H69:H132" si="12">20160000</f>
        <v>20160000</v>
      </c>
      <c r="I69" s="1466">
        <f t="shared" ref="I69:I132" si="13">63840000</f>
        <v>63840000</v>
      </c>
      <c r="J69" s="1465">
        <f t="shared" si="9"/>
        <v>61918.254433855218</v>
      </c>
      <c r="K69" s="1465">
        <f t="shared" si="9"/>
        <v>110693.88057378665</v>
      </c>
      <c r="L69" s="1467">
        <f t="shared" ref="L69:L132" si="14">ROUND(J69+K69,0)</f>
        <v>172612</v>
      </c>
      <c r="N69" s="1616">
        <v>169849.88440741101</v>
      </c>
      <c r="O69" s="1468">
        <f t="shared" ref="O69:O132" si="15">N69-L69</f>
        <v>-2762.1155925889907</v>
      </c>
      <c r="P69" s="1469">
        <f t="shared" ref="P69:P132" si="16">O69/N69</f>
        <v>-1.6262098748113556E-2</v>
      </c>
      <c r="R69" s="1605">
        <v>172612.10980000001</v>
      </c>
      <c r="S69" s="750">
        <f t="shared" ref="S69:S132" si="17">R69-L69</f>
        <v>0.1098000000056345</v>
      </c>
    </row>
    <row r="70" spans="1:19" x14ac:dyDescent="0.2">
      <c r="A70" s="1461" t="s">
        <v>547</v>
      </c>
      <c r="B70" s="1462" t="s">
        <v>20</v>
      </c>
      <c r="C70" s="1463">
        <v>1</v>
      </c>
      <c r="D70" s="1464">
        <f>INDEX(Data!$E$5:$E$300,MATCH('Cost of Collection'!B70,Data!$C$5:$C$300,0))</f>
        <v>242942077</v>
      </c>
      <c r="E70" s="1464">
        <f>INDEX(Data!$F$5:$F$300,MATCH('Cost of Collection'!B70,Data!$C$5:$C$300,0))</f>
        <v>8636</v>
      </c>
      <c r="F70" s="1611">
        <f t="shared" si="10"/>
        <v>242942077</v>
      </c>
      <c r="G70" s="1465">
        <f t="shared" si="11"/>
        <v>8636</v>
      </c>
      <c r="H70" s="1614">
        <f t="shared" si="12"/>
        <v>20160000</v>
      </c>
      <c r="I70" s="1466">
        <f t="shared" si="13"/>
        <v>63840000</v>
      </c>
      <c r="J70" s="1465">
        <f t="shared" si="9"/>
        <v>66547.372952845559</v>
      </c>
      <c r="K70" s="1465">
        <f t="shared" si="9"/>
        <v>264331.47642328346</v>
      </c>
      <c r="L70" s="1467">
        <f t="shared" si="14"/>
        <v>330879</v>
      </c>
      <c r="N70" s="1616">
        <v>327802.16302362602</v>
      </c>
      <c r="O70" s="1468">
        <f t="shared" si="15"/>
        <v>-3076.8369763739756</v>
      </c>
      <c r="P70" s="1469">
        <f t="shared" si="16"/>
        <v>-9.3862619696997406E-3</v>
      </c>
      <c r="R70" s="1605">
        <v>330878.7893</v>
      </c>
      <c r="S70" s="750">
        <f t="shared" si="17"/>
        <v>-0.21069999999599531</v>
      </c>
    </row>
    <row r="71" spans="1:19" x14ac:dyDescent="0.2">
      <c r="A71" s="1461" t="s">
        <v>21</v>
      </c>
      <c r="B71" s="1462" t="s">
        <v>22</v>
      </c>
      <c r="C71" s="1463">
        <v>1</v>
      </c>
      <c r="D71" s="1464">
        <f>INDEX(Data!$E$5:$E$300,MATCH('Cost of Collection'!B71,Data!$C$5:$C$300,0))</f>
        <v>60550273</v>
      </c>
      <c r="E71" s="1464">
        <f>INDEX(Data!$F$5:$F$300,MATCH('Cost of Collection'!B71,Data!$C$5:$C$300,0))</f>
        <v>4650</v>
      </c>
      <c r="F71" s="1611">
        <f t="shared" si="10"/>
        <v>60550273</v>
      </c>
      <c r="G71" s="1465">
        <f t="shared" si="11"/>
        <v>4650</v>
      </c>
      <c r="H71" s="1614">
        <f t="shared" si="12"/>
        <v>20160000</v>
      </c>
      <c r="I71" s="1466">
        <f t="shared" si="13"/>
        <v>63840000</v>
      </c>
      <c r="J71" s="1465">
        <f t="shared" si="9"/>
        <v>16586.100067497217</v>
      </c>
      <c r="K71" s="1465">
        <f t="shared" si="9"/>
        <v>142327.62452156877</v>
      </c>
      <c r="L71" s="1467">
        <f t="shared" si="14"/>
        <v>158914</v>
      </c>
      <c r="N71" s="1616">
        <v>160718.10520664699</v>
      </c>
      <c r="O71" s="1468">
        <f t="shared" si="15"/>
        <v>1804.1052066469856</v>
      </c>
      <c r="P71" s="1469">
        <f t="shared" si="16"/>
        <v>1.1225276731126938E-2</v>
      </c>
      <c r="R71" s="1605">
        <v>158913.69219999999</v>
      </c>
      <c r="S71" s="750">
        <f t="shared" si="17"/>
        <v>-0.30780000000959262</v>
      </c>
    </row>
    <row r="72" spans="1:19" x14ac:dyDescent="0.2">
      <c r="A72" s="1461" t="s">
        <v>23</v>
      </c>
      <c r="B72" s="1462" t="s">
        <v>24</v>
      </c>
      <c r="C72" s="1463">
        <v>1</v>
      </c>
      <c r="D72" s="1464">
        <f>INDEX(Data!$E$5:$E$300,MATCH('Cost of Collection'!B72,Data!$C$5:$C$300,0))</f>
        <v>288673471</v>
      </c>
      <c r="E72" s="1464">
        <f>INDEX(Data!$F$5:$F$300,MATCH('Cost of Collection'!B72,Data!$C$5:$C$300,0))</f>
        <v>9825</v>
      </c>
      <c r="F72" s="1611">
        <f t="shared" si="10"/>
        <v>288673471</v>
      </c>
      <c r="G72" s="1465">
        <f t="shared" si="11"/>
        <v>9825</v>
      </c>
      <c r="H72" s="1614">
        <f t="shared" si="12"/>
        <v>20160000</v>
      </c>
      <c r="I72" s="1466">
        <f t="shared" si="13"/>
        <v>63840000</v>
      </c>
      <c r="J72" s="1465">
        <f t="shared" si="9"/>
        <v>79074.244253824523</v>
      </c>
      <c r="K72" s="1465">
        <f t="shared" si="9"/>
        <v>300724.49697299208</v>
      </c>
      <c r="L72" s="1467">
        <f t="shared" si="14"/>
        <v>379799</v>
      </c>
      <c r="N72" s="1616">
        <v>379814.19616091601</v>
      </c>
      <c r="O72" s="1468">
        <f t="shared" si="15"/>
        <v>15.196160916006193</v>
      </c>
      <c r="P72" s="1469">
        <f t="shared" si="16"/>
        <v>4.0009460071808452E-5</v>
      </c>
      <c r="R72" s="1605">
        <v>379798.6728</v>
      </c>
      <c r="S72" s="750">
        <f t="shared" si="17"/>
        <v>-0.3271999999997206</v>
      </c>
    </row>
    <row r="73" spans="1:19" x14ac:dyDescent="0.2">
      <c r="A73" s="1470" t="s">
        <v>1179</v>
      </c>
      <c r="B73" s="1462" t="s">
        <v>1180</v>
      </c>
      <c r="C73" s="1463">
        <v>1</v>
      </c>
      <c r="D73" s="1464">
        <f>INDEX(Data!$E$5:$E$300,MATCH('Cost of Collection'!B73,Data!$C$5:$C$300,0))</f>
        <v>322341482</v>
      </c>
      <c r="E73" s="1464">
        <f>INDEX(Data!$F$5:$F$300,MATCH('Cost of Collection'!B73,Data!$C$5:$C$300,0))</f>
        <v>18132</v>
      </c>
      <c r="F73" s="1611">
        <f t="shared" si="10"/>
        <v>322341482</v>
      </c>
      <c r="G73" s="1465">
        <f t="shared" si="11"/>
        <v>18132</v>
      </c>
      <c r="H73" s="1614">
        <f t="shared" si="12"/>
        <v>20160000</v>
      </c>
      <c r="I73" s="1466">
        <f t="shared" si="13"/>
        <v>63840000</v>
      </c>
      <c r="J73" s="1465">
        <f t="shared" si="9"/>
        <v>88296.679956461187</v>
      </c>
      <c r="K73" s="1465">
        <f t="shared" si="9"/>
        <v>554985.91136023332</v>
      </c>
      <c r="L73" s="1467">
        <f t="shared" si="14"/>
        <v>643283</v>
      </c>
      <c r="N73" s="1616">
        <v>643071.02505343396</v>
      </c>
      <c r="O73" s="1468">
        <f t="shared" si="15"/>
        <v>-211.97494656604249</v>
      </c>
      <c r="P73" s="1469">
        <f t="shared" si="16"/>
        <v>-3.2962913629708181E-4</v>
      </c>
      <c r="R73" s="1605">
        <v>643282.46510000003</v>
      </c>
      <c r="S73" s="750">
        <f t="shared" si="17"/>
        <v>-0.53489999996963888</v>
      </c>
    </row>
    <row r="74" spans="1:19" x14ac:dyDescent="0.2">
      <c r="A74" s="1461" t="s">
        <v>32</v>
      </c>
      <c r="B74" s="1462" t="s">
        <v>33</v>
      </c>
      <c r="C74" s="1463">
        <v>1.0067999999999999</v>
      </c>
      <c r="D74" s="1464">
        <f>INDEX(Data!$E$5:$E$300,MATCH('Cost of Collection'!B74,Data!$C$5:$C$300,0))</f>
        <v>129379518</v>
      </c>
      <c r="E74" s="1464">
        <f>INDEX(Data!$F$5:$F$300,MATCH('Cost of Collection'!B74,Data!$C$5:$C$300,0))</f>
        <v>4191</v>
      </c>
      <c r="F74" s="1611">
        <f t="shared" si="10"/>
        <v>130259298.72239999</v>
      </c>
      <c r="G74" s="1465">
        <f t="shared" si="11"/>
        <v>4219.4987999999994</v>
      </c>
      <c r="H74" s="1614">
        <f t="shared" si="12"/>
        <v>20160000</v>
      </c>
      <c r="I74" s="1466">
        <f t="shared" si="13"/>
        <v>63840000</v>
      </c>
      <c r="J74" s="1465">
        <f t="shared" si="9"/>
        <v>35680.991286888813</v>
      </c>
      <c r="K74" s="1465">
        <f t="shared" si="9"/>
        <v>129150.80448937848</v>
      </c>
      <c r="L74" s="1467">
        <f t="shared" si="14"/>
        <v>164832</v>
      </c>
      <c r="N74" s="1616">
        <v>164836.22786961999</v>
      </c>
      <c r="O74" s="1468">
        <f t="shared" si="15"/>
        <v>4.2278696199937258</v>
      </c>
      <c r="P74" s="1469">
        <f t="shared" si="16"/>
        <v>2.5648910282864703E-5</v>
      </c>
      <c r="R74" s="1605">
        <v>164831.76639999999</v>
      </c>
      <c r="S74" s="750">
        <f t="shared" si="17"/>
        <v>-0.23360000000684522</v>
      </c>
    </row>
    <row r="75" spans="1:19" x14ac:dyDescent="0.2">
      <c r="A75" s="1461" t="s">
        <v>34</v>
      </c>
      <c r="B75" s="1462" t="s">
        <v>35</v>
      </c>
      <c r="C75" s="1463">
        <v>1.0134000000000001</v>
      </c>
      <c r="D75" s="1464">
        <f>INDEX(Data!$E$5:$E$300,MATCH('Cost of Collection'!B75,Data!$C$5:$C$300,0))</f>
        <v>237495841</v>
      </c>
      <c r="E75" s="1464">
        <f>INDEX(Data!$F$5:$F$300,MATCH('Cost of Collection'!B75,Data!$C$5:$C$300,0))</f>
        <v>10442</v>
      </c>
      <c r="F75" s="1611">
        <f t="shared" si="10"/>
        <v>240678285.26940003</v>
      </c>
      <c r="G75" s="1465">
        <f t="shared" si="11"/>
        <v>10581.9228</v>
      </c>
      <c r="H75" s="1614">
        <f t="shared" si="12"/>
        <v>20160000</v>
      </c>
      <c r="I75" s="1466">
        <f t="shared" si="13"/>
        <v>63840000</v>
      </c>
      <c r="J75" s="1465">
        <f t="shared" si="9"/>
        <v>65927.268792857649</v>
      </c>
      <c r="K75" s="1465">
        <f t="shared" si="9"/>
        <v>323892.45913862961</v>
      </c>
      <c r="L75" s="1467">
        <f t="shared" si="14"/>
        <v>389820</v>
      </c>
      <c r="N75" s="1616">
        <v>391959.47247538401</v>
      </c>
      <c r="O75" s="1468">
        <f t="shared" si="15"/>
        <v>2139.4724753840128</v>
      </c>
      <c r="P75" s="1469">
        <f t="shared" si="16"/>
        <v>5.4584022727461367E-3</v>
      </c>
      <c r="R75" s="1605">
        <v>389819.65429999999</v>
      </c>
      <c r="S75" s="750">
        <f t="shared" si="17"/>
        <v>-0.34570000000530854</v>
      </c>
    </row>
    <row r="76" spans="1:19" x14ac:dyDescent="0.2">
      <c r="A76" s="1461" t="s">
        <v>36</v>
      </c>
      <c r="B76" s="1462" t="s">
        <v>37</v>
      </c>
      <c r="C76" s="1463">
        <v>1</v>
      </c>
      <c r="D76" s="1464">
        <f>INDEX(Data!$E$5:$E$300,MATCH('Cost of Collection'!B76,Data!$C$5:$C$300,0))</f>
        <v>340195338</v>
      </c>
      <c r="E76" s="1464">
        <f>INDEX(Data!$F$5:$F$300,MATCH('Cost of Collection'!B76,Data!$C$5:$C$300,0))</f>
        <v>16056</v>
      </c>
      <c r="F76" s="1611">
        <f t="shared" si="10"/>
        <v>340195338</v>
      </c>
      <c r="G76" s="1465">
        <f t="shared" si="11"/>
        <v>16056</v>
      </c>
      <c r="H76" s="1614">
        <f t="shared" si="12"/>
        <v>20160000</v>
      </c>
      <c r="I76" s="1466">
        <f t="shared" si="13"/>
        <v>63840000</v>
      </c>
      <c r="J76" s="1465">
        <f t="shared" si="9"/>
        <v>93187.25810805244</v>
      </c>
      <c r="K76" s="1465">
        <f t="shared" si="9"/>
        <v>491443.51383189426</v>
      </c>
      <c r="L76" s="1467">
        <f t="shared" si="14"/>
        <v>584631</v>
      </c>
      <c r="N76" s="1616">
        <v>587099.82523198205</v>
      </c>
      <c r="O76" s="1468">
        <f t="shared" si="15"/>
        <v>2468.8252319820458</v>
      </c>
      <c r="P76" s="1469">
        <f t="shared" si="16"/>
        <v>4.2051200253833045E-3</v>
      </c>
      <c r="R76" s="1605">
        <v>584630.66020000004</v>
      </c>
      <c r="S76" s="750">
        <f t="shared" si="17"/>
        <v>-0.33979999995790422</v>
      </c>
    </row>
    <row r="77" spans="1:19" x14ac:dyDescent="0.2">
      <c r="A77" s="1461" t="s">
        <v>38</v>
      </c>
      <c r="B77" s="1462" t="s">
        <v>39</v>
      </c>
      <c r="C77" s="1463">
        <v>1.1113</v>
      </c>
      <c r="D77" s="1464">
        <f>INDEX(Data!$E$5:$E$300,MATCH('Cost of Collection'!B77,Data!$C$5:$C$300,0))</f>
        <v>440447426</v>
      </c>
      <c r="E77" s="1464">
        <f>INDEX(Data!$F$5:$F$300,MATCH('Cost of Collection'!B77,Data!$C$5:$C$300,0))</f>
        <v>10844</v>
      </c>
      <c r="F77" s="1611">
        <f t="shared" si="10"/>
        <v>489469224.51379997</v>
      </c>
      <c r="G77" s="1465">
        <f t="shared" si="11"/>
        <v>12050.9372</v>
      </c>
      <c r="H77" s="1614">
        <f t="shared" si="12"/>
        <v>20160000</v>
      </c>
      <c r="I77" s="1466">
        <f t="shared" si="13"/>
        <v>63840000</v>
      </c>
      <c r="J77" s="1465">
        <f t="shared" si="9"/>
        <v>134076.77844402369</v>
      </c>
      <c r="K77" s="1465">
        <f t="shared" si="9"/>
        <v>368856.18600744201</v>
      </c>
      <c r="L77" s="1467">
        <f t="shared" si="14"/>
        <v>502933</v>
      </c>
      <c r="N77" s="1616">
        <v>501644.09687831299</v>
      </c>
      <c r="O77" s="1468">
        <f t="shared" si="15"/>
        <v>-1288.9031216870062</v>
      </c>
      <c r="P77" s="1469">
        <f t="shared" si="16"/>
        <v>-2.5693576974347683E-3</v>
      </c>
      <c r="R77" s="1605">
        <v>502932.88059999997</v>
      </c>
      <c r="S77" s="750">
        <f t="shared" si="17"/>
        <v>-0.11940000002505258</v>
      </c>
    </row>
    <row r="78" spans="1:19" x14ac:dyDescent="0.2">
      <c r="A78" s="1461" t="s">
        <v>40</v>
      </c>
      <c r="B78" s="1462" t="s">
        <v>41</v>
      </c>
      <c r="C78" s="1463">
        <v>1.0339</v>
      </c>
      <c r="D78" s="1464">
        <f>INDEX(Data!$E$5:$E$300,MATCH('Cost of Collection'!B78,Data!$C$5:$C$300,0))</f>
        <v>70843487</v>
      </c>
      <c r="E78" s="1464">
        <f>INDEX(Data!$F$5:$F$300,MATCH('Cost of Collection'!B78,Data!$C$5:$C$300,0))</f>
        <v>2611</v>
      </c>
      <c r="F78" s="1611">
        <f t="shared" si="10"/>
        <v>73245081.209299996</v>
      </c>
      <c r="G78" s="1465">
        <f t="shared" si="11"/>
        <v>2699.5129000000002</v>
      </c>
      <c r="H78" s="1614">
        <f t="shared" si="12"/>
        <v>20160000</v>
      </c>
      <c r="I78" s="1466">
        <f t="shared" si="13"/>
        <v>63840000</v>
      </c>
      <c r="J78" s="1465">
        <f t="shared" si="9"/>
        <v>20063.497424518795</v>
      </c>
      <c r="K78" s="1465">
        <f t="shared" si="9"/>
        <v>82626.937295124997</v>
      </c>
      <c r="L78" s="1467">
        <f t="shared" si="14"/>
        <v>102690</v>
      </c>
      <c r="N78" s="1616">
        <v>101395.69568728399</v>
      </c>
      <c r="O78" s="1468">
        <f t="shared" si="15"/>
        <v>-1294.3043127160054</v>
      </c>
      <c r="P78" s="1469">
        <f t="shared" si="16"/>
        <v>-1.2764884189046732E-2</v>
      </c>
      <c r="R78" s="1605">
        <v>102690.41590000001</v>
      </c>
      <c r="S78" s="750">
        <f t="shared" si="17"/>
        <v>0.41590000000724103</v>
      </c>
    </row>
    <row r="79" spans="1:19" x14ac:dyDescent="0.2">
      <c r="A79" s="1461" t="s">
        <v>42</v>
      </c>
      <c r="B79" s="1462" t="s">
        <v>43</v>
      </c>
      <c r="C79" s="1463">
        <v>1</v>
      </c>
      <c r="D79" s="1464">
        <f>INDEX(Data!$E$5:$E$300,MATCH('Cost of Collection'!B79,Data!$C$5:$C$300,0))</f>
        <v>120377899</v>
      </c>
      <c r="E79" s="1464">
        <f>INDEX(Data!$F$5:$F$300,MATCH('Cost of Collection'!B79,Data!$C$5:$C$300,0))</f>
        <v>7543</v>
      </c>
      <c r="F79" s="1611">
        <f t="shared" si="10"/>
        <v>120377899</v>
      </c>
      <c r="G79" s="1465">
        <f t="shared" si="11"/>
        <v>7543</v>
      </c>
      <c r="H79" s="1614">
        <f t="shared" si="12"/>
        <v>20160000</v>
      </c>
      <c r="I79" s="1466">
        <f t="shared" si="13"/>
        <v>63840000</v>
      </c>
      <c r="J79" s="1465">
        <f t="shared" si="9"/>
        <v>32974.250648367401</v>
      </c>
      <c r="K79" s="1465">
        <f t="shared" si="9"/>
        <v>230876.83263789103</v>
      </c>
      <c r="L79" s="1467">
        <f t="shared" si="14"/>
        <v>263851</v>
      </c>
      <c r="N79" s="1616">
        <v>266347.65772762703</v>
      </c>
      <c r="O79" s="1468">
        <f t="shared" si="15"/>
        <v>2496.6577276270255</v>
      </c>
      <c r="P79" s="1469">
        <f t="shared" si="16"/>
        <v>9.3736800575891024E-3</v>
      </c>
      <c r="R79" s="1605">
        <v>263851.03080000001</v>
      </c>
      <c r="S79" s="750">
        <f t="shared" si="17"/>
        <v>3.0800000007729977E-2</v>
      </c>
    </row>
    <row r="80" spans="1:19" x14ac:dyDescent="0.2">
      <c r="A80" s="1461" t="s">
        <v>44</v>
      </c>
      <c r="B80" s="1462" t="s">
        <v>45</v>
      </c>
      <c r="C80" s="1463">
        <v>1.036</v>
      </c>
      <c r="D80" s="1464">
        <f>INDEX(Data!$E$5:$E$300,MATCH('Cost of Collection'!B80,Data!$C$5:$C$300,0))</f>
        <v>96959087</v>
      </c>
      <c r="E80" s="1464">
        <f>INDEX(Data!$F$5:$F$300,MATCH('Cost of Collection'!B80,Data!$C$5:$C$300,0))</f>
        <v>4149</v>
      </c>
      <c r="F80" s="1611">
        <f t="shared" si="10"/>
        <v>100449614.132</v>
      </c>
      <c r="G80" s="1465">
        <f t="shared" si="11"/>
        <v>4298.3640000000005</v>
      </c>
      <c r="H80" s="1614">
        <f t="shared" si="12"/>
        <v>20160000</v>
      </c>
      <c r="I80" s="1466">
        <f t="shared" si="13"/>
        <v>63840000</v>
      </c>
      <c r="J80" s="1465">
        <f t="shared" si="9"/>
        <v>27515.43914153508</v>
      </c>
      <c r="K80" s="1465">
        <f t="shared" si="9"/>
        <v>131564.71773097388</v>
      </c>
      <c r="L80" s="1467">
        <f t="shared" si="14"/>
        <v>159080</v>
      </c>
      <c r="N80" s="1616">
        <v>159044.75585066699</v>
      </c>
      <c r="O80" s="1468">
        <f t="shared" si="15"/>
        <v>-35.244149333011592</v>
      </c>
      <c r="P80" s="1469">
        <f t="shared" si="16"/>
        <v>-2.2159894015055502E-4</v>
      </c>
      <c r="R80" s="1605">
        <v>159080.1269</v>
      </c>
      <c r="S80" s="750">
        <f t="shared" si="17"/>
        <v>0.12690000000293367</v>
      </c>
    </row>
    <row r="81" spans="1:19" x14ac:dyDescent="0.2">
      <c r="A81" s="1461" t="s">
        <v>46</v>
      </c>
      <c r="B81" s="1462" t="s">
        <v>47</v>
      </c>
      <c r="C81" s="1463">
        <v>1.0815999999999999</v>
      </c>
      <c r="D81" s="1464">
        <f>INDEX(Data!$E$5:$E$300,MATCH('Cost of Collection'!B81,Data!$C$5:$C$300,0))</f>
        <v>139963147</v>
      </c>
      <c r="E81" s="1464">
        <f>INDEX(Data!$F$5:$F$300,MATCH('Cost of Collection'!B81,Data!$C$5:$C$300,0))</f>
        <v>4927</v>
      </c>
      <c r="F81" s="1611">
        <f t="shared" si="10"/>
        <v>151384139.79519999</v>
      </c>
      <c r="G81" s="1465">
        <f t="shared" si="11"/>
        <v>5329.0431999999992</v>
      </c>
      <c r="H81" s="1614">
        <f t="shared" si="12"/>
        <v>20160000</v>
      </c>
      <c r="I81" s="1466">
        <f t="shared" si="13"/>
        <v>63840000</v>
      </c>
      <c r="J81" s="1465">
        <f t="shared" si="9"/>
        <v>41467.566814689257</v>
      </c>
      <c r="K81" s="1465">
        <f t="shared" si="9"/>
        <v>163111.84078039124</v>
      </c>
      <c r="L81" s="1467">
        <f t="shared" si="14"/>
        <v>204579</v>
      </c>
      <c r="N81" s="1616">
        <v>202531.21020519701</v>
      </c>
      <c r="O81" s="1468">
        <f t="shared" si="15"/>
        <v>-2047.7897948029859</v>
      </c>
      <c r="P81" s="1469">
        <f t="shared" si="16"/>
        <v>-1.0110983846530331E-2</v>
      </c>
      <c r="R81" s="1605">
        <v>204579.37049999999</v>
      </c>
      <c r="S81" s="750">
        <f t="shared" si="17"/>
        <v>0.37049999998998828</v>
      </c>
    </row>
    <row r="82" spans="1:19" x14ac:dyDescent="0.2">
      <c r="A82" s="1461" t="s">
        <v>48</v>
      </c>
      <c r="B82" s="1462" t="s">
        <v>49</v>
      </c>
      <c r="C82" s="1463">
        <v>1</v>
      </c>
      <c r="D82" s="1464">
        <f>INDEX(Data!$E$5:$E$300,MATCH('Cost of Collection'!B82,Data!$C$5:$C$300,0))</f>
        <v>122044900</v>
      </c>
      <c r="E82" s="1464">
        <f>INDEX(Data!$F$5:$F$300,MATCH('Cost of Collection'!B82,Data!$C$5:$C$300,0))</f>
        <v>7286</v>
      </c>
      <c r="F82" s="1611">
        <f t="shared" si="10"/>
        <v>122044900</v>
      </c>
      <c r="G82" s="1465">
        <f t="shared" si="11"/>
        <v>7286</v>
      </c>
      <c r="H82" s="1614">
        <f t="shared" si="12"/>
        <v>20160000</v>
      </c>
      <c r="I82" s="1466">
        <f t="shared" si="13"/>
        <v>63840000</v>
      </c>
      <c r="J82" s="1465">
        <f t="shared" si="9"/>
        <v>33430.88022291314</v>
      </c>
      <c r="K82" s="1465">
        <f t="shared" si="9"/>
        <v>223010.55317508604</v>
      </c>
      <c r="L82" s="1467">
        <f t="shared" si="14"/>
        <v>256441</v>
      </c>
      <c r="N82" s="1616">
        <v>259139.43252729601</v>
      </c>
      <c r="O82" s="1468">
        <f t="shared" si="15"/>
        <v>2698.4325272960123</v>
      </c>
      <c r="P82" s="1469">
        <f t="shared" si="16"/>
        <v>1.0413052544644195E-2</v>
      </c>
      <c r="R82" s="1605">
        <v>256441.38269999999</v>
      </c>
      <c r="S82" s="750">
        <f t="shared" si="17"/>
        <v>0.38269999998738058</v>
      </c>
    </row>
    <row r="83" spans="1:19" x14ac:dyDescent="0.2">
      <c r="A83" s="1461" t="s">
        <v>592</v>
      </c>
      <c r="B83" s="1462" t="s">
        <v>51</v>
      </c>
      <c r="C83" s="1463">
        <v>1</v>
      </c>
      <c r="D83" s="1464">
        <f>INDEX(Data!$E$5:$E$300,MATCH('Cost of Collection'!B83,Data!$C$5:$C$300,0))</f>
        <v>295704375</v>
      </c>
      <c r="E83" s="1464">
        <f>INDEX(Data!$F$5:$F$300,MATCH('Cost of Collection'!B83,Data!$C$5:$C$300,0))</f>
        <v>12263</v>
      </c>
      <c r="F83" s="1611">
        <f t="shared" si="10"/>
        <v>295704375</v>
      </c>
      <c r="G83" s="1465">
        <f t="shared" si="11"/>
        <v>12263</v>
      </c>
      <c r="H83" s="1614">
        <f t="shared" si="12"/>
        <v>20160000</v>
      </c>
      <c r="I83" s="1466">
        <f t="shared" si="13"/>
        <v>63840000</v>
      </c>
      <c r="J83" s="1465">
        <f t="shared" si="9"/>
        <v>81000.169134608572</v>
      </c>
      <c r="K83" s="1465">
        <f t="shared" si="9"/>
        <v>375347.02355010709</v>
      </c>
      <c r="L83" s="1467">
        <f t="shared" si="14"/>
        <v>456347</v>
      </c>
      <c r="N83" s="1616">
        <v>459981.21524640702</v>
      </c>
      <c r="O83" s="1468">
        <f t="shared" si="15"/>
        <v>3634.2152464070241</v>
      </c>
      <c r="P83" s="1469">
        <f t="shared" si="16"/>
        <v>7.9007905669804656E-3</v>
      </c>
      <c r="R83" s="1605">
        <v>456347.10729999997</v>
      </c>
      <c r="S83" s="750">
        <f t="shared" si="17"/>
        <v>0.10729999997420236</v>
      </c>
    </row>
    <row r="84" spans="1:19" x14ac:dyDescent="0.2">
      <c r="A84" s="1461" t="s">
        <v>54</v>
      </c>
      <c r="B84" s="1462" t="s">
        <v>55</v>
      </c>
      <c r="C84" s="1463">
        <v>1</v>
      </c>
      <c r="D84" s="1464">
        <f>INDEX(Data!$E$5:$E$300,MATCH('Cost of Collection'!B84,Data!$C$5:$C$300,0))</f>
        <v>155839274</v>
      </c>
      <c r="E84" s="1464">
        <f>INDEX(Data!$F$5:$F$300,MATCH('Cost of Collection'!B84,Data!$C$5:$C$300,0))</f>
        <v>4193</v>
      </c>
      <c r="F84" s="1611">
        <f t="shared" si="10"/>
        <v>155839274</v>
      </c>
      <c r="G84" s="1465">
        <f t="shared" si="11"/>
        <v>4193</v>
      </c>
      <c r="H84" s="1614">
        <f t="shared" si="12"/>
        <v>20160000</v>
      </c>
      <c r="I84" s="1466">
        <f t="shared" si="13"/>
        <v>63840000</v>
      </c>
      <c r="J84" s="1465">
        <f t="shared" si="9"/>
        <v>42687.929631797328</v>
      </c>
      <c r="K84" s="1465">
        <f t="shared" si="9"/>
        <v>128339.7267997716</v>
      </c>
      <c r="L84" s="1467">
        <f t="shared" si="14"/>
        <v>171028</v>
      </c>
      <c r="N84" s="1616">
        <v>170060.48835413301</v>
      </c>
      <c r="O84" s="1468">
        <f t="shared" si="15"/>
        <v>-967.51164586699451</v>
      </c>
      <c r="P84" s="1469">
        <f t="shared" si="16"/>
        <v>-5.6892206721896139E-3</v>
      </c>
      <c r="R84" s="1605">
        <v>171027.62719999999</v>
      </c>
      <c r="S84" s="750">
        <f t="shared" si="17"/>
        <v>-0.37280000001192093</v>
      </c>
    </row>
    <row r="85" spans="1:19" x14ac:dyDescent="0.2">
      <c r="A85" s="1470" t="s">
        <v>1181</v>
      </c>
      <c r="B85" s="1471" t="s">
        <v>1182</v>
      </c>
      <c r="C85" s="1463">
        <v>1.0054000000000001</v>
      </c>
      <c r="D85" s="1464">
        <f>INDEX(Data!$E$5:$E$300,MATCH('Cost of Collection'!B85,Data!$C$5:$C$300,0))</f>
        <v>258945270</v>
      </c>
      <c r="E85" s="1464">
        <f>INDEX(Data!$F$5:$F$300,MATCH('Cost of Collection'!B85,Data!$C$5:$C$300,0))</f>
        <v>12916</v>
      </c>
      <c r="F85" s="1611">
        <f t="shared" si="10"/>
        <v>260343574.458</v>
      </c>
      <c r="G85" s="1465">
        <f t="shared" si="11"/>
        <v>12985.746400000002</v>
      </c>
      <c r="H85" s="1614">
        <f t="shared" si="12"/>
        <v>20160000</v>
      </c>
      <c r="I85" s="1466">
        <f t="shared" si="13"/>
        <v>63840000</v>
      </c>
      <c r="J85" s="1465">
        <f t="shared" si="9"/>
        <v>71314.039787901551</v>
      </c>
      <c r="K85" s="1465">
        <f t="shared" si="9"/>
        <v>397468.91134441155</v>
      </c>
      <c r="L85" s="1467">
        <f t="shared" si="14"/>
        <v>468783</v>
      </c>
      <c r="N85" s="1616">
        <v>473269.34724068397</v>
      </c>
      <c r="O85" s="1468">
        <f t="shared" si="15"/>
        <v>4486.3472406839719</v>
      </c>
      <c r="P85" s="1469">
        <f t="shared" si="16"/>
        <v>9.4794798497744529E-3</v>
      </c>
      <c r="R85" s="1605">
        <v>468782.86070000002</v>
      </c>
      <c r="S85" s="750">
        <f t="shared" si="17"/>
        <v>-0.13929999998072162</v>
      </c>
    </row>
    <row r="86" spans="1:19" x14ac:dyDescent="0.2">
      <c r="A86" s="1461" t="s">
        <v>56</v>
      </c>
      <c r="B86" s="1462" t="s">
        <v>57</v>
      </c>
      <c r="C86" s="1463">
        <v>1.0089999999999999</v>
      </c>
      <c r="D86" s="1464">
        <f>INDEX(Data!$E$5:$E$300,MATCH('Cost of Collection'!B86,Data!$C$5:$C$300,0))</f>
        <v>91260863</v>
      </c>
      <c r="E86" s="1464">
        <f>INDEX(Data!$F$5:$F$300,MATCH('Cost of Collection'!B86,Data!$C$5:$C$300,0))</f>
        <v>3095</v>
      </c>
      <c r="F86" s="1611">
        <f t="shared" si="10"/>
        <v>92082210.76699999</v>
      </c>
      <c r="G86" s="1465">
        <f t="shared" si="11"/>
        <v>3122.8549999999996</v>
      </c>
      <c r="H86" s="1614">
        <f t="shared" si="12"/>
        <v>20160000</v>
      </c>
      <c r="I86" s="1466">
        <f t="shared" si="13"/>
        <v>63840000</v>
      </c>
      <c r="J86" s="1465">
        <f t="shared" si="9"/>
        <v>25223.416618085794</v>
      </c>
      <c r="K86" s="1465">
        <f t="shared" si="9"/>
        <v>95584.630940925505</v>
      </c>
      <c r="L86" s="1467">
        <f t="shared" si="14"/>
        <v>120808</v>
      </c>
      <c r="N86" s="1616">
        <v>121022.781698197</v>
      </c>
      <c r="O86" s="1468">
        <f t="shared" si="15"/>
        <v>214.78169819699542</v>
      </c>
      <c r="P86" s="1469">
        <f t="shared" si="16"/>
        <v>1.7747212151560986E-3</v>
      </c>
      <c r="R86" s="1605">
        <v>120808.0258</v>
      </c>
      <c r="S86" s="750">
        <f t="shared" si="17"/>
        <v>2.5800000003073364E-2</v>
      </c>
    </row>
    <row r="87" spans="1:19" x14ac:dyDescent="0.2">
      <c r="A87" s="1461" t="s">
        <v>58</v>
      </c>
      <c r="B87" s="1462" t="s">
        <v>59</v>
      </c>
      <c r="C87" s="1463">
        <v>1.036</v>
      </c>
      <c r="D87" s="1464">
        <f>INDEX(Data!$E$5:$E$300,MATCH('Cost of Collection'!B87,Data!$C$5:$C$300,0))</f>
        <v>148316699</v>
      </c>
      <c r="E87" s="1464">
        <f>INDEX(Data!$F$5:$F$300,MATCH('Cost of Collection'!B87,Data!$C$5:$C$300,0))</f>
        <v>3134</v>
      </c>
      <c r="F87" s="1611">
        <f t="shared" si="10"/>
        <v>153656100.164</v>
      </c>
      <c r="G87" s="1465">
        <f t="shared" si="11"/>
        <v>3246.8240000000001</v>
      </c>
      <c r="H87" s="1614">
        <f t="shared" si="12"/>
        <v>20160000</v>
      </c>
      <c r="I87" s="1466">
        <f t="shared" si="13"/>
        <v>63840000</v>
      </c>
      <c r="J87" s="1465">
        <f t="shared" si="9"/>
        <v>42089.908550890919</v>
      </c>
      <c r="K87" s="1465">
        <f t="shared" si="9"/>
        <v>99379.085410670537</v>
      </c>
      <c r="L87" s="1467">
        <f t="shared" si="14"/>
        <v>141469</v>
      </c>
      <c r="N87" s="1616">
        <v>141440.86681301301</v>
      </c>
      <c r="O87" s="1468">
        <f t="shared" si="15"/>
        <v>-28.13318698699004</v>
      </c>
      <c r="P87" s="1469">
        <f t="shared" si="16"/>
        <v>-1.9890423200094316E-4</v>
      </c>
      <c r="R87" s="1605">
        <v>141468.97140000001</v>
      </c>
      <c r="S87" s="750">
        <f t="shared" si="17"/>
        <v>-2.8599999990547076E-2</v>
      </c>
    </row>
    <row r="88" spans="1:19" x14ac:dyDescent="0.2">
      <c r="A88" s="1461" t="s">
        <v>60</v>
      </c>
      <c r="B88" s="1462" t="s">
        <v>61</v>
      </c>
      <c r="C88" s="1463">
        <v>1.1039000000000001</v>
      </c>
      <c r="D88" s="1464">
        <f>INDEX(Data!$E$5:$E$300,MATCH('Cost of Collection'!B88,Data!$C$5:$C$300,0))</f>
        <v>160517604</v>
      </c>
      <c r="E88" s="1464">
        <f>INDEX(Data!$F$5:$F$300,MATCH('Cost of Collection'!B88,Data!$C$5:$C$300,0))</f>
        <v>3880</v>
      </c>
      <c r="F88" s="1611">
        <f t="shared" si="10"/>
        <v>177195383.05560002</v>
      </c>
      <c r="G88" s="1465">
        <f t="shared" si="11"/>
        <v>4283.1320000000005</v>
      </c>
      <c r="H88" s="1614">
        <f t="shared" si="12"/>
        <v>20160000</v>
      </c>
      <c r="I88" s="1466">
        <f t="shared" si="13"/>
        <v>63840000</v>
      </c>
      <c r="J88" s="1465">
        <f t="shared" si="9"/>
        <v>48537.854732028754</v>
      </c>
      <c r="K88" s="1465">
        <f t="shared" si="9"/>
        <v>131098.49528436904</v>
      </c>
      <c r="L88" s="1467">
        <f t="shared" si="14"/>
        <v>179636</v>
      </c>
      <c r="N88" s="1616">
        <v>177356.38854230999</v>
      </c>
      <c r="O88" s="1468">
        <f t="shared" si="15"/>
        <v>-2279.6114576900145</v>
      </c>
      <c r="P88" s="1469">
        <f t="shared" si="16"/>
        <v>-1.285328076663104E-2</v>
      </c>
      <c r="R88" s="1605">
        <v>179636.32019999999</v>
      </c>
      <c r="S88" s="750">
        <f t="shared" si="17"/>
        <v>0.32019999998738058</v>
      </c>
    </row>
    <row r="89" spans="1:19" x14ac:dyDescent="0.2">
      <c r="A89" s="1461" t="s">
        <v>62</v>
      </c>
      <c r="B89" s="1462" t="s">
        <v>63</v>
      </c>
      <c r="C89" s="1463">
        <v>1.0760000000000001</v>
      </c>
      <c r="D89" s="1464">
        <f>INDEX(Data!$E$5:$E$300,MATCH('Cost of Collection'!B89,Data!$C$5:$C$300,0))</f>
        <v>322369949</v>
      </c>
      <c r="E89" s="1464">
        <f>INDEX(Data!$F$5:$F$300,MATCH('Cost of Collection'!B89,Data!$C$5:$C$300,0))</f>
        <v>7079</v>
      </c>
      <c r="F89" s="1611">
        <f t="shared" si="10"/>
        <v>346870065.12400001</v>
      </c>
      <c r="G89" s="1465">
        <f t="shared" si="11"/>
        <v>7617.0040000000008</v>
      </c>
      <c r="H89" s="1614">
        <f t="shared" si="12"/>
        <v>20160000</v>
      </c>
      <c r="I89" s="1466">
        <f t="shared" si="13"/>
        <v>63840000</v>
      </c>
      <c r="J89" s="1465">
        <f t="shared" si="9"/>
        <v>95015.618023158066</v>
      </c>
      <c r="K89" s="1465">
        <f t="shared" si="9"/>
        <v>233141.95382608337</v>
      </c>
      <c r="L89" s="1467">
        <f t="shared" si="14"/>
        <v>328158</v>
      </c>
      <c r="N89" s="1616">
        <v>328209.35674435302</v>
      </c>
      <c r="O89" s="1468">
        <f t="shared" si="15"/>
        <v>51.356744353019167</v>
      </c>
      <c r="P89" s="1469">
        <f t="shared" si="16"/>
        <v>1.564755644459633E-4</v>
      </c>
      <c r="R89" s="1605">
        <v>328157.51880000002</v>
      </c>
      <c r="S89" s="750">
        <f t="shared" si="17"/>
        <v>-0.48119999998016283</v>
      </c>
    </row>
    <row r="90" spans="1:19" x14ac:dyDescent="0.2">
      <c r="A90" s="1461" t="s">
        <v>64</v>
      </c>
      <c r="B90" s="1462" t="s">
        <v>65</v>
      </c>
      <c r="C90" s="1463">
        <v>1.0618000000000001</v>
      </c>
      <c r="D90" s="1464">
        <f>INDEX(Data!$E$5:$E$300,MATCH('Cost of Collection'!B90,Data!$C$5:$C$300,0))</f>
        <v>109412498</v>
      </c>
      <c r="E90" s="1464">
        <f>INDEX(Data!$F$5:$F$300,MATCH('Cost of Collection'!B90,Data!$C$5:$C$300,0))</f>
        <v>4599</v>
      </c>
      <c r="F90" s="1611">
        <f t="shared" si="10"/>
        <v>116174190.37640001</v>
      </c>
      <c r="G90" s="1465">
        <f t="shared" si="11"/>
        <v>4883.2182000000003</v>
      </c>
      <c r="H90" s="1614">
        <f t="shared" si="12"/>
        <v>20160000</v>
      </c>
      <c r="I90" s="1466">
        <f t="shared" si="13"/>
        <v>63840000</v>
      </c>
      <c r="J90" s="1465">
        <f t="shared" si="9"/>
        <v>31822.759029400953</v>
      </c>
      <c r="K90" s="1465">
        <f t="shared" si="9"/>
        <v>149465.98847881527</v>
      </c>
      <c r="L90" s="1467">
        <f t="shared" si="14"/>
        <v>181289</v>
      </c>
      <c r="N90" s="1616">
        <v>179545.55187477</v>
      </c>
      <c r="O90" s="1468">
        <f t="shared" si="15"/>
        <v>-1743.4481252300029</v>
      </c>
      <c r="P90" s="1469">
        <f t="shared" si="16"/>
        <v>-9.7103387247712419E-3</v>
      </c>
      <c r="R90" s="1605">
        <v>181288.71350000001</v>
      </c>
      <c r="S90" s="750">
        <f t="shared" si="17"/>
        <v>-0.28649999998742715</v>
      </c>
    </row>
    <row r="91" spans="1:19" x14ac:dyDescent="0.2">
      <c r="A91" s="1461" t="s">
        <v>966</v>
      </c>
      <c r="B91" s="1462" t="s">
        <v>67</v>
      </c>
      <c r="C91" s="1463">
        <v>1.1039000000000001</v>
      </c>
      <c r="D91" s="1464">
        <f>INDEX(Data!$E$5:$E$300,MATCH('Cost of Collection'!B91,Data!$C$5:$C$300,0))</f>
        <v>63994572</v>
      </c>
      <c r="E91" s="1464">
        <f>INDEX(Data!$F$5:$F$300,MATCH('Cost of Collection'!B91,Data!$C$5:$C$300,0))</f>
        <v>1768</v>
      </c>
      <c r="F91" s="1611">
        <f t="shared" si="10"/>
        <v>70643608.0308</v>
      </c>
      <c r="G91" s="1465">
        <f t="shared" si="11"/>
        <v>1951.6952000000001</v>
      </c>
      <c r="H91" s="1614">
        <f t="shared" si="12"/>
        <v>20160000</v>
      </c>
      <c r="I91" s="1466">
        <f t="shared" si="13"/>
        <v>63840000</v>
      </c>
      <c r="J91" s="1465">
        <f t="shared" si="9"/>
        <v>19350.894618227383</v>
      </c>
      <c r="K91" s="1465">
        <f t="shared" si="9"/>
        <v>59737.664861537225</v>
      </c>
      <c r="L91" s="1467">
        <f t="shared" si="14"/>
        <v>79089</v>
      </c>
      <c r="N91" s="1616">
        <v>78577.549648726199</v>
      </c>
      <c r="O91" s="1468">
        <f t="shared" si="15"/>
        <v>-511.45035127380106</v>
      </c>
      <c r="P91" s="1469">
        <f t="shared" si="16"/>
        <v>-6.5088610367744146E-3</v>
      </c>
      <c r="R91" s="1605">
        <v>79088.545889999994</v>
      </c>
      <c r="S91" s="750">
        <f t="shared" si="17"/>
        <v>-0.45411000000603963</v>
      </c>
    </row>
    <row r="92" spans="1:19" x14ac:dyDescent="0.2">
      <c r="A92" s="1461" t="s">
        <v>68</v>
      </c>
      <c r="B92" s="1462" t="s">
        <v>69</v>
      </c>
      <c r="C92" s="1463">
        <v>1</v>
      </c>
      <c r="D92" s="1464">
        <f>INDEX(Data!$E$5:$E$300,MATCH('Cost of Collection'!B92,Data!$C$5:$C$300,0))</f>
        <v>69769466</v>
      </c>
      <c r="E92" s="1464">
        <f>INDEX(Data!$F$5:$F$300,MATCH('Cost of Collection'!B92,Data!$C$5:$C$300,0))</f>
        <v>3693</v>
      </c>
      <c r="F92" s="1611">
        <f t="shared" si="10"/>
        <v>69769466</v>
      </c>
      <c r="G92" s="1465">
        <f t="shared" si="11"/>
        <v>3693</v>
      </c>
      <c r="H92" s="1614">
        <f t="shared" si="12"/>
        <v>20160000</v>
      </c>
      <c r="I92" s="1466">
        <f t="shared" si="13"/>
        <v>63840000</v>
      </c>
      <c r="J92" s="1465">
        <f t="shared" si="9"/>
        <v>19111.447189211598</v>
      </c>
      <c r="K92" s="1465">
        <f t="shared" si="9"/>
        <v>113035.68115229107</v>
      </c>
      <c r="L92" s="1467">
        <f t="shared" si="14"/>
        <v>132147</v>
      </c>
      <c r="N92" s="1616">
        <v>132132.39964787301</v>
      </c>
      <c r="O92" s="1468">
        <f t="shared" si="15"/>
        <v>-14.600352126988582</v>
      </c>
      <c r="P92" s="1469">
        <f t="shared" si="16"/>
        <v>-1.1049789579162925E-4</v>
      </c>
      <c r="R92" s="1605">
        <v>132147.10260000001</v>
      </c>
      <c r="S92" s="750">
        <f t="shared" si="17"/>
        <v>0.10260000001289882</v>
      </c>
    </row>
    <row r="93" spans="1:19" x14ac:dyDescent="0.2">
      <c r="A93" s="1461" t="s">
        <v>70</v>
      </c>
      <c r="B93" s="1462" t="s">
        <v>71</v>
      </c>
      <c r="C93" s="1463">
        <v>1</v>
      </c>
      <c r="D93" s="1464">
        <f>INDEX(Data!$E$5:$E$300,MATCH('Cost of Collection'!B93,Data!$C$5:$C$300,0))</f>
        <v>195280534</v>
      </c>
      <c r="E93" s="1464">
        <f>INDEX(Data!$F$5:$F$300,MATCH('Cost of Collection'!B93,Data!$C$5:$C$300,0))</f>
        <v>5066</v>
      </c>
      <c r="F93" s="1611">
        <f t="shared" si="10"/>
        <v>195280534</v>
      </c>
      <c r="G93" s="1465">
        <f t="shared" si="11"/>
        <v>5066</v>
      </c>
      <c r="H93" s="1614">
        <f t="shared" si="12"/>
        <v>20160000</v>
      </c>
      <c r="I93" s="1466">
        <f t="shared" si="13"/>
        <v>63840000</v>
      </c>
      <c r="J93" s="1465">
        <f t="shared" si="9"/>
        <v>53491.789841447833</v>
      </c>
      <c r="K93" s="1465">
        <f t="shared" si="9"/>
        <v>155060.59050027258</v>
      </c>
      <c r="L93" s="1467">
        <f t="shared" si="14"/>
        <v>208552</v>
      </c>
      <c r="N93" s="1616">
        <v>210748.89543931099</v>
      </c>
      <c r="O93" s="1468">
        <f t="shared" si="15"/>
        <v>2196.8954393109889</v>
      </c>
      <c r="P93" s="1469">
        <f t="shared" si="16"/>
        <v>1.0424232282363848E-2</v>
      </c>
      <c r="R93" s="1605">
        <v>208552.34510000001</v>
      </c>
      <c r="S93" s="750">
        <f t="shared" si="17"/>
        <v>0.3451000000059139</v>
      </c>
    </row>
    <row r="94" spans="1:19" x14ac:dyDescent="0.2">
      <c r="A94" s="1461" t="s">
        <v>72</v>
      </c>
      <c r="B94" s="1462" t="s">
        <v>73</v>
      </c>
      <c r="C94" s="1463">
        <v>1.036</v>
      </c>
      <c r="D94" s="1464">
        <f>INDEX(Data!$E$5:$E$300,MATCH('Cost of Collection'!B94,Data!$C$5:$C$300,0))</f>
        <v>112764501</v>
      </c>
      <c r="E94" s="1464">
        <f>INDEX(Data!$F$5:$F$300,MATCH('Cost of Collection'!B94,Data!$C$5:$C$300,0))</f>
        <v>3297</v>
      </c>
      <c r="F94" s="1611">
        <f t="shared" si="10"/>
        <v>116824023.036</v>
      </c>
      <c r="G94" s="1465">
        <f t="shared" si="11"/>
        <v>3415.692</v>
      </c>
      <c r="H94" s="1614">
        <f t="shared" si="12"/>
        <v>20160000</v>
      </c>
      <c r="I94" s="1466">
        <f t="shared" si="13"/>
        <v>63840000</v>
      </c>
      <c r="J94" s="1465">
        <f t="shared" si="9"/>
        <v>32000.763008330221</v>
      </c>
      <c r="K94" s="1465">
        <f t="shared" si="9"/>
        <v>104547.81257146802</v>
      </c>
      <c r="L94" s="1467">
        <f t="shared" si="14"/>
        <v>136549</v>
      </c>
      <c r="N94" s="1616">
        <v>138717.317881339</v>
      </c>
      <c r="O94" s="1468">
        <f t="shared" si="15"/>
        <v>2168.3178813389968</v>
      </c>
      <c r="P94" s="1469">
        <f t="shared" si="16"/>
        <v>1.5631198140623009E-2</v>
      </c>
      <c r="R94" s="1605">
        <v>136548.55179999999</v>
      </c>
      <c r="S94" s="750">
        <f t="shared" si="17"/>
        <v>-0.44820000001345761</v>
      </c>
    </row>
    <row r="95" spans="1:19" x14ac:dyDescent="0.2">
      <c r="A95" s="1461" t="s">
        <v>74</v>
      </c>
      <c r="B95" s="1462" t="s">
        <v>75</v>
      </c>
      <c r="C95" s="1463">
        <v>1.0339</v>
      </c>
      <c r="D95" s="1464">
        <f>INDEX(Data!$E$5:$E$300,MATCH('Cost of Collection'!B95,Data!$C$5:$C$300,0))</f>
        <v>76314906</v>
      </c>
      <c r="E95" s="1464">
        <f>INDEX(Data!$F$5:$F$300,MATCH('Cost of Collection'!B95,Data!$C$5:$C$300,0))</f>
        <v>3127</v>
      </c>
      <c r="F95" s="1611">
        <f t="shared" si="10"/>
        <v>78901981.3134</v>
      </c>
      <c r="G95" s="1465">
        <f t="shared" si="11"/>
        <v>3233.0053000000003</v>
      </c>
      <c r="H95" s="1614">
        <f t="shared" si="12"/>
        <v>20160000</v>
      </c>
      <c r="I95" s="1466">
        <f t="shared" si="13"/>
        <v>63840000</v>
      </c>
      <c r="J95" s="1465">
        <f t="shared" si="9"/>
        <v>21613.051316677764</v>
      </c>
      <c r="K95" s="1465">
        <f t="shared" si="9"/>
        <v>98956.121379492877</v>
      </c>
      <c r="L95" s="1467">
        <f t="shared" si="14"/>
        <v>120569</v>
      </c>
      <c r="N95" s="1616">
        <v>120847.34435788399</v>
      </c>
      <c r="O95" s="1468">
        <f t="shared" si="15"/>
        <v>278.34435788399423</v>
      </c>
      <c r="P95" s="1469">
        <f t="shared" si="16"/>
        <v>2.303272441467062E-3</v>
      </c>
      <c r="R95" s="1605">
        <v>120569.1502</v>
      </c>
      <c r="S95" s="750">
        <f t="shared" si="17"/>
        <v>0.15020000000367872</v>
      </c>
    </row>
    <row r="96" spans="1:19" x14ac:dyDescent="0.2">
      <c r="A96" s="1461" t="s">
        <v>1170</v>
      </c>
      <c r="B96" s="1462" t="s">
        <v>318</v>
      </c>
      <c r="C96" s="1463">
        <v>1.0067999999999999</v>
      </c>
      <c r="D96" s="1464">
        <f>INDEX(Data!$E$5:$E$300,MATCH('Cost of Collection'!B96,Data!$C$5:$C$300,0))</f>
        <v>83768216</v>
      </c>
      <c r="E96" s="1464">
        <f>INDEX(Data!$F$5:$F$300,MATCH('Cost of Collection'!B96,Data!$C$5:$C$300,0))</f>
        <v>4184</v>
      </c>
      <c r="F96" s="1611">
        <f t="shared" si="10"/>
        <v>84337839.868799999</v>
      </c>
      <c r="G96" s="1465">
        <f t="shared" si="11"/>
        <v>4212.4511999999995</v>
      </c>
      <c r="H96" s="1614">
        <f t="shared" si="12"/>
        <v>20160000</v>
      </c>
      <c r="I96" s="1466">
        <f t="shared" si="13"/>
        <v>63840000</v>
      </c>
      <c r="J96" s="1465">
        <f t="shared" si="9"/>
        <v>23102.056889825639</v>
      </c>
      <c r="K96" s="1465">
        <f t="shared" si="9"/>
        <v>128935.09090516812</v>
      </c>
      <c r="L96" s="1467">
        <f t="shared" si="14"/>
        <v>152037</v>
      </c>
      <c r="N96" s="1616">
        <v>148716.93202880901</v>
      </c>
      <c r="O96" s="1468">
        <f t="shared" si="15"/>
        <v>-3320.0679711909906</v>
      </c>
      <c r="P96" s="1469">
        <f t="shared" si="16"/>
        <v>-2.2324747598665071E-2</v>
      </c>
      <c r="R96" s="1605">
        <v>152037.11850000001</v>
      </c>
      <c r="S96" s="750">
        <f t="shared" si="17"/>
        <v>0.1185000000114087</v>
      </c>
    </row>
    <row r="97" spans="1:19" x14ac:dyDescent="0.2">
      <c r="A97" s="1461" t="s">
        <v>76</v>
      </c>
      <c r="B97" s="1462" t="s">
        <v>77</v>
      </c>
      <c r="C97" s="1463">
        <v>1.0197000000000001</v>
      </c>
      <c r="D97" s="1464">
        <f>INDEX(Data!$E$5:$E$300,MATCH('Cost of Collection'!B97,Data!$C$5:$C$300,0))</f>
        <v>51356403</v>
      </c>
      <c r="E97" s="1464">
        <f>INDEX(Data!$F$5:$F$300,MATCH('Cost of Collection'!B97,Data!$C$5:$C$300,0))</f>
        <v>3414</v>
      </c>
      <c r="F97" s="1611">
        <f t="shared" si="10"/>
        <v>52368124.1391</v>
      </c>
      <c r="G97" s="1465">
        <f t="shared" si="11"/>
        <v>3481.2558000000004</v>
      </c>
      <c r="H97" s="1614">
        <f t="shared" si="12"/>
        <v>20160000</v>
      </c>
      <c r="I97" s="1466">
        <f t="shared" si="13"/>
        <v>63840000</v>
      </c>
      <c r="J97" s="1465">
        <f t="shared" si="9"/>
        <v>14344.822975748255</v>
      </c>
      <c r="K97" s="1465">
        <f t="shared" si="9"/>
        <v>106554.5953475126</v>
      </c>
      <c r="L97" s="1467">
        <f t="shared" si="14"/>
        <v>120899</v>
      </c>
      <c r="N97" s="1616">
        <v>121341.661374063</v>
      </c>
      <c r="O97" s="1468">
        <f t="shared" si="15"/>
        <v>442.66137406299822</v>
      </c>
      <c r="P97" s="1469">
        <f t="shared" si="16"/>
        <v>3.6480576337124216E-3</v>
      </c>
      <c r="R97" s="1605">
        <v>120899.3941</v>
      </c>
      <c r="S97" s="750">
        <f t="shared" si="17"/>
        <v>0.39410000000498258</v>
      </c>
    </row>
    <row r="98" spans="1:19" x14ac:dyDescent="0.2">
      <c r="A98" s="1461" t="s">
        <v>78</v>
      </c>
      <c r="B98" s="1462" t="s">
        <v>79</v>
      </c>
      <c r="C98" s="1463">
        <v>1</v>
      </c>
      <c r="D98" s="1464">
        <f>INDEX(Data!$E$5:$E$300,MATCH('Cost of Collection'!B98,Data!$C$5:$C$300,0))</f>
        <v>68555696</v>
      </c>
      <c r="E98" s="1464">
        <f>INDEX(Data!$F$5:$F$300,MATCH('Cost of Collection'!B98,Data!$C$5:$C$300,0))</f>
        <v>3103</v>
      </c>
      <c r="F98" s="1611">
        <f t="shared" si="10"/>
        <v>68555696</v>
      </c>
      <c r="G98" s="1465">
        <f t="shared" si="11"/>
        <v>3103</v>
      </c>
      <c r="H98" s="1614">
        <f t="shared" si="12"/>
        <v>20160000</v>
      </c>
      <c r="I98" s="1466">
        <f t="shared" si="13"/>
        <v>63840000</v>
      </c>
      <c r="J98" s="1465">
        <f t="shared" si="9"/>
        <v>18778.967917335711</v>
      </c>
      <c r="K98" s="1465">
        <f t="shared" si="9"/>
        <v>94976.907288264076</v>
      </c>
      <c r="L98" s="1467">
        <f t="shared" si="14"/>
        <v>113756</v>
      </c>
      <c r="N98" s="1616">
        <v>113548.624594703</v>
      </c>
      <c r="O98" s="1468">
        <f t="shared" si="15"/>
        <v>-207.37540529700345</v>
      </c>
      <c r="P98" s="1469">
        <f t="shared" si="16"/>
        <v>-1.8263136699119245E-3</v>
      </c>
      <c r="R98" s="1605">
        <v>113755.8536</v>
      </c>
      <c r="S98" s="750">
        <f t="shared" si="17"/>
        <v>-0.14639999999781139</v>
      </c>
    </row>
    <row r="99" spans="1:19" x14ac:dyDescent="0.2">
      <c r="A99" s="1461" t="s">
        <v>80</v>
      </c>
      <c r="B99" s="1462" t="s">
        <v>81</v>
      </c>
      <c r="C99" s="1463">
        <v>1</v>
      </c>
      <c r="D99" s="1464">
        <f>INDEX(Data!$E$5:$E$300,MATCH('Cost of Collection'!B99,Data!$C$5:$C$300,0))</f>
        <v>204644201</v>
      </c>
      <c r="E99" s="1464">
        <f>INDEX(Data!$F$5:$F$300,MATCH('Cost of Collection'!B99,Data!$C$5:$C$300,0))</f>
        <v>6981</v>
      </c>
      <c r="F99" s="1611">
        <f t="shared" si="10"/>
        <v>204644201</v>
      </c>
      <c r="G99" s="1465">
        <f t="shared" si="11"/>
        <v>6981</v>
      </c>
      <c r="H99" s="1614">
        <f t="shared" si="12"/>
        <v>20160000</v>
      </c>
      <c r="I99" s="1466">
        <f t="shared" si="13"/>
        <v>63840000</v>
      </c>
      <c r="J99" s="1465">
        <f t="shared" si="9"/>
        <v>56056.71168516473</v>
      </c>
      <c r="K99" s="1465">
        <f t="shared" si="9"/>
        <v>213675.08533012294</v>
      </c>
      <c r="L99" s="1467">
        <f t="shared" si="14"/>
        <v>269732</v>
      </c>
      <c r="N99" s="1616">
        <v>267579.77126074198</v>
      </c>
      <c r="O99" s="1468">
        <f t="shared" si="15"/>
        <v>-2152.2287392580183</v>
      </c>
      <c r="P99" s="1469">
        <f t="shared" si="16"/>
        <v>-8.0433163131782039E-3</v>
      </c>
      <c r="R99" s="1605">
        <v>269731.74839999998</v>
      </c>
      <c r="S99" s="750">
        <f t="shared" si="17"/>
        <v>-0.25160000001778826</v>
      </c>
    </row>
    <row r="100" spans="1:19" x14ac:dyDescent="0.2">
      <c r="A100" s="1461" t="s">
        <v>82</v>
      </c>
      <c r="B100" s="1462" t="s">
        <v>83</v>
      </c>
      <c r="C100" s="1463">
        <v>1.0121</v>
      </c>
      <c r="D100" s="1464">
        <f>INDEX(Data!$E$5:$E$300,MATCH('Cost of Collection'!B100,Data!$C$5:$C$300,0))</f>
        <v>66795653</v>
      </c>
      <c r="E100" s="1464">
        <f>INDEX(Data!$F$5:$F$300,MATCH('Cost of Collection'!B100,Data!$C$5:$C$300,0))</f>
        <v>2658</v>
      </c>
      <c r="F100" s="1611">
        <f t="shared" si="10"/>
        <v>67603880.401299998</v>
      </c>
      <c r="G100" s="1465">
        <f t="shared" si="11"/>
        <v>2690.1617999999999</v>
      </c>
      <c r="H100" s="1614">
        <f t="shared" si="12"/>
        <v>20160000</v>
      </c>
      <c r="I100" s="1466">
        <f t="shared" si="13"/>
        <v>63840000</v>
      </c>
      <c r="J100" s="1465">
        <f t="shared" si="9"/>
        <v>18518.24392743986</v>
      </c>
      <c r="K100" s="1465">
        <f t="shared" si="9"/>
        <v>82340.717972616694</v>
      </c>
      <c r="L100" s="1467">
        <f t="shared" si="14"/>
        <v>100859</v>
      </c>
      <c r="N100" s="1616">
        <v>99759.858659844598</v>
      </c>
      <c r="O100" s="1468">
        <f t="shared" si="15"/>
        <v>-1099.1413401554018</v>
      </c>
      <c r="P100" s="1469">
        <f t="shared" si="16"/>
        <v>-1.1017871866711344E-2</v>
      </c>
      <c r="R100" s="1605">
        <v>100858.94319999999</v>
      </c>
      <c r="S100" s="750">
        <f t="shared" si="17"/>
        <v>-5.6800000005750917E-2</v>
      </c>
    </row>
    <row r="101" spans="1:19" x14ac:dyDescent="0.2">
      <c r="A101" s="1461" t="s">
        <v>84</v>
      </c>
      <c r="B101" s="1462" t="s">
        <v>85</v>
      </c>
      <c r="C101" s="1463">
        <v>1.0197000000000001</v>
      </c>
      <c r="D101" s="1464">
        <f>INDEX(Data!$E$5:$E$300,MATCH('Cost of Collection'!B101,Data!$C$5:$C$300,0))</f>
        <v>141909849</v>
      </c>
      <c r="E101" s="1464">
        <f>INDEX(Data!$F$5:$F$300,MATCH('Cost of Collection'!B101,Data!$C$5:$C$300,0))</f>
        <v>4162</v>
      </c>
      <c r="F101" s="1611">
        <f t="shared" si="10"/>
        <v>144705473.0253</v>
      </c>
      <c r="G101" s="1465">
        <f t="shared" si="11"/>
        <v>4243.9913999999999</v>
      </c>
      <c r="H101" s="1614">
        <f t="shared" si="12"/>
        <v>20160000</v>
      </c>
      <c r="I101" s="1466">
        <f t="shared" si="13"/>
        <v>63840000</v>
      </c>
      <c r="J101" s="1465">
        <f t="shared" si="9"/>
        <v>39638.127740764197</v>
      </c>
      <c r="K101" s="1465">
        <f t="shared" si="9"/>
        <v>129900.47622622947</v>
      </c>
      <c r="L101" s="1467">
        <f t="shared" si="14"/>
        <v>169539</v>
      </c>
      <c r="N101" s="1616">
        <v>169295.86535502301</v>
      </c>
      <c r="O101" s="1468">
        <f t="shared" si="15"/>
        <v>-243.13464497699169</v>
      </c>
      <c r="P101" s="1469">
        <f t="shared" si="16"/>
        <v>-1.4361522915348499E-3</v>
      </c>
      <c r="R101" s="1605">
        <v>169538.57440000001</v>
      </c>
      <c r="S101" s="750">
        <f t="shared" si="17"/>
        <v>-0.42559999998775311</v>
      </c>
    </row>
    <row r="102" spans="1:19" x14ac:dyDescent="0.2">
      <c r="A102" s="1461" t="s">
        <v>86</v>
      </c>
      <c r="B102" s="1462" t="s">
        <v>87</v>
      </c>
      <c r="C102" s="1463">
        <v>1.036</v>
      </c>
      <c r="D102" s="1464">
        <f>INDEX(Data!$E$5:$E$300,MATCH('Cost of Collection'!B102,Data!$C$5:$C$300,0))</f>
        <v>49061566</v>
      </c>
      <c r="E102" s="1464">
        <f>INDEX(Data!$F$5:$F$300,MATCH('Cost of Collection'!B102,Data!$C$5:$C$300,0))</f>
        <v>2024</v>
      </c>
      <c r="F102" s="1611">
        <f t="shared" si="10"/>
        <v>50827782.376000002</v>
      </c>
      <c r="G102" s="1465">
        <f t="shared" si="11"/>
        <v>2096.864</v>
      </c>
      <c r="H102" s="1614">
        <f t="shared" si="12"/>
        <v>20160000</v>
      </c>
      <c r="I102" s="1466">
        <f t="shared" si="13"/>
        <v>63840000</v>
      </c>
      <c r="J102" s="1465">
        <f t="shared" si="9"/>
        <v>13922.888253489915</v>
      </c>
      <c r="K102" s="1465">
        <f t="shared" si="9"/>
        <v>64181.004745117163</v>
      </c>
      <c r="L102" s="1467">
        <f t="shared" si="14"/>
        <v>78104</v>
      </c>
      <c r="N102" s="1616">
        <v>78412.376443983798</v>
      </c>
      <c r="O102" s="1468">
        <f t="shared" si="15"/>
        <v>308.3764439837978</v>
      </c>
      <c r="P102" s="1469">
        <f t="shared" si="16"/>
        <v>3.9327521747041507E-3</v>
      </c>
      <c r="R102" s="1605">
        <v>78103.878400000001</v>
      </c>
      <c r="S102" s="750">
        <f t="shared" si="17"/>
        <v>-0.12159999999857973</v>
      </c>
    </row>
    <row r="103" spans="1:19" x14ac:dyDescent="0.2">
      <c r="A103" s="1461" t="s">
        <v>88</v>
      </c>
      <c r="B103" s="1462" t="s">
        <v>89</v>
      </c>
      <c r="C103" s="1463">
        <v>1.0067999999999999</v>
      </c>
      <c r="D103" s="1464">
        <f>INDEX(Data!$E$5:$E$300,MATCH('Cost of Collection'!B103,Data!$C$5:$C$300,0))</f>
        <v>75986289</v>
      </c>
      <c r="E103" s="1464">
        <f>INDEX(Data!$F$5:$F$300,MATCH('Cost of Collection'!B103,Data!$C$5:$C$300,0))</f>
        <v>2312</v>
      </c>
      <c r="F103" s="1611">
        <f t="shared" si="10"/>
        <v>76502995.765199989</v>
      </c>
      <c r="G103" s="1465">
        <f t="shared" si="11"/>
        <v>2327.7215999999999</v>
      </c>
      <c r="H103" s="1614">
        <f t="shared" si="12"/>
        <v>20160000</v>
      </c>
      <c r="I103" s="1466">
        <f t="shared" si="13"/>
        <v>63840000</v>
      </c>
      <c r="J103" s="1465">
        <f t="shared" si="9"/>
        <v>20955.914488195998</v>
      </c>
      <c r="K103" s="1465">
        <f t="shared" si="9"/>
        <v>71247.115242052751</v>
      </c>
      <c r="L103" s="1467">
        <f t="shared" si="14"/>
        <v>92203</v>
      </c>
      <c r="N103" s="1616">
        <v>91559.612252163293</v>
      </c>
      <c r="O103" s="1468">
        <f t="shared" si="15"/>
        <v>-643.38774783670669</v>
      </c>
      <c r="P103" s="1469">
        <f t="shared" si="16"/>
        <v>-7.026982006703565E-3</v>
      </c>
      <c r="R103" s="1605">
        <v>92203.013519999993</v>
      </c>
      <c r="S103" s="750">
        <f t="shared" si="17"/>
        <v>1.3519999993150122E-2</v>
      </c>
    </row>
    <row r="104" spans="1:19" x14ac:dyDescent="0.2">
      <c r="A104" s="1461" t="s">
        <v>90</v>
      </c>
      <c r="B104" s="1462" t="s">
        <v>91</v>
      </c>
      <c r="C104" s="1463">
        <v>1</v>
      </c>
      <c r="D104" s="1464">
        <f>INDEX(Data!$E$5:$E$300,MATCH('Cost of Collection'!B104,Data!$C$5:$C$300,0))</f>
        <v>80985655</v>
      </c>
      <c r="E104" s="1464">
        <f>INDEX(Data!$F$5:$F$300,MATCH('Cost of Collection'!B104,Data!$C$5:$C$300,0))</f>
        <v>4997</v>
      </c>
      <c r="F104" s="1611">
        <f t="shared" si="10"/>
        <v>80985655</v>
      </c>
      <c r="G104" s="1465">
        <f t="shared" si="11"/>
        <v>4997</v>
      </c>
      <c r="H104" s="1614">
        <f t="shared" si="12"/>
        <v>20160000</v>
      </c>
      <c r="I104" s="1466">
        <f t="shared" si="13"/>
        <v>63840000</v>
      </c>
      <c r="J104" s="1465">
        <f t="shared" si="9"/>
        <v>22183.817038476547</v>
      </c>
      <c r="K104" s="1465">
        <f t="shared" si="9"/>
        <v>152948.63220092026</v>
      </c>
      <c r="L104" s="1467">
        <f t="shared" si="14"/>
        <v>175132</v>
      </c>
      <c r="N104" s="1616">
        <v>183960.23603031301</v>
      </c>
      <c r="O104" s="1468">
        <f t="shared" si="15"/>
        <v>8828.2360303130117</v>
      </c>
      <c r="P104" s="1469">
        <f t="shared" si="16"/>
        <v>4.7989914672963853E-2</v>
      </c>
      <c r="R104" s="1605">
        <v>175132.41450000001</v>
      </c>
      <c r="S104" s="750">
        <f t="shared" si="17"/>
        <v>0.41450000001350418</v>
      </c>
    </row>
    <row r="105" spans="1:19" x14ac:dyDescent="0.2">
      <c r="A105" s="1461" t="s">
        <v>92</v>
      </c>
      <c r="B105" s="1462" t="s">
        <v>93</v>
      </c>
      <c r="C105" s="1463">
        <v>1.2208000000000001</v>
      </c>
      <c r="D105" s="1464">
        <f>INDEX(Data!$E$5:$E$300,MATCH('Cost of Collection'!B105,Data!$C$5:$C$300,0))</f>
        <v>265344319</v>
      </c>
      <c r="E105" s="1464">
        <f>INDEX(Data!$F$5:$F$300,MATCH('Cost of Collection'!B105,Data!$C$5:$C$300,0))</f>
        <v>6197</v>
      </c>
      <c r="F105" s="1611">
        <f t="shared" si="10"/>
        <v>323932344.63520002</v>
      </c>
      <c r="G105" s="1465">
        <f t="shared" si="11"/>
        <v>7565.2976000000008</v>
      </c>
      <c r="H105" s="1614">
        <f t="shared" si="12"/>
        <v>20160000</v>
      </c>
      <c r="I105" s="1466">
        <f t="shared" si="13"/>
        <v>63840000</v>
      </c>
      <c r="J105" s="1465">
        <f t="shared" si="9"/>
        <v>88732.453497252151</v>
      </c>
      <c r="K105" s="1465">
        <f t="shared" si="9"/>
        <v>231559.31961434957</v>
      </c>
      <c r="L105" s="1467">
        <f t="shared" si="14"/>
        <v>320292</v>
      </c>
      <c r="N105" s="1616">
        <v>319242.98880336399</v>
      </c>
      <c r="O105" s="1468">
        <f t="shared" si="15"/>
        <v>-1049.0111966360128</v>
      </c>
      <c r="P105" s="1469">
        <f t="shared" si="16"/>
        <v>-3.2859333906378931E-3</v>
      </c>
      <c r="R105" s="1605">
        <v>320291.72039999999</v>
      </c>
      <c r="S105" s="750">
        <f t="shared" si="17"/>
        <v>-0.2796000000089407</v>
      </c>
    </row>
    <row r="106" spans="1:19" x14ac:dyDescent="0.2">
      <c r="A106" s="1461" t="s">
        <v>94</v>
      </c>
      <c r="B106" s="1462" t="s">
        <v>95</v>
      </c>
      <c r="C106" s="1463">
        <v>1.1039000000000001</v>
      </c>
      <c r="D106" s="1464">
        <f>INDEX(Data!$E$5:$E$300,MATCH('Cost of Collection'!B106,Data!$C$5:$C$300,0))</f>
        <v>217918123</v>
      </c>
      <c r="E106" s="1464">
        <f>INDEX(Data!$F$5:$F$300,MATCH('Cost of Collection'!B106,Data!$C$5:$C$300,0))</f>
        <v>4497</v>
      </c>
      <c r="F106" s="1611">
        <f t="shared" si="10"/>
        <v>240559815.97970003</v>
      </c>
      <c r="G106" s="1465">
        <f t="shared" si="11"/>
        <v>4964.2383000000009</v>
      </c>
      <c r="H106" s="1614">
        <f t="shared" si="12"/>
        <v>20160000</v>
      </c>
      <c r="I106" s="1466">
        <f t="shared" si="13"/>
        <v>63840000</v>
      </c>
      <c r="J106" s="1465">
        <f t="shared" si="9"/>
        <v>65894.817353804858</v>
      </c>
      <c r="K106" s="1465">
        <f t="shared" si="9"/>
        <v>151945.85909634217</v>
      </c>
      <c r="L106" s="1467">
        <f t="shared" si="14"/>
        <v>217841</v>
      </c>
      <c r="N106" s="1616">
        <v>216780.87559777201</v>
      </c>
      <c r="O106" s="1468">
        <f t="shared" si="15"/>
        <v>-1060.1244022279861</v>
      </c>
      <c r="P106" s="1469">
        <f t="shared" si="16"/>
        <v>-4.8903040884243094E-3</v>
      </c>
      <c r="R106" s="1605">
        <v>217840.64189999999</v>
      </c>
      <c r="S106" s="750">
        <f t="shared" si="17"/>
        <v>-0.35810000001220033</v>
      </c>
    </row>
    <row r="107" spans="1:19" x14ac:dyDescent="0.2">
      <c r="A107" s="1461" t="s">
        <v>96</v>
      </c>
      <c r="B107" s="1462" t="s">
        <v>97</v>
      </c>
      <c r="C107" s="1463">
        <v>1.2208000000000001</v>
      </c>
      <c r="D107" s="1464">
        <f>INDEX(Data!$E$5:$E$300,MATCH('Cost of Collection'!B107,Data!$C$5:$C$300,0))</f>
        <v>477072070</v>
      </c>
      <c r="E107" s="1464">
        <f>INDEX(Data!$F$5:$F$300,MATCH('Cost of Collection'!B107,Data!$C$5:$C$300,0))</f>
        <v>12252</v>
      </c>
      <c r="F107" s="1611">
        <f t="shared" si="10"/>
        <v>582409583.05599999</v>
      </c>
      <c r="G107" s="1465">
        <f t="shared" si="11"/>
        <v>14957.241600000001</v>
      </c>
      <c r="H107" s="1614">
        <f t="shared" si="12"/>
        <v>20160000</v>
      </c>
      <c r="I107" s="1466">
        <f t="shared" si="13"/>
        <v>63840000</v>
      </c>
      <c r="J107" s="1465">
        <f t="shared" si="9"/>
        <v>159535.26129991433</v>
      </c>
      <c r="K107" s="1465">
        <f t="shared" si="9"/>
        <v>457812.61641358904</v>
      </c>
      <c r="L107" s="1467">
        <f t="shared" si="14"/>
        <v>617348</v>
      </c>
      <c r="N107" s="1616">
        <v>615743.11880742095</v>
      </c>
      <c r="O107" s="1468">
        <f t="shared" si="15"/>
        <v>-1604.8811925790505</v>
      </c>
      <c r="P107" s="1469">
        <f t="shared" si="16"/>
        <v>-2.6064135246649687E-3</v>
      </c>
      <c r="R107" s="1605">
        <v>617347.77359999996</v>
      </c>
      <c r="S107" s="750">
        <f t="shared" si="17"/>
        <v>-0.22640000004321337</v>
      </c>
    </row>
    <row r="108" spans="1:19" x14ac:dyDescent="0.2">
      <c r="A108" s="1461" t="s">
        <v>535</v>
      </c>
      <c r="B108" s="1462" t="s">
        <v>99</v>
      </c>
      <c r="C108" s="1463">
        <v>1.0129999999999999</v>
      </c>
      <c r="D108" s="1464">
        <f>INDEX(Data!$E$5:$E$300,MATCH('Cost of Collection'!B108,Data!$C$5:$C$300,0))</f>
        <v>150110462</v>
      </c>
      <c r="E108" s="1464">
        <f>INDEX(Data!$F$5:$F$300,MATCH('Cost of Collection'!B108,Data!$C$5:$C$300,0))</f>
        <v>3800</v>
      </c>
      <c r="F108" s="1611">
        <f t="shared" si="10"/>
        <v>152061898.00599998</v>
      </c>
      <c r="G108" s="1465">
        <f t="shared" si="11"/>
        <v>3849.3999999999996</v>
      </c>
      <c r="H108" s="1614">
        <f t="shared" si="12"/>
        <v>20160000</v>
      </c>
      <c r="I108" s="1466">
        <f t="shared" si="13"/>
        <v>63840000</v>
      </c>
      <c r="J108" s="1465">
        <f t="shared" si="9"/>
        <v>41653.220238677888</v>
      </c>
      <c r="K108" s="1465">
        <f t="shared" si="9"/>
        <v>117822.78663082297</v>
      </c>
      <c r="L108" s="1467">
        <f t="shared" si="14"/>
        <v>159476</v>
      </c>
      <c r="N108" s="1616">
        <v>157305.53012767801</v>
      </c>
      <c r="O108" s="1468">
        <f t="shared" si="15"/>
        <v>-2170.4698723219917</v>
      </c>
      <c r="P108" s="1469">
        <f t="shared" si="16"/>
        <v>-1.3797797639792551E-2</v>
      </c>
      <c r="R108" s="1605">
        <v>159475.98009999999</v>
      </c>
      <c r="S108" s="750">
        <f t="shared" si="17"/>
        <v>-1.9900000013876706E-2</v>
      </c>
    </row>
    <row r="109" spans="1:19" x14ac:dyDescent="0.2">
      <c r="A109" s="1461" t="s">
        <v>100</v>
      </c>
      <c r="B109" s="1462" t="s">
        <v>101</v>
      </c>
      <c r="C109" s="1463">
        <v>1.2208000000000001</v>
      </c>
      <c r="D109" s="1464">
        <f>INDEX(Data!$E$5:$E$300,MATCH('Cost of Collection'!B109,Data!$C$5:$C$300,0))</f>
        <v>563445132</v>
      </c>
      <c r="E109" s="1464">
        <f>INDEX(Data!$F$5:$F$300,MATCH('Cost of Collection'!B109,Data!$C$5:$C$300,0))</f>
        <v>10047</v>
      </c>
      <c r="F109" s="1611">
        <f t="shared" si="10"/>
        <v>687853817.14560008</v>
      </c>
      <c r="G109" s="1465">
        <f t="shared" si="11"/>
        <v>12265.377600000002</v>
      </c>
      <c r="H109" s="1614">
        <f t="shared" si="12"/>
        <v>20160000</v>
      </c>
      <c r="I109" s="1466">
        <f t="shared" si="13"/>
        <v>63840000</v>
      </c>
      <c r="J109" s="1465">
        <f t="shared" si="9"/>
        <v>188418.84070426662</v>
      </c>
      <c r="K109" s="1465">
        <f t="shared" si="9"/>
        <v>375419.79734797002</v>
      </c>
      <c r="L109" s="1467">
        <f t="shared" si="14"/>
        <v>563839</v>
      </c>
      <c r="N109" s="1616">
        <v>568115.75374791306</v>
      </c>
      <c r="O109" s="1468">
        <f t="shared" si="15"/>
        <v>4276.7537479130551</v>
      </c>
      <c r="P109" s="1469">
        <f t="shared" si="16"/>
        <v>7.5279618980795878E-3</v>
      </c>
      <c r="R109" s="1605">
        <v>563838.5527</v>
      </c>
      <c r="S109" s="750">
        <f t="shared" si="17"/>
        <v>-0.44729999999981374</v>
      </c>
    </row>
    <row r="110" spans="1:19" x14ac:dyDescent="0.2">
      <c r="A110" s="1461" t="s">
        <v>102</v>
      </c>
      <c r="B110" s="1462" t="s">
        <v>103</v>
      </c>
      <c r="C110" s="1463">
        <v>1</v>
      </c>
      <c r="D110" s="1464">
        <f>INDEX(Data!$E$5:$E$300,MATCH('Cost of Collection'!B110,Data!$C$5:$C$300,0))</f>
        <v>148466507</v>
      </c>
      <c r="E110" s="1464">
        <f>INDEX(Data!$F$5:$F$300,MATCH('Cost of Collection'!B110,Data!$C$5:$C$300,0))</f>
        <v>3326</v>
      </c>
      <c r="F110" s="1611">
        <f t="shared" si="10"/>
        <v>148466507</v>
      </c>
      <c r="G110" s="1465">
        <f t="shared" si="11"/>
        <v>3326</v>
      </c>
      <c r="H110" s="1614">
        <f t="shared" si="12"/>
        <v>20160000</v>
      </c>
      <c r="I110" s="1466">
        <f t="shared" si="13"/>
        <v>63840000</v>
      </c>
      <c r="J110" s="1465">
        <f t="shared" si="9"/>
        <v>40668.36068226771</v>
      </c>
      <c r="K110" s="1465">
        <f t="shared" si="9"/>
        <v>101802.51164704037</v>
      </c>
      <c r="L110" s="1467">
        <f t="shared" si="14"/>
        <v>142471</v>
      </c>
      <c r="N110" s="1616">
        <v>139805.51393231301</v>
      </c>
      <c r="O110" s="1468">
        <f t="shared" si="15"/>
        <v>-2665.4860676869866</v>
      </c>
      <c r="P110" s="1469">
        <f t="shared" si="16"/>
        <v>-1.9065671966110611E-2</v>
      </c>
      <c r="R110" s="1605">
        <v>142470.8492</v>
      </c>
      <c r="S110" s="750">
        <f t="shared" si="17"/>
        <v>-0.15080000000307336</v>
      </c>
    </row>
    <row r="111" spans="1:19" x14ac:dyDescent="0.2">
      <c r="A111" s="1461" t="s">
        <v>104</v>
      </c>
      <c r="B111" s="1462" t="s">
        <v>105</v>
      </c>
      <c r="C111" s="1463">
        <v>1.0760000000000001</v>
      </c>
      <c r="D111" s="1464">
        <f>INDEX(Data!$E$5:$E$300,MATCH('Cost of Collection'!B111,Data!$C$5:$C$300,0))</f>
        <v>213116589</v>
      </c>
      <c r="E111" s="1464">
        <f>INDEX(Data!$F$5:$F$300,MATCH('Cost of Collection'!B111,Data!$C$5:$C$300,0))</f>
        <v>7240</v>
      </c>
      <c r="F111" s="1611">
        <f t="shared" si="10"/>
        <v>229313449.76400003</v>
      </c>
      <c r="G111" s="1465">
        <f t="shared" si="11"/>
        <v>7790.2400000000007</v>
      </c>
      <c r="H111" s="1614">
        <f t="shared" si="12"/>
        <v>20160000</v>
      </c>
      <c r="I111" s="1466">
        <f t="shared" si="13"/>
        <v>63840000</v>
      </c>
      <c r="J111" s="1465">
        <f t="shared" si="9"/>
        <v>62814.181277245458</v>
      </c>
      <c r="K111" s="1465">
        <f t="shared" si="9"/>
        <v>238444.37712965722</v>
      </c>
      <c r="L111" s="1467">
        <f t="shared" si="14"/>
        <v>301259</v>
      </c>
      <c r="N111" s="1616">
        <v>297954.59938683698</v>
      </c>
      <c r="O111" s="1468">
        <f t="shared" si="15"/>
        <v>-3304.4006131630158</v>
      </c>
      <c r="P111" s="1469">
        <f t="shared" si="16"/>
        <v>-1.1090282277780463E-2</v>
      </c>
      <c r="R111" s="1605">
        <v>301258.50420000002</v>
      </c>
      <c r="S111" s="750">
        <f t="shared" si="17"/>
        <v>-0.49579999997513369</v>
      </c>
    </row>
    <row r="112" spans="1:19" x14ac:dyDescent="0.2">
      <c r="A112" s="1461" t="s">
        <v>106</v>
      </c>
      <c r="B112" s="1462" t="s">
        <v>107</v>
      </c>
      <c r="C112" s="1463">
        <v>1.0618000000000001</v>
      </c>
      <c r="D112" s="1464">
        <f>INDEX(Data!$E$5:$E$300,MATCH('Cost of Collection'!B112,Data!$C$5:$C$300,0))</f>
        <v>117288682</v>
      </c>
      <c r="E112" s="1464">
        <f>INDEX(Data!$F$5:$F$300,MATCH('Cost of Collection'!B112,Data!$C$5:$C$300,0))</f>
        <v>2409</v>
      </c>
      <c r="F112" s="1611">
        <f t="shared" si="10"/>
        <v>124537122.54760002</v>
      </c>
      <c r="G112" s="1465">
        <f t="shared" si="11"/>
        <v>2557.8762000000002</v>
      </c>
      <c r="H112" s="1614">
        <f t="shared" si="12"/>
        <v>20160000</v>
      </c>
      <c r="I112" s="1466">
        <f t="shared" si="13"/>
        <v>63840000</v>
      </c>
      <c r="J112" s="1465">
        <f t="shared" si="9"/>
        <v>34113.55679094392</v>
      </c>
      <c r="K112" s="1465">
        <f t="shared" si="9"/>
        <v>78291.708250807991</v>
      </c>
      <c r="L112" s="1467">
        <f t="shared" si="14"/>
        <v>112405</v>
      </c>
      <c r="N112" s="1616">
        <v>112545.56183780701</v>
      </c>
      <c r="O112" s="1468">
        <f t="shared" si="15"/>
        <v>140.56183780700667</v>
      </c>
      <c r="P112" s="1469">
        <f t="shared" si="16"/>
        <v>1.2489327478730332E-3</v>
      </c>
      <c r="R112" s="1605">
        <v>112405.2472</v>
      </c>
      <c r="S112" s="750">
        <f t="shared" si="17"/>
        <v>0.24719999999797437</v>
      </c>
    </row>
    <row r="113" spans="1:19" x14ac:dyDescent="0.2">
      <c r="A113" s="1461" t="s">
        <v>108</v>
      </c>
      <c r="B113" s="1462" t="s">
        <v>109</v>
      </c>
      <c r="C113" s="1463">
        <v>1.1113</v>
      </c>
      <c r="D113" s="1464">
        <f>INDEX(Data!$E$5:$E$300,MATCH('Cost of Collection'!B113,Data!$C$5:$C$300,0))</f>
        <v>145381759</v>
      </c>
      <c r="E113" s="1464">
        <f>INDEX(Data!$F$5:$F$300,MATCH('Cost of Collection'!B113,Data!$C$5:$C$300,0))</f>
        <v>5563</v>
      </c>
      <c r="F113" s="1611">
        <f t="shared" si="10"/>
        <v>161562748.77669999</v>
      </c>
      <c r="G113" s="1465">
        <f t="shared" si="11"/>
        <v>6182.1619000000001</v>
      </c>
      <c r="H113" s="1614">
        <f t="shared" si="12"/>
        <v>20160000</v>
      </c>
      <c r="I113" s="1466">
        <f t="shared" si="13"/>
        <v>63840000</v>
      </c>
      <c r="J113" s="1465">
        <f t="shared" si="9"/>
        <v>44255.719844405328</v>
      </c>
      <c r="K113" s="1465">
        <f t="shared" si="9"/>
        <v>189224.17583542972</v>
      </c>
      <c r="L113" s="1467">
        <f t="shared" si="14"/>
        <v>233480</v>
      </c>
      <c r="N113" s="1616">
        <v>231179.74745760701</v>
      </c>
      <c r="O113" s="1468">
        <f t="shared" si="15"/>
        <v>-2300.252542392991</v>
      </c>
      <c r="P113" s="1469">
        <f t="shared" si="16"/>
        <v>-9.9500607976691548E-3</v>
      </c>
      <c r="R113" s="1605">
        <v>233479.85260000001</v>
      </c>
      <c r="S113" s="750">
        <f t="shared" si="17"/>
        <v>-0.14739999998710118</v>
      </c>
    </row>
    <row r="114" spans="1:19" x14ac:dyDescent="0.2">
      <c r="A114" s="1461" t="s">
        <v>110</v>
      </c>
      <c r="B114" s="1462" t="s">
        <v>111</v>
      </c>
      <c r="C114" s="1463">
        <v>1.036</v>
      </c>
      <c r="D114" s="1464">
        <f>INDEX(Data!$E$5:$E$300,MATCH('Cost of Collection'!B114,Data!$C$5:$C$300,0))</f>
        <v>82685652</v>
      </c>
      <c r="E114" s="1464">
        <f>INDEX(Data!$F$5:$F$300,MATCH('Cost of Collection'!B114,Data!$C$5:$C$300,0))</f>
        <v>2370</v>
      </c>
      <c r="F114" s="1611">
        <f t="shared" si="10"/>
        <v>85662335.472000003</v>
      </c>
      <c r="G114" s="1465">
        <f t="shared" si="11"/>
        <v>2455.3200000000002</v>
      </c>
      <c r="H114" s="1614">
        <f t="shared" si="12"/>
        <v>20160000</v>
      </c>
      <c r="I114" s="1466">
        <f t="shared" si="13"/>
        <v>63840000</v>
      </c>
      <c r="J114" s="1465">
        <f t="shared" si="9"/>
        <v>23464.866428498324</v>
      </c>
      <c r="K114" s="1465">
        <f t="shared" si="9"/>
        <v>75152.658718343708</v>
      </c>
      <c r="L114" s="1467">
        <f t="shared" si="14"/>
        <v>98618</v>
      </c>
      <c r="N114" s="1616">
        <v>96849.343082043997</v>
      </c>
      <c r="O114" s="1468">
        <f t="shared" si="15"/>
        <v>-1768.6569179560029</v>
      </c>
      <c r="P114" s="1469">
        <f t="shared" si="16"/>
        <v>-1.8261940263835555E-2</v>
      </c>
      <c r="R114" s="1605">
        <v>98617.508050000004</v>
      </c>
      <c r="S114" s="750">
        <f t="shared" si="17"/>
        <v>-0.49194999999599531</v>
      </c>
    </row>
    <row r="115" spans="1:19" x14ac:dyDescent="0.2">
      <c r="A115" s="1461" t="s">
        <v>540</v>
      </c>
      <c r="B115" s="1462" t="s">
        <v>113</v>
      </c>
      <c r="C115" s="1463">
        <v>1</v>
      </c>
      <c r="D115" s="1464">
        <f>INDEX(Data!$E$5:$E$300,MATCH('Cost of Collection'!B115,Data!$C$5:$C$300,0))</f>
        <v>80009467</v>
      </c>
      <c r="E115" s="1464">
        <f>INDEX(Data!$F$5:$F$300,MATCH('Cost of Collection'!B115,Data!$C$5:$C$300,0))</f>
        <v>2974</v>
      </c>
      <c r="F115" s="1611">
        <f t="shared" si="10"/>
        <v>80009467</v>
      </c>
      <c r="G115" s="1465">
        <f t="shared" si="11"/>
        <v>2974</v>
      </c>
      <c r="H115" s="1614">
        <f t="shared" si="12"/>
        <v>20160000</v>
      </c>
      <c r="I115" s="1466">
        <f t="shared" si="13"/>
        <v>63840000</v>
      </c>
      <c r="J115" s="1465">
        <f t="shared" si="9"/>
        <v>21916.416892275887</v>
      </c>
      <c r="K115" s="1465">
        <f t="shared" si="9"/>
        <v>91028.463511214097</v>
      </c>
      <c r="L115" s="1467">
        <f t="shared" si="14"/>
        <v>112945</v>
      </c>
      <c r="N115" s="1616">
        <v>112129.660626953</v>
      </c>
      <c r="O115" s="1468">
        <f t="shared" si="15"/>
        <v>-815.33937304699793</v>
      </c>
      <c r="P115" s="1469">
        <f t="shared" si="16"/>
        <v>-7.2713978485993199E-3</v>
      </c>
      <c r="R115" s="1605">
        <v>112944.8597</v>
      </c>
      <c r="S115" s="750">
        <f t="shared" si="17"/>
        <v>-0.14029999999911524</v>
      </c>
    </row>
    <row r="116" spans="1:19" x14ac:dyDescent="0.2">
      <c r="A116" s="1461" t="s">
        <v>114</v>
      </c>
      <c r="B116" s="1462" t="s">
        <v>115</v>
      </c>
      <c r="C116" s="1463">
        <v>1.0089999999999999</v>
      </c>
      <c r="D116" s="1464">
        <f>INDEX(Data!$E$5:$E$300,MATCH('Cost of Collection'!B116,Data!$C$5:$C$300,0))</f>
        <v>65156800</v>
      </c>
      <c r="E116" s="1464">
        <f>INDEX(Data!$F$5:$F$300,MATCH('Cost of Collection'!B116,Data!$C$5:$C$300,0))</f>
        <v>3601</v>
      </c>
      <c r="F116" s="1611">
        <f t="shared" si="10"/>
        <v>65743211.199999996</v>
      </c>
      <c r="G116" s="1465">
        <f t="shared" si="11"/>
        <v>3633.4089999999997</v>
      </c>
      <c r="H116" s="1614">
        <f t="shared" si="12"/>
        <v>20160000</v>
      </c>
      <c r="I116" s="1466">
        <f t="shared" si="13"/>
        <v>63840000</v>
      </c>
      <c r="J116" s="1465">
        <f t="shared" si="9"/>
        <v>18008.564217733649</v>
      </c>
      <c r="K116" s="1465">
        <f t="shared" si="9"/>
        <v>111211.71438393304</v>
      </c>
      <c r="L116" s="1467">
        <f t="shared" si="14"/>
        <v>129220</v>
      </c>
      <c r="N116" s="1616">
        <v>128032.202572077</v>
      </c>
      <c r="O116" s="1468">
        <f t="shared" si="15"/>
        <v>-1187.7974279229966</v>
      </c>
      <c r="P116" s="1469">
        <f t="shared" si="16"/>
        <v>-9.277333390045479E-3</v>
      </c>
      <c r="R116" s="1605">
        <v>129220.2533</v>
      </c>
      <c r="S116" s="750">
        <f t="shared" si="17"/>
        <v>0.25329999999667052</v>
      </c>
    </row>
    <row r="117" spans="1:19" x14ac:dyDescent="0.2">
      <c r="A117" s="1461" t="s">
        <v>116</v>
      </c>
      <c r="B117" s="1462" t="s">
        <v>117</v>
      </c>
      <c r="C117" s="1463">
        <v>1.036</v>
      </c>
      <c r="D117" s="1464">
        <f>INDEX(Data!$E$5:$E$300,MATCH('Cost of Collection'!B117,Data!$C$5:$C$300,0))</f>
        <v>90840909</v>
      </c>
      <c r="E117" s="1464">
        <f>INDEX(Data!$F$5:$F$300,MATCH('Cost of Collection'!B117,Data!$C$5:$C$300,0))</f>
        <v>3367</v>
      </c>
      <c r="F117" s="1611">
        <f t="shared" si="10"/>
        <v>94111181.724000007</v>
      </c>
      <c r="G117" s="1465">
        <f t="shared" si="11"/>
        <v>3488.212</v>
      </c>
      <c r="H117" s="1614">
        <f t="shared" si="12"/>
        <v>20160000</v>
      </c>
      <c r="I117" s="1466">
        <f t="shared" si="13"/>
        <v>63840000</v>
      </c>
      <c r="J117" s="1465">
        <f t="shared" si="9"/>
        <v>25779.198015253864</v>
      </c>
      <c r="K117" s="1465">
        <f t="shared" si="9"/>
        <v>106767.5113521786</v>
      </c>
      <c r="L117" s="1467">
        <f t="shared" si="14"/>
        <v>132547</v>
      </c>
      <c r="N117" s="1616">
        <v>132957.95813350999</v>
      </c>
      <c r="O117" s="1468">
        <f t="shared" si="15"/>
        <v>410.95813350999379</v>
      </c>
      <c r="P117" s="1469">
        <f t="shared" si="16"/>
        <v>3.0908878210759629E-3</v>
      </c>
      <c r="R117" s="1605">
        <v>132546.6851</v>
      </c>
      <c r="S117" s="750">
        <f t="shared" si="17"/>
        <v>-0.31489999999757856</v>
      </c>
    </row>
    <row r="118" spans="1:19" x14ac:dyDescent="0.2">
      <c r="A118" s="1461" t="s">
        <v>118</v>
      </c>
      <c r="B118" s="1462" t="s">
        <v>119</v>
      </c>
      <c r="C118" s="1463">
        <v>1.0760000000000001</v>
      </c>
      <c r="D118" s="1464">
        <f>INDEX(Data!$E$5:$E$300,MATCH('Cost of Collection'!B118,Data!$C$5:$C$300,0))</f>
        <v>222904849</v>
      </c>
      <c r="E118" s="1464">
        <f>INDEX(Data!$F$5:$F$300,MATCH('Cost of Collection'!B118,Data!$C$5:$C$300,0))</f>
        <v>6017</v>
      </c>
      <c r="F118" s="1611">
        <f t="shared" si="10"/>
        <v>239845617.52400002</v>
      </c>
      <c r="G118" s="1465">
        <f t="shared" si="11"/>
        <v>6474.2920000000004</v>
      </c>
      <c r="H118" s="1614">
        <f t="shared" si="12"/>
        <v>20160000</v>
      </c>
      <c r="I118" s="1466">
        <f t="shared" si="13"/>
        <v>63840000</v>
      </c>
      <c r="J118" s="1465">
        <f t="shared" si="9"/>
        <v>65699.182116053023</v>
      </c>
      <c r="K118" s="1465">
        <f t="shared" si="9"/>
        <v>198165.72060623582</v>
      </c>
      <c r="L118" s="1467">
        <f t="shared" si="14"/>
        <v>263865</v>
      </c>
      <c r="N118" s="1616">
        <v>263535.79846311797</v>
      </c>
      <c r="O118" s="1468">
        <f t="shared" si="15"/>
        <v>-329.20153688202845</v>
      </c>
      <c r="P118" s="1469">
        <f t="shared" si="16"/>
        <v>-1.2491719865075578E-3</v>
      </c>
      <c r="R118" s="1605">
        <v>263864.85759999999</v>
      </c>
      <c r="S118" s="750">
        <f t="shared" si="17"/>
        <v>-0.1424000000115484</v>
      </c>
    </row>
    <row r="119" spans="1:19" x14ac:dyDescent="0.2">
      <c r="A119" s="1461" t="s">
        <v>585</v>
      </c>
      <c r="B119" s="1462" t="s">
        <v>121</v>
      </c>
      <c r="C119" s="1463">
        <v>1</v>
      </c>
      <c r="D119" s="1464">
        <f>INDEX(Data!$E$5:$E$300,MATCH('Cost of Collection'!B119,Data!$C$5:$C$300,0))</f>
        <v>148309067</v>
      </c>
      <c r="E119" s="1464">
        <f>INDEX(Data!$F$5:$F$300,MATCH('Cost of Collection'!B119,Data!$C$5:$C$300,0))</f>
        <v>8411</v>
      </c>
      <c r="F119" s="1611">
        <f t="shared" si="10"/>
        <v>148309067</v>
      </c>
      <c r="G119" s="1465">
        <f t="shared" si="11"/>
        <v>8411</v>
      </c>
      <c r="H119" s="1614">
        <f t="shared" si="12"/>
        <v>20160000</v>
      </c>
      <c r="I119" s="1466">
        <f t="shared" si="13"/>
        <v>63840000</v>
      </c>
      <c r="J119" s="1465">
        <f t="shared" si="9"/>
        <v>40625.234277294665</v>
      </c>
      <c r="K119" s="1465">
        <f t="shared" si="9"/>
        <v>257444.65588191719</v>
      </c>
      <c r="L119" s="1467">
        <f t="shared" si="14"/>
        <v>298070</v>
      </c>
      <c r="N119" s="1616">
        <v>298203.30329850002</v>
      </c>
      <c r="O119" s="1468">
        <f t="shared" si="15"/>
        <v>133.30329850001726</v>
      </c>
      <c r="P119" s="1469">
        <f t="shared" si="16"/>
        <v>4.470215353938629E-4</v>
      </c>
      <c r="R119" s="1605">
        <v>298069.83159999998</v>
      </c>
      <c r="S119" s="750">
        <f t="shared" si="17"/>
        <v>-0.16840000002412125</v>
      </c>
    </row>
    <row r="120" spans="1:19" x14ac:dyDescent="0.2">
      <c r="A120" s="1461" t="s">
        <v>122</v>
      </c>
      <c r="B120" s="1462" t="s">
        <v>123</v>
      </c>
      <c r="C120" s="1463">
        <v>1.0815999999999999</v>
      </c>
      <c r="D120" s="1464">
        <f>INDEX(Data!$E$5:$E$300,MATCH('Cost of Collection'!B120,Data!$C$5:$C$300,0))</f>
        <v>176690794</v>
      </c>
      <c r="E120" s="1464">
        <f>INDEX(Data!$F$5:$F$300,MATCH('Cost of Collection'!B120,Data!$C$5:$C$300,0))</f>
        <v>3220</v>
      </c>
      <c r="F120" s="1611">
        <f t="shared" si="10"/>
        <v>191108762.79039997</v>
      </c>
      <c r="G120" s="1465">
        <f t="shared" si="11"/>
        <v>3482.7519999999995</v>
      </c>
      <c r="H120" s="1614">
        <f t="shared" si="12"/>
        <v>20160000</v>
      </c>
      <c r="I120" s="1466">
        <f t="shared" si="13"/>
        <v>63840000</v>
      </c>
      <c r="J120" s="1465">
        <f t="shared" si="9"/>
        <v>52349.046608215343</v>
      </c>
      <c r="K120" s="1465">
        <f t="shared" si="9"/>
        <v>106600.39117370809</v>
      </c>
      <c r="L120" s="1467">
        <f t="shared" si="14"/>
        <v>158949</v>
      </c>
      <c r="N120" s="1616">
        <v>161600.74359088301</v>
      </c>
      <c r="O120" s="1468">
        <f t="shared" si="15"/>
        <v>2651.7435908830084</v>
      </c>
      <c r="P120" s="1469">
        <f t="shared" si="16"/>
        <v>1.6409228893131227E-2</v>
      </c>
      <c r="R120" s="1605">
        <v>158949.4135</v>
      </c>
      <c r="S120" s="750">
        <f t="shared" si="17"/>
        <v>0.41349999999511056</v>
      </c>
    </row>
    <row r="121" spans="1:19" x14ac:dyDescent="0.2">
      <c r="A121" s="1461" t="s">
        <v>124</v>
      </c>
      <c r="B121" s="1462" t="s">
        <v>125</v>
      </c>
      <c r="C121" s="1463">
        <v>1</v>
      </c>
      <c r="D121" s="1464">
        <f>INDEX(Data!$E$5:$E$300,MATCH('Cost of Collection'!B121,Data!$C$5:$C$300,0))</f>
        <v>78676201</v>
      </c>
      <c r="E121" s="1464">
        <f>INDEX(Data!$F$5:$F$300,MATCH('Cost of Collection'!B121,Data!$C$5:$C$300,0))</f>
        <v>3854</v>
      </c>
      <c r="F121" s="1611">
        <f t="shared" si="10"/>
        <v>78676201</v>
      </c>
      <c r="G121" s="1465">
        <f t="shared" si="11"/>
        <v>3854</v>
      </c>
      <c r="H121" s="1614">
        <f t="shared" si="12"/>
        <v>20160000</v>
      </c>
      <c r="I121" s="1466">
        <f t="shared" si="13"/>
        <v>63840000</v>
      </c>
      <c r="J121" s="1465">
        <f t="shared" si="9"/>
        <v>21551.204941991338</v>
      </c>
      <c r="K121" s="1465">
        <f t="shared" si="9"/>
        <v>117963.5838507798</v>
      </c>
      <c r="L121" s="1467">
        <f t="shared" si="14"/>
        <v>139515</v>
      </c>
      <c r="N121" s="1616">
        <v>138750.22913762301</v>
      </c>
      <c r="O121" s="1468">
        <f t="shared" si="15"/>
        <v>-764.77086237698677</v>
      </c>
      <c r="P121" s="1469">
        <f t="shared" si="16"/>
        <v>-5.5118529686781917E-3</v>
      </c>
      <c r="R121" s="1605">
        <v>139514.76199999999</v>
      </c>
      <c r="S121" s="750">
        <f t="shared" si="17"/>
        <v>-0.23800000001210719</v>
      </c>
    </row>
    <row r="122" spans="1:19" x14ac:dyDescent="0.2">
      <c r="A122" s="1461" t="s">
        <v>126</v>
      </c>
      <c r="B122" s="1462" t="s">
        <v>127</v>
      </c>
      <c r="C122" s="1463">
        <v>1.1113</v>
      </c>
      <c r="D122" s="1464">
        <f>INDEX(Data!$E$5:$E$300,MATCH('Cost of Collection'!B122,Data!$C$5:$C$300,0))</f>
        <v>847434410</v>
      </c>
      <c r="E122" s="1464">
        <f>INDEX(Data!$F$5:$F$300,MATCH('Cost of Collection'!B122,Data!$C$5:$C$300,0))</f>
        <v>8957</v>
      </c>
      <c r="F122" s="1611">
        <f t="shared" si="10"/>
        <v>941753859.83299994</v>
      </c>
      <c r="G122" s="1465">
        <f t="shared" si="11"/>
        <v>9953.9141</v>
      </c>
      <c r="H122" s="1614">
        <f t="shared" si="12"/>
        <v>20160000</v>
      </c>
      <c r="I122" s="1466">
        <f t="shared" si="13"/>
        <v>63840000</v>
      </c>
      <c r="J122" s="1465">
        <f t="shared" si="9"/>
        <v>257967.85025464522</v>
      </c>
      <c r="K122" s="1465">
        <f t="shared" si="9"/>
        <v>304670.31151499983</v>
      </c>
      <c r="L122" s="1467">
        <f t="shared" si="14"/>
        <v>562638</v>
      </c>
      <c r="N122" s="1616">
        <v>560739.88850095996</v>
      </c>
      <c r="O122" s="1468">
        <f t="shared" si="15"/>
        <v>-1898.1114990400383</v>
      </c>
      <c r="P122" s="1469">
        <f t="shared" si="16"/>
        <v>-3.3850124415338231E-3</v>
      </c>
      <c r="R122" s="1605">
        <v>562638.09250000003</v>
      </c>
      <c r="S122" s="750">
        <f t="shared" si="17"/>
        <v>9.2500000027939677E-2</v>
      </c>
    </row>
    <row r="123" spans="1:19" x14ac:dyDescent="0.2">
      <c r="A123" s="1461" t="s">
        <v>128</v>
      </c>
      <c r="B123" s="1462" t="s">
        <v>129</v>
      </c>
      <c r="C123" s="1463">
        <v>1</v>
      </c>
      <c r="D123" s="1464">
        <f>INDEX(Data!$E$5:$E$300,MATCH('Cost of Collection'!B123,Data!$C$5:$C$300,0))</f>
        <v>109604301</v>
      </c>
      <c r="E123" s="1464">
        <f>INDEX(Data!$F$5:$F$300,MATCH('Cost of Collection'!B123,Data!$C$5:$C$300,0))</f>
        <v>3358</v>
      </c>
      <c r="F123" s="1611">
        <f t="shared" si="10"/>
        <v>109604301</v>
      </c>
      <c r="G123" s="1465">
        <f t="shared" si="11"/>
        <v>3358</v>
      </c>
      <c r="H123" s="1614">
        <f t="shared" si="12"/>
        <v>20160000</v>
      </c>
      <c r="I123" s="1466">
        <f t="shared" si="13"/>
        <v>63840000</v>
      </c>
      <c r="J123" s="1465">
        <f t="shared" si="9"/>
        <v>30023.116563224834</v>
      </c>
      <c r="K123" s="1465">
        <f t="shared" si="9"/>
        <v>102781.97056847913</v>
      </c>
      <c r="L123" s="1467">
        <f t="shared" si="14"/>
        <v>132805</v>
      </c>
      <c r="N123" s="1616">
        <v>130280.93371624099</v>
      </c>
      <c r="O123" s="1468">
        <f t="shared" si="15"/>
        <v>-2524.0662837590062</v>
      </c>
      <c r="P123" s="1469">
        <f t="shared" si="16"/>
        <v>-1.9374026664995821E-2</v>
      </c>
      <c r="R123" s="1605">
        <v>132805.0638</v>
      </c>
      <c r="S123" s="750">
        <f t="shared" si="17"/>
        <v>6.3800000003539026E-2</v>
      </c>
    </row>
    <row r="124" spans="1:19" x14ac:dyDescent="0.2">
      <c r="A124" s="1461" t="s">
        <v>130</v>
      </c>
      <c r="B124" s="1462" t="s">
        <v>131</v>
      </c>
      <c r="C124" s="1463">
        <v>1</v>
      </c>
      <c r="D124" s="1464">
        <f>INDEX(Data!$E$5:$E$300,MATCH('Cost of Collection'!B124,Data!$C$5:$C$300,0))</f>
        <v>130093825</v>
      </c>
      <c r="E124" s="1464">
        <f>INDEX(Data!$F$5:$F$300,MATCH('Cost of Collection'!B124,Data!$C$5:$C$300,0))</f>
        <v>4970</v>
      </c>
      <c r="F124" s="1611">
        <f t="shared" si="10"/>
        <v>130093825</v>
      </c>
      <c r="G124" s="1465">
        <f t="shared" si="11"/>
        <v>4970</v>
      </c>
      <c r="H124" s="1614">
        <f t="shared" si="12"/>
        <v>20160000</v>
      </c>
      <c r="I124" s="1466">
        <f t="shared" si="13"/>
        <v>63840000</v>
      </c>
      <c r="J124" s="1465">
        <f t="shared" si="9"/>
        <v>35635.664262215156</v>
      </c>
      <c r="K124" s="1465">
        <f t="shared" si="9"/>
        <v>152122.21373595632</v>
      </c>
      <c r="L124" s="1467">
        <f t="shared" si="14"/>
        <v>187758</v>
      </c>
      <c r="N124" s="1616">
        <v>187583.321026121</v>
      </c>
      <c r="O124" s="1468">
        <f t="shared" si="15"/>
        <v>-174.67897387899575</v>
      </c>
      <c r="P124" s="1469">
        <f t="shared" si="16"/>
        <v>-9.3120738519535898E-4</v>
      </c>
      <c r="R124" s="1605">
        <v>187757.84340000001</v>
      </c>
      <c r="S124" s="750">
        <f t="shared" si="17"/>
        <v>-0.15659999998752028</v>
      </c>
    </row>
    <row r="125" spans="1:19" x14ac:dyDescent="0.2">
      <c r="A125" s="1461" t="s">
        <v>132</v>
      </c>
      <c r="B125" s="1462" t="s">
        <v>133</v>
      </c>
      <c r="C125" s="1463">
        <v>1.1113</v>
      </c>
      <c r="D125" s="1464">
        <f>INDEX(Data!$E$5:$E$300,MATCH('Cost of Collection'!B125,Data!$C$5:$C$300,0))</f>
        <v>493067246</v>
      </c>
      <c r="E125" s="1464">
        <f>INDEX(Data!$F$5:$F$300,MATCH('Cost of Collection'!B125,Data!$C$5:$C$300,0))</f>
        <v>7763</v>
      </c>
      <c r="F125" s="1611">
        <f t="shared" si="10"/>
        <v>547945630.47979999</v>
      </c>
      <c r="G125" s="1465">
        <f t="shared" si="11"/>
        <v>8627.0218999999997</v>
      </c>
      <c r="H125" s="1614">
        <f t="shared" si="12"/>
        <v>20160000</v>
      </c>
      <c r="I125" s="1466">
        <f t="shared" si="13"/>
        <v>63840000</v>
      </c>
      <c r="J125" s="1465">
        <f t="shared" si="9"/>
        <v>150094.79905541989</v>
      </c>
      <c r="K125" s="1465">
        <f t="shared" si="9"/>
        <v>264056.67391882814</v>
      </c>
      <c r="L125" s="1467">
        <f t="shared" si="14"/>
        <v>414151</v>
      </c>
      <c r="N125" s="1616">
        <v>409069.45059633901</v>
      </c>
      <c r="O125" s="1468">
        <f t="shared" si="15"/>
        <v>-5081.5494036609889</v>
      </c>
      <c r="P125" s="1469">
        <f t="shared" si="16"/>
        <v>-1.2422216805124744E-2</v>
      </c>
      <c r="R125" s="1605">
        <v>414151.4129</v>
      </c>
      <c r="S125" s="750">
        <f t="shared" si="17"/>
        <v>0.41289999999571592</v>
      </c>
    </row>
    <row r="126" spans="1:19" x14ac:dyDescent="0.2">
      <c r="A126" s="1461" t="s">
        <v>134</v>
      </c>
      <c r="B126" s="1462" t="s">
        <v>135</v>
      </c>
      <c r="C126" s="1463">
        <v>1.0339</v>
      </c>
      <c r="D126" s="1464">
        <f>INDEX(Data!$E$5:$E$300,MATCH('Cost of Collection'!B126,Data!$C$5:$C$300,0))</f>
        <v>179170981</v>
      </c>
      <c r="E126" s="1464">
        <f>INDEX(Data!$F$5:$F$300,MATCH('Cost of Collection'!B126,Data!$C$5:$C$300,0))</f>
        <v>5759</v>
      </c>
      <c r="F126" s="1611">
        <f t="shared" si="10"/>
        <v>185244877.2559</v>
      </c>
      <c r="G126" s="1465">
        <f t="shared" si="11"/>
        <v>5954.2301000000007</v>
      </c>
      <c r="H126" s="1614">
        <f t="shared" si="12"/>
        <v>20160000</v>
      </c>
      <c r="I126" s="1466">
        <f t="shared" si="13"/>
        <v>63840000</v>
      </c>
      <c r="J126" s="1465">
        <f t="shared" si="9"/>
        <v>50742.794688268325</v>
      </c>
      <c r="K126" s="1465">
        <f t="shared" si="9"/>
        <v>182247.61849200496</v>
      </c>
      <c r="L126" s="1467">
        <f t="shared" si="14"/>
        <v>232990</v>
      </c>
      <c r="N126" s="1616">
        <v>230516.14347119699</v>
      </c>
      <c r="O126" s="1468">
        <f t="shared" si="15"/>
        <v>-2473.8565288030077</v>
      </c>
      <c r="P126" s="1469">
        <f t="shared" si="16"/>
        <v>-1.0731814664043762E-2</v>
      </c>
      <c r="R126" s="1605">
        <v>232990.37169999999</v>
      </c>
      <c r="S126" s="750">
        <f t="shared" si="17"/>
        <v>0.37169999998877756</v>
      </c>
    </row>
    <row r="127" spans="1:19" x14ac:dyDescent="0.2">
      <c r="A127" s="1461" t="s">
        <v>136</v>
      </c>
      <c r="B127" s="1462" t="s">
        <v>137</v>
      </c>
      <c r="C127" s="1463">
        <v>1</v>
      </c>
      <c r="D127" s="1464">
        <f>INDEX(Data!$E$5:$E$300,MATCH('Cost of Collection'!B127,Data!$C$5:$C$300,0))</f>
        <v>67733454</v>
      </c>
      <c r="E127" s="1464">
        <f>INDEX(Data!$F$5:$F$300,MATCH('Cost of Collection'!B127,Data!$C$5:$C$300,0))</f>
        <v>3422</v>
      </c>
      <c r="F127" s="1611">
        <f t="shared" si="10"/>
        <v>67733454</v>
      </c>
      <c r="G127" s="1465">
        <f t="shared" si="11"/>
        <v>3422</v>
      </c>
      <c r="H127" s="1614">
        <f t="shared" si="12"/>
        <v>20160000</v>
      </c>
      <c r="I127" s="1466">
        <f t="shared" si="13"/>
        <v>63840000</v>
      </c>
      <c r="J127" s="1465">
        <f t="shared" si="9"/>
        <v>18553.737089859525</v>
      </c>
      <c r="K127" s="1465">
        <f t="shared" si="9"/>
        <v>104740.88841135663</v>
      </c>
      <c r="L127" s="1467">
        <f t="shared" si="14"/>
        <v>123295</v>
      </c>
      <c r="N127" s="1616">
        <v>123426.71776165599</v>
      </c>
      <c r="O127" s="1468">
        <f t="shared" si="15"/>
        <v>131.71776165599294</v>
      </c>
      <c r="P127" s="1469">
        <f t="shared" si="16"/>
        <v>1.0671738181545704E-3</v>
      </c>
      <c r="R127" s="1605">
        <v>123294.6017</v>
      </c>
      <c r="S127" s="750">
        <f t="shared" si="17"/>
        <v>-0.39830000000074506</v>
      </c>
    </row>
    <row r="128" spans="1:19" x14ac:dyDescent="0.2">
      <c r="A128" s="1461" t="s">
        <v>138</v>
      </c>
      <c r="B128" s="1462" t="s">
        <v>139</v>
      </c>
      <c r="C128" s="1463">
        <v>1.0054000000000001</v>
      </c>
      <c r="D128" s="1464">
        <f>INDEX(Data!$E$5:$E$300,MATCH('Cost of Collection'!B128,Data!$C$5:$C$300,0))</f>
        <v>145068306</v>
      </c>
      <c r="E128" s="1464">
        <f>INDEX(Data!$F$5:$F$300,MATCH('Cost of Collection'!B128,Data!$C$5:$C$300,0))</f>
        <v>4685</v>
      </c>
      <c r="F128" s="1611">
        <f t="shared" si="10"/>
        <v>145851674.8524</v>
      </c>
      <c r="G128" s="1465">
        <f t="shared" si="11"/>
        <v>4710.299</v>
      </c>
      <c r="H128" s="1614">
        <f t="shared" si="12"/>
        <v>20160000</v>
      </c>
      <c r="I128" s="1466">
        <f t="shared" si="13"/>
        <v>63840000</v>
      </c>
      <c r="J128" s="1465">
        <f t="shared" si="9"/>
        <v>39952.098549811228</v>
      </c>
      <c r="K128" s="1465">
        <f t="shared" si="9"/>
        <v>144173.26181856362</v>
      </c>
      <c r="L128" s="1467">
        <f t="shared" si="14"/>
        <v>184125</v>
      </c>
      <c r="N128" s="1616">
        <v>183359.95410546099</v>
      </c>
      <c r="O128" s="1468">
        <f t="shared" si="15"/>
        <v>-765.04589453901281</v>
      </c>
      <c r="P128" s="1469">
        <f t="shared" si="16"/>
        <v>-4.1723717606244074E-3</v>
      </c>
      <c r="R128" s="1605">
        <v>184125.32759999999</v>
      </c>
      <c r="S128" s="750">
        <f t="shared" si="17"/>
        <v>0.32759999998961575</v>
      </c>
    </row>
    <row r="129" spans="1:19" x14ac:dyDescent="0.2">
      <c r="A129" s="1461" t="s">
        <v>964</v>
      </c>
      <c r="B129" s="1462" t="s">
        <v>141</v>
      </c>
      <c r="C129" s="1463">
        <v>1.036</v>
      </c>
      <c r="D129" s="1464">
        <f>INDEX(Data!$E$5:$E$300,MATCH('Cost of Collection'!B129,Data!$C$5:$C$300,0))</f>
        <v>117280744</v>
      </c>
      <c r="E129" s="1464">
        <f>INDEX(Data!$F$5:$F$300,MATCH('Cost of Collection'!B129,Data!$C$5:$C$300,0))</f>
        <v>7501</v>
      </c>
      <c r="F129" s="1611">
        <f t="shared" si="10"/>
        <v>121502850.78400001</v>
      </c>
      <c r="G129" s="1465">
        <f t="shared" si="11"/>
        <v>7771.0360000000001</v>
      </c>
      <c r="H129" s="1614">
        <f t="shared" si="12"/>
        <v>20160000</v>
      </c>
      <c r="I129" s="1466">
        <f t="shared" si="13"/>
        <v>63840000</v>
      </c>
      <c r="J129" s="1465">
        <f t="shared" si="9"/>
        <v>33282.400586197306</v>
      </c>
      <c r="K129" s="1465">
        <f t="shared" si="9"/>
        <v>237856.57934442876</v>
      </c>
      <c r="L129" s="1467">
        <f t="shared" si="14"/>
        <v>271139</v>
      </c>
      <c r="N129" s="1616">
        <v>273556.44001264201</v>
      </c>
      <c r="O129" s="1468">
        <f t="shared" si="15"/>
        <v>2417.4400126420078</v>
      </c>
      <c r="P129" s="1469">
        <f t="shared" si="16"/>
        <v>8.8370795164986402E-3</v>
      </c>
      <c r="R129" s="1605">
        <v>271138.92580000003</v>
      </c>
      <c r="S129" s="750">
        <f t="shared" si="17"/>
        <v>-7.4199999973643571E-2</v>
      </c>
    </row>
    <row r="130" spans="1:19" x14ac:dyDescent="0.2">
      <c r="A130" s="1461" t="s">
        <v>965</v>
      </c>
      <c r="B130" s="1462" t="s">
        <v>143</v>
      </c>
      <c r="C130" s="1463">
        <v>1.5</v>
      </c>
      <c r="D130" s="1464">
        <f>INDEX(Data!$E$5:$E$300,MATCH('Cost of Collection'!B130,Data!$C$5:$C$300,0))</f>
        <v>4671710</v>
      </c>
      <c r="E130" s="1464">
        <f>INDEX(Data!$F$5:$F$300,MATCH('Cost of Collection'!B130,Data!$C$5:$C$300,0))</f>
        <v>522</v>
      </c>
      <c r="F130" s="1611">
        <f t="shared" si="10"/>
        <v>7007565</v>
      </c>
      <c r="G130" s="1465">
        <f t="shared" si="11"/>
        <v>783</v>
      </c>
      <c r="H130" s="1614">
        <f t="shared" si="12"/>
        <v>20160000</v>
      </c>
      <c r="I130" s="1466">
        <f t="shared" si="13"/>
        <v>63840000</v>
      </c>
      <c r="J130" s="1465">
        <f t="shared" si="9"/>
        <v>1919.5317966525295</v>
      </c>
      <c r="K130" s="1465">
        <f t="shared" si="9"/>
        <v>23966.135483954484</v>
      </c>
      <c r="L130" s="1467">
        <f t="shared" si="14"/>
        <v>25886</v>
      </c>
      <c r="N130" s="1616">
        <v>26448.794694383701</v>
      </c>
      <c r="O130" s="1468">
        <f t="shared" si="15"/>
        <v>562.79469438370143</v>
      </c>
      <c r="P130" s="1469">
        <f t="shared" si="16"/>
        <v>2.1278651858687863E-2</v>
      </c>
      <c r="R130" s="1605">
        <v>25885.661830000001</v>
      </c>
      <c r="S130" s="750">
        <f t="shared" si="17"/>
        <v>-0.33816999999908148</v>
      </c>
    </row>
    <row r="131" spans="1:19" x14ac:dyDescent="0.2">
      <c r="A131" s="1461" t="s">
        <v>144</v>
      </c>
      <c r="B131" s="1462" t="s">
        <v>145</v>
      </c>
      <c r="C131" s="1463">
        <v>1.2208000000000001</v>
      </c>
      <c r="D131" s="1464">
        <f>INDEX(Data!$E$5:$E$300,MATCH('Cost of Collection'!B131,Data!$C$5:$C$300,0))</f>
        <v>696120623</v>
      </c>
      <c r="E131" s="1464">
        <f>INDEX(Data!$F$5:$F$300,MATCH('Cost of Collection'!B131,Data!$C$5:$C$300,0))</f>
        <v>12043</v>
      </c>
      <c r="F131" s="1611">
        <f t="shared" si="10"/>
        <v>849824056.55840003</v>
      </c>
      <c r="G131" s="1465">
        <f t="shared" si="11"/>
        <v>14702.094400000002</v>
      </c>
      <c r="H131" s="1614">
        <f t="shared" si="12"/>
        <v>20160000</v>
      </c>
      <c r="I131" s="1466">
        <f t="shared" si="13"/>
        <v>63840000</v>
      </c>
      <c r="J131" s="1465">
        <f t="shared" si="9"/>
        <v>232786.18152298071</v>
      </c>
      <c r="K131" s="1465">
        <f t="shared" si="9"/>
        <v>450003.04762233532</v>
      </c>
      <c r="L131" s="1467">
        <f t="shared" si="14"/>
        <v>682789</v>
      </c>
      <c r="N131" s="1616">
        <v>684130.09991428501</v>
      </c>
      <c r="O131" s="1468">
        <f t="shared" si="15"/>
        <v>1341.0999142850051</v>
      </c>
      <c r="P131" s="1469">
        <f t="shared" si="16"/>
        <v>1.9602995314093505E-3</v>
      </c>
      <c r="R131" s="1605">
        <v>682789.12679999997</v>
      </c>
      <c r="S131" s="750">
        <f t="shared" si="17"/>
        <v>0.12679999996908009</v>
      </c>
    </row>
    <row r="132" spans="1:19" x14ac:dyDescent="0.2">
      <c r="A132" s="1461" t="s">
        <v>146</v>
      </c>
      <c r="B132" s="1462" t="s">
        <v>147</v>
      </c>
      <c r="C132" s="1463">
        <v>1.2208000000000001</v>
      </c>
      <c r="D132" s="1464">
        <f>INDEX(Data!$E$5:$E$300,MATCH('Cost of Collection'!B132,Data!$C$5:$C$300,0))</f>
        <v>671831538</v>
      </c>
      <c r="E132" s="1464">
        <f>INDEX(Data!$F$5:$F$300,MATCH('Cost of Collection'!B132,Data!$C$5:$C$300,0))</f>
        <v>8777</v>
      </c>
      <c r="F132" s="1611">
        <f t="shared" si="10"/>
        <v>820171941.5904001</v>
      </c>
      <c r="G132" s="1465">
        <f t="shared" si="11"/>
        <v>10714.961600000001</v>
      </c>
      <c r="H132" s="1614">
        <f t="shared" si="12"/>
        <v>20160000</v>
      </c>
      <c r="I132" s="1466">
        <f t="shared" si="13"/>
        <v>63840000</v>
      </c>
      <c r="J132" s="1465">
        <f t="shared" ref="J132:K195" si="18">(F132*H132)/F$301</f>
        <v>224663.79128913025</v>
      </c>
      <c r="K132" s="1465">
        <f t="shared" si="18"/>
        <v>327964.52287480171</v>
      </c>
      <c r="L132" s="1467">
        <f t="shared" si="14"/>
        <v>552628</v>
      </c>
      <c r="N132" s="1616">
        <v>552286.20810519904</v>
      </c>
      <c r="O132" s="1468">
        <f t="shared" si="15"/>
        <v>-341.79189480096102</v>
      </c>
      <c r="P132" s="1469">
        <f t="shared" si="16"/>
        <v>-6.188673368715678E-4</v>
      </c>
      <c r="R132" s="1605">
        <v>552628.23959999997</v>
      </c>
      <c r="S132" s="750">
        <f t="shared" si="17"/>
        <v>0.23959999997168779</v>
      </c>
    </row>
    <row r="133" spans="1:19" x14ac:dyDescent="0.2">
      <c r="A133" s="1461" t="s">
        <v>967</v>
      </c>
      <c r="B133" s="1462" t="s">
        <v>149</v>
      </c>
      <c r="C133" s="1463">
        <v>1</v>
      </c>
      <c r="D133" s="1464">
        <f>INDEX(Data!$E$5:$E$300,MATCH('Cost of Collection'!B133,Data!$C$5:$C$300,0))</f>
        <v>132208268</v>
      </c>
      <c r="E133" s="1464">
        <f>INDEX(Data!$F$5:$F$300,MATCH('Cost of Collection'!B133,Data!$C$5:$C$300,0))</f>
        <v>6664</v>
      </c>
      <c r="F133" s="1611">
        <f t="shared" ref="F133:F196" si="19">D133*C133</f>
        <v>132208268</v>
      </c>
      <c r="G133" s="1465">
        <f t="shared" ref="G133:G196" si="20">E133*C133</f>
        <v>6664</v>
      </c>
      <c r="H133" s="1614">
        <f t="shared" ref="H133:H196" si="21">20160000</f>
        <v>20160000</v>
      </c>
      <c r="I133" s="1466">
        <f t="shared" ref="I133:I196" si="22">63840000</f>
        <v>63840000</v>
      </c>
      <c r="J133" s="1465">
        <f t="shared" si="18"/>
        <v>36214.858400365767</v>
      </c>
      <c r="K133" s="1465">
        <f t="shared" si="18"/>
        <v>203972.32038962029</v>
      </c>
      <c r="L133" s="1467">
        <f t="shared" ref="L133:L196" si="23">ROUND(J133+K133,0)</f>
        <v>240187</v>
      </c>
      <c r="N133" s="1616">
        <v>241294.06806924299</v>
      </c>
      <c r="O133" s="1468">
        <f t="shared" ref="O133:O196" si="24">N133-L133</f>
        <v>1107.0680692429887</v>
      </c>
      <c r="P133" s="1469">
        <f t="shared" ref="P133:P196" si="25">O133/N133</f>
        <v>4.5880451106875067E-3</v>
      </c>
      <c r="R133" s="1605">
        <v>240187.1324</v>
      </c>
      <c r="S133" s="750">
        <f t="shared" ref="S133:S196" si="26">R133-L133</f>
        <v>0.13240000000223517</v>
      </c>
    </row>
    <row r="134" spans="1:19" x14ac:dyDescent="0.2">
      <c r="A134" s="1461" t="s">
        <v>963</v>
      </c>
      <c r="B134" s="1462" t="s">
        <v>151</v>
      </c>
      <c r="C134" s="1463">
        <v>1</v>
      </c>
      <c r="D134" s="1464">
        <f>INDEX(Data!$E$5:$E$300,MATCH('Cost of Collection'!B134,Data!$C$5:$C$300,0))</f>
        <v>232619555</v>
      </c>
      <c r="E134" s="1464">
        <f>INDEX(Data!$F$5:$F$300,MATCH('Cost of Collection'!B134,Data!$C$5:$C$300,0))</f>
        <v>9290</v>
      </c>
      <c r="F134" s="1611">
        <f t="shared" si="19"/>
        <v>232619555</v>
      </c>
      <c r="G134" s="1465">
        <f t="shared" si="20"/>
        <v>9290</v>
      </c>
      <c r="H134" s="1614">
        <f t="shared" si="21"/>
        <v>20160000</v>
      </c>
      <c r="I134" s="1466">
        <f t="shared" si="22"/>
        <v>63840000</v>
      </c>
      <c r="J134" s="1465">
        <f t="shared" si="18"/>
        <v>63719.798866747849</v>
      </c>
      <c r="K134" s="1465">
        <f t="shared" si="18"/>
        <v>284349.16813018796</v>
      </c>
      <c r="L134" s="1467">
        <f t="shared" si="23"/>
        <v>348069</v>
      </c>
      <c r="N134" s="1616">
        <v>345922.28680309001</v>
      </c>
      <c r="O134" s="1468">
        <f t="shared" si="24"/>
        <v>-2146.7131969099864</v>
      </c>
      <c r="P134" s="1469">
        <f t="shared" si="25"/>
        <v>-6.2057672454390424E-3</v>
      </c>
      <c r="R134" s="1605">
        <v>348068.90230000002</v>
      </c>
      <c r="S134" s="750">
        <f t="shared" si="26"/>
        <v>-9.7699999983888119E-2</v>
      </c>
    </row>
    <row r="135" spans="1:19" x14ac:dyDescent="0.2">
      <c r="A135" s="1461" t="s">
        <v>152</v>
      </c>
      <c r="B135" s="1462" t="s">
        <v>153</v>
      </c>
      <c r="C135" s="1463">
        <v>1.1113</v>
      </c>
      <c r="D135" s="1464">
        <f>INDEX(Data!$E$5:$E$300,MATCH('Cost of Collection'!B135,Data!$C$5:$C$300,0))</f>
        <v>205720230</v>
      </c>
      <c r="E135" s="1464">
        <f>INDEX(Data!$F$5:$F$300,MATCH('Cost of Collection'!B135,Data!$C$5:$C$300,0))</f>
        <v>4564</v>
      </c>
      <c r="F135" s="1611">
        <f t="shared" si="19"/>
        <v>228616891.59899998</v>
      </c>
      <c r="G135" s="1465">
        <f t="shared" si="20"/>
        <v>5071.9731999999995</v>
      </c>
      <c r="H135" s="1614">
        <f t="shared" si="21"/>
        <v>20160000</v>
      </c>
      <c r="I135" s="1466">
        <f t="shared" si="22"/>
        <v>63840000</v>
      </c>
      <c r="J135" s="1465">
        <f t="shared" si="18"/>
        <v>62623.378117241162</v>
      </c>
      <c r="K135" s="1465">
        <f t="shared" si="18"/>
        <v>155243.4187511956</v>
      </c>
      <c r="L135" s="1467">
        <f t="shared" si="23"/>
        <v>217867</v>
      </c>
      <c r="N135" s="1616">
        <v>216250.556006103</v>
      </c>
      <c r="O135" s="1468">
        <f t="shared" si="24"/>
        <v>-1616.4439938970027</v>
      </c>
      <c r="P135" s="1469">
        <f t="shared" si="25"/>
        <v>-7.4748663020842527E-3</v>
      </c>
      <c r="R135" s="1605">
        <v>217866.7616</v>
      </c>
      <c r="S135" s="750">
        <f t="shared" si="26"/>
        <v>-0.23840000000200234</v>
      </c>
    </row>
    <row r="136" spans="1:19" x14ac:dyDescent="0.2">
      <c r="A136" s="1461" t="s">
        <v>154</v>
      </c>
      <c r="B136" s="1462" t="s">
        <v>155</v>
      </c>
      <c r="C136" s="1463">
        <v>1.0055000000000001</v>
      </c>
      <c r="D136" s="1464">
        <f>INDEX(Data!$E$5:$E$300,MATCH('Cost of Collection'!B136,Data!$C$5:$C$300,0))</f>
        <v>303608359</v>
      </c>
      <c r="E136" s="1464">
        <f>INDEX(Data!$F$5:$F$300,MATCH('Cost of Collection'!B136,Data!$C$5:$C$300,0))</f>
        <v>16494</v>
      </c>
      <c r="F136" s="1611">
        <f t="shared" si="19"/>
        <v>305278204.9745</v>
      </c>
      <c r="G136" s="1465">
        <f t="shared" si="20"/>
        <v>16584.717000000001</v>
      </c>
      <c r="H136" s="1614">
        <f t="shared" si="21"/>
        <v>20160000</v>
      </c>
      <c r="I136" s="1466">
        <f t="shared" si="22"/>
        <v>63840000</v>
      </c>
      <c r="J136" s="1465">
        <f t="shared" si="18"/>
        <v>83622.659407877218</v>
      </c>
      <c r="K136" s="1465">
        <f t="shared" si="18"/>
        <v>507626.5320370922</v>
      </c>
      <c r="L136" s="1467">
        <f t="shared" si="23"/>
        <v>591249</v>
      </c>
      <c r="N136" s="1616">
        <v>587360.61652286199</v>
      </c>
      <c r="O136" s="1468">
        <f t="shared" si="24"/>
        <v>-3888.3834771380061</v>
      </c>
      <c r="P136" s="1469">
        <f t="shared" si="25"/>
        <v>-6.620095675050521E-3</v>
      </c>
      <c r="R136" s="1605">
        <v>591249.076</v>
      </c>
      <c r="S136" s="750">
        <f t="shared" si="26"/>
        <v>7.6000000000931323E-2</v>
      </c>
    </row>
    <row r="137" spans="1:19" x14ac:dyDescent="0.2">
      <c r="A137" s="1461" t="s">
        <v>156</v>
      </c>
      <c r="B137" s="1462" t="s">
        <v>157</v>
      </c>
      <c r="C137" s="1463">
        <v>1.0075000000000001</v>
      </c>
      <c r="D137" s="1464">
        <f>INDEX(Data!$E$5:$E$300,MATCH('Cost of Collection'!B137,Data!$C$5:$C$300,0))</f>
        <v>130174571</v>
      </c>
      <c r="E137" s="1464">
        <f>INDEX(Data!$F$5:$F$300,MATCH('Cost of Collection'!B137,Data!$C$5:$C$300,0))</f>
        <v>3243</v>
      </c>
      <c r="F137" s="1611">
        <f t="shared" si="19"/>
        <v>131150880.28250001</v>
      </c>
      <c r="G137" s="1465">
        <f t="shared" si="20"/>
        <v>3267.3225000000002</v>
      </c>
      <c r="H137" s="1614">
        <f t="shared" si="21"/>
        <v>20160000</v>
      </c>
      <c r="I137" s="1466">
        <f t="shared" si="22"/>
        <v>63840000</v>
      </c>
      <c r="J137" s="1465">
        <f t="shared" si="18"/>
        <v>35925.215800528153</v>
      </c>
      <c r="K137" s="1465">
        <f t="shared" si="18"/>
        <v>100006.5053700803</v>
      </c>
      <c r="L137" s="1467">
        <f t="shared" si="23"/>
        <v>135932</v>
      </c>
      <c r="N137" s="1616">
        <v>134119.15042637501</v>
      </c>
      <c r="O137" s="1468">
        <f t="shared" si="24"/>
        <v>-1812.8495736249897</v>
      </c>
      <c r="P137" s="1469">
        <f t="shared" si="25"/>
        <v>-1.3516709342862691E-2</v>
      </c>
      <c r="R137" s="1605">
        <v>135931.69839999999</v>
      </c>
      <c r="S137" s="750">
        <f t="shared" si="26"/>
        <v>-0.30160000000614673</v>
      </c>
    </row>
    <row r="138" spans="1:19" x14ac:dyDescent="0.2">
      <c r="A138" s="1461" t="s">
        <v>158</v>
      </c>
      <c r="B138" s="1462" t="s">
        <v>159</v>
      </c>
      <c r="C138" s="1463">
        <v>1.2208000000000001</v>
      </c>
      <c r="D138" s="1464">
        <f>INDEX(Data!$E$5:$E$300,MATCH('Cost of Collection'!B138,Data!$C$5:$C$300,0))</f>
        <v>456057062</v>
      </c>
      <c r="E138" s="1464">
        <f>INDEX(Data!$F$5:$F$300,MATCH('Cost of Collection'!B138,Data!$C$5:$C$300,0))</f>
        <v>9026</v>
      </c>
      <c r="F138" s="1611">
        <f t="shared" si="19"/>
        <v>556754461.28960001</v>
      </c>
      <c r="G138" s="1465">
        <f t="shared" si="20"/>
        <v>11018.9408</v>
      </c>
      <c r="H138" s="1614">
        <f t="shared" si="21"/>
        <v>20160000</v>
      </c>
      <c r="I138" s="1466">
        <f t="shared" si="22"/>
        <v>63840000</v>
      </c>
      <c r="J138" s="1465">
        <f t="shared" si="18"/>
        <v>152507.73861869809</v>
      </c>
      <c r="K138" s="1465">
        <f t="shared" si="18"/>
        <v>337268.7459801709</v>
      </c>
      <c r="L138" s="1467">
        <f t="shared" si="23"/>
        <v>489776</v>
      </c>
      <c r="N138" s="1616">
        <v>487471.04881264101</v>
      </c>
      <c r="O138" s="1468">
        <f t="shared" si="24"/>
        <v>-2304.9511873589945</v>
      </c>
      <c r="P138" s="1469">
        <f t="shared" si="25"/>
        <v>-4.7283858045996498E-3</v>
      </c>
      <c r="R138" s="1605">
        <v>489776.40789999999</v>
      </c>
      <c r="S138" s="750">
        <f t="shared" si="26"/>
        <v>0.4078999999910593</v>
      </c>
    </row>
    <row r="139" spans="1:19" x14ac:dyDescent="0.2">
      <c r="A139" s="1461" t="s">
        <v>160</v>
      </c>
      <c r="B139" s="1462" t="s">
        <v>161</v>
      </c>
      <c r="C139" s="1463">
        <v>1</v>
      </c>
      <c r="D139" s="1464">
        <f>INDEX(Data!$E$5:$E$300,MATCH('Cost of Collection'!B139,Data!$C$5:$C$300,0))</f>
        <v>168340823</v>
      </c>
      <c r="E139" s="1464">
        <f>INDEX(Data!$F$5:$F$300,MATCH('Cost of Collection'!B139,Data!$C$5:$C$300,0))</f>
        <v>5329</v>
      </c>
      <c r="F139" s="1611">
        <f t="shared" si="19"/>
        <v>168340823</v>
      </c>
      <c r="G139" s="1465">
        <f t="shared" si="20"/>
        <v>5329</v>
      </c>
      <c r="H139" s="1614">
        <f t="shared" si="21"/>
        <v>20160000</v>
      </c>
      <c r="I139" s="1466">
        <f t="shared" si="22"/>
        <v>63840000</v>
      </c>
      <c r="J139" s="1465">
        <f t="shared" si="18"/>
        <v>46112.388885890527</v>
      </c>
      <c r="K139" s="1465">
        <f t="shared" si="18"/>
        <v>163110.51851084732</v>
      </c>
      <c r="L139" s="1467">
        <f t="shared" si="23"/>
        <v>209223</v>
      </c>
      <c r="N139" s="1616">
        <v>209547.708672665</v>
      </c>
      <c r="O139" s="1468">
        <f t="shared" si="24"/>
        <v>324.70867266500136</v>
      </c>
      <c r="P139" s="1469">
        <f t="shared" si="25"/>
        <v>1.549569187474293E-3</v>
      </c>
      <c r="R139" s="1605">
        <v>209222.87030000001</v>
      </c>
      <c r="S139" s="750">
        <f t="shared" si="26"/>
        <v>-0.12969999999040738</v>
      </c>
    </row>
    <row r="140" spans="1:19" x14ac:dyDescent="0.2">
      <c r="A140" s="1461" t="s">
        <v>162</v>
      </c>
      <c r="B140" s="1462" t="s">
        <v>163</v>
      </c>
      <c r="C140" s="1463">
        <v>1.0055000000000001</v>
      </c>
      <c r="D140" s="1464">
        <f>INDEX(Data!$E$5:$E$300,MATCH('Cost of Collection'!B140,Data!$C$5:$C$300,0))</f>
        <v>955238962</v>
      </c>
      <c r="E140" s="1464">
        <f>INDEX(Data!$F$5:$F$300,MATCH('Cost of Collection'!B140,Data!$C$5:$C$300,0))</f>
        <v>31730</v>
      </c>
      <c r="F140" s="1611">
        <f t="shared" si="19"/>
        <v>960492776.29100001</v>
      </c>
      <c r="G140" s="1465">
        <f t="shared" si="20"/>
        <v>31904.515000000003</v>
      </c>
      <c r="H140" s="1614">
        <f t="shared" si="21"/>
        <v>20160000</v>
      </c>
      <c r="I140" s="1466">
        <f t="shared" si="22"/>
        <v>63840000</v>
      </c>
      <c r="J140" s="1465">
        <f t="shared" si="18"/>
        <v>263100.86664135678</v>
      </c>
      <c r="K140" s="1465">
        <f t="shared" si="18"/>
        <v>976536.3078414537</v>
      </c>
      <c r="L140" s="1467">
        <f t="shared" si="23"/>
        <v>1239637</v>
      </c>
      <c r="N140" s="1616">
        <v>1231669.64638906</v>
      </c>
      <c r="O140" s="1468">
        <f t="shared" si="24"/>
        <v>-7967.3536109400447</v>
      </c>
      <c r="P140" s="1469">
        <f t="shared" si="25"/>
        <v>-6.4687423566037253E-3</v>
      </c>
      <c r="R140" s="1605">
        <v>1239636.952</v>
      </c>
      <c r="S140" s="750">
        <f t="shared" si="26"/>
        <v>-4.7999999951571226E-2</v>
      </c>
    </row>
    <row r="141" spans="1:19" x14ac:dyDescent="0.2">
      <c r="A141" s="1461" t="s">
        <v>611</v>
      </c>
      <c r="B141" s="1462" t="s">
        <v>165</v>
      </c>
      <c r="C141" s="1463">
        <v>1</v>
      </c>
      <c r="D141" s="1464">
        <f>INDEX(Data!$E$5:$E$300,MATCH('Cost of Collection'!B141,Data!$C$5:$C$300,0))</f>
        <v>310649915</v>
      </c>
      <c r="E141" s="1464">
        <f>INDEX(Data!$F$5:$F$300,MATCH('Cost of Collection'!B141,Data!$C$5:$C$300,0))</f>
        <v>12692</v>
      </c>
      <c r="F141" s="1611">
        <f t="shared" si="19"/>
        <v>310649915</v>
      </c>
      <c r="G141" s="1465">
        <f t="shared" si="20"/>
        <v>12692</v>
      </c>
      <c r="H141" s="1614">
        <f t="shared" si="21"/>
        <v>20160000</v>
      </c>
      <c r="I141" s="1466">
        <f t="shared" si="22"/>
        <v>63840000</v>
      </c>
      <c r="J141" s="1465">
        <f t="shared" si="18"/>
        <v>85094.093236367495</v>
      </c>
      <c r="K141" s="1465">
        <f t="shared" si="18"/>
        <v>388477.89471564535</v>
      </c>
      <c r="L141" s="1467">
        <f t="shared" si="23"/>
        <v>473572</v>
      </c>
      <c r="N141" s="1616">
        <v>473253.28760113998</v>
      </c>
      <c r="O141" s="1468">
        <f t="shared" si="24"/>
        <v>-318.71239886002149</v>
      </c>
      <c r="P141" s="1469">
        <f t="shared" si="25"/>
        <v>-6.7344994152187219E-4</v>
      </c>
      <c r="R141" s="1605">
        <v>473571.8996</v>
      </c>
      <c r="S141" s="750">
        <f t="shared" si="26"/>
        <v>-0.10039999999571592</v>
      </c>
    </row>
    <row r="142" spans="1:19" x14ac:dyDescent="0.2">
      <c r="A142" s="1461" t="s">
        <v>166</v>
      </c>
      <c r="B142" s="1462" t="s">
        <v>167</v>
      </c>
      <c r="C142" s="1463">
        <v>1.0089999999999999</v>
      </c>
      <c r="D142" s="1464">
        <f>INDEX(Data!$E$5:$E$300,MATCH('Cost of Collection'!B142,Data!$C$5:$C$300,0))</f>
        <v>80257200</v>
      </c>
      <c r="E142" s="1464">
        <f>INDEX(Data!$F$5:$F$300,MATCH('Cost of Collection'!B142,Data!$C$5:$C$300,0))</f>
        <v>3685</v>
      </c>
      <c r="F142" s="1611">
        <f t="shared" si="19"/>
        <v>80979514.799999997</v>
      </c>
      <c r="G142" s="1465">
        <f t="shared" si="20"/>
        <v>3718.1649999999995</v>
      </c>
      <c r="H142" s="1614">
        <f t="shared" si="21"/>
        <v>20160000</v>
      </c>
      <c r="I142" s="1466">
        <f t="shared" si="22"/>
        <v>63840000</v>
      </c>
      <c r="J142" s="1465">
        <f t="shared" si="18"/>
        <v>22182.135097725688</v>
      </c>
      <c r="K142" s="1465">
        <f t="shared" si="18"/>
        <v>113805.93376972876</v>
      </c>
      <c r="L142" s="1467">
        <f t="shared" si="23"/>
        <v>135988</v>
      </c>
      <c r="N142" s="1616">
        <v>136495.13245177901</v>
      </c>
      <c r="O142" s="1468">
        <f t="shared" si="24"/>
        <v>507.13245177900535</v>
      </c>
      <c r="P142" s="1469">
        <f t="shared" si="25"/>
        <v>3.7153885466074412E-3</v>
      </c>
      <c r="R142" s="1605">
        <v>135988.04300000001</v>
      </c>
      <c r="S142" s="750">
        <f t="shared" si="26"/>
        <v>4.3000000005122274E-2</v>
      </c>
    </row>
    <row r="143" spans="1:19" x14ac:dyDescent="0.2">
      <c r="A143" s="1461" t="s">
        <v>168</v>
      </c>
      <c r="B143" s="1462" t="s">
        <v>169</v>
      </c>
      <c r="C143" s="1463">
        <v>1.2208000000000001</v>
      </c>
      <c r="D143" s="1464">
        <f>INDEX(Data!$E$5:$E$300,MATCH('Cost of Collection'!B143,Data!$C$5:$C$300,0))</f>
        <v>172929163</v>
      </c>
      <c r="E143" s="1464">
        <f>INDEX(Data!$F$5:$F$300,MATCH('Cost of Collection'!B143,Data!$C$5:$C$300,0))</f>
        <v>6247</v>
      </c>
      <c r="F143" s="1611">
        <f t="shared" si="19"/>
        <v>211111922.1904</v>
      </c>
      <c r="G143" s="1465">
        <f t="shared" si="20"/>
        <v>7626.3376000000007</v>
      </c>
      <c r="H143" s="1614">
        <f t="shared" si="21"/>
        <v>20160000</v>
      </c>
      <c r="I143" s="1466">
        <f t="shared" si="22"/>
        <v>63840000</v>
      </c>
      <c r="J143" s="1465">
        <f t="shared" si="18"/>
        <v>57828.36795618842</v>
      </c>
      <c r="K143" s="1465">
        <f t="shared" si="18"/>
        <v>233427.63750699401</v>
      </c>
      <c r="L143" s="1467">
        <f t="shared" si="23"/>
        <v>291256</v>
      </c>
      <c r="N143" s="1616">
        <v>292664.33321899001</v>
      </c>
      <c r="O143" s="1468">
        <f t="shared" si="24"/>
        <v>1408.3332189900102</v>
      </c>
      <c r="P143" s="1469">
        <f t="shared" si="25"/>
        <v>4.8121108694724546E-3</v>
      </c>
      <c r="R143" s="1605">
        <v>291255.95240000001</v>
      </c>
      <c r="S143" s="750">
        <f t="shared" si="26"/>
        <v>-4.7599999990779907E-2</v>
      </c>
    </row>
    <row r="144" spans="1:19" x14ac:dyDescent="0.2">
      <c r="A144" s="1461" t="s">
        <v>170</v>
      </c>
      <c r="B144" s="1462" t="s">
        <v>171</v>
      </c>
      <c r="C144" s="1463">
        <v>1</v>
      </c>
      <c r="D144" s="1464">
        <f>INDEX(Data!$E$5:$E$300,MATCH('Cost of Collection'!B144,Data!$C$5:$C$300,0))</f>
        <v>100763296</v>
      </c>
      <c r="E144" s="1464">
        <f>INDEX(Data!$F$5:$F$300,MATCH('Cost of Collection'!B144,Data!$C$5:$C$300,0))</f>
        <v>3055</v>
      </c>
      <c r="F144" s="1611">
        <f t="shared" si="19"/>
        <v>100763296</v>
      </c>
      <c r="G144" s="1465">
        <f t="shared" si="20"/>
        <v>3055</v>
      </c>
      <c r="H144" s="1614">
        <f t="shared" si="21"/>
        <v>20160000</v>
      </c>
      <c r="I144" s="1466">
        <f t="shared" si="22"/>
        <v>63840000</v>
      </c>
      <c r="J144" s="1465">
        <f t="shared" si="18"/>
        <v>27601.363755813985</v>
      </c>
      <c r="K144" s="1465">
        <f t="shared" si="18"/>
        <v>93507.718906105947</v>
      </c>
      <c r="L144" s="1467">
        <f t="shared" si="23"/>
        <v>121109</v>
      </c>
      <c r="N144" s="1616">
        <v>120124.633795099</v>
      </c>
      <c r="O144" s="1468">
        <f t="shared" si="24"/>
        <v>-984.36620490100177</v>
      </c>
      <c r="P144" s="1469">
        <f t="shared" si="25"/>
        <v>-8.1945407349176304E-3</v>
      </c>
      <c r="R144" s="1605">
        <v>121109.06140000001</v>
      </c>
      <c r="S144" s="750">
        <f t="shared" si="26"/>
        <v>6.1400000005960464E-2</v>
      </c>
    </row>
    <row r="145" spans="1:19" x14ac:dyDescent="0.2">
      <c r="A145" s="1461" t="s">
        <v>172</v>
      </c>
      <c r="B145" s="1462" t="s">
        <v>173</v>
      </c>
      <c r="C145" s="1463">
        <v>1</v>
      </c>
      <c r="D145" s="1464">
        <f>INDEX(Data!$E$5:$E$300,MATCH('Cost of Collection'!B145,Data!$C$5:$C$300,0))</f>
        <v>108594152</v>
      </c>
      <c r="E145" s="1464">
        <f>INDEX(Data!$F$5:$F$300,MATCH('Cost of Collection'!B145,Data!$C$5:$C$300,0))</f>
        <v>3526</v>
      </c>
      <c r="F145" s="1611">
        <f t="shared" si="19"/>
        <v>108594152</v>
      </c>
      <c r="G145" s="1465">
        <f t="shared" si="20"/>
        <v>3526</v>
      </c>
      <c r="H145" s="1614">
        <f t="shared" si="21"/>
        <v>20160000</v>
      </c>
      <c r="I145" s="1466">
        <f t="shared" si="22"/>
        <v>63840000</v>
      </c>
      <c r="J145" s="1465">
        <f t="shared" si="18"/>
        <v>29746.413724955513</v>
      </c>
      <c r="K145" s="1465">
        <f t="shared" si="18"/>
        <v>107924.12990603258</v>
      </c>
      <c r="L145" s="1467">
        <f t="shared" si="23"/>
        <v>137671</v>
      </c>
      <c r="N145" s="1616">
        <v>138963.72505881</v>
      </c>
      <c r="O145" s="1468">
        <f t="shared" si="24"/>
        <v>1292.7250588099996</v>
      </c>
      <c r="P145" s="1469">
        <f t="shared" si="25"/>
        <v>9.302607988256743E-3</v>
      </c>
      <c r="R145" s="1605">
        <v>137670.5191</v>
      </c>
      <c r="S145" s="750">
        <f t="shared" si="26"/>
        <v>-0.48089999999501742</v>
      </c>
    </row>
    <row r="146" spans="1:19" x14ac:dyDescent="0.2">
      <c r="A146" s="1461" t="s">
        <v>174</v>
      </c>
      <c r="B146" s="1462" t="s">
        <v>175</v>
      </c>
      <c r="C146" s="1463">
        <v>1.0075000000000001</v>
      </c>
      <c r="D146" s="1464">
        <f>INDEX(Data!$E$5:$E$300,MATCH('Cost of Collection'!B146,Data!$C$5:$C$300,0))</f>
        <v>557186055</v>
      </c>
      <c r="E146" s="1464">
        <f>INDEX(Data!$F$5:$F$300,MATCH('Cost of Collection'!B146,Data!$C$5:$C$300,0))</f>
        <v>20123</v>
      </c>
      <c r="F146" s="1611">
        <f t="shared" si="19"/>
        <v>561364950.41250002</v>
      </c>
      <c r="G146" s="1465">
        <f t="shared" si="20"/>
        <v>20273.922500000001</v>
      </c>
      <c r="H146" s="1614">
        <f t="shared" si="21"/>
        <v>20160000</v>
      </c>
      <c r="I146" s="1466">
        <f t="shared" si="22"/>
        <v>63840000</v>
      </c>
      <c r="J146" s="1465">
        <f t="shared" si="18"/>
        <v>153770.65668931566</v>
      </c>
      <c r="K146" s="1465">
        <f t="shared" si="18"/>
        <v>620546.0707869645</v>
      </c>
      <c r="L146" s="1467">
        <f t="shared" si="23"/>
        <v>774317</v>
      </c>
      <c r="N146" s="1616">
        <v>779790.09190134204</v>
      </c>
      <c r="O146" s="1468">
        <f t="shared" si="24"/>
        <v>5473.0919013420353</v>
      </c>
      <c r="P146" s="1469">
        <f t="shared" si="25"/>
        <v>7.0186733047571002E-3</v>
      </c>
      <c r="R146" s="1605">
        <v>774316.58629999997</v>
      </c>
      <c r="S146" s="750">
        <f t="shared" si="26"/>
        <v>-0.41370000003371388</v>
      </c>
    </row>
    <row r="147" spans="1:19" x14ac:dyDescent="0.2">
      <c r="A147" s="1461" t="s">
        <v>515</v>
      </c>
      <c r="B147" s="1462" t="s">
        <v>177</v>
      </c>
      <c r="C147" s="1463">
        <v>1.0392999999999999</v>
      </c>
      <c r="D147" s="1464">
        <f>INDEX(Data!$E$5:$E$300,MATCH('Cost of Collection'!B147,Data!$C$5:$C$300,0))</f>
        <v>189870652</v>
      </c>
      <c r="E147" s="1464">
        <f>INDEX(Data!$F$5:$F$300,MATCH('Cost of Collection'!B147,Data!$C$5:$C$300,0))</f>
        <v>5693</v>
      </c>
      <c r="F147" s="1611">
        <f t="shared" si="19"/>
        <v>197332568.62359998</v>
      </c>
      <c r="G147" s="1465">
        <f t="shared" si="20"/>
        <v>5916.7348999999995</v>
      </c>
      <c r="H147" s="1614">
        <f t="shared" si="21"/>
        <v>20160000</v>
      </c>
      <c r="I147" s="1466">
        <f t="shared" si="22"/>
        <v>63840000</v>
      </c>
      <c r="J147" s="1465">
        <f t="shared" si="18"/>
        <v>54053.888902652696</v>
      </c>
      <c r="K147" s="1465">
        <f t="shared" si="18"/>
        <v>181099.96198728209</v>
      </c>
      <c r="L147" s="1467">
        <f t="shared" si="23"/>
        <v>235154</v>
      </c>
      <c r="N147" s="1616">
        <v>236478.089833657</v>
      </c>
      <c r="O147" s="1468">
        <f t="shared" si="24"/>
        <v>1324.0898336569953</v>
      </c>
      <c r="P147" s="1469">
        <f t="shared" si="25"/>
        <v>5.5992072440553976E-3</v>
      </c>
      <c r="R147" s="1605">
        <v>235153.80970000001</v>
      </c>
      <c r="S147" s="750">
        <f t="shared" si="26"/>
        <v>-0.19029999998747371</v>
      </c>
    </row>
    <row r="148" spans="1:19" x14ac:dyDescent="0.2">
      <c r="A148" s="1461" t="s">
        <v>178</v>
      </c>
      <c r="B148" s="1462" t="s">
        <v>179</v>
      </c>
      <c r="C148" s="1463">
        <v>1.0067999999999999</v>
      </c>
      <c r="D148" s="1464">
        <f>INDEX(Data!$E$5:$E$300,MATCH('Cost of Collection'!B148,Data!$C$5:$C$300,0))</f>
        <v>167055141</v>
      </c>
      <c r="E148" s="1464">
        <f>INDEX(Data!$F$5:$F$300,MATCH('Cost of Collection'!B148,Data!$C$5:$C$300,0))</f>
        <v>5331</v>
      </c>
      <c r="F148" s="1611">
        <f t="shared" si="19"/>
        <v>168191115.95879999</v>
      </c>
      <c r="G148" s="1465">
        <f t="shared" si="20"/>
        <v>5367.2507999999998</v>
      </c>
      <c r="H148" s="1614">
        <f t="shared" si="21"/>
        <v>20160000</v>
      </c>
      <c r="I148" s="1466">
        <f t="shared" si="22"/>
        <v>63840000</v>
      </c>
      <c r="J148" s="1465">
        <f t="shared" si="18"/>
        <v>46071.380714611892</v>
      </c>
      <c r="K148" s="1465">
        <f t="shared" si="18"/>
        <v>164281.30248935262</v>
      </c>
      <c r="L148" s="1467">
        <f t="shared" si="23"/>
        <v>210353</v>
      </c>
      <c r="N148" s="1616">
        <v>209168.25079600199</v>
      </c>
      <c r="O148" s="1468">
        <f t="shared" si="24"/>
        <v>-1184.7492039980134</v>
      </c>
      <c r="P148" s="1469">
        <f t="shared" si="25"/>
        <v>-5.6640967235198512E-3</v>
      </c>
      <c r="R148" s="1605">
        <v>210352.6458</v>
      </c>
      <c r="S148" s="750">
        <f t="shared" si="26"/>
        <v>-0.35420000000158325</v>
      </c>
    </row>
    <row r="149" spans="1:19" x14ac:dyDescent="0.2">
      <c r="A149" s="1461" t="s">
        <v>180</v>
      </c>
      <c r="B149" s="1462" t="s">
        <v>181</v>
      </c>
      <c r="C149" s="1463">
        <v>1.0129999999999999</v>
      </c>
      <c r="D149" s="1464">
        <f>INDEX(Data!$E$5:$E$300,MATCH('Cost of Collection'!B149,Data!$C$5:$C$300,0))</f>
        <v>46492295</v>
      </c>
      <c r="E149" s="1464">
        <f>INDEX(Data!$F$5:$F$300,MATCH('Cost of Collection'!B149,Data!$C$5:$C$300,0))</f>
        <v>2559</v>
      </c>
      <c r="F149" s="1611">
        <f t="shared" si="19"/>
        <v>47096694.834999993</v>
      </c>
      <c r="G149" s="1465">
        <f t="shared" si="20"/>
        <v>2592.2669999999998</v>
      </c>
      <c r="H149" s="1614">
        <f t="shared" si="21"/>
        <v>20160000</v>
      </c>
      <c r="I149" s="1466">
        <f t="shared" si="22"/>
        <v>63840000</v>
      </c>
      <c r="J149" s="1465">
        <f t="shared" si="18"/>
        <v>12900.858322830176</v>
      </c>
      <c r="K149" s="1465">
        <f t="shared" si="18"/>
        <v>79344.344996914733</v>
      </c>
      <c r="L149" s="1467">
        <f t="shared" si="23"/>
        <v>92245</v>
      </c>
      <c r="N149" s="1616">
        <v>91401.115732814797</v>
      </c>
      <c r="O149" s="1468">
        <f t="shared" si="24"/>
        <v>-843.8842671852035</v>
      </c>
      <c r="P149" s="1469">
        <f t="shared" si="25"/>
        <v>-9.2327567384632315E-3</v>
      </c>
      <c r="R149" s="1605">
        <v>92245.185270000002</v>
      </c>
      <c r="S149" s="750">
        <f t="shared" si="26"/>
        <v>0.18527000000176486</v>
      </c>
    </row>
    <row r="150" spans="1:19" x14ac:dyDescent="0.2">
      <c r="A150" s="1461" t="s">
        <v>182</v>
      </c>
      <c r="B150" s="1462" t="s">
        <v>183</v>
      </c>
      <c r="C150" s="1463">
        <v>1</v>
      </c>
      <c r="D150" s="1464">
        <f>INDEX(Data!$E$5:$E$300,MATCH('Cost of Collection'!B150,Data!$C$5:$C$300,0))</f>
        <v>52324939</v>
      </c>
      <c r="E150" s="1464">
        <f>INDEX(Data!$F$5:$F$300,MATCH('Cost of Collection'!B150,Data!$C$5:$C$300,0))</f>
        <v>3022</v>
      </c>
      <c r="F150" s="1611">
        <f t="shared" si="19"/>
        <v>52324939</v>
      </c>
      <c r="G150" s="1465">
        <f t="shared" si="20"/>
        <v>3022</v>
      </c>
      <c r="H150" s="1614">
        <f t="shared" si="21"/>
        <v>20160000</v>
      </c>
      <c r="I150" s="1466">
        <f t="shared" si="22"/>
        <v>63840000</v>
      </c>
      <c r="J150" s="1465">
        <f t="shared" si="18"/>
        <v>14332.993581708341</v>
      </c>
      <c r="K150" s="1465">
        <f t="shared" si="18"/>
        <v>92497.651893372225</v>
      </c>
      <c r="L150" s="1467">
        <f t="shared" si="23"/>
        <v>106831</v>
      </c>
      <c r="N150" s="1616">
        <v>106332.763007628</v>
      </c>
      <c r="O150" s="1468">
        <f t="shared" si="24"/>
        <v>-498.23699237199617</v>
      </c>
      <c r="P150" s="1469">
        <f t="shared" si="25"/>
        <v>-4.6856394800561521E-3</v>
      </c>
      <c r="R150" s="1605">
        <v>106830.6244</v>
      </c>
      <c r="S150" s="750">
        <f t="shared" si="26"/>
        <v>-0.37559999999939464</v>
      </c>
    </row>
    <row r="151" spans="1:19" x14ac:dyDescent="0.2">
      <c r="A151" s="1461" t="s">
        <v>184</v>
      </c>
      <c r="B151" s="1462" t="s">
        <v>185</v>
      </c>
      <c r="C151" s="1463">
        <v>1.0168999999999999</v>
      </c>
      <c r="D151" s="1464">
        <f>INDEX(Data!$E$5:$E$300,MATCH('Cost of Collection'!B151,Data!$C$5:$C$300,0))</f>
        <v>984871445</v>
      </c>
      <c r="E151" s="1464">
        <f>INDEX(Data!$F$5:$F$300,MATCH('Cost of Collection'!B151,Data!$C$5:$C$300,0))</f>
        <v>26853</v>
      </c>
      <c r="F151" s="1611">
        <f t="shared" si="19"/>
        <v>1001515772.4204999</v>
      </c>
      <c r="G151" s="1465">
        <f t="shared" si="20"/>
        <v>27306.815699999999</v>
      </c>
      <c r="H151" s="1614">
        <f t="shared" si="21"/>
        <v>20160000</v>
      </c>
      <c r="I151" s="1466">
        <f t="shared" si="22"/>
        <v>63840000</v>
      </c>
      <c r="J151" s="1465">
        <f t="shared" si="18"/>
        <v>274338.00043384091</v>
      </c>
      <c r="K151" s="1465">
        <f t="shared" si="18"/>
        <v>835809.50792027509</v>
      </c>
      <c r="L151" s="1467">
        <f t="shared" si="23"/>
        <v>1110148</v>
      </c>
      <c r="N151" s="1616">
        <v>1121074.5005519299</v>
      </c>
      <c r="O151" s="1468">
        <f t="shared" si="24"/>
        <v>10926.50055192993</v>
      </c>
      <c r="P151" s="1469">
        <f t="shared" si="25"/>
        <v>9.7464535555403069E-3</v>
      </c>
      <c r="R151" s="1605">
        <v>1110147.318</v>
      </c>
      <c r="S151" s="750">
        <f t="shared" si="26"/>
        <v>-0.68200000002980232</v>
      </c>
    </row>
    <row r="152" spans="1:19" x14ac:dyDescent="0.2">
      <c r="A152" s="1461" t="s">
        <v>186</v>
      </c>
      <c r="B152" s="1462" t="s">
        <v>187</v>
      </c>
      <c r="C152" s="1463">
        <v>1.0121</v>
      </c>
      <c r="D152" s="1464">
        <f>INDEX(Data!$E$5:$E$300,MATCH('Cost of Collection'!B152,Data!$C$5:$C$300,0))</f>
        <v>75374705</v>
      </c>
      <c r="E152" s="1464">
        <f>INDEX(Data!$F$5:$F$300,MATCH('Cost of Collection'!B152,Data!$C$5:$C$300,0))</f>
        <v>3388</v>
      </c>
      <c r="F152" s="1611">
        <f t="shared" si="19"/>
        <v>76286738.930500001</v>
      </c>
      <c r="G152" s="1465">
        <f t="shared" si="20"/>
        <v>3428.9947999999999</v>
      </c>
      <c r="H152" s="1614">
        <f t="shared" si="21"/>
        <v>20160000</v>
      </c>
      <c r="I152" s="1466">
        <f t="shared" si="22"/>
        <v>63840000</v>
      </c>
      <c r="J152" s="1465">
        <f t="shared" si="18"/>
        <v>20896.676811420963</v>
      </c>
      <c r="K152" s="1465">
        <f t="shared" si="18"/>
        <v>104954.98588834664</v>
      </c>
      <c r="L152" s="1467">
        <f t="shared" si="23"/>
        <v>125852</v>
      </c>
      <c r="N152" s="1616">
        <v>125196.008251351</v>
      </c>
      <c r="O152" s="1468">
        <f t="shared" si="24"/>
        <v>-655.99174864900124</v>
      </c>
      <c r="P152" s="1469">
        <f t="shared" si="25"/>
        <v>-5.239717765857143E-3</v>
      </c>
      <c r="R152" s="1605">
        <v>125851.6388</v>
      </c>
      <c r="S152" s="750">
        <f t="shared" si="26"/>
        <v>-0.36119999999937136</v>
      </c>
    </row>
    <row r="153" spans="1:19" x14ac:dyDescent="0.2">
      <c r="A153" s="1461" t="s">
        <v>599</v>
      </c>
      <c r="B153" s="1462" t="s">
        <v>189</v>
      </c>
      <c r="C153" s="1463">
        <v>1.0067999999999999</v>
      </c>
      <c r="D153" s="1464">
        <f>INDEX(Data!$E$5:$E$300,MATCH('Cost of Collection'!B153,Data!$C$5:$C$300,0))</f>
        <v>253657854</v>
      </c>
      <c r="E153" s="1464">
        <f>INDEX(Data!$F$5:$F$300,MATCH('Cost of Collection'!B153,Data!$C$5:$C$300,0))</f>
        <v>6452</v>
      </c>
      <c r="F153" s="1611">
        <f t="shared" si="19"/>
        <v>255382727.40719998</v>
      </c>
      <c r="G153" s="1465">
        <f t="shared" si="20"/>
        <v>6495.8735999999999</v>
      </c>
      <c r="H153" s="1614">
        <f t="shared" si="21"/>
        <v>20160000</v>
      </c>
      <c r="I153" s="1466">
        <f t="shared" si="22"/>
        <v>63840000</v>
      </c>
      <c r="J153" s="1465">
        <f t="shared" si="18"/>
        <v>69955.150694137803</v>
      </c>
      <c r="K153" s="1465">
        <f t="shared" si="18"/>
        <v>198826.29218932716</v>
      </c>
      <c r="L153" s="1467">
        <f t="shared" si="23"/>
        <v>268781</v>
      </c>
      <c r="N153" s="1616">
        <v>266816.84179052798</v>
      </c>
      <c r="O153" s="1468">
        <f t="shared" si="24"/>
        <v>-1964.1582094720216</v>
      </c>
      <c r="P153" s="1469">
        <f t="shared" si="25"/>
        <v>-7.361447636855094E-3</v>
      </c>
      <c r="R153" s="1605">
        <v>268781.39769999997</v>
      </c>
      <c r="S153" s="750">
        <f t="shared" si="26"/>
        <v>0.39769999997224659</v>
      </c>
    </row>
    <row r="154" spans="1:19" x14ac:dyDescent="0.2">
      <c r="A154" s="1461" t="s">
        <v>190</v>
      </c>
      <c r="B154" s="1462" t="s">
        <v>191</v>
      </c>
      <c r="C154" s="1463">
        <v>1</v>
      </c>
      <c r="D154" s="1464">
        <f>INDEX(Data!$E$5:$E$300,MATCH('Cost of Collection'!B154,Data!$C$5:$C$300,0))</f>
        <v>43551137</v>
      </c>
      <c r="E154" s="1464">
        <f>INDEX(Data!$F$5:$F$300,MATCH('Cost of Collection'!B154,Data!$C$5:$C$300,0))</f>
        <v>1686</v>
      </c>
      <c r="F154" s="1611">
        <f t="shared" si="19"/>
        <v>43551137</v>
      </c>
      <c r="G154" s="1465">
        <f t="shared" si="20"/>
        <v>1686</v>
      </c>
      <c r="H154" s="1614">
        <f t="shared" si="21"/>
        <v>20160000</v>
      </c>
      <c r="I154" s="1466">
        <f t="shared" si="22"/>
        <v>63840000</v>
      </c>
      <c r="J154" s="1465">
        <f t="shared" si="18"/>
        <v>11929.649207944622</v>
      </c>
      <c r="K154" s="1465">
        <f t="shared" si="18"/>
        <v>51605.241923304297</v>
      </c>
      <c r="L154" s="1467">
        <f t="shared" si="23"/>
        <v>63535</v>
      </c>
      <c r="N154" s="1616">
        <v>63189.008689736002</v>
      </c>
      <c r="O154" s="1468">
        <f t="shared" si="24"/>
        <v>-345.99131026399846</v>
      </c>
      <c r="P154" s="1469">
        <f t="shared" si="25"/>
        <v>-5.4754983095691287E-3</v>
      </c>
      <c r="R154" s="1605">
        <v>63534.879390000002</v>
      </c>
      <c r="S154" s="750">
        <f t="shared" si="26"/>
        <v>-0.12060999999812339</v>
      </c>
    </row>
    <row r="155" spans="1:19" x14ac:dyDescent="0.2">
      <c r="A155" s="1461" t="s">
        <v>192</v>
      </c>
      <c r="B155" s="1462" t="s">
        <v>193</v>
      </c>
      <c r="C155" s="1463">
        <v>1.1113</v>
      </c>
      <c r="D155" s="1464">
        <f>INDEX(Data!$E$5:$E$300,MATCH('Cost of Collection'!B155,Data!$C$5:$C$300,0))</f>
        <v>242483626</v>
      </c>
      <c r="E155" s="1464">
        <f>INDEX(Data!$F$5:$F$300,MATCH('Cost of Collection'!B155,Data!$C$5:$C$300,0))</f>
        <v>5345</v>
      </c>
      <c r="F155" s="1611">
        <f t="shared" si="19"/>
        <v>269472053.57379997</v>
      </c>
      <c r="G155" s="1465">
        <f t="shared" si="20"/>
        <v>5939.8984999999993</v>
      </c>
      <c r="H155" s="1614">
        <f t="shared" si="21"/>
        <v>20160000</v>
      </c>
      <c r="I155" s="1466">
        <f t="shared" si="22"/>
        <v>63840000</v>
      </c>
      <c r="J155" s="1465">
        <f t="shared" si="18"/>
        <v>73814.538308836651</v>
      </c>
      <c r="K155" s="1465">
        <f t="shared" si="18"/>
        <v>181808.95557080203</v>
      </c>
      <c r="L155" s="1467">
        <f t="shared" si="23"/>
        <v>255623</v>
      </c>
      <c r="N155" s="1616">
        <v>253747.224642457</v>
      </c>
      <c r="O155" s="1468">
        <f t="shared" si="24"/>
        <v>-1875.7753575429961</v>
      </c>
      <c r="P155" s="1469">
        <f t="shared" si="25"/>
        <v>-7.3922990101115815E-3</v>
      </c>
      <c r="R155" s="1605">
        <v>255623.45250000001</v>
      </c>
      <c r="S155" s="750">
        <f t="shared" si="26"/>
        <v>0.45250000001396984</v>
      </c>
    </row>
    <row r="156" spans="1:19" x14ac:dyDescent="0.2">
      <c r="A156" s="1461" t="s">
        <v>194</v>
      </c>
      <c r="B156" s="1462" t="s">
        <v>195</v>
      </c>
      <c r="C156" s="1463">
        <v>1</v>
      </c>
      <c r="D156" s="1464">
        <f>INDEX(Data!$E$5:$E$300,MATCH('Cost of Collection'!B156,Data!$C$5:$C$300,0))</f>
        <v>54553197</v>
      </c>
      <c r="E156" s="1464">
        <f>INDEX(Data!$F$5:$F$300,MATCH('Cost of Collection'!B156,Data!$C$5:$C$300,0))</f>
        <v>3560</v>
      </c>
      <c r="F156" s="1611">
        <f t="shared" si="19"/>
        <v>54553197</v>
      </c>
      <c r="G156" s="1465">
        <f t="shared" si="20"/>
        <v>3560</v>
      </c>
      <c r="H156" s="1614">
        <f t="shared" si="21"/>
        <v>20160000</v>
      </c>
      <c r="I156" s="1466">
        <f t="shared" si="22"/>
        <v>63840000</v>
      </c>
      <c r="J156" s="1465">
        <f t="shared" si="18"/>
        <v>14943.364242864587</v>
      </c>
      <c r="K156" s="1465">
        <f t="shared" si="18"/>
        <v>108964.80501006126</v>
      </c>
      <c r="L156" s="1467">
        <f t="shared" si="23"/>
        <v>123908</v>
      </c>
      <c r="N156" s="1616">
        <v>123164.30069294501</v>
      </c>
      <c r="O156" s="1468">
        <f t="shared" si="24"/>
        <v>-743.69930705499428</v>
      </c>
      <c r="P156" s="1469">
        <f t="shared" si="25"/>
        <v>-6.0382700414877135E-3</v>
      </c>
      <c r="R156" s="1605">
        <v>123908.14449999999</v>
      </c>
      <c r="S156" s="750">
        <f t="shared" si="26"/>
        <v>0.14449999999487773</v>
      </c>
    </row>
    <row r="157" spans="1:19" x14ac:dyDescent="0.2">
      <c r="A157" s="1461" t="s">
        <v>196</v>
      </c>
      <c r="B157" s="1462" t="s">
        <v>197</v>
      </c>
      <c r="C157" s="1463">
        <v>1.0054000000000001</v>
      </c>
      <c r="D157" s="1464">
        <f>INDEX(Data!$E$5:$E$300,MATCH('Cost of Collection'!B157,Data!$C$5:$C$300,0))</f>
        <v>85642060</v>
      </c>
      <c r="E157" s="1464">
        <f>INDEX(Data!$F$5:$F$300,MATCH('Cost of Collection'!B157,Data!$C$5:$C$300,0))</f>
        <v>3582</v>
      </c>
      <c r="F157" s="1611">
        <f t="shared" si="19"/>
        <v>86104527.124000013</v>
      </c>
      <c r="G157" s="1465">
        <f t="shared" si="20"/>
        <v>3601.3428000000004</v>
      </c>
      <c r="H157" s="1614">
        <f t="shared" si="21"/>
        <v>20160000</v>
      </c>
      <c r="I157" s="1466">
        <f t="shared" si="22"/>
        <v>63840000</v>
      </c>
      <c r="J157" s="1465">
        <f t="shared" si="18"/>
        <v>23585.992802100045</v>
      </c>
      <c r="K157" s="1465">
        <f t="shared" si="18"/>
        <v>110230.22920685059</v>
      </c>
      <c r="L157" s="1467">
        <f t="shared" si="23"/>
        <v>133816</v>
      </c>
      <c r="N157" s="1616">
        <v>132661.75623723201</v>
      </c>
      <c r="O157" s="1468">
        <f t="shared" si="24"/>
        <v>-1154.2437627679901</v>
      </c>
      <c r="P157" s="1469">
        <f t="shared" si="25"/>
        <v>-8.700651909838408E-3</v>
      </c>
      <c r="R157" s="1605">
        <v>133816.19690000001</v>
      </c>
      <c r="S157" s="750">
        <f t="shared" si="26"/>
        <v>0.19690000000991859</v>
      </c>
    </row>
    <row r="158" spans="1:19" x14ac:dyDescent="0.2">
      <c r="A158" s="1461" t="s">
        <v>198</v>
      </c>
      <c r="B158" s="1462" t="s">
        <v>199</v>
      </c>
      <c r="C158" s="1463">
        <v>1</v>
      </c>
      <c r="D158" s="1464">
        <f>INDEX(Data!$E$5:$E$300,MATCH('Cost of Collection'!B158,Data!$C$5:$C$300,0))</f>
        <v>148123805</v>
      </c>
      <c r="E158" s="1464">
        <f>INDEX(Data!$F$5:$F$300,MATCH('Cost of Collection'!B158,Data!$C$5:$C$300,0))</f>
        <v>4621</v>
      </c>
      <c r="F158" s="1611">
        <f t="shared" si="19"/>
        <v>148123805</v>
      </c>
      <c r="G158" s="1465">
        <f t="shared" si="20"/>
        <v>4621</v>
      </c>
      <c r="H158" s="1614">
        <f t="shared" si="21"/>
        <v>20160000</v>
      </c>
      <c r="I158" s="1466">
        <f t="shared" si="22"/>
        <v>63840000</v>
      </c>
      <c r="J158" s="1465">
        <f t="shared" si="18"/>
        <v>40574.486792296455</v>
      </c>
      <c r="K158" s="1465">
        <f t="shared" si="18"/>
        <v>141439.98987401492</v>
      </c>
      <c r="L158" s="1467">
        <f t="shared" si="23"/>
        <v>182014</v>
      </c>
      <c r="N158" s="1616">
        <v>179128.583768032</v>
      </c>
      <c r="O158" s="1468">
        <f t="shared" si="24"/>
        <v>-2885.4162319680036</v>
      </c>
      <c r="P158" s="1469">
        <f t="shared" si="25"/>
        <v>-1.6108072599427019E-2</v>
      </c>
      <c r="R158" s="1605">
        <v>182014.44450000001</v>
      </c>
      <c r="S158" s="750">
        <f t="shared" si="26"/>
        <v>0.44450000001234002</v>
      </c>
    </row>
    <row r="159" spans="1:19" x14ac:dyDescent="0.2">
      <c r="A159" s="1461" t="s">
        <v>543</v>
      </c>
      <c r="B159" s="1462" t="s">
        <v>201</v>
      </c>
      <c r="C159" s="1463">
        <v>1</v>
      </c>
      <c r="D159" s="1464">
        <f>INDEX(Data!$E$5:$E$300,MATCH('Cost of Collection'!B159,Data!$C$5:$C$300,0))</f>
        <v>102512658</v>
      </c>
      <c r="E159" s="1464">
        <f>INDEX(Data!$F$5:$F$300,MATCH('Cost of Collection'!B159,Data!$C$5:$C$300,0))</f>
        <v>4635</v>
      </c>
      <c r="F159" s="1611">
        <f t="shared" si="19"/>
        <v>102512658</v>
      </c>
      <c r="G159" s="1465">
        <f t="shared" si="20"/>
        <v>4635</v>
      </c>
      <c r="H159" s="1614">
        <f t="shared" si="21"/>
        <v>20160000</v>
      </c>
      <c r="I159" s="1466">
        <f t="shared" si="22"/>
        <v>63840000</v>
      </c>
      <c r="J159" s="1465">
        <f t="shared" si="18"/>
        <v>28080.553885745805</v>
      </c>
      <c r="K159" s="1465">
        <f t="shared" si="18"/>
        <v>141868.50315214437</v>
      </c>
      <c r="L159" s="1467">
        <f t="shared" si="23"/>
        <v>169949</v>
      </c>
      <c r="N159" s="1616">
        <v>169414.643553348</v>
      </c>
      <c r="O159" s="1468">
        <f t="shared" si="24"/>
        <v>-534.3564466520038</v>
      </c>
      <c r="P159" s="1469">
        <f t="shared" si="25"/>
        <v>-3.1541337598938847E-3</v>
      </c>
      <c r="R159" s="1605">
        <v>169949.02480000001</v>
      </c>
      <c r="S159" s="750">
        <f t="shared" si="26"/>
        <v>2.4800000013783574E-2</v>
      </c>
    </row>
    <row r="160" spans="1:19" x14ac:dyDescent="0.2">
      <c r="A160" s="1461" t="s">
        <v>526</v>
      </c>
      <c r="B160" s="1462" t="s">
        <v>203</v>
      </c>
      <c r="C160" s="1463">
        <v>1.0674999999999999</v>
      </c>
      <c r="D160" s="1464">
        <f>INDEX(Data!$E$5:$E$300,MATCH('Cost of Collection'!B160,Data!$C$5:$C$300,0))</f>
        <v>491173180</v>
      </c>
      <c r="E160" s="1464">
        <f>INDEX(Data!$F$5:$F$300,MATCH('Cost of Collection'!B160,Data!$C$5:$C$300,0))</f>
        <v>8583</v>
      </c>
      <c r="F160" s="1611">
        <f t="shared" si="19"/>
        <v>524327369.64999998</v>
      </c>
      <c r="G160" s="1465">
        <f t="shared" si="20"/>
        <v>9162.3524999999991</v>
      </c>
      <c r="H160" s="1614">
        <f t="shared" si="21"/>
        <v>20160000</v>
      </c>
      <c r="I160" s="1466">
        <f t="shared" si="22"/>
        <v>63840000</v>
      </c>
      <c r="J160" s="1465">
        <f t="shared" si="18"/>
        <v>143625.21901664266</v>
      </c>
      <c r="K160" s="1465">
        <f t="shared" si="18"/>
        <v>280442.12179661443</v>
      </c>
      <c r="L160" s="1467">
        <f t="shared" si="23"/>
        <v>424067</v>
      </c>
      <c r="N160" s="1616">
        <v>425962.29162877903</v>
      </c>
      <c r="O160" s="1468">
        <f t="shared" si="24"/>
        <v>1895.2916287790285</v>
      </c>
      <c r="P160" s="1469">
        <f t="shared" si="25"/>
        <v>4.4494352341186861E-3</v>
      </c>
      <c r="R160" s="1605">
        <v>424067.277</v>
      </c>
      <c r="S160" s="750">
        <f t="shared" si="26"/>
        <v>0.27700000000186265</v>
      </c>
    </row>
    <row r="161" spans="1:19" x14ac:dyDescent="0.2">
      <c r="A161" s="1461" t="s">
        <v>204</v>
      </c>
      <c r="B161" s="1462" t="s">
        <v>205</v>
      </c>
      <c r="C161" s="1463">
        <v>1.1039000000000001</v>
      </c>
      <c r="D161" s="1464">
        <f>INDEX(Data!$E$5:$E$300,MATCH('Cost of Collection'!B161,Data!$C$5:$C$300,0))</f>
        <v>108432527</v>
      </c>
      <c r="E161" s="1464">
        <f>INDEX(Data!$F$5:$F$300,MATCH('Cost of Collection'!B161,Data!$C$5:$C$300,0))</f>
        <v>3152</v>
      </c>
      <c r="F161" s="1611">
        <f t="shared" si="19"/>
        <v>119698666.55530001</v>
      </c>
      <c r="G161" s="1465">
        <f t="shared" si="20"/>
        <v>3479.4928000000004</v>
      </c>
      <c r="H161" s="1614">
        <f t="shared" si="21"/>
        <v>20160000</v>
      </c>
      <c r="I161" s="1466">
        <f t="shared" si="22"/>
        <v>63840000</v>
      </c>
      <c r="J161" s="1465">
        <f t="shared" si="18"/>
        <v>32788.193398107192</v>
      </c>
      <c r="K161" s="1465">
        <f t="shared" si="18"/>
        <v>106500.63328255959</v>
      </c>
      <c r="L161" s="1467">
        <f t="shared" si="23"/>
        <v>139289</v>
      </c>
      <c r="N161" s="1616">
        <v>140450.029228206</v>
      </c>
      <c r="O161" s="1468">
        <f t="shared" si="24"/>
        <v>1161.0292282059963</v>
      </c>
      <c r="P161" s="1469">
        <f t="shared" si="25"/>
        <v>8.266493318556261E-3</v>
      </c>
      <c r="R161" s="1605">
        <v>139288.80249999999</v>
      </c>
      <c r="S161" s="750">
        <f t="shared" si="26"/>
        <v>-0.19750000000931323</v>
      </c>
    </row>
    <row r="162" spans="1:19" x14ac:dyDescent="0.2">
      <c r="A162" s="1461" t="s">
        <v>206</v>
      </c>
      <c r="B162" s="1462" t="s">
        <v>207</v>
      </c>
      <c r="C162" s="1463">
        <v>1.036</v>
      </c>
      <c r="D162" s="1464">
        <f>INDEX(Data!$E$5:$E$300,MATCH('Cost of Collection'!B162,Data!$C$5:$C$300,0))</f>
        <v>195263688</v>
      </c>
      <c r="E162" s="1464">
        <f>INDEX(Data!$F$5:$F$300,MATCH('Cost of Collection'!B162,Data!$C$5:$C$300,0))</f>
        <v>7328</v>
      </c>
      <c r="F162" s="1611">
        <f t="shared" si="19"/>
        <v>202293180.76800001</v>
      </c>
      <c r="G162" s="1465">
        <f t="shared" si="20"/>
        <v>7591.808</v>
      </c>
      <c r="H162" s="1614">
        <f t="shared" si="21"/>
        <v>20160000</v>
      </c>
      <c r="I162" s="1466">
        <f t="shared" si="22"/>
        <v>63840000</v>
      </c>
      <c r="J162" s="1465">
        <f t="shared" si="18"/>
        <v>55412.713650198602</v>
      </c>
      <c r="K162" s="1465">
        <f t="shared" si="18"/>
        <v>232370.75235781548</v>
      </c>
      <c r="L162" s="1467">
        <f t="shared" si="23"/>
        <v>287783</v>
      </c>
      <c r="N162" s="1616">
        <v>288185.76702419802</v>
      </c>
      <c r="O162" s="1468">
        <f t="shared" si="24"/>
        <v>402.76702419802314</v>
      </c>
      <c r="P162" s="1469">
        <f t="shared" si="25"/>
        <v>1.3975951288538275E-3</v>
      </c>
      <c r="R162" s="1605">
        <v>287783.41320000001</v>
      </c>
      <c r="S162" s="750">
        <f t="shared" si="26"/>
        <v>0.41320000000996515</v>
      </c>
    </row>
    <row r="163" spans="1:19" x14ac:dyDescent="0.2">
      <c r="A163" s="1461" t="s">
        <v>208</v>
      </c>
      <c r="B163" s="1462" t="s">
        <v>209</v>
      </c>
      <c r="C163" s="1463">
        <v>1.0121</v>
      </c>
      <c r="D163" s="1464">
        <f>INDEX(Data!$E$5:$E$300,MATCH('Cost of Collection'!B163,Data!$C$5:$C$300,0))</f>
        <v>115628035</v>
      </c>
      <c r="E163" s="1464">
        <f>INDEX(Data!$F$5:$F$300,MATCH('Cost of Collection'!B163,Data!$C$5:$C$300,0))</f>
        <v>4520</v>
      </c>
      <c r="F163" s="1611">
        <f t="shared" si="19"/>
        <v>117027134.2235</v>
      </c>
      <c r="G163" s="1465">
        <f t="shared" si="20"/>
        <v>4574.692</v>
      </c>
      <c r="H163" s="1614">
        <f t="shared" si="21"/>
        <v>20160000</v>
      </c>
      <c r="I163" s="1466">
        <f t="shared" si="22"/>
        <v>63840000</v>
      </c>
      <c r="J163" s="1465">
        <f t="shared" si="18"/>
        <v>32056.399792671444</v>
      </c>
      <c r="K163" s="1465">
        <f t="shared" si="18"/>
        <v>140022.59038232785</v>
      </c>
      <c r="L163" s="1467">
        <f t="shared" si="23"/>
        <v>172079</v>
      </c>
      <c r="N163" s="1616">
        <v>171050.61219707501</v>
      </c>
      <c r="O163" s="1468">
        <f t="shared" si="24"/>
        <v>-1028.38780292499</v>
      </c>
      <c r="P163" s="1469">
        <f t="shared" si="25"/>
        <v>-6.01218428695326E-3</v>
      </c>
      <c r="R163" s="1605">
        <v>172078.9583</v>
      </c>
      <c r="S163" s="750">
        <f t="shared" si="26"/>
        <v>-4.1700000001583248E-2</v>
      </c>
    </row>
    <row r="164" spans="1:19" x14ac:dyDescent="0.2">
      <c r="A164" s="1461" t="s">
        <v>923</v>
      </c>
      <c r="B164" s="1462" t="s">
        <v>211</v>
      </c>
      <c r="C164" s="1463">
        <v>1</v>
      </c>
      <c r="D164" s="1464">
        <f>INDEX(Data!$E$5:$E$300,MATCH('Cost of Collection'!B164,Data!$C$5:$C$300,0))</f>
        <v>332120670</v>
      </c>
      <c r="E164" s="1464">
        <f>INDEX(Data!$F$5:$F$300,MATCH('Cost of Collection'!B164,Data!$C$5:$C$300,0))</f>
        <v>11962</v>
      </c>
      <c r="F164" s="1611">
        <f t="shared" si="19"/>
        <v>332120670</v>
      </c>
      <c r="G164" s="1465">
        <f t="shared" si="20"/>
        <v>11962</v>
      </c>
      <c r="H164" s="1614">
        <f t="shared" si="21"/>
        <v>20160000</v>
      </c>
      <c r="I164" s="1466">
        <f t="shared" si="22"/>
        <v>63840000</v>
      </c>
      <c r="J164" s="1465">
        <f t="shared" si="18"/>
        <v>90975.422474217776</v>
      </c>
      <c r="K164" s="1465">
        <f t="shared" si="18"/>
        <v>366133.98807032383</v>
      </c>
      <c r="L164" s="1467">
        <f t="shared" si="23"/>
        <v>457109</v>
      </c>
      <c r="N164" s="1616">
        <v>458681.761200073</v>
      </c>
      <c r="O164" s="1468">
        <f t="shared" si="24"/>
        <v>1572.7612000730005</v>
      </c>
      <c r="P164" s="1469">
        <f t="shared" si="25"/>
        <v>3.4288723317842493E-3</v>
      </c>
      <c r="R164" s="1605">
        <v>457109.3273</v>
      </c>
      <c r="S164" s="750">
        <f t="shared" si="26"/>
        <v>0.32730000000447035</v>
      </c>
    </row>
    <row r="165" spans="1:19" x14ac:dyDescent="0.2">
      <c r="A165" s="1461" t="s">
        <v>212</v>
      </c>
      <c r="B165" s="1462" t="s">
        <v>213</v>
      </c>
      <c r="C165" s="1463">
        <v>1</v>
      </c>
      <c r="D165" s="1464">
        <f>INDEX(Data!$E$5:$E$300,MATCH('Cost of Collection'!B165,Data!$C$5:$C$300,0))</f>
        <v>103368572</v>
      </c>
      <c r="E165" s="1464">
        <f>INDEX(Data!$F$5:$F$300,MATCH('Cost of Collection'!B165,Data!$C$5:$C$300,0))</f>
        <v>3657</v>
      </c>
      <c r="F165" s="1611">
        <f t="shared" si="19"/>
        <v>103368572</v>
      </c>
      <c r="G165" s="1465">
        <f t="shared" si="20"/>
        <v>3657</v>
      </c>
      <c r="H165" s="1614">
        <f t="shared" si="21"/>
        <v>20160000</v>
      </c>
      <c r="I165" s="1466">
        <f t="shared" si="22"/>
        <v>63840000</v>
      </c>
      <c r="J165" s="1465">
        <f t="shared" si="18"/>
        <v>28315.00824160266</v>
      </c>
      <c r="K165" s="1465">
        <f t="shared" si="18"/>
        <v>111933.78986567247</v>
      </c>
      <c r="L165" s="1467">
        <f t="shared" si="23"/>
        <v>140249</v>
      </c>
      <c r="N165" s="1616">
        <v>139905.27745960999</v>
      </c>
      <c r="O165" s="1468">
        <f t="shared" si="24"/>
        <v>-343.72254039000836</v>
      </c>
      <c r="P165" s="1469">
        <f t="shared" si="25"/>
        <v>-2.4568232637917427E-3</v>
      </c>
      <c r="R165" s="1605">
        <v>140248.7726</v>
      </c>
      <c r="S165" s="750">
        <f t="shared" si="26"/>
        <v>-0.22740000000339933</v>
      </c>
    </row>
    <row r="166" spans="1:19" x14ac:dyDescent="0.2">
      <c r="A166" s="1461" t="s">
        <v>214</v>
      </c>
      <c r="B166" s="1462" t="s">
        <v>215</v>
      </c>
      <c r="C166" s="1463">
        <v>1.0760000000000001</v>
      </c>
      <c r="D166" s="1464">
        <f>INDEX(Data!$E$5:$E$300,MATCH('Cost of Collection'!B166,Data!$C$5:$C$300,0))</f>
        <v>468577675</v>
      </c>
      <c r="E166" s="1464">
        <f>INDEX(Data!$F$5:$F$300,MATCH('Cost of Collection'!B166,Data!$C$5:$C$300,0))</f>
        <v>7988</v>
      </c>
      <c r="F166" s="1611">
        <f t="shared" si="19"/>
        <v>504189578.30000001</v>
      </c>
      <c r="G166" s="1465">
        <f t="shared" si="20"/>
        <v>8595.0879999999997</v>
      </c>
      <c r="H166" s="1614">
        <f t="shared" si="21"/>
        <v>20160000</v>
      </c>
      <c r="I166" s="1466">
        <f t="shared" si="22"/>
        <v>63840000</v>
      </c>
      <c r="J166" s="1465">
        <f t="shared" si="18"/>
        <v>138109.01890851962</v>
      </c>
      <c r="K166" s="1465">
        <f t="shared" si="18"/>
        <v>263079.238192224</v>
      </c>
      <c r="L166" s="1467">
        <f t="shared" si="23"/>
        <v>401188</v>
      </c>
      <c r="N166" s="1616">
        <v>396512.96106662398</v>
      </c>
      <c r="O166" s="1468">
        <f t="shared" si="24"/>
        <v>-4675.0389333760249</v>
      </c>
      <c r="P166" s="1469">
        <f t="shared" si="25"/>
        <v>-1.1790381128526345E-2</v>
      </c>
      <c r="R166" s="1605">
        <v>401188.1973</v>
      </c>
      <c r="S166" s="750">
        <f t="shared" si="26"/>
        <v>0.19729999999981374</v>
      </c>
    </row>
    <row r="167" spans="1:19" x14ac:dyDescent="0.2">
      <c r="A167" s="1461" t="s">
        <v>216</v>
      </c>
      <c r="B167" s="1462" t="s">
        <v>217</v>
      </c>
      <c r="C167" s="1463">
        <v>1</v>
      </c>
      <c r="D167" s="1464">
        <f>INDEX(Data!$E$5:$E$300,MATCH('Cost of Collection'!B167,Data!$C$5:$C$300,0))</f>
        <v>98059028</v>
      </c>
      <c r="E167" s="1464">
        <f>INDEX(Data!$F$5:$F$300,MATCH('Cost of Collection'!B167,Data!$C$5:$C$300,0))</f>
        <v>6368</v>
      </c>
      <c r="F167" s="1611">
        <f t="shared" si="19"/>
        <v>98059028</v>
      </c>
      <c r="G167" s="1465">
        <f t="shared" si="20"/>
        <v>6368</v>
      </c>
      <c r="H167" s="1614">
        <f t="shared" si="21"/>
        <v>20160000</v>
      </c>
      <c r="I167" s="1466">
        <f t="shared" si="22"/>
        <v>63840000</v>
      </c>
      <c r="J167" s="1465">
        <f t="shared" si="18"/>
        <v>26860.603104622031</v>
      </c>
      <c r="K167" s="1465">
        <f t="shared" si="18"/>
        <v>194912.32536631182</v>
      </c>
      <c r="L167" s="1467">
        <f t="shared" si="23"/>
        <v>221773</v>
      </c>
      <c r="N167" s="1616">
        <v>226429.91896660801</v>
      </c>
      <c r="O167" s="1468">
        <f t="shared" si="24"/>
        <v>4656.9189666080056</v>
      </c>
      <c r="P167" s="1469">
        <f t="shared" si="25"/>
        <v>2.0566712154742983E-2</v>
      </c>
      <c r="R167" s="1605">
        <v>221772.8841</v>
      </c>
      <c r="S167" s="750">
        <f t="shared" si="26"/>
        <v>-0.11590000000433065</v>
      </c>
    </row>
    <row r="168" spans="1:19" x14ac:dyDescent="0.2">
      <c r="A168" s="1461" t="s">
        <v>218</v>
      </c>
      <c r="B168" s="1462" t="s">
        <v>219</v>
      </c>
      <c r="C168" s="1463">
        <v>1</v>
      </c>
      <c r="D168" s="1464">
        <f>INDEX(Data!$E$5:$E$300,MATCH('Cost of Collection'!B168,Data!$C$5:$C$300,0))</f>
        <v>52104604</v>
      </c>
      <c r="E168" s="1464">
        <f>INDEX(Data!$F$5:$F$300,MATCH('Cost of Collection'!B168,Data!$C$5:$C$300,0))</f>
        <v>2958</v>
      </c>
      <c r="F168" s="1611">
        <f t="shared" si="19"/>
        <v>52104604</v>
      </c>
      <c r="G168" s="1465">
        <f t="shared" si="20"/>
        <v>2958</v>
      </c>
      <c r="H168" s="1614">
        <f t="shared" si="21"/>
        <v>20160000</v>
      </c>
      <c r="I168" s="1466">
        <f t="shared" si="22"/>
        <v>63840000</v>
      </c>
      <c r="J168" s="1465">
        <f t="shared" si="18"/>
        <v>14272.638802492531</v>
      </c>
      <c r="K168" s="1465">
        <f t="shared" si="18"/>
        <v>90538.734050494721</v>
      </c>
      <c r="L168" s="1467">
        <f t="shared" si="23"/>
        <v>104811</v>
      </c>
      <c r="N168" s="1616">
        <v>104462.277030536</v>
      </c>
      <c r="O168" s="1468">
        <f t="shared" si="24"/>
        <v>-348.72296946399729</v>
      </c>
      <c r="P168" s="1469">
        <f t="shared" si="25"/>
        <v>-3.3382669742308981E-3</v>
      </c>
      <c r="R168" s="1605">
        <v>104811.3523</v>
      </c>
      <c r="S168" s="750">
        <f t="shared" si="26"/>
        <v>0.35229999999864958</v>
      </c>
    </row>
    <row r="169" spans="1:19" x14ac:dyDescent="0.2">
      <c r="A169" s="1461" t="s">
        <v>596</v>
      </c>
      <c r="B169" s="1462" t="s">
        <v>221</v>
      </c>
      <c r="C169" s="1463">
        <v>1</v>
      </c>
      <c r="D169" s="1464">
        <f>INDEX(Data!$E$5:$E$300,MATCH('Cost of Collection'!B169,Data!$C$5:$C$300,0))</f>
        <v>152391719</v>
      </c>
      <c r="E169" s="1464">
        <f>INDEX(Data!$F$5:$F$300,MATCH('Cost of Collection'!B169,Data!$C$5:$C$300,0))</f>
        <v>5622</v>
      </c>
      <c r="F169" s="1611">
        <f t="shared" si="19"/>
        <v>152391719</v>
      </c>
      <c r="G169" s="1465">
        <f t="shared" si="20"/>
        <v>5622</v>
      </c>
      <c r="H169" s="1614">
        <f t="shared" si="21"/>
        <v>20160000</v>
      </c>
      <c r="I169" s="1466">
        <f t="shared" si="22"/>
        <v>63840000</v>
      </c>
      <c r="J169" s="1465">
        <f t="shared" si="18"/>
        <v>41743.565727472727</v>
      </c>
      <c r="K169" s="1465">
        <f t="shared" si="18"/>
        <v>172078.68926027091</v>
      </c>
      <c r="L169" s="1467">
        <f t="shared" si="23"/>
        <v>213822</v>
      </c>
      <c r="N169" s="1616">
        <v>214082.179231371</v>
      </c>
      <c r="O169" s="1468">
        <f t="shared" si="24"/>
        <v>260.17923137100297</v>
      </c>
      <c r="P169" s="1469">
        <f t="shared" si="25"/>
        <v>1.2153240979942202E-3</v>
      </c>
      <c r="R169" s="1605">
        <v>213822.21580000001</v>
      </c>
      <c r="S169" s="750">
        <f t="shared" si="26"/>
        <v>0.21580000000540167</v>
      </c>
    </row>
    <row r="170" spans="1:19" x14ac:dyDescent="0.2">
      <c r="A170" s="1461" t="s">
        <v>222</v>
      </c>
      <c r="B170" s="1462" t="s">
        <v>223</v>
      </c>
      <c r="C170" s="1463">
        <v>1.0392999999999999</v>
      </c>
      <c r="D170" s="1464">
        <f>INDEX(Data!$E$5:$E$300,MATCH('Cost of Collection'!B170,Data!$C$5:$C$300,0))</f>
        <v>118701037</v>
      </c>
      <c r="E170" s="1464">
        <f>INDEX(Data!$F$5:$F$300,MATCH('Cost of Collection'!B170,Data!$C$5:$C$300,0))</f>
        <v>4706</v>
      </c>
      <c r="F170" s="1611">
        <f t="shared" si="19"/>
        <v>123365987.75409998</v>
      </c>
      <c r="G170" s="1465">
        <f t="shared" si="20"/>
        <v>4890.9457999999995</v>
      </c>
      <c r="H170" s="1614">
        <f t="shared" si="21"/>
        <v>20160000</v>
      </c>
      <c r="I170" s="1466">
        <f t="shared" si="22"/>
        <v>63840000</v>
      </c>
      <c r="J170" s="1465">
        <f t="shared" si="18"/>
        <v>33792.756274032632</v>
      </c>
      <c r="K170" s="1465">
        <f t="shared" si="18"/>
        <v>149702.51556510618</v>
      </c>
      <c r="L170" s="1467">
        <f t="shared" si="23"/>
        <v>183495</v>
      </c>
      <c r="N170" s="1616">
        <v>182213.84324984701</v>
      </c>
      <c r="O170" s="1468">
        <f t="shared" si="24"/>
        <v>-1281.1567501529935</v>
      </c>
      <c r="P170" s="1469">
        <f t="shared" si="25"/>
        <v>-7.031061566471126E-3</v>
      </c>
      <c r="R170" s="1605">
        <v>183495.2378</v>
      </c>
      <c r="S170" s="750">
        <f t="shared" si="26"/>
        <v>0.2378000000026077</v>
      </c>
    </row>
    <row r="171" spans="1:19" x14ac:dyDescent="0.2">
      <c r="A171" s="1461" t="s">
        <v>224</v>
      </c>
      <c r="B171" s="1462" t="s">
        <v>225</v>
      </c>
      <c r="C171" s="1463">
        <v>1</v>
      </c>
      <c r="D171" s="1464">
        <f>INDEX(Data!$E$5:$E$300,MATCH('Cost of Collection'!B171,Data!$C$5:$C$300,0))</f>
        <v>86955352</v>
      </c>
      <c r="E171" s="1464">
        <f>INDEX(Data!$F$5:$F$300,MATCH('Cost of Collection'!B171,Data!$C$5:$C$300,0))</f>
        <v>3509</v>
      </c>
      <c r="F171" s="1611">
        <f t="shared" si="19"/>
        <v>86955352</v>
      </c>
      <c r="G171" s="1465">
        <f t="shared" si="20"/>
        <v>3509</v>
      </c>
      <c r="H171" s="1614">
        <f t="shared" si="21"/>
        <v>20160000</v>
      </c>
      <c r="I171" s="1466">
        <f t="shared" si="22"/>
        <v>63840000</v>
      </c>
      <c r="J171" s="1465">
        <f t="shared" si="18"/>
        <v>23819.05313088257</v>
      </c>
      <c r="K171" s="1465">
        <f t="shared" si="18"/>
        <v>107403.79235401825</v>
      </c>
      <c r="L171" s="1467">
        <f t="shared" si="23"/>
        <v>131223</v>
      </c>
      <c r="N171" s="1616">
        <v>128604.176052421</v>
      </c>
      <c r="O171" s="1468">
        <f t="shared" si="24"/>
        <v>-2618.8239475790033</v>
      </c>
      <c r="P171" s="1469">
        <f t="shared" si="25"/>
        <v>-2.0363444080630254E-2</v>
      </c>
      <c r="R171" s="1605">
        <v>131222.8211</v>
      </c>
      <c r="S171" s="750">
        <f t="shared" si="26"/>
        <v>-0.17889999999897555</v>
      </c>
    </row>
    <row r="172" spans="1:19" x14ac:dyDescent="0.2">
      <c r="A172" s="1461" t="s">
        <v>597</v>
      </c>
      <c r="B172" s="1462" t="s">
        <v>227</v>
      </c>
      <c r="C172" s="1463">
        <v>1</v>
      </c>
      <c r="D172" s="1464">
        <f>INDEX(Data!$E$5:$E$300,MATCH('Cost of Collection'!B172,Data!$C$5:$C$300,0))</f>
        <v>223805374</v>
      </c>
      <c r="E172" s="1464">
        <f>INDEX(Data!$F$5:$F$300,MATCH('Cost of Collection'!B172,Data!$C$5:$C$300,0))</f>
        <v>5757</v>
      </c>
      <c r="F172" s="1611">
        <f t="shared" si="19"/>
        <v>223805374</v>
      </c>
      <c r="G172" s="1465">
        <f t="shared" si="20"/>
        <v>5757</v>
      </c>
      <c r="H172" s="1614">
        <f t="shared" si="21"/>
        <v>20160000</v>
      </c>
      <c r="I172" s="1466">
        <f t="shared" si="22"/>
        <v>63840000</v>
      </c>
      <c r="J172" s="1465">
        <f t="shared" si="18"/>
        <v>61305.393764411929</v>
      </c>
      <c r="K172" s="1465">
        <f t="shared" si="18"/>
        <v>176210.78158509065</v>
      </c>
      <c r="L172" s="1467">
        <f t="shared" si="23"/>
        <v>237516</v>
      </c>
      <c r="N172" s="1616">
        <v>232901.16649177999</v>
      </c>
      <c r="O172" s="1468">
        <f t="shared" si="24"/>
        <v>-4614.8335082200065</v>
      </c>
      <c r="P172" s="1469">
        <f t="shared" si="25"/>
        <v>-1.9814557297989671E-2</v>
      </c>
      <c r="R172" s="1605">
        <v>237516.13529999999</v>
      </c>
      <c r="S172" s="750">
        <f t="shared" si="26"/>
        <v>0.13529999999445863</v>
      </c>
    </row>
    <row r="173" spans="1:19" x14ac:dyDescent="0.2">
      <c r="A173" s="1461" t="s">
        <v>228</v>
      </c>
      <c r="B173" s="1462" t="s">
        <v>229</v>
      </c>
      <c r="C173" s="1463">
        <v>1</v>
      </c>
      <c r="D173" s="1464">
        <f>INDEX(Data!$E$5:$E$300,MATCH('Cost of Collection'!B173,Data!$C$5:$C$300,0))</f>
        <v>90902323</v>
      </c>
      <c r="E173" s="1464">
        <f>INDEX(Data!$F$5:$F$300,MATCH('Cost of Collection'!B173,Data!$C$5:$C$300,0))</f>
        <v>7888</v>
      </c>
      <c r="F173" s="1611">
        <f t="shared" si="19"/>
        <v>90902323</v>
      </c>
      <c r="G173" s="1465">
        <f t="shared" si="20"/>
        <v>7888</v>
      </c>
      <c r="H173" s="1614">
        <f t="shared" si="21"/>
        <v>20160000</v>
      </c>
      <c r="I173" s="1466">
        <f t="shared" si="22"/>
        <v>63840000</v>
      </c>
      <c r="J173" s="1465">
        <f t="shared" si="18"/>
        <v>24900.218462201712</v>
      </c>
      <c r="K173" s="1465">
        <f t="shared" si="18"/>
        <v>241436.62413465258</v>
      </c>
      <c r="L173" s="1467">
        <f t="shared" si="23"/>
        <v>266337</v>
      </c>
      <c r="N173" s="1616">
        <v>275342.089211168</v>
      </c>
      <c r="O173" s="1468">
        <f t="shared" si="24"/>
        <v>9005.0892111680005</v>
      </c>
      <c r="P173" s="1469">
        <f t="shared" si="25"/>
        <v>3.2705095094494367E-2</v>
      </c>
      <c r="R173" s="1605">
        <v>266336.78769999999</v>
      </c>
      <c r="S173" s="750">
        <f t="shared" si="26"/>
        <v>-0.21230000001378357</v>
      </c>
    </row>
    <row r="174" spans="1:19" x14ac:dyDescent="0.2">
      <c r="A174" s="1461" t="s">
        <v>1288</v>
      </c>
      <c r="B174" s="1462" t="s">
        <v>1313</v>
      </c>
      <c r="C174" s="1463">
        <v>1.0132000000000001</v>
      </c>
      <c r="D174" s="1464">
        <f>INDEX(Data!$E$5:$E$300,MATCH('Cost of Collection'!B174,Data!$C$5:$C$300,0))</f>
        <v>413791710</v>
      </c>
      <c r="E174" s="1464">
        <f>INDEX(Data!$F$5:$F$300,MATCH('Cost of Collection'!B174,Data!$C$5:$C$300,0))</f>
        <v>11953</v>
      </c>
      <c r="F174" s="1611">
        <f t="shared" si="19"/>
        <v>419253760.57200003</v>
      </c>
      <c r="G174" s="1465">
        <f t="shared" si="20"/>
        <v>12110.779600000002</v>
      </c>
      <c r="H174" s="1614">
        <f t="shared" si="21"/>
        <v>20160000</v>
      </c>
      <c r="I174" s="1466">
        <f t="shared" si="22"/>
        <v>63840000</v>
      </c>
      <c r="J174" s="1465">
        <f t="shared" si="18"/>
        <v>114843.16225166668</v>
      </c>
      <c r="K174" s="1465">
        <f t="shared" si="18"/>
        <v>370687.84764995164</v>
      </c>
      <c r="L174" s="1467">
        <f>ROUND(J174+K174,0)</f>
        <v>485531</v>
      </c>
      <c r="N174" s="1616">
        <v>481217.35921419697</v>
      </c>
      <c r="O174" s="1468">
        <f t="shared" si="24"/>
        <v>-4313.6407858030288</v>
      </c>
      <c r="P174" s="1469">
        <f t="shared" si="25"/>
        <v>-8.964017409610869E-3</v>
      </c>
      <c r="R174" s="1605">
        <v>485530.92560000002</v>
      </c>
      <c r="S174" s="750">
        <f t="shared" si="26"/>
        <v>-7.4399999983143061E-2</v>
      </c>
    </row>
    <row r="175" spans="1:19" x14ac:dyDescent="0.2">
      <c r="A175" s="1461" t="s">
        <v>514</v>
      </c>
      <c r="B175" s="1462" t="s">
        <v>231</v>
      </c>
      <c r="C175" s="1463">
        <v>1.0378000000000001</v>
      </c>
      <c r="D175" s="1464">
        <f>INDEX(Data!$E$5:$E$300,MATCH('Cost of Collection'!B175,Data!$C$5:$C$300,0))</f>
        <v>179773796</v>
      </c>
      <c r="E175" s="1464">
        <f>INDEX(Data!$F$5:$F$300,MATCH('Cost of Collection'!B175,Data!$C$5:$C$300,0))</f>
        <v>6525</v>
      </c>
      <c r="F175" s="1611">
        <f t="shared" si="19"/>
        <v>186569245.48880002</v>
      </c>
      <c r="G175" s="1465">
        <f t="shared" si="20"/>
        <v>6771.6450000000004</v>
      </c>
      <c r="H175" s="1614">
        <f t="shared" si="21"/>
        <v>20160000</v>
      </c>
      <c r="I175" s="1466">
        <f t="shared" si="22"/>
        <v>63840000</v>
      </c>
      <c r="J175" s="1465">
        <f t="shared" si="18"/>
        <v>51105.569337312336</v>
      </c>
      <c r="K175" s="1465">
        <f t="shared" si="18"/>
        <v>207267.12837706637</v>
      </c>
      <c r="L175" s="1467">
        <f t="shared" si="23"/>
        <v>258373</v>
      </c>
      <c r="N175" s="1616">
        <v>258815.200292444</v>
      </c>
      <c r="O175" s="1468">
        <f t="shared" si="24"/>
        <v>442.20029244400212</v>
      </c>
      <c r="P175" s="1469">
        <f t="shared" si="25"/>
        <v>1.708556112408951E-3</v>
      </c>
      <c r="R175" s="1605">
        <v>258372.65059999999</v>
      </c>
      <c r="S175" s="750">
        <f t="shared" si="26"/>
        <v>-0.34940000000642613</v>
      </c>
    </row>
    <row r="176" spans="1:19" x14ac:dyDescent="0.2">
      <c r="A176" s="1461" t="s">
        <v>232</v>
      </c>
      <c r="B176" s="1462" t="s">
        <v>233</v>
      </c>
      <c r="C176" s="1463">
        <v>1</v>
      </c>
      <c r="D176" s="1464">
        <f>INDEX(Data!$E$5:$E$300,MATCH('Cost of Collection'!B176,Data!$C$5:$C$300,0))</f>
        <v>163196883</v>
      </c>
      <c r="E176" s="1464">
        <f>INDEX(Data!$F$5:$F$300,MATCH('Cost of Collection'!B176,Data!$C$5:$C$300,0))</f>
        <v>6309</v>
      </c>
      <c r="F176" s="1611">
        <f t="shared" si="19"/>
        <v>163196883</v>
      </c>
      <c r="G176" s="1465">
        <f t="shared" si="20"/>
        <v>6309</v>
      </c>
      <c r="H176" s="1614">
        <f t="shared" si="21"/>
        <v>20160000</v>
      </c>
      <c r="I176" s="1466">
        <f t="shared" si="22"/>
        <v>63840000</v>
      </c>
      <c r="J176" s="1465">
        <f t="shared" si="18"/>
        <v>44703.346459587978</v>
      </c>
      <c r="K176" s="1465">
        <f t="shared" si="18"/>
        <v>193106.44797990914</v>
      </c>
      <c r="L176" s="1467">
        <f t="shared" si="23"/>
        <v>237810</v>
      </c>
      <c r="N176" s="1616">
        <v>237343.001165575</v>
      </c>
      <c r="O176" s="1468">
        <f t="shared" si="24"/>
        <v>-466.99883442500141</v>
      </c>
      <c r="P176" s="1469">
        <f t="shared" si="25"/>
        <v>-1.9676115669373124E-3</v>
      </c>
      <c r="R176" s="1605">
        <v>237809.75049999999</v>
      </c>
      <c r="S176" s="750">
        <f t="shared" si="26"/>
        <v>-0.2495000000053551</v>
      </c>
    </row>
    <row r="177" spans="1:19" x14ac:dyDescent="0.2">
      <c r="A177" s="1461" t="s">
        <v>234</v>
      </c>
      <c r="B177" s="1462" t="s">
        <v>235</v>
      </c>
      <c r="C177" s="1463">
        <v>1.0213000000000001</v>
      </c>
      <c r="D177" s="1464">
        <f>INDEX(Data!$E$5:$E$300,MATCH('Cost of Collection'!B177,Data!$C$5:$C$300,0))</f>
        <v>161717348</v>
      </c>
      <c r="E177" s="1464">
        <f>INDEX(Data!$F$5:$F$300,MATCH('Cost of Collection'!B177,Data!$C$5:$C$300,0))</f>
        <v>2561</v>
      </c>
      <c r="F177" s="1611">
        <f t="shared" si="19"/>
        <v>165161927.5124</v>
      </c>
      <c r="G177" s="1465">
        <f t="shared" si="20"/>
        <v>2615.5493000000001</v>
      </c>
      <c r="H177" s="1614">
        <f t="shared" si="21"/>
        <v>20160000</v>
      </c>
      <c r="I177" s="1466">
        <f t="shared" si="22"/>
        <v>63840000</v>
      </c>
      <c r="J177" s="1465">
        <f t="shared" si="18"/>
        <v>45241.616946324721</v>
      </c>
      <c r="K177" s="1465">
        <f t="shared" si="18"/>
        <v>80056.971760871413</v>
      </c>
      <c r="L177" s="1467">
        <f t="shared" si="23"/>
        <v>125299</v>
      </c>
      <c r="N177" s="1616">
        <v>120368.42934011</v>
      </c>
      <c r="O177" s="1468">
        <f t="shared" si="24"/>
        <v>-4930.5706598899997</v>
      </c>
      <c r="P177" s="1469">
        <f t="shared" si="25"/>
        <v>-4.0962324480934308E-2</v>
      </c>
      <c r="R177" s="1605">
        <v>125298.5705</v>
      </c>
      <c r="S177" s="750">
        <f t="shared" si="26"/>
        <v>-0.42949999999837019</v>
      </c>
    </row>
    <row r="178" spans="1:19" x14ac:dyDescent="0.2">
      <c r="A178" s="1461" t="s">
        <v>247</v>
      </c>
      <c r="B178" s="1462" t="s">
        <v>248</v>
      </c>
      <c r="C178" s="1463">
        <v>1</v>
      </c>
      <c r="D178" s="1464">
        <f>INDEX(Data!$E$5:$E$300,MATCH('Cost of Collection'!B178,Data!$C$5:$C$300,0))</f>
        <v>229935785</v>
      </c>
      <c r="E178" s="1464">
        <f>INDEX(Data!$F$5:$F$300,MATCH('Cost of Collection'!B178,Data!$C$5:$C$300,0))</f>
        <v>3522</v>
      </c>
      <c r="F178" s="1611">
        <f t="shared" si="19"/>
        <v>229935785</v>
      </c>
      <c r="G178" s="1465">
        <f t="shared" si="20"/>
        <v>3522</v>
      </c>
      <c r="H178" s="1614">
        <f t="shared" si="21"/>
        <v>20160000</v>
      </c>
      <c r="I178" s="1466">
        <f t="shared" si="22"/>
        <v>63840000</v>
      </c>
      <c r="J178" s="1465">
        <f t="shared" si="18"/>
        <v>62984.653085024504</v>
      </c>
      <c r="K178" s="1465">
        <f t="shared" si="18"/>
        <v>107801.69754085274</v>
      </c>
      <c r="L178" s="1467">
        <f t="shared" si="23"/>
        <v>170786</v>
      </c>
      <c r="N178" s="1616">
        <v>167586.69725531599</v>
      </c>
      <c r="O178" s="1468">
        <f t="shared" si="24"/>
        <v>-3199.3027446840133</v>
      </c>
      <c r="P178" s="1469">
        <f t="shared" si="25"/>
        <v>-1.9090433769990232E-2</v>
      </c>
      <c r="R178" s="1605">
        <v>170786.32610000001</v>
      </c>
      <c r="S178" s="750">
        <f t="shared" si="26"/>
        <v>0.32610000000568107</v>
      </c>
    </row>
    <row r="179" spans="1:19" x14ac:dyDescent="0.2">
      <c r="A179" s="1472" t="s">
        <v>627</v>
      </c>
      <c r="B179" s="1473" t="s">
        <v>2334</v>
      </c>
      <c r="C179" s="1474">
        <v>1</v>
      </c>
      <c r="D179" s="1464">
        <f>INDEX(Data!$E$5:$E$300,MATCH('Cost of Collection'!B179,Data!$C$5:$C$300,0))</f>
        <v>607352631</v>
      </c>
      <c r="E179" s="1464">
        <f>INDEX(Data!$F$5:$F$300,MATCH('Cost of Collection'!B179,Data!$C$5:$C$300,0))</f>
        <v>33137</v>
      </c>
      <c r="F179" s="1611">
        <f t="shared" si="19"/>
        <v>607352631</v>
      </c>
      <c r="G179" s="1465">
        <f t="shared" si="20"/>
        <v>33137</v>
      </c>
      <c r="H179" s="1614">
        <f t="shared" si="21"/>
        <v>20160000</v>
      </c>
      <c r="I179" s="1466">
        <f t="shared" si="22"/>
        <v>63840000</v>
      </c>
      <c r="J179" s="1465">
        <f t="shared" si="18"/>
        <v>166367.73072887241</v>
      </c>
      <c r="K179" s="1465">
        <f t="shared" si="18"/>
        <v>1014260.3212411236</v>
      </c>
      <c r="L179" s="1467">
        <f t="shared" si="23"/>
        <v>1180628</v>
      </c>
      <c r="N179" s="1616">
        <v>1189637.3481101601</v>
      </c>
      <c r="O179" s="1468">
        <f t="shared" si="24"/>
        <v>9009.3481101600919</v>
      </c>
      <c r="P179" s="1469">
        <f t="shared" si="25"/>
        <v>7.5731886902106818E-3</v>
      </c>
      <c r="R179" s="1605">
        <v>1180627.821</v>
      </c>
      <c r="S179" s="750">
        <f t="shared" si="26"/>
        <v>-0.17900000000372529</v>
      </c>
    </row>
    <row r="180" spans="1:19" x14ac:dyDescent="0.2">
      <c r="A180" s="1461" t="s">
        <v>249</v>
      </c>
      <c r="B180" s="1462" t="s">
        <v>250</v>
      </c>
      <c r="C180" s="1463">
        <v>1</v>
      </c>
      <c r="D180" s="1464">
        <f>INDEX(Data!$E$5:$E$300,MATCH('Cost of Collection'!B180,Data!$C$5:$C$300,0))</f>
        <v>260907284</v>
      </c>
      <c r="E180" s="1464">
        <f>INDEX(Data!$F$5:$F$300,MATCH('Cost of Collection'!B180,Data!$C$5:$C$300,0))</f>
        <v>14254</v>
      </c>
      <c r="F180" s="1611">
        <f t="shared" si="19"/>
        <v>260907284</v>
      </c>
      <c r="G180" s="1465">
        <f t="shared" si="20"/>
        <v>14254</v>
      </c>
      <c r="H180" s="1614">
        <f t="shared" si="21"/>
        <v>20160000</v>
      </c>
      <c r="I180" s="1466">
        <f t="shared" si="22"/>
        <v>63840000</v>
      </c>
      <c r="J180" s="1465">
        <f t="shared" si="18"/>
        <v>71468.45268167356</v>
      </c>
      <c r="K180" s="1465">
        <f t="shared" si="18"/>
        <v>436287.73331837449</v>
      </c>
      <c r="L180" s="1467">
        <f t="shared" si="23"/>
        <v>507756</v>
      </c>
      <c r="N180" s="1616">
        <v>509426.92538341001</v>
      </c>
      <c r="O180" s="1468">
        <f t="shared" si="24"/>
        <v>1670.9253834100091</v>
      </c>
      <c r="P180" s="1469">
        <f t="shared" si="25"/>
        <v>3.2800099487329225E-3</v>
      </c>
      <c r="R180" s="1605">
        <v>507756.08679999999</v>
      </c>
      <c r="S180" s="750">
        <f t="shared" si="26"/>
        <v>8.6799999990034848E-2</v>
      </c>
    </row>
    <row r="181" spans="1:19" x14ac:dyDescent="0.2">
      <c r="A181" s="1461" t="s">
        <v>251</v>
      </c>
      <c r="B181" s="1462" t="s">
        <v>252</v>
      </c>
      <c r="C181" s="1463">
        <v>1</v>
      </c>
      <c r="D181" s="1464">
        <f>INDEX(Data!$E$5:$E$300,MATCH('Cost of Collection'!B181,Data!$C$5:$C$300,0))</f>
        <v>187313807</v>
      </c>
      <c r="E181" s="1464">
        <f>INDEX(Data!$F$5:$F$300,MATCH('Cost of Collection'!B181,Data!$C$5:$C$300,0))</f>
        <v>6823</v>
      </c>
      <c r="F181" s="1611">
        <f t="shared" si="19"/>
        <v>187313807</v>
      </c>
      <c r="G181" s="1465">
        <f t="shared" si="20"/>
        <v>6823</v>
      </c>
      <c r="H181" s="1614">
        <f t="shared" si="21"/>
        <v>20160000</v>
      </c>
      <c r="I181" s="1466">
        <f t="shared" si="22"/>
        <v>63840000</v>
      </c>
      <c r="J181" s="1465">
        <f t="shared" si="18"/>
        <v>51309.521708116175</v>
      </c>
      <c r="K181" s="1465">
        <f t="shared" si="18"/>
        <v>208839.00690551908</v>
      </c>
      <c r="L181" s="1467">
        <f t="shared" si="23"/>
        <v>260149</v>
      </c>
      <c r="N181" s="1616">
        <v>262385.62936442398</v>
      </c>
      <c r="O181" s="1468">
        <f t="shared" si="24"/>
        <v>2236.6293644239777</v>
      </c>
      <c r="P181" s="1469">
        <f t="shared" si="25"/>
        <v>8.524206793801014E-3</v>
      </c>
      <c r="R181" s="1605">
        <v>260148.4811</v>
      </c>
      <c r="S181" s="750">
        <f t="shared" si="26"/>
        <v>-0.51889999999548309</v>
      </c>
    </row>
    <row r="182" spans="1:19" x14ac:dyDescent="0.2">
      <c r="A182" s="1461" t="s">
        <v>630</v>
      </c>
      <c r="B182" s="1462" t="s">
        <v>254</v>
      </c>
      <c r="C182" s="1463">
        <v>1.0121</v>
      </c>
      <c r="D182" s="1464">
        <f>INDEX(Data!$E$5:$E$300,MATCH('Cost of Collection'!B182,Data!$C$5:$C$300,0))</f>
        <v>343858624</v>
      </c>
      <c r="E182" s="1464">
        <f>INDEX(Data!$F$5:$F$300,MATCH('Cost of Collection'!B182,Data!$C$5:$C$300,0))</f>
        <v>11591</v>
      </c>
      <c r="F182" s="1611">
        <f t="shared" si="19"/>
        <v>348019313.35039997</v>
      </c>
      <c r="G182" s="1465">
        <f t="shared" si="20"/>
        <v>11731.251099999999</v>
      </c>
      <c r="H182" s="1614">
        <f t="shared" si="21"/>
        <v>20160000</v>
      </c>
      <c r="I182" s="1466">
        <f t="shared" si="22"/>
        <v>63840000</v>
      </c>
      <c r="J182" s="1465">
        <f t="shared" si="18"/>
        <v>95330.423310418511</v>
      </c>
      <c r="K182" s="1465">
        <f t="shared" si="18"/>
        <v>359071.20467291196</v>
      </c>
      <c r="L182" s="1467">
        <f t="shared" si="23"/>
        <v>454402</v>
      </c>
      <c r="N182" s="1616">
        <v>456738.57819725998</v>
      </c>
      <c r="O182" s="1468">
        <f t="shared" si="24"/>
        <v>2336.5781972599798</v>
      </c>
      <c r="P182" s="1469">
        <f t="shared" si="25"/>
        <v>5.1157890066620111E-3</v>
      </c>
      <c r="R182" s="1605">
        <v>454401.54629999999</v>
      </c>
      <c r="S182" s="750">
        <f t="shared" si="26"/>
        <v>-0.45370000001275912</v>
      </c>
    </row>
    <row r="183" spans="1:19" x14ac:dyDescent="0.2">
      <c r="A183" s="1461" t="s">
        <v>255</v>
      </c>
      <c r="B183" s="1462" t="s">
        <v>256</v>
      </c>
      <c r="C183" s="1463">
        <v>1.0213000000000001</v>
      </c>
      <c r="D183" s="1464">
        <f>INDEX(Data!$E$5:$E$300,MATCH('Cost of Collection'!B183,Data!$C$5:$C$300,0))</f>
        <v>104328078</v>
      </c>
      <c r="E183" s="1464">
        <f>INDEX(Data!$F$5:$F$300,MATCH('Cost of Collection'!B183,Data!$C$5:$C$300,0))</f>
        <v>3253</v>
      </c>
      <c r="F183" s="1611">
        <f t="shared" si="19"/>
        <v>106550266.06140001</v>
      </c>
      <c r="G183" s="1465">
        <f t="shared" si="20"/>
        <v>3322.2889000000005</v>
      </c>
      <c r="H183" s="1614">
        <f t="shared" si="21"/>
        <v>20160000</v>
      </c>
      <c r="I183" s="1466">
        <f t="shared" si="22"/>
        <v>63840000</v>
      </c>
      <c r="J183" s="1465">
        <f t="shared" si="18"/>
        <v>29186.546774328057</v>
      </c>
      <c r="K183" s="1465">
        <f t="shared" si="18"/>
        <v>101688.92195943567</v>
      </c>
      <c r="L183" s="1467">
        <f t="shared" si="23"/>
        <v>130875</v>
      </c>
      <c r="N183" s="1616">
        <v>128177.10141663101</v>
      </c>
      <c r="O183" s="1468">
        <f t="shared" si="24"/>
        <v>-2697.8985833689949</v>
      </c>
      <c r="P183" s="1469">
        <f t="shared" si="25"/>
        <v>-2.1048210277432144E-2</v>
      </c>
      <c r="R183" s="1605">
        <v>130875.44560000001</v>
      </c>
      <c r="S183" s="750">
        <f t="shared" si="26"/>
        <v>0.44560000000637956</v>
      </c>
    </row>
    <row r="184" spans="1:19" x14ac:dyDescent="0.2">
      <c r="A184" s="1461" t="s">
        <v>257</v>
      </c>
      <c r="B184" s="1462" t="s">
        <v>258</v>
      </c>
      <c r="C184" s="1463">
        <v>1</v>
      </c>
      <c r="D184" s="1464">
        <f>INDEX(Data!$E$5:$E$300,MATCH('Cost of Collection'!B184,Data!$C$5:$C$300,0))</f>
        <v>35217281</v>
      </c>
      <c r="E184" s="1464">
        <f>INDEX(Data!$F$5:$F$300,MATCH('Cost of Collection'!B184,Data!$C$5:$C$300,0))</f>
        <v>1420</v>
      </c>
      <c r="F184" s="1611">
        <f t="shared" si="19"/>
        <v>35217281</v>
      </c>
      <c r="G184" s="1465">
        <f t="shared" si="20"/>
        <v>1420</v>
      </c>
      <c r="H184" s="1614">
        <f t="shared" si="21"/>
        <v>20160000</v>
      </c>
      <c r="I184" s="1466">
        <f t="shared" si="22"/>
        <v>63840000</v>
      </c>
      <c r="J184" s="1465">
        <f t="shared" si="18"/>
        <v>9646.8160725083526</v>
      </c>
      <c r="K184" s="1465">
        <f t="shared" si="18"/>
        <v>43463.489638844658</v>
      </c>
      <c r="L184" s="1467">
        <f t="shared" si="23"/>
        <v>53110</v>
      </c>
      <c r="N184" s="1616">
        <v>52891.833952546804</v>
      </c>
      <c r="O184" s="1468">
        <f t="shared" si="24"/>
        <v>-218.16604745319637</v>
      </c>
      <c r="P184" s="1469">
        <f t="shared" si="25"/>
        <v>-4.1247586092198908E-3</v>
      </c>
      <c r="R184" s="1605">
        <v>53110.295830000003</v>
      </c>
      <c r="S184" s="750">
        <f t="shared" si="26"/>
        <v>0.29583000000275206</v>
      </c>
    </row>
    <row r="185" spans="1:19" x14ac:dyDescent="0.2">
      <c r="A185" s="1461" t="s">
        <v>259</v>
      </c>
      <c r="B185" s="1462" t="s">
        <v>260</v>
      </c>
      <c r="C185" s="1463">
        <v>1.0168999999999999</v>
      </c>
      <c r="D185" s="1464">
        <f>INDEX(Data!$E$5:$E$300,MATCH('Cost of Collection'!B185,Data!$C$5:$C$300,0))</f>
        <v>166180871</v>
      </c>
      <c r="E185" s="1464">
        <f>INDEX(Data!$F$5:$F$300,MATCH('Cost of Collection'!B185,Data!$C$5:$C$300,0))</f>
        <v>8004</v>
      </c>
      <c r="F185" s="1611">
        <f t="shared" si="19"/>
        <v>168989327.71989998</v>
      </c>
      <c r="G185" s="1465">
        <f t="shared" si="20"/>
        <v>8139.2675999999992</v>
      </c>
      <c r="H185" s="1614">
        <f t="shared" si="21"/>
        <v>20160000</v>
      </c>
      <c r="I185" s="1466">
        <f t="shared" si="22"/>
        <v>63840000</v>
      </c>
      <c r="J185" s="1465">
        <f t="shared" si="18"/>
        <v>46290.029111864489</v>
      </c>
      <c r="K185" s="1465">
        <f t="shared" si="18"/>
        <v>249127.44577491831</v>
      </c>
      <c r="L185" s="1467">
        <f t="shared" si="23"/>
        <v>295417</v>
      </c>
      <c r="N185" s="1616">
        <v>293126.08414748398</v>
      </c>
      <c r="O185" s="1468">
        <f t="shared" si="24"/>
        <v>-2290.9158525160165</v>
      </c>
      <c r="P185" s="1469">
        <f t="shared" si="25"/>
        <v>-7.8154622751462847E-3</v>
      </c>
      <c r="R185" s="1605">
        <v>295417.41820000001</v>
      </c>
      <c r="S185" s="750">
        <f t="shared" si="26"/>
        <v>0.41820000001462176</v>
      </c>
    </row>
    <row r="186" spans="1:19" x14ac:dyDescent="0.2">
      <c r="A186" s="1461" t="s">
        <v>261</v>
      </c>
      <c r="B186" s="1462" t="s">
        <v>262</v>
      </c>
      <c r="C186" s="1463">
        <v>1.0533999999999999</v>
      </c>
      <c r="D186" s="1464">
        <f>INDEX(Data!$E$5:$E$300,MATCH('Cost of Collection'!B186,Data!$C$5:$C$300,0))</f>
        <v>288930923</v>
      </c>
      <c r="E186" s="1464">
        <f>INDEX(Data!$F$5:$F$300,MATCH('Cost of Collection'!B186,Data!$C$5:$C$300,0))</f>
        <v>4538</v>
      </c>
      <c r="F186" s="1611">
        <f t="shared" si="19"/>
        <v>304359834.28819996</v>
      </c>
      <c r="G186" s="1465">
        <f t="shared" si="20"/>
        <v>4780.3291999999992</v>
      </c>
      <c r="H186" s="1614">
        <f t="shared" si="21"/>
        <v>20160000</v>
      </c>
      <c r="I186" s="1466">
        <f t="shared" si="22"/>
        <v>63840000</v>
      </c>
      <c r="J186" s="1465">
        <f t="shared" si="18"/>
        <v>83371.096741891743</v>
      </c>
      <c r="K186" s="1465">
        <f t="shared" si="18"/>
        <v>146316.752573568</v>
      </c>
      <c r="L186" s="1467">
        <f t="shared" si="23"/>
        <v>229688</v>
      </c>
      <c r="N186" s="1616">
        <v>232362.256661539</v>
      </c>
      <c r="O186" s="1468">
        <f t="shared" si="24"/>
        <v>2674.2566615389951</v>
      </c>
      <c r="P186" s="1469">
        <f t="shared" si="25"/>
        <v>1.150899763137669E-2</v>
      </c>
      <c r="R186" s="1605">
        <v>229687.81599999999</v>
      </c>
      <c r="S186" s="750">
        <f t="shared" si="26"/>
        <v>-0.1840000000083819</v>
      </c>
    </row>
    <row r="187" spans="1:19" x14ac:dyDescent="0.2">
      <c r="A187" s="1461" t="s">
        <v>263</v>
      </c>
      <c r="B187" s="1462" t="s">
        <v>264</v>
      </c>
      <c r="C187" s="1463">
        <v>1</v>
      </c>
      <c r="D187" s="1464">
        <f>INDEX(Data!$E$5:$E$300,MATCH('Cost of Collection'!B187,Data!$C$5:$C$300,0))</f>
        <v>58727034</v>
      </c>
      <c r="E187" s="1464">
        <f>INDEX(Data!$F$5:$F$300,MATCH('Cost of Collection'!B187,Data!$C$5:$C$300,0))</f>
        <v>3857</v>
      </c>
      <c r="F187" s="1611">
        <f t="shared" si="19"/>
        <v>58727034</v>
      </c>
      <c r="G187" s="1465">
        <f t="shared" si="20"/>
        <v>3857</v>
      </c>
      <c r="H187" s="1614">
        <f t="shared" si="21"/>
        <v>20160000</v>
      </c>
      <c r="I187" s="1466">
        <f t="shared" si="22"/>
        <v>63840000</v>
      </c>
      <c r="J187" s="1465">
        <f t="shared" si="18"/>
        <v>16086.673343179005</v>
      </c>
      <c r="K187" s="1465">
        <f t="shared" si="18"/>
        <v>118055.40812466468</v>
      </c>
      <c r="L187" s="1467">
        <f t="shared" si="23"/>
        <v>134142</v>
      </c>
      <c r="N187" s="1616">
        <v>135722.83415671001</v>
      </c>
      <c r="O187" s="1468">
        <f t="shared" si="24"/>
        <v>1580.8341567100142</v>
      </c>
      <c r="P187" s="1469">
        <f t="shared" si="25"/>
        <v>1.1647518021062923E-2</v>
      </c>
      <c r="R187" s="1605">
        <v>134142.0546</v>
      </c>
      <c r="S187" s="750">
        <f t="shared" si="26"/>
        <v>5.4600000003119931E-2</v>
      </c>
    </row>
    <row r="188" spans="1:19" x14ac:dyDescent="0.2">
      <c r="A188" s="1461" t="s">
        <v>530</v>
      </c>
      <c r="B188" s="1462" t="s">
        <v>266</v>
      </c>
      <c r="C188" s="1463">
        <v>1.0339</v>
      </c>
      <c r="D188" s="1464">
        <f>INDEX(Data!$E$5:$E$300,MATCH('Cost of Collection'!B188,Data!$C$5:$C$300,0))</f>
        <v>271354165</v>
      </c>
      <c r="E188" s="1464">
        <f>INDEX(Data!$F$5:$F$300,MATCH('Cost of Collection'!B188,Data!$C$5:$C$300,0))</f>
        <v>6304</v>
      </c>
      <c r="F188" s="1611">
        <f t="shared" si="19"/>
        <v>280553071.19349998</v>
      </c>
      <c r="G188" s="1465">
        <f t="shared" si="20"/>
        <v>6517.7056000000002</v>
      </c>
      <c r="H188" s="1614">
        <f t="shared" si="21"/>
        <v>20160000</v>
      </c>
      <c r="I188" s="1466">
        <f t="shared" si="22"/>
        <v>63840000</v>
      </c>
      <c r="J188" s="1465">
        <f t="shared" si="18"/>
        <v>76849.88163569571</v>
      </c>
      <c r="K188" s="1465">
        <f t="shared" si="18"/>
        <v>199494.52803847875</v>
      </c>
      <c r="L188" s="1467">
        <f t="shared" si="23"/>
        <v>276344</v>
      </c>
      <c r="N188" s="1616">
        <v>275052.53687740798</v>
      </c>
      <c r="O188" s="1468">
        <f t="shared" si="24"/>
        <v>-1291.4631225920166</v>
      </c>
      <c r="P188" s="1469">
        <f t="shared" si="25"/>
        <v>-4.695332525391783E-3</v>
      </c>
      <c r="R188" s="1605">
        <v>276344.36430000002</v>
      </c>
      <c r="S188" s="750">
        <f t="shared" si="26"/>
        <v>0.36430000001564622</v>
      </c>
    </row>
    <row r="189" spans="1:19" x14ac:dyDescent="0.2">
      <c r="A189" s="1461" t="s">
        <v>553</v>
      </c>
      <c r="B189" s="1462" t="s">
        <v>268</v>
      </c>
      <c r="C189" s="1463">
        <v>1</v>
      </c>
      <c r="D189" s="1464">
        <f>INDEX(Data!$E$5:$E$300,MATCH('Cost of Collection'!B189,Data!$C$5:$C$300,0))</f>
        <v>242448570</v>
      </c>
      <c r="E189" s="1464">
        <f>INDEX(Data!$F$5:$F$300,MATCH('Cost of Collection'!B189,Data!$C$5:$C$300,0))</f>
        <v>7974</v>
      </c>
      <c r="F189" s="1611">
        <f t="shared" si="19"/>
        <v>242448570</v>
      </c>
      <c r="G189" s="1465">
        <f t="shared" si="20"/>
        <v>7974</v>
      </c>
      <c r="H189" s="1614">
        <f t="shared" si="21"/>
        <v>20160000</v>
      </c>
      <c r="I189" s="1466">
        <f t="shared" si="22"/>
        <v>63840000</v>
      </c>
      <c r="J189" s="1465">
        <f t="shared" si="18"/>
        <v>66412.190135651472</v>
      </c>
      <c r="K189" s="1465">
        <f t="shared" si="18"/>
        <v>244068.91998601923</v>
      </c>
      <c r="L189" s="1467">
        <f t="shared" si="23"/>
        <v>310481</v>
      </c>
      <c r="N189" s="1616">
        <v>310314.614028215</v>
      </c>
      <c r="O189" s="1468">
        <f t="shared" si="24"/>
        <v>-166.38597178499913</v>
      </c>
      <c r="P189" s="1469">
        <f t="shared" si="25"/>
        <v>-5.361847759121995E-4</v>
      </c>
      <c r="R189" s="1605">
        <v>310481.05459999997</v>
      </c>
      <c r="S189" s="750">
        <f t="shared" si="26"/>
        <v>5.45999999740161E-2</v>
      </c>
    </row>
    <row r="190" spans="1:19" x14ac:dyDescent="0.2">
      <c r="A190" s="1461" t="s">
        <v>579</v>
      </c>
      <c r="B190" s="1462" t="s">
        <v>270</v>
      </c>
      <c r="C190" s="1463">
        <v>1.036</v>
      </c>
      <c r="D190" s="1464">
        <f>INDEX(Data!$E$5:$E$300,MATCH('Cost of Collection'!B190,Data!$C$5:$C$300,0))</f>
        <v>229350078</v>
      </c>
      <c r="E190" s="1464">
        <f>INDEX(Data!$F$5:$F$300,MATCH('Cost of Collection'!B190,Data!$C$5:$C$300,0))</f>
        <v>6656</v>
      </c>
      <c r="F190" s="1611">
        <f t="shared" si="19"/>
        <v>237606680.808</v>
      </c>
      <c r="G190" s="1465">
        <f t="shared" si="20"/>
        <v>6895.616</v>
      </c>
      <c r="H190" s="1614">
        <f t="shared" si="21"/>
        <v>20160000</v>
      </c>
      <c r="I190" s="1466">
        <f t="shared" si="22"/>
        <v>63840000</v>
      </c>
      <c r="J190" s="1465">
        <f t="shared" si="18"/>
        <v>65085.886311154347</v>
      </c>
      <c r="K190" s="1465">
        <f t="shared" si="18"/>
        <v>211061.64406299399</v>
      </c>
      <c r="L190" s="1467">
        <f t="shared" si="23"/>
        <v>276148</v>
      </c>
      <c r="N190" s="1616">
        <v>288503.12267524801</v>
      </c>
      <c r="O190" s="1468">
        <f t="shared" si="24"/>
        <v>12355.122675248014</v>
      </c>
      <c r="P190" s="1469">
        <f t="shared" si="25"/>
        <v>4.2824918360261532E-2</v>
      </c>
      <c r="R190" s="1605">
        <v>276147.48239999998</v>
      </c>
      <c r="S190" s="750">
        <f t="shared" si="26"/>
        <v>-0.51760000002104789</v>
      </c>
    </row>
    <row r="191" spans="1:19" x14ac:dyDescent="0.2">
      <c r="A191" s="1461" t="s">
        <v>271</v>
      </c>
      <c r="B191" s="1462" t="s">
        <v>272</v>
      </c>
      <c r="C191" s="1463">
        <v>1</v>
      </c>
      <c r="D191" s="1464">
        <f>INDEX(Data!$E$5:$E$300,MATCH('Cost of Collection'!B191,Data!$C$5:$C$300,0))</f>
        <v>152242100</v>
      </c>
      <c r="E191" s="1464">
        <f>INDEX(Data!$F$5:$F$300,MATCH('Cost of Collection'!B191,Data!$C$5:$C$300,0))</f>
        <v>6372</v>
      </c>
      <c r="F191" s="1611">
        <f t="shared" si="19"/>
        <v>152242100</v>
      </c>
      <c r="G191" s="1465">
        <f t="shared" si="20"/>
        <v>6372</v>
      </c>
      <c r="H191" s="1614">
        <f t="shared" si="21"/>
        <v>20160000</v>
      </c>
      <c r="I191" s="1466">
        <f t="shared" si="22"/>
        <v>63840000</v>
      </c>
      <c r="J191" s="1465">
        <f t="shared" si="18"/>
        <v>41702.581672685737</v>
      </c>
      <c r="K191" s="1465">
        <f t="shared" si="18"/>
        <v>195034.75773149167</v>
      </c>
      <c r="L191" s="1467">
        <f t="shared" si="23"/>
        <v>236737</v>
      </c>
      <c r="N191" s="1616">
        <v>236069.15807274499</v>
      </c>
      <c r="O191" s="1468">
        <f t="shared" si="24"/>
        <v>-667.84192725500907</v>
      </c>
      <c r="P191" s="1469">
        <f t="shared" si="25"/>
        <v>-2.8290096542353607E-3</v>
      </c>
      <c r="R191" s="1605">
        <v>236737.29500000001</v>
      </c>
      <c r="S191" s="750">
        <f t="shared" si="26"/>
        <v>0.29500000001280569</v>
      </c>
    </row>
    <row r="192" spans="1:19" x14ac:dyDescent="0.2">
      <c r="A192" s="1461" t="s">
        <v>522</v>
      </c>
      <c r="B192" s="1462" t="s">
        <v>274</v>
      </c>
      <c r="C192" s="1463">
        <v>1.0806</v>
      </c>
      <c r="D192" s="1464">
        <f>INDEX(Data!$E$5:$E$300,MATCH('Cost of Collection'!B192,Data!$C$5:$C$300,0))</f>
        <v>341345584</v>
      </c>
      <c r="E192" s="1464">
        <f>INDEX(Data!$F$5:$F$300,MATCH('Cost of Collection'!B192,Data!$C$5:$C$300,0))</f>
        <v>5681</v>
      </c>
      <c r="F192" s="1611">
        <f t="shared" si="19"/>
        <v>368858038.0704</v>
      </c>
      <c r="G192" s="1465">
        <f t="shared" si="20"/>
        <v>6138.8886000000002</v>
      </c>
      <c r="H192" s="1614">
        <f t="shared" si="21"/>
        <v>20160000</v>
      </c>
      <c r="I192" s="1466">
        <f t="shared" si="22"/>
        <v>63840000</v>
      </c>
      <c r="J192" s="1465">
        <f t="shared" si="18"/>
        <v>101038.62504693172</v>
      </c>
      <c r="K192" s="1465">
        <f t="shared" si="18"/>
        <v>187899.6627183955</v>
      </c>
      <c r="L192" s="1467">
        <f t="shared" si="23"/>
        <v>288938</v>
      </c>
      <c r="N192" s="1616">
        <v>289717.74800288002</v>
      </c>
      <c r="O192" s="1468">
        <f t="shared" si="24"/>
        <v>779.74800288002007</v>
      </c>
      <c r="P192" s="1469">
        <f t="shared" si="25"/>
        <v>2.6914057155803541E-3</v>
      </c>
      <c r="R192" s="1605">
        <v>288938.245</v>
      </c>
      <c r="S192" s="750">
        <f t="shared" si="26"/>
        <v>0.24499999999534339</v>
      </c>
    </row>
    <row r="193" spans="1:19" x14ac:dyDescent="0.2">
      <c r="A193" s="1461" t="s">
        <v>275</v>
      </c>
      <c r="B193" s="1462" t="s">
        <v>276</v>
      </c>
      <c r="C193" s="1463">
        <v>1.0760000000000001</v>
      </c>
      <c r="D193" s="1464">
        <f>INDEX(Data!$E$5:$E$300,MATCH('Cost of Collection'!B193,Data!$C$5:$C$300,0))</f>
        <v>171780414</v>
      </c>
      <c r="E193" s="1464">
        <f>INDEX(Data!$F$5:$F$300,MATCH('Cost of Collection'!B193,Data!$C$5:$C$300,0))</f>
        <v>6641</v>
      </c>
      <c r="F193" s="1611">
        <f t="shared" si="19"/>
        <v>184835725.46400002</v>
      </c>
      <c r="G193" s="1465">
        <f t="shared" si="20"/>
        <v>7145.7160000000003</v>
      </c>
      <c r="H193" s="1614">
        <f t="shared" si="21"/>
        <v>20160000</v>
      </c>
      <c r="I193" s="1466">
        <f t="shared" si="22"/>
        <v>63840000</v>
      </c>
      <c r="J193" s="1465">
        <f t="shared" si="18"/>
        <v>50630.718685518528</v>
      </c>
      <c r="K193" s="1465">
        <f t="shared" si="18"/>
        <v>218716.72769586372</v>
      </c>
      <c r="L193" s="1467">
        <f t="shared" si="23"/>
        <v>269347</v>
      </c>
      <c r="N193" s="1616">
        <v>266673.321783719</v>
      </c>
      <c r="O193" s="1468">
        <f t="shared" si="24"/>
        <v>-2673.6782162809977</v>
      </c>
      <c r="P193" s="1469">
        <f t="shared" si="25"/>
        <v>-1.0026043094214877E-2</v>
      </c>
      <c r="R193" s="1605">
        <v>269347.39659999998</v>
      </c>
      <c r="S193" s="750">
        <f t="shared" si="26"/>
        <v>0.39659999997820705</v>
      </c>
    </row>
    <row r="194" spans="1:19" x14ac:dyDescent="0.2">
      <c r="A194" s="1461" t="s">
        <v>962</v>
      </c>
      <c r="B194" s="1462" t="s">
        <v>278</v>
      </c>
      <c r="C194" s="1463">
        <v>1</v>
      </c>
      <c r="D194" s="1464">
        <f>INDEX(Data!$E$5:$E$300,MATCH('Cost of Collection'!B194,Data!$C$5:$C$300,0))</f>
        <v>110303792</v>
      </c>
      <c r="E194" s="1464">
        <f>INDEX(Data!$F$5:$F$300,MATCH('Cost of Collection'!B194,Data!$C$5:$C$300,0))</f>
        <v>4388</v>
      </c>
      <c r="F194" s="1611">
        <f t="shared" si="19"/>
        <v>110303792</v>
      </c>
      <c r="G194" s="1465">
        <f t="shared" si="20"/>
        <v>4388</v>
      </c>
      <c r="H194" s="1614">
        <f t="shared" si="21"/>
        <v>20160000</v>
      </c>
      <c r="I194" s="1466">
        <f t="shared" si="22"/>
        <v>63840000</v>
      </c>
      <c r="J194" s="1465">
        <f t="shared" si="18"/>
        <v>30214.723093591983</v>
      </c>
      <c r="K194" s="1465">
        <f t="shared" si="18"/>
        <v>134308.30460228899</v>
      </c>
      <c r="L194" s="1467">
        <f t="shared" si="23"/>
        <v>164523</v>
      </c>
      <c r="N194" s="1616">
        <v>165080.77751267701</v>
      </c>
      <c r="O194" s="1468">
        <f t="shared" si="24"/>
        <v>557.77751267701387</v>
      </c>
      <c r="P194" s="1469">
        <f t="shared" si="25"/>
        <v>3.3788156385087332E-3</v>
      </c>
      <c r="R194" s="1605">
        <v>164522.99710000001</v>
      </c>
      <c r="S194" s="750">
        <f t="shared" si="26"/>
        <v>-2.8999999922234565E-3</v>
      </c>
    </row>
    <row r="195" spans="1:19" x14ac:dyDescent="0.2">
      <c r="A195" s="1461" t="s">
        <v>279</v>
      </c>
      <c r="B195" s="1462" t="s">
        <v>280</v>
      </c>
      <c r="C195" s="1463">
        <v>1</v>
      </c>
      <c r="D195" s="1464">
        <f>INDEX(Data!$E$5:$E$300,MATCH('Cost of Collection'!B195,Data!$C$5:$C$300,0))</f>
        <v>91785862</v>
      </c>
      <c r="E195" s="1464">
        <f>INDEX(Data!$F$5:$F$300,MATCH('Cost of Collection'!B195,Data!$C$5:$C$300,0))</f>
        <v>2613</v>
      </c>
      <c r="F195" s="1611">
        <f t="shared" si="19"/>
        <v>91785862</v>
      </c>
      <c r="G195" s="1465">
        <f t="shared" si="20"/>
        <v>2613</v>
      </c>
      <c r="H195" s="1614">
        <f t="shared" si="21"/>
        <v>20160000</v>
      </c>
      <c r="I195" s="1466">
        <f t="shared" si="22"/>
        <v>63840000</v>
      </c>
      <c r="J195" s="1465">
        <f t="shared" si="18"/>
        <v>25142.23993529295</v>
      </c>
      <c r="K195" s="1465">
        <f t="shared" si="18"/>
        <v>79978.94255373317</v>
      </c>
      <c r="L195" s="1467">
        <f t="shared" si="23"/>
        <v>105121</v>
      </c>
      <c r="N195" s="1616">
        <v>104845.51807197501</v>
      </c>
      <c r="O195" s="1468">
        <f t="shared" si="24"/>
        <v>-275.48192802499398</v>
      </c>
      <c r="P195" s="1469">
        <f t="shared" si="25"/>
        <v>-2.6275031407244267E-3</v>
      </c>
      <c r="R195" s="1605">
        <v>105121.1643</v>
      </c>
      <c r="S195" s="750">
        <f t="shared" si="26"/>
        <v>0.16430000000400469</v>
      </c>
    </row>
    <row r="196" spans="1:19" x14ac:dyDescent="0.2">
      <c r="A196" s="1461" t="s">
        <v>281</v>
      </c>
      <c r="B196" s="1462" t="s">
        <v>282</v>
      </c>
      <c r="C196" s="1463">
        <v>1.1039000000000001</v>
      </c>
      <c r="D196" s="1464">
        <f>INDEX(Data!$E$5:$E$300,MATCH('Cost of Collection'!B196,Data!$C$5:$C$300,0))</f>
        <v>140781863</v>
      </c>
      <c r="E196" s="1464">
        <f>INDEX(Data!$F$5:$F$300,MATCH('Cost of Collection'!B196,Data!$C$5:$C$300,0))</f>
        <v>3657</v>
      </c>
      <c r="F196" s="1611">
        <f t="shared" si="19"/>
        <v>155409098.56570002</v>
      </c>
      <c r="G196" s="1465">
        <f t="shared" si="20"/>
        <v>4036.9623000000006</v>
      </c>
      <c r="H196" s="1614">
        <f t="shared" si="21"/>
        <v>20160000</v>
      </c>
      <c r="I196" s="1466">
        <f t="shared" si="22"/>
        <v>63840000</v>
      </c>
      <c r="J196" s="1465">
        <f t="shared" ref="J196:K245" si="27">(F196*H196)/F$301</f>
        <v>42570.094774143116</v>
      </c>
      <c r="K196" s="1465">
        <f t="shared" si="27"/>
        <v>123563.71063271587</v>
      </c>
      <c r="L196" s="1467">
        <f t="shared" si="23"/>
        <v>166134</v>
      </c>
      <c r="N196" s="1616">
        <v>165404.419523691</v>
      </c>
      <c r="O196" s="1468">
        <f t="shared" si="24"/>
        <v>-729.58047630899819</v>
      </c>
      <c r="P196" s="1469">
        <f t="shared" si="25"/>
        <v>-4.4108886474130745E-3</v>
      </c>
      <c r="R196" s="1605">
        <v>166133.77729999999</v>
      </c>
      <c r="S196" s="750">
        <f t="shared" si="26"/>
        <v>-0.22270000001299195</v>
      </c>
    </row>
    <row r="197" spans="1:19" x14ac:dyDescent="0.2">
      <c r="A197" s="1461" t="s">
        <v>283</v>
      </c>
      <c r="B197" s="1462" t="s">
        <v>284</v>
      </c>
      <c r="C197" s="1463">
        <v>1</v>
      </c>
      <c r="D197" s="1464">
        <f>INDEX(Data!$E$5:$E$300,MATCH('Cost of Collection'!B197,Data!$C$5:$C$300,0))</f>
        <v>49683015</v>
      </c>
      <c r="E197" s="1464">
        <f>INDEX(Data!$F$5:$F$300,MATCH('Cost of Collection'!B197,Data!$C$5:$C$300,0))</f>
        <v>2726</v>
      </c>
      <c r="F197" s="1611">
        <f t="shared" ref="F197:F260" si="28">D197*C197</f>
        <v>49683015</v>
      </c>
      <c r="G197" s="1465">
        <f t="shared" ref="G197:G260" si="29">E197*C197</f>
        <v>2726</v>
      </c>
      <c r="H197" s="1614">
        <f t="shared" ref="H197:H260" si="30">20160000</f>
        <v>20160000</v>
      </c>
      <c r="I197" s="1466">
        <f t="shared" ref="I197:I260" si="31">63840000</f>
        <v>63840000</v>
      </c>
      <c r="J197" s="1465">
        <f t="shared" si="27"/>
        <v>13609.310373298653</v>
      </c>
      <c r="K197" s="1465">
        <f t="shared" si="27"/>
        <v>83437.656870063758</v>
      </c>
      <c r="L197" s="1467">
        <f t="shared" ref="L197:L260" si="32">ROUND(J197+K197,0)</f>
        <v>97047</v>
      </c>
      <c r="N197" s="1616">
        <v>97094.5285075133</v>
      </c>
      <c r="O197" s="1468">
        <f t="shared" ref="O197:O260" si="33">N197-L197</f>
        <v>47.528507513299701</v>
      </c>
      <c r="P197" s="1469">
        <f t="shared" ref="P197:P260" si="34">O197/N197</f>
        <v>4.8950757827328942E-4</v>
      </c>
      <c r="R197" s="1605">
        <v>97046.948269999993</v>
      </c>
      <c r="S197" s="750">
        <f t="shared" ref="S197:S260" si="35">R197-L197</f>
        <v>-5.1730000006500632E-2</v>
      </c>
    </row>
    <row r="198" spans="1:19" x14ac:dyDescent="0.2">
      <c r="A198" s="1461" t="s">
        <v>285</v>
      </c>
      <c r="B198" s="1462" t="s">
        <v>286</v>
      </c>
      <c r="C198" s="1463">
        <v>1.1113</v>
      </c>
      <c r="D198" s="1464">
        <f>INDEX(Data!$E$5:$E$300,MATCH('Cost of Collection'!B198,Data!$C$5:$C$300,0))</f>
        <v>227706441</v>
      </c>
      <c r="E198" s="1464">
        <f>INDEX(Data!$F$5:$F$300,MATCH('Cost of Collection'!B198,Data!$C$5:$C$300,0))</f>
        <v>5712</v>
      </c>
      <c r="F198" s="1611">
        <f t="shared" si="28"/>
        <v>253050167.88329998</v>
      </c>
      <c r="G198" s="1465">
        <f t="shared" si="29"/>
        <v>6347.7456000000002</v>
      </c>
      <c r="H198" s="1614">
        <f t="shared" si="30"/>
        <v>20160000</v>
      </c>
      <c r="I198" s="1466">
        <f t="shared" si="31"/>
        <v>63840000</v>
      </c>
      <c r="J198" s="1465">
        <f t="shared" si="27"/>
        <v>69316.209467947148</v>
      </c>
      <c r="K198" s="1465">
        <f t="shared" si="27"/>
        <v>194292.37684198716</v>
      </c>
      <c r="L198" s="1467">
        <f t="shared" si="32"/>
        <v>263609</v>
      </c>
      <c r="N198" s="1616">
        <v>262386.90231096401</v>
      </c>
      <c r="O198" s="1468">
        <f t="shared" si="33"/>
        <v>-1222.0976890359889</v>
      </c>
      <c r="P198" s="1469">
        <f t="shared" si="34"/>
        <v>-4.6576169704829152E-3</v>
      </c>
      <c r="R198" s="1605">
        <v>263608.54210000002</v>
      </c>
      <c r="S198" s="750">
        <f t="shared" si="35"/>
        <v>-0.45789999997941777</v>
      </c>
    </row>
    <row r="199" spans="1:19" x14ac:dyDescent="0.2">
      <c r="A199" s="1461" t="s">
        <v>287</v>
      </c>
      <c r="B199" s="1462" t="s">
        <v>288</v>
      </c>
      <c r="C199" s="1463">
        <v>1.0168999999999999</v>
      </c>
      <c r="D199" s="1464">
        <f>INDEX(Data!$E$5:$E$300,MATCH('Cost of Collection'!B199,Data!$C$5:$C$300,0))</f>
        <v>199752181</v>
      </c>
      <c r="E199" s="1464">
        <f>INDEX(Data!$F$5:$F$300,MATCH('Cost of Collection'!B199,Data!$C$5:$C$300,0))</f>
        <v>9079</v>
      </c>
      <c r="F199" s="1611">
        <f t="shared" si="28"/>
        <v>203127992.85889998</v>
      </c>
      <c r="G199" s="1465">
        <f t="shared" si="29"/>
        <v>9232.4350999999988</v>
      </c>
      <c r="H199" s="1614">
        <f t="shared" si="30"/>
        <v>20160000</v>
      </c>
      <c r="I199" s="1466">
        <f t="shared" si="31"/>
        <v>63840000</v>
      </c>
      <c r="J199" s="1465">
        <f t="shared" si="27"/>
        <v>55641.38771211775</v>
      </c>
      <c r="K199" s="1465">
        <f t="shared" si="27"/>
        <v>282587.2164156026</v>
      </c>
      <c r="L199" s="1467">
        <f t="shared" si="32"/>
        <v>338229</v>
      </c>
      <c r="N199" s="1616">
        <v>335383.22858083597</v>
      </c>
      <c r="O199" s="1468">
        <f t="shared" si="33"/>
        <v>-2845.7714191640262</v>
      </c>
      <c r="P199" s="1469">
        <f t="shared" si="34"/>
        <v>-8.4851333538824292E-3</v>
      </c>
      <c r="R199" s="1605">
        <v>338228.53989999997</v>
      </c>
      <c r="S199" s="750">
        <f t="shared" si="35"/>
        <v>-0.4601000000257045</v>
      </c>
    </row>
    <row r="200" spans="1:19" x14ac:dyDescent="0.2">
      <c r="A200" s="1461" t="s">
        <v>289</v>
      </c>
      <c r="B200" s="1462" t="s">
        <v>290</v>
      </c>
      <c r="C200" s="1463">
        <v>1.0129999999999999</v>
      </c>
      <c r="D200" s="1464">
        <f>INDEX(Data!$E$5:$E$300,MATCH('Cost of Collection'!B200,Data!$C$5:$C$300,0))</f>
        <v>57183184</v>
      </c>
      <c r="E200" s="1464">
        <f>INDEX(Data!$F$5:$F$300,MATCH('Cost of Collection'!B200,Data!$C$5:$C$300,0))</f>
        <v>2916</v>
      </c>
      <c r="F200" s="1611">
        <f t="shared" si="28"/>
        <v>57926565.391999997</v>
      </c>
      <c r="G200" s="1465">
        <f t="shared" si="29"/>
        <v>2953.9079999999999</v>
      </c>
      <c r="H200" s="1614">
        <f t="shared" si="30"/>
        <v>20160000</v>
      </c>
      <c r="I200" s="1466">
        <f t="shared" si="31"/>
        <v>63840000</v>
      </c>
      <c r="J200" s="1465">
        <f t="shared" si="27"/>
        <v>15867.406744113825</v>
      </c>
      <c r="K200" s="1465">
        <f t="shared" si="27"/>
        <v>90413.485740915741</v>
      </c>
      <c r="L200" s="1467">
        <f t="shared" si="32"/>
        <v>106281</v>
      </c>
      <c r="N200" s="1616">
        <v>103584.720514646</v>
      </c>
      <c r="O200" s="1468">
        <f t="shared" si="33"/>
        <v>-2696.2794853539963</v>
      </c>
      <c r="P200" s="1469">
        <f t="shared" si="34"/>
        <v>-2.6029702758842362E-2</v>
      </c>
      <c r="R200" s="1605">
        <v>106280.8719</v>
      </c>
      <c r="S200" s="750">
        <f t="shared" si="35"/>
        <v>-0.12810000000172295</v>
      </c>
    </row>
    <row r="201" spans="1:19" x14ac:dyDescent="0.2">
      <c r="A201" s="1461" t="s">
        <v>291</v>
      </c>
      <c r="B201" s="1462" t="s">
        <v>292</v>
      </c>
      <c r="C201" s="1463">
        <v>1</v>
      </c>
      <c r="D201" s="1464">
        <f>INDEX(Data!$E$5:$E$300,MATCH('Cost of Collection'!B201,Data!$C$5:$C$300,0))</f>
        <v>41474879</v>
      </c>
      <c r="E201" s="1464">
        <f>INDEX(Data!$F$5:$F$300,MATCH('Cost of Collection'!B201,Data!$C$5:$C$300,0))</f>
        <v>2815</v>
      </c>
      <c r="F201" s="1611">
        <f t="shared" si="28"/>
        <v>41474879</v>
      </c>
      <c r="G201" s="1465">
        <f t="shared" si="29"/>
        <v>2815</v>
      </c>
      <c r="H201" s="1614">
        <f t="shared" si="30"/>
        <v>20160000</v>
      </c>
      <c r="I201" s="1466">
        <f t="shared" si="31"/>
        <v>63840000</v>
      </c>
      <c r="J201" s="1465">
        <f t="shared" si="27"/>
        <v>11360.914811752195</v>
      </c>
      <c r="K201" s="1465">
        <f t="shared" si="27"/>
        <v>86161.776995315289</v>
      </c>
      <c r="L201" s="1467">
        <f t="shared" si="32"/>
        <v>97523</v>
      </c>
      <c r="N201" s="1616">
        <v>97153.916440028406</v>
      </c>
      <c r="O201" s="1468">
        <f t="shared" si="33"/>
        <v>-369.08355997159379</v>
      </c>
      <c r="P201" s="1469">
        <f t="shared" si="34"/>
        <v>-3.7989570929898983E-3</v>
      </c>
      <c r="R201" s="1605">
        <v>97522.672210000004</v>
      </c>
      <c r="S201" s="750">
        <f t="shared" si="35"/>
        <v>-0.32778999999572989</v>
      </c>
    </row>
    <row r="202" spans="1:19" x14ac:dyDescent="0.2">
      <c r="A202" s="1461" t="s">
        <v>293</v>
      </c>
      <c r="B202" s="1462" t="s">
        <v>294</v>
      </c>
      <c r="C202" s="1463">
        <v>1.0089999999999999</v>
      </c>
      <c r="D202" s="1464">
        <f>INDEX(Data!$E$5:$E$300,MATCH('Cost of Collection'!B202,Data!$C$5:$C$300,0))</f>
        <v>61041539</v>
      </c>
      <c r="E202" s="1464">
        <f>INDEX(Data!$F$5:$F$300,MATCH('Cost of Collection'!B202,Data!$C$5:$C$300,0))</f>
        <v>4611</v>
      </c>
      <c r="F202" s="1611">
        <f t="shared" si="28"/>
        <v>61590912.850999996</v>
      </c>
      <c r="G202" s="1465">
        <f t="shared" si="29"/>
        <v>4652.4989999999998</v>
      </c>
      <c r="H202" s="1614">
        <f t="shared" si="30"/>
        <v>20160000</v>
      </c>
      <c r="I202" s="1466">
        <f t="shared" si="31"/>
        <v>63840000</v>
      </c>
      <c r="J202" s="1465">
        <f t="shared" si="27"/>
        <v>16871.155044919225</v>
      </c>
      <c r="K202" s="1465">
        <f t="shared" si="27"/>
        <v>142404.11414171488</v>
      </c>
      <c r="L202" s="1467">
        <f t="shared" si="32"/>
        <v>159275</v>
      </c>
      <c r="N202" s="1616">
        <v>159828.28015865901</v>
      </c>
      <c r="O202" s="1468">
        <f t="shared" si="33"/>
        <v>553.2801586590067</v>
      </c>
      <c r="P202" s="1469">
        <f t="shared" si="34"/>
        <v>3.4617162751784244E-3</v>
      </c>
      <c r="R202" s="1605">
        <v>159275.23680000001</v>
      </c>
      <c r="S202" s="750">
        <f t="shared" si="35"/>
        <v>0.23680000001331791</v>
      </c>
    </row>
    <row r="203" spans="1:19" x14ac:dyDescent="0.2">
      <c r="A203" s="1461" t="s">
        <v>295</v>
      </c>
      <c r="B203" s="1462" t="s">
        <v>296</v>
      </c>
      <c r="C203" s="1463">
        <v>1</v>
      </c>
      <c r="D203" s="1464">
        <f>INDEX(Data!$E$5:$E$300,MATCH('Cost of Collection'!B203,Data!$C$5:$C$300,0))</f>
        <v>209510582</v>
      </c>
      <c r="E203" s="1464">
        <f>INDEX(Data!$F$5:$F$300,MATCH('Cost of Collection'!B203,Data!$C$5:$C$300,0))</f>
        <v>7822</v>
      </c>
      <c r="F203" s="1611">
        <f t="shared" si="28"/>
        <v>209510582</v>
      </c>
      <c r="G203" s="1465">
        <f t="shared" si="29"/>
        <v>7822</v>
      </c>
      <c r="H203" s="1614">
        <f t="shared" si="30"/>
        <v>20160000</v>
      </c>
      <c r="I203" s="1466">
        <f t="shared" si="31"/>
        <v>63840000</v>
      </c>
      <c r="J203" s="1465">
        <f t="shared" si="27"/>
        <v>57389.724374183774</v>
      </c>
      <c r="K203" s="1465">
        <f t="shared" si="27"/>
        <v>239416.49010918516</v>
      </c>
      <c r="L203" s="1467">
        <f t="shared" si="32"/>
        <v>296806</v>
      </c>
      <c r="N203" s="1616">
        <v>293772.194757958</v>
      </c>
      <c r="O203" s="1468">
        <f t="shared" si="33"/>
        <v>-3033.805242041999</v>
      </c>
      <c r="P203" s="1469">
        <f t="shared" si="34"/>
        <v>-1.0327067354150324E-2</v>
      </c>
      <c r="R203" s="1605">
        <v>296806.15999999997</v>
      </c>
      <c r="S203" s="750">
        <f t="shared" si="35"/>
        <v>0.15999999997438863</v>
      </c>
    </row>
    <row r="204" spans="1:19" x14ac:dyDescent="0.2">
      <c r="A204" s="1461" t="s">
        <v>297</v>
      </c>
      <c r="B204" s="1462" t="s">
        <v>298</v>
      </c>
      <c r="C204" s="1463">
        <v>1.0213000000000001</v>
      </c>
      <c r="D204" s="1464">
        <f>INDEX(Data!$E$5:$E$300,MATCH('Cost of Collection'!B204,Data!$C$5:$C$300,0))</f>
        <v>151051880</v>
      </c>
      <c r="E204" s="1464">
        <f>INDEX(Data!$F$5:$F$300,MATCH('Cost of Collection'!B204,Data!$C$5:$C$300,0))</f>
        <v>3044</v>
      </c>
      <c r="F204" s="1611">
        <f t="shared" si="28"/>
        <v>154269285.044</v>
      </c>
      <c r="G204" s="1465">
        <f t="shared" si="29"/>
        <v>3108.8372000000004</v>
      </c>
      <c r="H204" s="1614">
        <f t="shared" si="30"/>
        <v>20160000</v>
      </c>
      <c r="I204" s="1466">
        <f t="shared" si="31"/>
        <v>63840000</v>
      </c>
      <c r="J204" s="1465">
        <f t="shared" si="27"/>
        <v>42257.873867571761</v>
      </c>
      <c r="K204" s="1465">
        <f t="shared" si="27"/>
        <v>95155.572838771026</v>
      </c>
      <c r="L204" s="1467">
        <f t="shared" si="32"/>
        <v>137413</v>
      </c>
      <c r="N204" s="1616">
        <v>135636.25514494299</v>
      </c>
      <c r="O204" s="1468">
        <f t="shared" si="33"/>
        <v>-1776.7448550570116</v>
      </c>
      <c r="P204" s="1469">
        <f t="shared" si="34"/>
        <v>-1.3099335816654291E-2</v>
      </c>
      <c r="R204" s="1605">
        <v>137413.42509999999</v>
      </c>
      <c r="S204" s="750">
        <f t="shared" si="35"/>
        <v>0.42509999999310821</v>
      </c>
    </row>
    <row r="205" spans="1:19" x14ac:dyDescent="0.2">
      <c r="A205" s="1461" t="s">
        <v>299</v>
      </c>
      <c r="B205" s="1462" t="s">
        <v>300</v>
      </c>
      <c r="C205" s="1463">
        <v>1.1039000000000001</v>
      </c>
      <c r="D205" s="1464">
        <f>INDEX(Data!$E$5:$E$300,MATCH('Cost of Collection'!B205,Data!$C$5:$C$300,0))</f>
        <v>140966278</v>
      </c>
      <c r="E205" s="1464">
        <f>INDEX(Data!$F$5:$F$300,MATCH('Cost of Collection'!B205,Data!$C$5:$C$300,0))</f>
        <v>2730</v>
      </c>
      <c r="F205" s="1611">
        <f t="shared" si="28"/>
        <v>155612674.28420001</v>
      </c>
      <c r="G205" s="1465">
        <f t="shared" si="29"/>
        <v>3013.6470000000004</v>
      </c>
      <c r="H205" s="1614">
        <f t="shared" si="30"/>
        <v>20160000</v>
      </c>
      <c r="I205" s="1466">
        <f t="shared" si="31"/>
        <v>63840000</v>
      </c>
      <c r="J205" s="1465">
        <f t="shared" si="27"/>
        <v>42625.858804114599</v>
      </c>
      <c r="K205" s="1465">
        <f t="shared" si="27"/>
        <v>92241.982506785425</v>
      </c>
      <c r="L205" s="1467">
        <f t="shared" si="32"/>
        <v>134868</v>
      </c>
      <c r="N205" s="1616">
        <v>137110.827059595</v>
      </c>
      <c r="O205" s="1468">
        <f t="shared" si="33"/>
        <v>2242.8270595950016</v>
      </c>
      <c r="P205" s="1469">
        <f t="shared" si="34"/>
        <v>1.6357767710205414E-2</v>
      </c>
      <c r="R205" s="1605">
        <v>134867.82029999999</v>
      </c>
      <c r="S205" s="750">
        <f t="shared" si="35"/>
        <v>-0.17970000000786968</v>
      </c>
    </row>
    <row r="206" spans="1:19" x14ac:dyDescent="0.2">
      <c r="A206" s="1461" t="s">
        <v>301</v>
      </c>
      <c r="B206" s="1462" t="s">
        <v>302</v>
      </c>
      <c r="C206" s="1463">
        <v>1.0121</v>
      </c>
      <c r="D206" s="1464">
        <f>INDEX(Data!$E$5:$E$300,MATCH('Cost of Collection'!B206,Data!$C$5:$C$300,0))</f>
        <v>85943902</v>
      </c>
      <c r="E206" s="1464">
        <f>INDEX(Data!$F$5:$F$300,MATCH('Cost of Collection'!B206,Data!$C$5:$C$300,0))</f>
        <v>3144</v>
      </c>
      <c r="F206" s="1611">
        <f t="shared" si="28"/>
        <v>86983823.214200005</v>
      </c>
      <c r="G206" s="1465">
        <f t="shared" si="29"/>
        <v>3182.0423999999998</v>
      </c>
      <c r="H206" s="1614">
        <f t="shared" si="30"/>
        <v>20160000</v>
      </c>
      <c r="I206" s="1466">
        <f t="shared" si="31"/>
        <v>63840000</v>
      </c>
      <c r="J206" s="1465">
        <f t="shared" si="27"/>
        <v>23826.852045476469</v>
      </c>
      <c r="K206" s="1465">
        <f t="shared" si="27"/>
        <v>97396.244283636901</v>
      </c>
      <c r="L206" s="1467">
        <f t="shared" si="32"/>
        <v>121223</v>
      </c>
      <c r="N206" s="1616">
        <v>117637.297627557</v>
      </c>
      <c r="O206" s="1468">
        <f t="shared" si="33"/>
        <v>-3585.7023724430037</v>
      </c>
      <c r="P206" s="1469">
        <f t="shared" si="34"/>
        <v>-3.048099917932014E-2</v>
      </c>
      <c r="R206" s="1605">
        <v>121223.0742</v>
      </c>
      <c r="S206" s="750">
        <f t="shared" si="35"/>
        <v>7.4200000002747402E-2</v>
      </c>
    </row>
    <row r="207" spans="1:19" x14ac:dyDescent="0.2">
      <c r="A207" s="1461" t="s">
        <v>303</v>
      </c>
      <c r="B207" s="1462" t="s">
        <v>304</v>
      </c>
      <c r="C207" s="1463">
        <v>1.036</v>
      </c>
      <c r="D207" s="1464">
        <f>INDEX(Data!$E$5:$E$300,MATCH('Cost of Collection'!B207,Data!$C$5:$C$300,0))</f>
        <v>142123892</v>
      </c>
      <c r="E207" s="1464">
        <f>INDEX(Data!$F$5:$F$300,MATCH('Cost of Collection'!B207,Data!$C$5:$C$300,0))</f>
        <v>2662</v>
      </c>
      <c r="F207" s="1611">
        <f t="shared" si="28"/>
        <v>147240352.11200002</v>
      </c>
      <c r="G207" s="1465">
        <f t="shared" si="29"/>
        <v>2757.8319999999999</v>
      </c>
      <c r="H207" s="1614">
        <f t="shared" si="30"/>
        <v>20160000</v>
      </c>
      <c r="I207" s="1466">
        <f t="shared" si="31"/>
        <v>63840000</v>
      </c>
      <c r="J207" s="1465">
        <f t="shared" si="27"/>
        <v>40332.488907245024</v>
      </c>
      <c r="K207" s="1465">
        <f t="shared" si="27"/>
        <v>84411.973632164954</v>
      </c>
      <c r="L207" s="1467">
        <f t="shared" si="32"/>
        <v>124744</v>
      </c>
      <c r="N207" s="1616">
        <v>125262.977722864</v>
      </c>
      <c r="O207" s="1468">
        <f t="shared" si="33"/>
        <v>518.97772286400141</v>
      </c>
      <c r="P207" s="1469">
        <f t="shared" si="34"/>
        <v>4.1431054274648094E-3</v>
      </c>
      <c r="R207" s="1605">
        <v>124744.4433</v>
      </c>
      <c r="S207" s="750">
        <f t="shared" si="35"/>
        <v>0.44329999999899883</v>
      </c>
    </row>
    <row r="208" spans="1:19" x14ac:dyDescent="0.2">
      <c r="A208" s="1461" t="s">
        <v>614</v>
      </c>
      <c r="B208" s="1462" t="s">
        <v>306</v>
      </c>
      <c r="C208" s="1463">
        <v>1</v>
      </c>
      <c r="D208" s="1464">
        <f>INDEX(Data!$E$5:$E$300,MATCH('Cost of Collection'!B208,Data!$C$5:$C$300,0))</f>
        <v>36949297</v>
      </c>
      <c r="E208" s="1464">
        <f>INDEX(Data!$F$5:$F$300,MATCH('Cost of Collection'!B208,Data!$C$5:$C$300,0))</f>
        <v>1727</v>
      </c>
      <c r="F208" s="1611">
        <f t="shared" si="28"/>
        <v>36949297</v>
      </c>
      <c r="G208" s="1465">
        <f t="shared" si="29"/>
        <v>1727</v>
      </c>
      <c r="H208" s="1614">
        <f t="shared" si="30"/>
        <v>20160000</v>
      </c>
      <c r="I208" s="1466">
        <f t="shared" si="31"/>
        <v>63840000</v>
      </c>
      <c r="J208" s="1465">
        <f t="shared" si="27"/>
        <v>10121.254737623971</v>
      </c>
      <c r="K208" s="1465">
        <f t="shared" si="27"/>
        <v>52860.173666397692</v>
      </c>
      <c r="L208" s="1467">
        <f t="shared" si="32"/>
        <v>62981</v>
      </c>
      <c r="N208" s="1616">
        <v>63195.874499240497</v>
      </c>
      <c r="O208" s="1468">
        <f t="shared" si="33"/>
        <v>214.87449924049724</v>
      </c>
      <c r="P208" s="1469">
        <f t="shared" si="34"/>
        <v>3.4001349129693529E-3</v>
      </c>
      <c r="R208" s="1605">
        <v>62981.416380000002</v>
      </c>
      <c r="S208" s="750">
        <f t="shared" si="35"/>
        <v>0.41638000000239117</v>
      </c>
    </row>
    <row r="209" spans="1:19" x14ac:dyDescent="0.2">
      <c r="A209" s="1461" t="s">
        <v>307</v>
      </c>
      <c r="B209" s="1462" t="s">
        <v>308</v>
      </c>
      <c r="C209" s="1463">
        <v>1.0168999999999999</v>
      </c>
      <c r="D209" s="1464">
        <f>INDEX(Data!$E$5:$E$300,MATCH('Cost of Collection'!B209,Data!$C$5:$C$300,0))</f>
        <v>288886824</v>
      </c>
      <c r="E209" s="1464">
        <f>INDEX(Data!$F$5:$F$300,MATCH('Cost of Collection'!B209,Data!$C$5:$C$300,0))</f>
        <v>11895</v>
      </c>
      <c r="F209" s="1611">
        <f t="shared" si="28"/>
        <v>293769011.32559997</v>
      </c>
      <c r="G209" s="1465">
        <f t="shared" si="29"/>
        <v>12096.0255</v>
      </c>
      <c r="H209" s="1614">
        <f t="shared" si="30"/>
        <v>20160000</v>
      </c>
      <c r="I209" s="1466">
        <f t="shared" si="31"/>
        <v>63840000</v>
      </c>
      <c r="J209" s="1465">
        <f t="shared" si="27"/>
        <v>80470.028905998901</v>
      </c>
      <c r="K209" s="1465">
        <f t="shared" si="27"/>
        <v>370236.25281017664</v>
      </c>
      <c r="L209" s="1467">
        <f t="shared" si="32"/>
        <v>450706</v>
      </c>
      <c r="N209" s="1616">
        <v>449390.95756739198</v>
      </c>
      <c r="O209" s="1468">
        <f t="shared" si="33"/>
        <v>-1315.0424326080247</v>
      </c>
      <c r="P209" s="1469">
        <f t="shared" si="34"/>
        <v>-2.926277021074277E-3</v>
      </c>
      <c r="R209" s="1605">
        <v>450706.19750000001</v>
      </c>
      <c r="S209" s="750">
        <f t="shared" si="35"/>
        <v>0.19750000000931323</v>
      </c>
    </row>
    <row r="210" spans="1:19" x14ac:dyDescent="0.2">
      <c r="A210" s="1461" t="s">
        <v>309</v>
      </c>
      <c r="B210" s="1462" t="s">
        <v>310</v>
      </c>
      <c r="C210" s="1463">
        <v>1.0134000000000001</v>
      </c>
      <c r="D210" s="1464">
        <f>INDEX(Data!$E$5:$E$300,MATCH('Cost of Collection'!B210,Data!$C$5:$C$300,0))</f>
        <v>297466909</v>
      </c>
      <c r="E210" s="1464">
        <f>INDEX(Data!$F$5:$F$300,MATCH('Cost of Collection'!B210,Data!$C$5:$C$300,0))</f>
        <v>10973</v>
      </c>
      <c r="F210" s="1611">
        <f t="shared" si="28"/>
        <v>301452965.58060002</v>
      </c>
      <c r="G210" s="1465">
        <f t="shared" si="29"/>
        <v>11120.038200000001</v>
      </c>
      <c r="H210" s="1614">
        <f t="shared" si="30"/>
        <v>20160000</v>
      </c>
      <c r="I210" s="1466">
        <f t="shared" si="31"/>
        <v>63840000</v>
      </c>
      <c r="J210" s="1465">
        <f t="shared" si="27"/>
        <v>82574.839138439987</v>
      </c>
      <c r="K210" s="1465">
        <f t="shared" si="27"/>
        <v>340363.14442905411</v>
      </c>
      <c r="L210" s="1467">
        <f t="shared" si="32"/>
        <v>422938</v>
      </c>
      <c r="N210" s="1616">
        <v>419990.61180734698</v>
      </c>
      <c r="O210" s="1468">
        <f t="shared" si="33"/>
        <v>-2947.3881926530157</v>
      </c>
      <c r="P210" s="1469">
        <f t="shared" si="34"/>
        <v>-7.017747801479444E-3</v>
      </c>
      <c r="R210" s="1605">
        <v>422937.90620000003</v>
      </c>
      <c r="S210" s="750">
        <f t="shared" si="35"/>
        <v>-9.3799999973271042E-2</v>
      </c>
    </row>
    <row r="211" spans="1:19" x14ac:dyDescent="0.2">
      <c r="A211" s="1461" t="s">
        <v>311</v>
      </c>
      <c r="B211" s="1462" t="s">
        <v>312</v>
      </c>
      <c r="C211" s="1463">
        <v>1.0075000000000001</v>
      </c>
      <c r="D211" s="1464">
        <f>INDEX(Data!$E$5:$E$300,MATCH('Cost of Collection'!B211,Data!$C$5:$C$300,0))</f>
        <v>188347203</v>
      </c>
      <c r="E211" s="1464">
        <f>INDEX(Data!$F$5:$F$300,MATCH('Cost of Collection'!B211,Data!$C$5:$C$300,0))</f>
        <v>7988</v>
      </c>
      <c r="F211" s="1611">
        <f t="shared" si="28"/>
        <v>189759807.02250001</v>
      </c>
      <c r="G211" s="1465">
        <f t="shared" si="29"/>
        <v>8047.9100000000008</v>
      </c>
      <c r="H211" s="1614">
        <f t="shared" si="30"/>
        <v>20160000</v>
      </c>
      <c r="I211" s="1466">
        <f t="shared" si="31"/>
        <v>63840000</v>
      </c>
      <c r="J211" s="1465">
        <f t="shared" si="27"/>
        <v>51979.536872841949</v>
      </c>
      <c r="K211" s="1465">
        <f t="shared" si="27"/>
        <v>246331.16401362984</v>
      </c>
      <c r="L211" s="1467">
        <f t="shared" si="32"/>
        <v>298311</v>
      </c>
      <c r="N211" s="1616">
        <v>295618.33594287798</v>
      </c>
      <c r="O211" s="1468">
        <f t="shared" si="33"/>
        <v>-2692.6640571220196</v>
      </c>
      <c r="P211" s="1469">
        <f t="shared" si="34"/>
        <v>-9.1085826883293194E-3</v>
      </c>
      <c r="R211" s="1605">
        <v>298310.64490000001</v>
      </c>
      <c r="S211" s="750">
        <f t="shared" si="35"/>
        <v>-0.35509999998612329</v>
      </c>
    </row>
    <row r="212" spans="1:19" x14ac:dyDescent="0.2">
      <c r="A212" s="1461" t="s">
        <v>313</v>
      </c>
      <c r="B212" s="1462" t="s">
        <v>314</v>
      </c>
      <c r="C212" s="1463">
        <v>1.0618000000000001</v>
      </c>
      <c r="D212" s="1464">
        <f>INDEX(Data!$E$5:$E$300,MATCH('Cost of Collection'!B212,Data!$C$5:$C$300,0))</f>
        <v>109749879</v>
      </c>
      <c r="E212" s="1464">
        <f>INDEX(Data!$F$5:$F$300,MATCH('Cost of Collection'!B212,Data!$C$5:$C$300,0))</f>
        <v>4291</v>
      </c>
      <c r="F212" s="1611">
        <f t="shared" si="28"/>
        <v>116532421.5222</v>
      </c>
      <c r="G212" s="1465">
        <f t="shared" si="29"/>
        <v>4556.1838000000007</v>
      </c>
      <c r="H212" s="1614">
        <f t="shared" si="30"/>
        <v>20160000</v>
      </c>
      <c r="I212" s="1466">
        <f t="shared" si="31"/>
        <v>63840000</v>
      </c>
      <c r="J212" s="1465">
        <f t="shared" si="27"/>
        <v>31920.886706406356</v>
      </c>
      <c r="K212" s="1465">
        <f t="shared" si="27"/>
        <v>139456.08970702247</v>
      </c>
      <c r="L212" s="1467">
        <f t="shared" si="32"/>
        <v>171377</v>
      </c>
      <c r="N212" s="1616">
        <v>168729.55602926601</v>
      </c>
      <c r="O212" s="1468">
        <f t="shared" si="33"/>
        <v>-2647.4439707339916</v>
      </c>
      <c r="P212" s="1469">
        <f t="shared" si="34"/>
        <v>-1.5690457754033292E-2</v>
      </c>
      <c r="R212" s="1605">
        <v>171376.94469999999</v>
      </c>
      <c r="S212" s="750">
        <f t="shared" si="35"/>
        <v>-5.5300000007264316E-2</v>
      </c>
    </row>
    <row r="213" spans="1:19" x14ac:dyDescent="0.2">
      <c r="A213" s="1461" t="s">
        <v>315</v>
      </c>
      <c r="B213" s="1462" t="s">
        <v>316</v>
      </c>
      <c r="C213" s="1463">
        <v>1</v>
      </c>
      <c r="D213" s="1464">
        <f>INDEX(Data!$E$5:$E$300,MATCH('Cost of Collection'!B213,Data!$C$5:$C$300,0))</f>
        <v>537106007</v>
      </c>
      <c r="E213" s="1464">
        <f>INDEX(Data!$F$5:$F$300,MATCH('Cost of Collection'!B213,Data!$C$5:$C$300,0))</f>
        <v>19015</v>
      </c>
      <c r="F213" s="1611">
        <f t="shared" si="28"/>
        <v>537106007</v>
      </c>
      <c r="G213" s="1465">
        <f t="shared" si="29"/>
        <v>19015</v>
      </c>
      <c r="H213" s="1614">
        <f t="shared" si="30"/>
        <v>20160000</v>
      </c>
      <c r="I213" s="1466">
        <f t="shared" si="31"/>
        <v>63840000</v>
      </c>
      <c r="J213" s="1465">
        <f t="shared" si="27"/>
        <v>147125.57908625551</v>
      </c>
      <c r="K213" s="1465">
        <f t="shared" si="27"/>
        <v>582012.855973684</v>
      </c>
      <c r="L213" s="1467">
        <f t="shared" si="32"/>
        <v>729138</v>
      </c>
      <c r="N213" s="1616">
        <v>726727.07146736095</v>
      </c>
      <c r="O213" s="1468">
        <f t="shared" si="33"/>
        <v>-2410.9285326390527</v>
      </c>
      <c r="P213" s="1469">
        <f t="shared" si="34"/>
        <v>-3.3175157872831953E-3</v>
      </c>
      <c r="R213" s="1605">
        <v>729138.3027</v>
      </c>
      <c r="S213" s="750">
        <f t="shared" si="35"/>
        <v>0.30270000000018626</v>
      </c>
    </row>
    <row r="214" spans="1:19" x14ac:dyDescent="0.2">
      <c r="A214" s="1461" t="s">
        <v>319</v>
      </c>
      <c r="B214" s="1462" t="s">
        <v>320</v>
      </c>
      <c r="C214" s="1463">
        <v>1</v>
      </c>
      <c r="D214" s="1464">
        <f>INDEX(Data!$E$5:$E$300,MATCH('Cost of Collection'!B214,Data!$C$5:$C$300,0))</f>
        <v>251070405</v>
      </c>
      <c r="E214" s="1464">
        <f>INDEX(Data!$F$5:$F$300,MATCH('Cost of Collection'!B214,Data!$C$5:$C$300,0))</f>
        <v>12819</v>
      </c>
      <c r="F214" s="1611">
        <f t="shared" si="28"/>
        <v>251070405</v>
      </c>
      <c r="G214" s="1465">
        <f t="shared" si="29"/>
        <v>12819</v>
      </c>
      <c r="H214" s="1614">
        <f t="shared" si="30"/>
        <v>20160000</v>
      </c>
      <c r="I214" s="1466">
        <f t="shared" si="31"/>
        <v>63840000</v>
      </c>
      <c r="J214" s="1465">
        <f t="shared" si="27"/>
        <v>68773.907283903638</v>
      </c>
      <c r="K214" s="1465">
        <f t="shared" si="27"/>
        <v>392365.12231010542</v>
      </c>
      <c r="L214" s="1467">
        <f t="shared" si="32"/>
        <v>461139</v>
      </c>
      <c r="N214" s="1616">
        <v>459851.791182913</v>
      </c>
      <c r="O214" s="1468">
        <f t="shared" si="33"/>
        <v>-1287.2088170869974</v>
      </c>
      <c r="P214" s="1469">
        <f t="shared" si="34"/>
        <v>-2.7991819141898063E-3</v>
      </c>
      <c r="R214" s="1605">
        <v>461138.94040000002</v>
      </c>
      <c r="S214" s="750">
        <f t="shared" si="35"/>
        <v>-5.9599999978672713E-2</v>
      </c>
    </row>
    <row r="215" spans="1:19" x14ac:dyDescent="0.2">
      <c r="A215" s="1461" t="s">
        <v>523</v>
      </c>
      <c r="B215" s="1462" t="s">
        <v>322</v>
      </c>
      <c r="C215" s="1463">
        <v>1.1039000000000001</v>
      </c>
      <c r="D215" s="1464">
        <f>INDEX(Data!$E$5:$E$300,MATCH('Cost of Collection'!B215,Data!$C$5:$C$300,0))</f>
        <v>261241217</v>
      </c>
      <c r="E215" s="1464">
        <f>INDEX(Data!$F$5:$F$300,MATCH('Cost of Collection'!B215,Data!$C$5:$C$300,0))</f>
        <v>3445</v>
      </c>
      <c r="F215" s="1611">
        <f t="shared" si="28"/>
        <v>288384179.44630003</v>
      </c>
      <c r="G215" s="1465">
        <f t="shared" si="29"/>
        <v>3802.9355000000005</v>
      </c>
      <c r="H215" s="1614">
        <f t="shared" si="30"/>
        <v>20160000</v>
      </c>
      <c r="I215" s="1466">
        <f t="shared" si="31"/>
        <v>63840000</v>
      </c>
      <c r="J215" s="1465">
        <f t="shared" si="27"/>
        <v>78995.000702629492</v>
      </c>
      <c r="K215" s="1465">
        <f t="shared" si="27"/>
        <v>116400.59697284827</v>
      </c>
      <c r="L215" s="1467">
        <f t="shared" si="32"/>
        <v>195396</v>
      </c>
      <c r="N215" s="1616">
        <v>204166.427871055</v>
      </c>
      <c r="O215" s="1468">
        <f t="shared" si="33"/>
        <v>8770.4278710549988</v>
      </c>
      <c r="P215" s="1469">
        <f t="shared" si="34"/>
        <v>4.2957247979056187E-2</v>
      </c>
      <c r="R215" s="1605">
        <v>195395.57120000001</v>
      </c>
      <c r="S215" s="750">
        <f t="shared" si="35"/>
        <v>-0.4287999999942258</v>
      </c>
    </row>
    <row r="216" spans="1:19" x14ac:dyDescent="0.2">
      <c r="A216" s="1461" t="s">
        <v>323</v>
      </c>
      <c r="B216" s="1462" t="s">
        <v>324</v>
      </c>
      <c r="C216" s="1463">
        <v>1.0134000000000001</v>
      </c>
      <c r="D216" s="1464">
        <f>INDEX(Data!$E$5:$E$300,MATCH('Cost of Collection'!B216,Data!$C$5:$C$300,0))</f>
        <v>278405821</v>
      </c>
      <c r="E216" s="1464">
        <f>INDEX(Data!$F$5:$F$300,MATCH('Cost of Collection'!B216,Data!$C$5:$C$300,0))</f>
        <v>5360</v>
      </c>
      <c r="F216" s="1611">
        <f t="shared" si="28"/>
        <v>282136459.00139999</v>
      </c>
      <c r="G216" s="1465">
        <f t="shared" si="29"/>
        <v>5431.8240000000005</v>
      </c>
      <c r="H216" s="1614">
        <f t="shared" si="30"/>
        <v>20160000</v>
      </c>
      <c r="I216" s="1466">
        <f t="shared" si="31"/>
        <v>63840000</v>
      </c>
      <c r="J216" s="1465">
        <f t="shared" si="27"/>
        <v>77283.607650894439</v>
      </c>
      <c r="K216" s="1465">
        <f t="shared" si="27"/>
        <v>166257.76489016041</v>
      </c>
      <c r="L216" s="1467">
        <f t="shared" si="32"/>
        <v>243541</v>
      </c>
      <c r="N216" s="1616">
        <v>243290.85841925701</v>
      </c>
      <c r="O216" s="1468">
        <f t="shared" si="33"/>
        <v>-250.14158074298757</v>
      </c>
      <c r="P216" s="1469">
        <f t="shared" si="34"/>
        <v>-1.0281585685884048E-3</v>
      </c>
      <c r="R216" s="1605">
        <v>243541.33470000001</v>
      </c>
      <c r="S216" s="750">
        <f t="shared" si="35"/>
        <v>0.33470000000670552</v>
      </c>
    </row>
    <row r="217" spans="1:19" x14ac:dyDescent="0.2">
      <c r="A217" s="1472" t="s">
        <v>641</v>
      </c>
      <c r="B217" s="1473" t="s">
        <v>2335</v>
      </c>
      <c r="C217" s="1474">
        <v>1</v>
      </c>
      <c r="D217" s="1464">
        <f>INDEX(Data!$E$5:$E$300,MATCH('Cost of Collection'!B217,Data!$C$5:$C$300,0))</f>
        <v>502219293</v>
      </c>
      <c r="E217" s="1464">
        <f>INDEX(Data!$F$5:$F$300,MATCH('Cost of Collection'!B217,Data!$C$5:$C$300,0))</f>
        <v>22742</v>
      </c>
      <c r="F217" s="1611">
        <f t="shared" si="28"/>
        <v>502219293</v>
      </c>
      <c r="G217" s="1465">
        <f t="shared" si="29"/>
        <v>22742</v>
      </c>
      <c r="H217" s="1614">
        <f t="shared" si="30"/>
        <v>20160000</v>
      </c>
      <c r="I217" s="1466">
        <f t="shared" si="31"/>
        <v>63840000</v>
      </c>
      <c r="J217" s="1465">
        <f t="shared" si="27"/>
        <v>137569.3128505912</v>
      </c>
      <c r="K217" s="1465">
        <f t="shared" si="27"/>
        <v>696089.21223000367</v>
      </c>
      <c r="L217" s="1467">
        <f t="shared" si="32"/>
        <v>833659</v>
      </c>
      <c r="N217" s="1616">
        <v>835383.29013857397</v>
      </c>
      <c r="O217" s="1468">
        <f t="shared" si="33"/>
        <v>1724.2901385739679</v>
      </c>
      <c r="P217" s="1469">
        <f t="shared" si="34"/>
        <v>2.064070659454945E-3</v>
      </c>
      <c r="R217" s="1605">
        <v>833658.36679999996</v>
      </c>
      <c r="S217" s="750">
        <f t="shared" si="35"/>
        <v>-0.63320000004023314</v>
      </c>
    </row>
    <row r="218" spans="1:19" x14ac:dyDescent="0.2">
      <c r="A218" s="1461" t="s">
        <v>325</v>
      </c>
      <c r="B218" s="1462" t="s">
        <v>326</v>
      </c>
      <c r="C218" s="1463">
        <v>1.0339</v>
      </c>
      <c r="D218" s="1464">
        <f>INDEX(Data!$E$5:$E$300,MATCH('Cost of Collection'!B218,Data!$C$5:$C$300,0))</f>
        <v>285248118</v>
      </c>
      <c r="E218" s="1464">
        <f>INDEX(Data!$F$5:$F$300,MATCH('Cost of Collection'!B218,Data!$C$5:$C$300,0))</f>
        <v>5570</v>
      </c>
      <c r="F218" s="1611">
        <f t="shared" si="28"/>
        <v>294918029.20020002</v>
      </c>
      <c r="G218" s="1465">
        <f t="shared" si="29"/>
        <v>5758.8230000000003</v>
      </c>
      <c r="H218" s="1614">
        <f t="shared" si="30"/>
        <v>20160000</v>
      </c>
      <c r="I218" s="1466">
        <f t="shared" si="31"/>
        <v>63840000</v>
      </c>
      <c r="J218" s="1465">
        <f t="shared" si="27"/>
        <v>80784.771094650292</v>
      </c>
      <c r="K218" s="1465">
        <f t="shared" si="27"/>
        <v>176266.58013552136</v>
      </c>
      <c r="L218" s="1467">
        <f t="shared" si="32"/>
        <v>257051</v>
      </c>
      <c r="N218" s="1616">
        <v>254611.21260448199</v>
      </c>
      <c r="O218" s="1468">
        <f t="shared" si="33"/>
        <v>-2439.7873955180112</v>
      </c>
      <c r="P218" s="1469">
        <f t="shared" si="34"/>
        <v>-9.5824035813694679E-3</v>
      </c>
      <c r="R218" s="1605">
        <v>257051.31109999999</v>
      </c>
      <c r="S218" s="750">
        <f t="shared" si="35"/>
        <v>0.31109999999171123</v>
      </c>
    </row>
    <row r="219" spans="1:19" x14ac:dyDescent="0.2">
      <c r="A219" s="1461" t="s">
        <v>327</v>
      </c>
      <c r="B219" s="1462" t="s">
        <v>328</v>
      </c>
      <c r="C219" s="1463">
        <v>1</v>
      </c>
      <c r="D219" s="1464">
        <f>INDEX(Data!$E$5:$E$300,MATCH('Cost of Collection'!B219,Data!$C$5:$C$300,0))</f>
        <v>77910601</v>
      </c>
      <c r="E219" s="1464">
        <f>INDEX(Data!$F$5:$F$300,MATCH('Cost of Collection'!B219,Data!$C$5:$C$300,0))</f>
        <v>2482</v>
      </c>
      <c r="F219" s="1611">
        <f t="shared" si="28"/>
        <v>77910601</v>
      </c>
      <c r="G219" s="1465">
        <f t="shared" si="29"/>
        <v>2482</v>
      </c>
      <c r="H219" s="1614">
        <f t="shared" si="30"/>
        <v>20160000</v>
      </c>
      <c r="I219" s="1466">
        <f t="shared" si="31"/>
        <v>63840000</v>
      </c>
      <c r="J219" s="1465">
        <f t="shared" si="27"/>
        <v>21341.489649515683</v>
      </c>
      <c r="K219" s="1465">
        <f t="shared" si="27"/>
        <v>75969.282594093267</v>
      </c>
      <c r="L219" s="1467">
        <f t="shared" si="32"/>
        <v>97311</v>
      </c>
      <c r="N219" s="1616">
        <v>96686.263475460699</v>
      </c>
      <c r="O219" s="1468">
        <f t="shared" si="33"/>
        <v>-624.73652453930117</v>
      </c>
      <c r="P219" s="1469">
        <f t="shared" si="34"/>
        <v>-6.4614817253524481E-3</v>
      </c>
      <c r="R219" s="1605">
        <v>97310.754960000006</v>
      </c>
      <c r="S219" s="750">
        <f t="shared" si="35"/>
        <v>-0.2450399999943329</v>
      </c>
    </row>
    <row r="220" spans="1:19" x14ac:dyDescent="0.2">
      <c r="A220" s="1461" t="s">
        <v>513</v>
      </c>
      <c r="B220" s="1462" t="s">
        <v>330</v>
      </c>
      <c r="C220" s="1463">
        <v>1.0378000000000001</v>
      </c>
      <c r="D220" s="1464">
        <f>INDEX(Data!$E$5:$E$300,MATCH('Cost of Collection'!B220,Data!$C$5:$C$300,0))</f>
        <v>382541587</v>
      </c>
      <c r="E220" s="1464">
        <f>INDEX(Data!$F$5:$F$300,MATCH('Cost of Collection'!B220,Data!$C$5:$C$300,0))</f>
        <v>7748</v>
      </c>
      <c r="F220" s="1611">
        <f t="shared" si="28"/>
        <v>397001658.98860002</v>
      </c>
      <c r="G220" s="1465">
        <f t="shared" si="29"/>
        <v>8040.8744000000006</v>
      </c>
      <c r="H220" s="1614">
        <f t="shared" si="30"/>
        <v>20160000</v>
      </c>
      <c r="I220" s="1466">
        <f t="shared" si="31"/>
        <v>63840000</v>
      </c>
      <c r="J220" s="1465">
        <f t="shared" si="27"/>
        <v>108747.80437319128</v>
      </c>
      <c r="K220" s="1465">
        <f t="shared" si="27"/>
        <v>246115.817726515</v>
      </c>
      <c r="L220" s="1467">
        <f t="shared" si="32"/>
        <v>354864</v>
      </c>
      <c r="N220" s="1616">
        <v>354119.29753322498</v>
      </c>
      <c r="O220" s="1468">
        <f t="shared" si="33"/>
        <v>-744.70246677502291</v>
      </c>
      <c r="P220" s="1469">
        <f t="shared" si="34"/>
        <v>-2.102970586360524E-3</v>
      </c>
      <c r="R220" s="1605">
        <v>354863.5661</v>
      </c>
      <c r="S220" s="750">
        <f t="shared" si="35"/>
        <v>-0.43390000000363216</v>
      </c>
    </row>
    <row r="221" spans="1:19" x14ac:dyDescent="0.2">
      <c r="A221" s="1461" t="s">
        <v>331</v>
      </c>
      <c r="B221" s="1462" t="s">
        <v>332</v>
      </c>
      <c r="C221" s="1463">
        <v>1</v>
      </c>
      <c r="D221" s="1464">
        <f>INDEX(Data!$E$5:$E$300,MATCH('Cost of Collection'!B221,Data!$C$5:$C$300,0))</f>
        <v>94991237</v>
      </c>
      <c r="E221" s="1464">
        <f>INDEX(Data!$F$5:$F$300,MATCH('Cost of Collection'!B221,Data!$C$5:$C$300,0))</f>
        <v>6244</v>
      </c>
      <c r="F221" s="1611">
        <f t="shared" si="28"/>
        <v>94991237</v>
      </c>
      <c r="G221" s="1465">
        <f t="shared" si="29"/>
        <v>6244</v>
      </c>
      <c r="H221" s="1614">
        <f t="shared" si="30"/>
        <v>20160000</v>
      </c>
      <c r="I221" s="1466">
        <f t="shared" si="31"/>
        <v>63840000</v>
      </c>
      <c r="J221" s="1465">
        <f t="shared" si="27"/>
        <v>26020.265216927168</v>
      </c>
      <c r="K221" s="1465">
        <f t="shared" si="27"/>
        <v>191116.92204573666</v>
      </c>
      <c r="L221" s="1467">
        <f t="shared" si="32"/>
        <v>217137</v>
      </c>
      <c r="N221" s="1616">
        <v>222213.28666057499</v>
      </c>
      <c r="O221" s="1468">
        <f t="shared" si="33"/>
        <v>5076.2866605749878</v>
      </c>
      <c r="P221" s="1469">
        <f t="shared" si="34"/>
        <v>2.2844208538839009E-2</v>
      </c>
      <c r="R221" s="1605">
        <v>217137.14379999999</v>
      </c>
      <c r="S221" s="750">
        <f t="shared" si="35"/>
        <v>0.14379999999073334</v>
      </c>
    </row>
    <row r="222" spans="1:19" x14ac:dyDescent="0.2">
      <c r="A222" s="1461" t="s">
        <v>333</v>
      </c>
      <c r="B222" s="1462" t="s">
        <v>334</v>
      </c>
      <c r="C222" s="1463">
        <v>1</v>
      </c>
      <c r="D222" s="1464">
        <f>INDEX(Data!$E$5:$E$300,MATCH('Cost of Collection'!B222,Data!$C$5:$C$300,0))</f>
        <v>65995181</v>
      </c>
      <c r="E222" s="1464">
        <f>INDEX(Data!$F$5:$F$300,MATCH('Cost of Collection'!B222,Data!$C$5:$C$300,0))</f>
        <v>2953</v>
      </c>
      <c r="F222" s="1611">
        <f t="shared" si="28"/>
        <v>65995181</v>
      </c>
      <c r="G222" s="1465">
        <f t="shared" si="29"/>
        <v>2953</v>
      </c>
      <c r="H222" s="1614">
        <f t="shared" si="30"/>
        <v>20160000</v>
      </c>
      <c r="I222" s="1466">
        <f t="shared" si="31"/>
        <v>63840000</v>
      </c>
      <c r="J222" s="1465">
        <f t="shared" si="27"/>
        <v>18077.584489810495</v>
      </c>
      <c r="K222" s="1465">
        <f t="shared" si="27"/>
        <v>90385.693594019918</v>
      </c>
      <c r="L222" s="1467">
        <f t="shared" si="32"/>
        <v>108463</v>
      </c>
      <c r="N222" s="1616">
        <v>107699.87007458801</v>
      </c>
      <c r="O222" s="1468">
        <f t="shared" si="33"/>
        <v>-763.12992541199492</v>
      </c>
      <c r="P222" s="1469">
        <f t="shared" si="34"/>
        <v>-7.08570887674689E-3</v>
      </c>
      <c r="R222" s="1605">
        <v>108463.25750000001</v>
      </c>
      <c r="S222" s="750">
        <f t="shared" si="35"/>
        <v>0.25750000000698492</v>
      </c>
    </row>
    <row r="223" spans="1:19" x14ac:dyDescent="0.2">
      <c r="A223" s="1461" t="s">
        <v>335</v>
      </c>
      <c r="B223" s="1462" t="s">
        <v>336</v>
      </c>
      <c r="C223" s="1463">
        <v>1</v>
      </c>
      <c r="D223" s="1464">
        <f>INDEX(Data!$E$5:$E$300,MATCH('Cost of Collection'!B223,Data!$C$5:$C$300,0))</f>
        <v>114219280</v>
      </c>
      <c r="E223" s="1464">
        <f>INDEX(Data!$F$5:$F$300,MATCH('Cost of Collection'!B223,Data!$C$5:$C$300,0))</f>
        <v>4729</v>
      </c>
      <c r="F223" s="1611">
        <f t="shared" si="28"/>
        <v>114219280</v>
      </c>
      <c r="G223" s="1465">
        <f t="shared" si="29"/>
        <v>4729</v>
      </c>
      <c r="H223" s="1614">
        <f t="shared" si="30"/>
        <v>20160000</v>
      </c>
      <c r="I223" s="1466">
        <f t="shared" si="31"/>
        <v>63840000</v>
      </c>
      <c r="J223" s="1465">
        <f t="shared" si="27"/>
        <v>31287.264513530496</v>
      </c>
      <c r="K223" s="1465">
        <f t="shared" si="27"/>
        <v>144745.66373387069</v>
      </c>
      <c r="L223" s="1467">
        <f t="shared" si="32"/>
        <v>176033</v>
      </c>
      <c r="N223" s="1616">
        <v>174979.22547998399</v>
      </c>
      <c r="O223" s="1468">
        <f t="shared" si="33"/>
        <v>-1053.7745200160134</v>
      </c>
      <c r="P223" s="1469">
        <f t="shared" si="34"/>
        <v>-6.0222836003840669E-3</v>
      </c>
      <c r="R223" s="1605">
        <v>176032.8953</v>
      </c>
      <c r="S223" s="750">
        <f t="shared" si="35"/>
        <v>-0.10469999999622814</v>
      </c>
    </row>
    <row r="224" spans="1:19" x14ac:dyDescent="0.2">
      <c r="A224" s="1461" t="s">
        <v>337</v>
      </c>
      <c r="B224" s="1462" t="s">
        <v>338</v>
      </c>
      <c r="C224" s="1463">
        <v>1</v>
      </c>
      <c r="D224" s="1464">
        <f>INDEX(Data!$E$5:$E$300,MATCH('Cost of Collection'!B224,Data!$C$5:$C$300,0))</f>
        <v>100022678</v>
      </c>
      <c r="E224" s="1464">
        <f>INDEX(Data!$F$5:$F$300,MATCH('Cost of Collection'!B224,Data!$C$5:$C$300,0))</f>
        <v>4986</v>
      </c>
      <c r="F224" s="1611">
        <f t="shared" si="28"/>
        <v>100022678</v>
      </c>
      <c r="G224" s="1465">
        <f t="shared" si="29"/>
        <v>4986</v>
      </c>
      <c r="H224" s="1614">
        <f t="shared" si="30"/>
        <v>20160000</v>
      </c>
      <c r="I224" s="1466">
        <f t="shared" si="31"/>
        <v>63840000</v>
      </c>
      <c r="J224" s="1465">
        <f t="shared" si="27"/>
        <v>27398.49160262337</v>
      </c>
      <c r="K224" s="1465">
        <f t="shared" si="27"/>
        <v>152611.94319667568</v>
      </c>
      <c r="L224" s="1467">
        <f t="shared" si="32"/>
        <v>180010</v>
      </c>
      <c r="N224" s="1616">
        <v>179555.600578471</v>
      </c>
      <c r="O224" s="1468">
        <f t="shared" si="33"/>
        <v>-454.39942152900039</v>
      </c>
      <c r="P224" s="1469">
        <f t="shared" si="34"/>
        <v>-2.530689213063085E-3</v>
      </c>
      <c r="R224" s="1605">
        <v>180010.4001</v>
      </c>
      <c r="S224" s="750">
        <f t="shared" si="35"/>
        <v>0.40009999999892898</v>
      </c>
    </row>
    <row r="225" spans="1:19" x14ac:dyDescent="0.2">
      <c r="A225" s="1461" t="s">
        <v>339</v>
      </c>
      <c r="B225" s="1462" t="s">
        <v>340</v>
      </c>
      <c r="C225" s="1463">
        <v>1.0533999999999999</v>
      </c>
      <c r="D225" s="1464">
        <f>INDEX(Data!$E$5:$E$300,MATCH('Cost of Collection'!B225,Data!$C$5:$C$300,0))</f>
        <v>140573812</v>
      </c>
      <c r="E225" s="1464">
        <f>INDEX(Data!$F$5:$F$300,MATCH('Cost of Collection'!B225,Data!$C$5:$C$300,0))</f>
        <v>4562</v>
      </c>
      <c r="F225" s="1611">
        <f t="shared" si="28"/>
        <v>148080453.56079999</v>
      </c>
      <c r="G225" s="1465">
        <f t="shared" si="29"/>
        <v>4805.6107999999995</v>
      </c>
      <c r="H225" s="1614">
        <f t="shared" si="30"/>
        <v>20160000</v>
      </c>
      <c r="I225" s="1466">
        <f t="shared" si="31"/>
        <v>63840000</v>
      </c>
      <c r="J225" s="1465">
        <f t="shared" si="27"/>
        <v>40562.611844868203</v>
      </c>
      <c r="K225" s="1465">
        <f t="shared" si="27"/>
        <v>147090.57409445068</v>
      </c>
      <c r="L225" s="1467">
        <f t="shared" si="32"/>
        <v>187653</v>
      </c>
      <c r="N225" s="1616">
        <v>184502.85496882501</v>
      </c>
      <c r="O225" s="1468">
        <f t="shared" si="33"/>
        <v>-3150.1450311749941</v>
      </c>
      <c r="P225" s="1469">
        <f t="shared" si="34"/>
        <v>-1.7073692608752675E-2</v>
      </c>
      <c r="R225" s="1605">
        <v>187653.1525</v>
      </c>
      <c r="S225" s="750">
        <f t="shared" si="35"/>
        <v>0.15249999999650754</v>
      </c>
    </row>
    <row r="226" spans="1:19" x14ac:dyDescent="0.2">
      <c r="A226" s="1461" t="s">
        <v>341</v>
      </c>
      <c r="B226" s="1462" t="s">
        <v>342</v>
      </c>
      <c r="C226" s="1463">
        <v>1</v>
      </c>
      <c r="D226" s="1464">
        <f>INDEX(Data!$E$5:$E$300,MATCH('Cost of Collection'!B226,Data!$C$5:$C$300,0))</f>
        <v>104433902</v>
      </c>
      <c r="E226" s="1464">
        <f>INDEX(Data!$F$5:$F$300,MATCH('Cost of Collection'!B226,Data!$C$5:$C$300,0))</f>
        <v>3378</v>
      </c>
      <c r="F226" s="1611">
        <f t="shared" si="28"/>
        <v>104433902</v>
      </c>
      <c r="G226" s="1465">
        <f t="shared" si="29"/>
        <v>3378</v>
      </c>
      <c r="H226" s="1614">
        <f t="shared" si="30"/>
        <v>20160000</v>
      </c>
      <c r="I226" s="1466">
        <f t="shared" si="31"/>
        <v>63840000</v>
      </c>
      <c r="J226" s="1465">
        <f t="shared" si="27"/>
        <v>28606.826413667826</v>
      </c>
      <c r="K226" s="1465">
        <f t="shared" si="27"/>
        <v>103394.13239437835</v>
      </c>
      <c r="L226" s="1467">
        <f t="shared" si="32"/>
        <v>132001</v>
      </c>
      <c r="N226" s="1616">
        <v>131016.41456097001</v>
      </c>
      <c r="O226" s="1468">
        <f t="shared" si="33"/>
        <v>-984.58543902999372</v>
      </c>
      <c r="P226" s="1469">
        <f t="shared" si="34"/>
        <v>-7.5149777402266299E-3</v>
      </c>
      <c r="R226" s="1605">
        <v>132000.93530000001</v>
      </c>
      <c r="S226" s="750">
        <f t="shared" si="35"/>
        <v>-6.4699999988079071E-2</v>
      </c>
    </row>
    <row r="227" spans="1:19" x14ac:dyDescent="0.2">
      <c r="A227" s="1461" t="s">
        <v>343</v>
      </c>
      <c r="B227" s="1462" t="s">
        <v>344</v>
      </c>
      <c r="C227" s="1463">
        <v>1</v>
      </c>
      <c r="D227" s="1464">
        <f>INDEX(Data!$E$5:$E$300,MATCH('Cost of Collection'!B227,Data!$C$5:$C$300,0))</f>
        <v>87134814</v>
      </c>
      <c r="E227" s="1464">
        <f>INDEX(Data!$F$5:$F$300,MATCH('Cost of Collection'!B227,Data!$C$5:$C$300,0))</f>
        <v>2860</v>
      </c>
      <c r="F227" s="1611">
        <f t="shared" si="28"/>
        <v>87134814</v>
      </c>
      <c r="G227" s="1465">
        <f t="shared" si="29"/>
        <v>2860</v>
      </c>
      <c r="H227" s="1614">
        <f t="shared" si="30"/>
        <v>20160000</v>
      </c>
      <c r="I227" s="1466">
        <f t="shared" si="31"/>
        <v>63840000</v>
      </c>
      <c r="J227" s="1465">
        <f t="shared" si="27"/>
        <v>23868.211863665048</v>
      </c>
      <c r="K227" s="1465">
        <f t="shared" si="27"/>
        <v>87539.141103588539</v>
      </c>
      <c r="L227" s="1467">
        <f t="shared" si="32"/>
        <v>111407</v>
      </c>
      <c r="N227" s="1616">
        <v>109913.55204182499</v>
      </c>
      <c r="O227" s="1468">
        <f t="shared" si="33"/>
        <v>-1493.4479581750056</v>
      </c>
      <c r="P227" s="1469">
        <f t="shared" si="34"/>
        <v>-1.3587477889957641E-2</v>
      </c>
      <c r="R227" s="1605">
        <v>111407.3331</v>
      </c>
      <c r="S227" s="750">
        <f t="shared" si="35"/>
        <v>0.33310000000346918</v>
      </c>
    </row>
    <row r="228" spans="1:19" x14ac:dyDescent="0.2">
      <c r="A228" s="1461" t="s">
        <v>345</v>
      </c>
      <c r="B228" s="1462" t="s">
        <v>346</v>
      </c>
      <c r="C228" s="1463">
        <v>1</v>
      </c>
      <c r="D228" s="1464">
        <f>INDEX(Data!$E$5:$E$300,MATCH('Cost of Collection'!B228,Data!$C$5:$C$300,0))</f>
        <v>78615266</v>
      </c>
      <c r="E228" s="1464">
        <f>INDEX(Data!$F$5:$F$300,MATCH('Cost of Collection'!B228,Data!$C$5:$C$300,0))</f>
        <v>3842</v>
      </c>
      <c r="F228" s="1611">
        <f t="shared" si="28"/>
        <v>78615266</v>
      </c>
      <c r="G228" s="1465">
        <f t="shared" si="29"/>
        <v>3842</v>
      </c>
      <c r="H228" s="1614">
        <f t="shared" si="30"/>
        <v>20160000</v>
      </c>
      <c r="I228" s="1466">
        <f t="shared" si="31"/>
        <v>63840000</v>
      </c>
      <c r="J228" s="1465">
        <f t="shared" si="27"/>
        <v>21534.513456428376</v>
      </c>
      <c r="K228" s="1465">
        <f t="shared" si="27"/>
        <v>117596.28675524027</v>
      </c>
      <c r="L228" s="1467">
        <f t="shared" si="32"/>
        <v>139131</v>
      </c>
      <c r="N228" s="1616">
        <v>139892.57271821599</v>
      </c>
      <c r="O228" s="1468">
        <f t="shared" si="33"/>
        <v>761.57271821598988</v>
      </c>
      <c r="P228" s="1469">
        <f t="shared" si="34"/>
        <v>5.4439825032742599E-3</v>
      </c>
      <c r="R228" s="1605">
        <v>139130.77350000001</v>
      </c>
      <c r="S228" s="750">
        <f t="shared" si="35"/>
        <v>-0.22649999998975545</v>
      </c>
    </row>
    <row r="229" spans="1:19" x14ac:dyDescent="0.2">
      <c r="A229" s="1461" t="s">
        <v>582</v>
      </c>
      <c r="B229" s="1462" t="s">
        <v>348</v>
      </c>
      <c r="C229" s="1463">
        <v>1.036</v>
      </c>
      <c r="D229" s="1464">
        <f>INDEX(Data!$E$5:$E$300,MATCH('Cost of Collection'!B229,Data!$C$5:$C$300,0))</f>
        <v>272379178</v>
      </c>
      <c r="E229" s="1464">
        <f>INDEX(Data!$F$5:$F$300,MATCH('Cost of Collection'!B229,Data!$C$5:$C$300,0))</f>
        <v>6686</v>
      </c>
      <c r="F229" s="1611">
        <f t="shared" si="28"/>
        <v>282184828.40799999</v>
      </c>
      <c r="G229" s="1465">
        <f t="shared" si="29"/>
        <v>6926.6959999999999</v>
      </c>
      <c r="H229" s="1614">
        <f t="shared" si="30"/>
        <v>20160000</v>
      </c>
      <c r="I229" s="1466">
        <f t="shared" si="31"/>
        <v>63840000</v>
      </c>
      <c r="J229" s="1465">
        <f t="shared" si="27"/>
        <v>77296.857133982194</v>
      </c>
      <c r="K229" s="1465">
        <f t="shared" si="27"/>
        <v>212012.94354044137</v>
      </c>
      <c r="L229" s="1467">
        <f t="shared" si="32"/>
        <v>289310</v>
      </c>
      <c r="N229" s="1616">
        <v>291761.13486503199</v>
      </c>
      <c r="O229" s="1468">
        <f t="shared" si="33"/>
        <v>2451.1348650319851</v>
      </c>
      <c r="P229" s="1469">
        <f t="shared" si="34"/>
        <v>8.401169902790084E-3</v>
      </c>
      <c r="R229" s="1605">
        <v>289309.7525</v>
      </c>
      <c r="S229" s="750">
        <f t="shared" si="35"/>
        <v>-0.24749999999767169</v>
      </c>
    </row>
    <row r="230" spans="1:19" x14ac:dyDescent="0.2">
      <c r="A230" s="1461" t="s">
        <v>571</v>
      </c>
      <c r="B230" s="1462" t="s">
        <v>350</v>
      </c>
      <c r="C230" s="1463">
        <v>1.0129999999999999</v>
      </c>
      <c r="D230" s="1464">
        <f>INDEX(Data!$E$5:$E$300,MATCH('Cost of Collection'!B230,Data!$C$5:$C$300,0))</f>
        <v>124778430</v>
      </c>
      <c r="E230" s="1464">
        <f>INDEX(Data!$F$5:$F$300,MATCH('Cost of Collection'!B230,Data!$C$5:$C$300,0))</f>
        <v>5667</v>
      </c>
      <c r="F230" s="1611">
        <f t="shared" si="28"/>
        <v>126400549.58999999</v>
      </c>
      <c r="G230" s="1465">
        <f t="shared" si="29"/>
        <v>5740.6709999999994</v>
      </c>
      <c r="H230" s="1614">
        <f t="shared" si="30"/>
        <v>20160000</v>
      </c>
      <c r="I230" s="1466">
        <f t="shared" si="31"/>
        <v>63840000</v>
      </c>
      <c r="J230" s="1465">
        <f t="shared" si="27"/>
        <v>34623.991936194645</v>
      </c>
      <c r="K230" s="1465">
        <f t="shared" si="27"/>
        <v>175710.98206233518</v>
      </c>
      <c r="L230" s="1467">
        <f t="shared" si="32"/>
        <v>210335</v>
      </c>
      <c r="N230" s="1616">
        <v>213692.85407764901</v>
      </c>
      <c r="O230" s="1468">
        <f t="shared" si="33"/>
        <v>3357.8540776490117</v>
      </c>
      <c r="P230" s="1469">
        <f t="shared" si="34"/>
        <v>1.5713459825984061E-2</v>
      </c>
      <c r="R230" s="1605">
        <v>210334.93400000001</v>
      </c>
      <c r="S230" s="750">
        <f t="shared" si="35"/>
        <v>-6.5999999991618097E-2</v>
      </c>
    </row>
    <row r="231" spans="1:19" x14ac:dyDescent="0.2">
      <c r="A231" s="1461" t="s">
        <v>351</v>
      </c>
      <c r="B231" s="1462" t="s">
        <v>352</v>
      </c>
      <c r="C231" s="1463">
        <v>1.2208000000000001</v>
      </c>
      <c r="D231" s="1464">
        <f>INDEX(Data!$E$5:$E$300,MATCH('Cost of Collection'!B231,Data!$C$5:$C$300,0))</f>
        <v>807376716</v>
      </c>
      <c r="E231" s="1464">
        <f>INDEX(Data!$F$5:$F$300,MATCH('Cost of Collection'!B231,Data!$C$5:$C$300,0))</f>
        <v>12982</v>
      </c>
      <c r="F231" s="1611">
        <f t="shared" si="28"/>
        <v>985645494.89280009</v>
      </c>
      <c r="G231" s="1465">
        <f t="shared" si="29"/>
        <v>15848.4256</v>
      </c>
      <c r="H231" s="1614">
        <f t="shared" si="30"/>
        <v>20160000</v>
      </c>
      <c r="I231" s="1466">
        <f t="shared" si="31"/>
        <v>63840000</v>
      </c>
      <c r="J231" s="1465">
        <f t="shared" si="27"/>
        <v>269990.76964309969</v>
      </c>
      <c r="K231" s="1465">
        <f t="shared" si="27"/>
        <v>485090.0576461975</v>
      </c>
      <c r="L231" s="1467">
        <f t="shared" si="32"/>
        <v>755081</v>
      </c>
      <c r="N231" s="1616">
        <v>755111.13686753798</v>
      </c>
      <c r="O231" s="1468">
        <f t="shared" si="33"/>
        <v>30.136867537978105</v>
      </c>
      <c r="P231" s="1469">
        <f t="shared" si="34"/>
        <v>3.9910505972665495E-5</v>
      </c>
      <c r="R231" s="1605">
        <v>755080.71699999995</v>
      </c>
      <c r="S231" s="750">
        <f t="shared" si="35"/>
        <v>-0.28300000005401671</v>
      </c>
    </row>
    <row r="232" spans="1:19" x14ac:dyDescent="0.2">
      <c r="A232" s="1461" t="s">
        <v>353</v>
      </c>
      <c r="B232" s="1462" t="s">
        <v>354</v>
      </c>
      <c r="C232" s="1463">
        <v>1.1039000000000001</v>
      </c>
      <c r="D232" s="1464">
        <f>INDEX(Data!$E$5:$E$300,MATCH('Cost of Collection'!B232,Data!$C$5:$C$300,0))</f>
        <v>129986723</v>
      </c>
      <c r="E232" s="1464">
        <f>INDEX(Data!$F$5:$F$300,MATCH('Cost of Collection'!B232,Data!$C$5:$C$300,0))</f>
        <v>2446</v>
      </c>
      <c r="F232" s="1611">
        <f t="shared" si="28"/>
        <v>143492343.51970002</v>
      </c>
      <c r="G232" s="1465">
        <f t="shared" si="29"/>
        <v>2700.1394000000005</v>
      </c>
      <c r="H232" s="1614">
        <f t="shared" si="30"/>
        <v>20160000</v>
      </c>
      <c r="I232" s="1466">
        <f t="shared" si="31"/>
        <v>63840000</v>
      </c>
      <c r="J232" s="1465">
        <f t="shared" si="27"/>
        <v>39305.823914905064</v>
      </c>
      <c r="K232" s="1465">
        <f t="shared" si="27"/>
        <v>82646.113264321306</v>
      </c>
      <c r="L232" s="1467">
        <f t="shared" si="32"/>
        <v>121952</v>
      </c>
      <c r="N232" s="1616">
        <v>122036.436968614</v>
      </c>
      <c r="O232" s="1468">
        <f t="shared" si="33"/>
        <v>84.436968613998033</v>
      </c>
      <c r="P232" s="1469">
        <f t="shared" si="34"/>
        <v>6.9189965481960115E-4</v>
      </c>
      <c r="R232" s="1605">
        <v>121951.9184</v>
      </c>
      <c r="S232" s="750">
        <f t="shared" si="35"/>
        <v>-8.1600000004982576E-2</v>
      </c>
    </row>
    <row r="233" spans="1:19" x14ac:dyDescent="0.2">
      <c r="A233" s="1461" t="s">
        <v>355</v>
      </c>
      <c r="B233" s="1462" t="s">
        <v>356</v>
      </c>
      <c r="C233" s="1463">
        <v>1.0815999999999999</v>
      </c>
      <c r="D233" s="1464">
        <f>INDEX(Data!$E$5:$E$300,MATCH('Cost of Collection'!B233,Data!$C$5:$C$300,0))</f>
        <v>171954157</v>
      </c>
      <c r="E233" s="1464">
        <f>INDEX(Data!$F$5:$F$300,MATCH('Cost of Collection'!B233,Data!$C$5:$C$300,0))</f>
        <v>4012</v>
      </c>
      <c r="F233" s="1611">
        <f t="shared" si="28"/>
        <v>185985616.21119997</v>
      </c>
      <c r="G233" s="1465">
        <f t="shared" si="29"/>
        <v>4339.3791999999994</v>
      </c>
      <c r="H233" s="1614">
        <f t="shared" si="30"/>
        <v>20160000</v>
      </c>
      <c r="I233" s="1466">
        <f t="shared" si="31"/>
        <v>63840000</v>
      </c>
      <c r="J233" s="1465">
        <f t="shared" si="27"/>
        <v>50945.699973872877</v>
      </c>
      <c r="K233" s="1465">
        <f t="shared" si="27"/>
        <v>132820.11471705491</v>
      </c>
      <c r="L233" s="1467">
        <f t="shared" si="32"/>
        <v>183766</v>
      </c>
      <c r="N233" s="1616">
        <v>184107.682977897</v>
      </c>
      <c r="O233" s="1468">
        <f t="shared" si="33"/>
        <v>341.68297789699864</v>
      </c>
      <c r="P233" s="1469">
        <f t="shared" si="34"/>
        <v>1.8558865788236513E-3</v>
      </c>
      <c r="R233" s="1605">
        <v>183765.78450000001</v>
      </c>
      <c r="S233" s="750">
        <f t="shared" si="35"/>
        <v>-0.21549999999115244</v>
      </c>
    </row>
    <row r="234" spans="1:19" x14ac:dyDescent="0.2">
      <c r="A234" s="1461" t="s">
        <v>961</v>
      </c>
      <c r="B234" s="1462" t="s">
        <v>358</v>
      </c>
      <c r="C234" s="1463">
        <v>1.0075000000000001</v>
      </c>
      <c r="D234" s="1464">
        <f>INDEX(Data!$E$5:$E$300,MATCH('Cost of Collection'!B234,Data!$C$5:$C$300,0))</f>
        <v>146528342</v>
      </c>
      <c r="E234" s="1464">
        <f>INDEX(Data!$F$5:$F$300,MATCH('Cost of Collection'!B234,Data!$C$5:$C$300,0))</f>
        <v>4790</v>
      </c>
      <c r="F234" s="1611">
        <f t="shared" si="28"/>
        <v>147627304.565</v>
      </c>
      <c r="G234" s="1465">
        <f t="shared" si="29"/>
        <v>4825.9250000000002</v>
      </c>
      <c r="H234" s="1614">
        <f t="shared" si="30"/>
        <v>20160000</v>
      </c>
      <c r="I234" s="1466">
        <f t="shared" si="31"/>
        <v>63840000</v>
      </c>
      <c r="J234" s="1465">
        <f t="shared" si="27"/>
        <v>40438.484005018094</v>
      </c>
      <c r="K234" s="1465">
        <f t="shared" si="27"/>
        <v>147712.35298263479</v>
      </c>
      <c r="L234" s="1467">
        <f t="shared" si="32"/>
        <v>188151</v>
      </c>
      <c r="N234" s="1616">
        <v>186763.978697871</v>
      </c>
      <c r="O234" s="1468">
        <f t="shared" si="33"/>
        <v>-1387.0213021289965</v>
      </c>
      <c r="P234" s="1469">
        <f t="shared" si="34"/>
        <v>-7.4265996676628294E-3</v>
      </c>
      <c r="R234" s="1605">
        <v>188150.8034</v>
      </c>
      <c r="S234" s="750">
        <f t="shared" si="35"/>
        <v>-0.19659999999566935</v>
      </c>
    </row>
    <row r="235" spans="1:19" x14ac:dyDescent="0.2">
      <c r="A235" s="1461" t="s">
        <v>359</v>
      </c>
      <c r="B235" s="1462" t="s">
        <v>360</v>
      </c>
      <c r="C235" s="1463">
        <v>1</v>
      </c>
      <c r="D235" s="1464">
        <f>INDEX(Data!$E$5:$E$300,MATCH('Cost of Collection'!B235,Data!$C$5:$C$300,0))</f>
        <v>136675330</v>
      </c>
      <c r="E235" s="1464">
        <f>INDEX(Data!$F$5:$F$300,MATCH('Cost of Collection'!B235,Data!$C$5:$C$300,0))</f>
        <v>4467</v>
      </c>
      <c r="F235" s="1611">
        <f t="shared" si="28"/>
        <v>136675330</v>
      </c>
      <c r="G235" s="1465">
        <f t="shared" si="29"/>
        <v>4467</v>
      </c>
      <c r="H235" s="1614">
        <f t="shared" si="30"/>
        <v>20160000</v>
      </c>
      <c r="I235" s="1466">
        <f t="shared" si="31"/>
        <v>63840000</v>
      </c>
      <c r="J235" s="1465">
        <f t="shared" si="27"/>
        <v>37438.488512482916</v>
      </c>
      <c r="K235" s="1465">
        <f t="shared" si="27"/>
        <v>136726.34381459092</v>
      </c>
      <c r="L235" s="1467">
        <f t="shared" si="32"/>
        <v>174165</v>
      </c>
      <c r="N235" s="1616">
        <v>169748.78217654501</v>
      </c>
      <c r="O235" s="1468">
        <f t="shared" si="33"/>
        <v>-4416.2178234549938</v>
      </c>
      <c r="P235" s="1469">
        <f t="shared" si="34"/>
        <v>-2.6016197387866761E-2</v>
      </c>
      <c r="R235" s="1605">
        <v>174164.80119999999</v>
      </c>
      <c r="S235" s="750">
        <f t="shared" si="35"/>
        <v>-0.19880000001285225</v>
      </c>
    </row>
    <row r="236" spans="1:19" x14ac:dyDescent="0.2">
      <c r="A236" s="1461" t="s">
        <v>361</v>
      </c>
      <c r="B236" s="1462" t="s">
        <v>362</v>
      </c>
      <c r="C236" s="1463">
        <v>1</v>
      </c>
      <c r="D236" s="1464">
        <f>INDEX(Data!$E$5:$E$300,MATCH('Cost of Collection'!B236,Data!$C$5:$C$300,0))</f>
        <v>59746681</v>
      </c>
      <c r="E236" s="1464">
        <f>INDEX(Data!$F$5:$F$300,MATCH('Cost of Collection'!B236,Data!$C$5:$C$300,0))</f>
        <v>3155</v>
      </c>
      <c r="F236" s="1611">
        <f t="shared" si="28"/>
        <v>59746681</v>
      </c>
      <c r="G236" s="1465">
        <f t="shared" si="29"/>
        <v>3155</v>
      </c>
      <c r="H236" s="1614">
        <f t="shared" si="30"/>
        <v>20160000</v>
      </c>
      <c r="I236" s="1466">
        <f t="shared" si="31"/>
        <v>63840000</v>
      </c>
      <c r="J236" s="1465">
        <f t="shared" si="27"/>
        <v>16365.977900162974</v>
      </c>
      <c r="K236" s="1465">
        <f t="shared" si="27"/>
        <v>96568.528035602038</v>
      </c>
      <c r="L236" s="1467">
        <f t="shared" si="32"/>
        <v>112935</v>
      </c>
      <c r="N236" s="1616">
        <v>113758.873987795</v>
      </c>
      <c r="O236" s="1468">
        <f t="shared" si="33"/>
        <v>823.87398779499927</v>
      </c>
      <c r="P236" s="1469">
        <f t="shared" si="34"/>
        <v>7.2422832515324593E-3</v>
      </c>
      <c r="R236" s="1605">
        <v>112934.484</v>
      </c>
      <c r="S236" s="750">
        <f t="shared" si="35"/>
        <v>-0.51600000000325963</v>
      </c>
    </row>
    <row r="237" spans="1:19" x14ac:dyDescent="0.2">
      <c r="A237" s="1461" t="s">
        <v>363</v>
      </c>
      <c r="B237" s="1462" t="s">
        <v>364</v>
      </c>
      <c r="C237" s="1463">
        <v>1.0392999999999999</v>
      </c>
      <c r="D237" s="1464">
        <f>INDEX(Data!$E$5:$E$300,MATCH('Cost of Collection'!B237,Data!$C$5:$C$300,0))</f>
        <v>126452181</v>
      </c>
      <c r="E237" s="1464">
        <f>INDEX(Data!$F$5:$F$300,MATCH('Cost of Collection'!B237,Data!$C$5:$C$300,0))</f>
        <v>2273</v>
      </c>
      <c r="F237" s="1611">
        <f t="shared" si="28"/>
        <v>131421751.71329999</v>
      </c>
      <c r="G237" s="1465">
        <f t="shared" si="29"/>
        <v>2362.3289</v>
      </c>
      <c r="H237" s="1614">
        <f t="shared" si="30"/>
        <v>20160000</v>
      </c>
      <c r="I237" s="1466">
        <f t="shared" si="31"/>
        <v>63840000</v>
      </c>
      <c r="J237" s="1465">
        <f t="shared" si="27"/>
        <v>35999.413660159182</v>
      </c>
      <c r="K237" s="1465">
        <f t="shared" si="27"/>
        <v>72306.378639924864</v>
      </c>
      <c r="L237" s="1467">
        <f t="shared" si="32"/>
        <v>108306</v>
      </c>
      <c r="N237" s="1616">
        <v>107498.890502055</v>
      </c>
      <c r="O237" s="1468">
        <f t="shared" si="33"/>
        <v>-807.10949794499902</v>
      </c>
      <c r="P237" s="1469">
        <f t="shared" si="34"/>
        <v>-7.5080728198731496E-3</v>
      </c>
      <c r="R237" s="1605">
        <v>108305.77589999999</v>
      </c>
      <c r="S237" s="750">
        <f t="shared" si="35"/>
        <v>-0.22410000000672881</v>
      </c>
    </row>
    <row r="238" spans="1:19" x14ac:dyDescent="0.2">
      <c r="A238" s="1461" t="s">
        <v>365</v>
      </c>
      <c r="B238" s="1462" t="s">
        <v>366</v>
      </c>
      <c r="C238" s="1463">
        <v>1.0168999999999999</v>
      </c>
      <c r="D238" s="1464">
        <f>INDEX(Data!$E$5:$E$300,MATCH('Cost of Collection'!B238,Data!$C$5:$C$300,0))</f>
        <v>240967192</v>
      </c>
      <c r="E238" s="1464">
        <f>INDEX(Data!$F$5:$F$300,MATCH('Cost of Collection'!B238,Data!$C$5:$C$300,0))</f>
        <v>11365</v>
      </c>
      <c r="F238" s="1611">
        <f t="shared" si="28"/>
        <v>245039537.54479998</v>
      </c>
      <c r="G238" s="1465">
        <f t="shared" si="29"/>
        <v>11557.068499999999</v>
      </c>
      <c r="H238" s="1614">
        <f t="shared" si="30"/>
        <v>20160000</v>
      </c>
      <c r="I238" s="1466">
        <f t="shared" si="31"/>
        <v>63840000</v>
      </c>
      <c r="J238" s="1465">
        <f t="shared" si="27"/>
        <v>67121.915209387982</v>
      </c>
      <c r="K238" s="1465">
        <f t="shared" si="27"/>
        <v>353739.80775011831</v>
      </c>
      <c r="L238" s="1467">
        <f t="shared" si="32"/>
        <v>420862</v>
      </c>
      <c r="N238" s="1616">
        <v>420461.50065623299</v>
      </c>
      <c r="O238" s="1468">
        <f t="shared" si="33"/>
        <v>-400.49934376700548</v>
      </c>
      <c r="P238" s="1469">
        <f t="shared" si="34"/>
        <v>-9.5252322303451874E-4</v>
      </c>
      <c r="R238" s="1605">
        <v>420861.64250000002</v>
      </c>
      <c r="S238" s="750">
        <f t="shared" si="35"/>
        <v>-0.35749999998370185</v>
      </c>
    </row>
    <row r="239" spans="1:19" x14ac:dyDescent="0.2">
      <c r="A239" s="1461" t="s">
        <v>545</v>
      </c>
      <c r="B239" s="1462" t="s">
        <v>368</v>
      </c>
      <c r="C239" s="1463">
        <v>1</v>
      </c>
      <c r="D239" s="1464">
        <f>INDEX(Data!$E$5:$E$300,MATCH('Cost of Collection'!B239,Data!$C$5:$C$300,0))</f>
        <v>205997117</v>
      </c>
      <c r="E239" s="1464">
        <f>INDEX(Data!$F$5:$F$300,MATCH('Cost of Collection'!B239,Data!$C$5:$C$300,0))</f>
        <v>5703</v>
      </c>
      <c r="F239" s="1611">
        <f t="shared" si="28"/>
        <v>205997117</v>
      </c>
      <c r="G239" s="1465">
        <f t="shared" si="29"/>
        <v>5703</v>
      </c>
      <c r="H239" s="1614">
        <f t="shared" si="30"/>
        <v>20160000</v>
      </c>
      <c r="I239" s="1466">
        <f t="shared" si="31"/>
        <v>63840000</v>
      </c>
      <c r="J239" s="1465">
        <f t="shared" si="27"/>
        <v>56427.306218387028</v>
      </c>
      <c r="K239" s="1465">
        <f t="shared" si="27"/>
        <v>174557.94465516275</v>
      </c>
      <c r="L239" s="1467">
        <f t="shared" si="32"/>
        <v>230985</v>
      </c>
      <c r="N239" s="1616">
        <v>230013.578444124</v>
      </c>
      <c r="O239" s="1468">
        <f t="shared" si="33"/>
        <v>-971.42155587600428</v>
      </c>
      <c r="P239" s="1469">
        <f t="shared" si="34"/>
        <v>-4.2233226509798714E-3</v>
      </c>
      <c r="R239" s="1605">
        <v>230985.21119999999</v>
      </c>
      <c r="S239" s="750">
        <f t="shared" si="35"/>
        <v>0.21119999999064021</v>
      </c>
    </row>
    <row r="240" spans="1:19" x14ac:dyDescent="0.2">
      <c r="A240" s="1461" t="s">
        <v>642</v>
      </c>
      <c r="B240" s="1462" t="s">
        <v>370</v>
      </c>
      <c r="C240" s="1463">
        <v>1</v>
      </c>
      <c r="D240" s="1464">
        <f>INDEX(Data!$E$5:$E$300,MATCH('Cost of Collection'!B240,Data!$C$5:$C$300,0))</f>
        <v>243853884</v>
      </c>
      <c r="E240" s="1464">
        <f>INDEX(Data!$F$5:$F$300,MATCH('Cost of Collection'!B240,Data!$C$5:$C$300,0))</f>
        <v>9398</v>
      </c>
      <c r="F240" s="1611">
        <f t="shared" si="28"/>
        <v>243853884</v>
      </c>
      <c r="G240" s="1465">
        <f t="shared" si="29"/>
        <v>9398</v>
      </c>
      <c r="H240" s="1614">
        <f t="shared" si="30"/>
        <v>20160000</v>
      </c>
      <c r="I240" s="1466">
        <f t="shared" si="31"/>
        <v>63840000</v>
      </c>
      <c r="J240" s="1465">
        <f t="shared" si="27"/>
        <v>66797.13767552888</v>
      </c>
      <c r="K240" s="1465">
        <f t="shared" si="27"/>
        <v>287654.84199004376</v>
      </c>
      <c r="L240" s="1467">
        <f t="shared" si="32"/>
        <v>354452</v>
      </c>
      <c r="N240" s="1616">
        <v>353612.50922187499</v>
      </c>
      <c r="O240" s="1468">
        <f t="shared" si="33"/>
        <v>-839.49077812500764</v>
      </c>
      <c r="P240" s="1469">
        <f t="shared" si="34"/>
        <v>-2.3740415178532814E-3</v>
      </c>
      <c r="R240" s="1605">
        <v>354451.9142</v>
      </c>
      <c r="S240" s="750">
        <f t="shared" si="35"/>
        <v>-8.5800000000745058E-2</v>
      </c>
    </row>
    <row r="241" spans="1:19" x14ac:dyDescent="0.2">
      <c r="A241" s="1461" t="s">
        <v>371</v>
      </c>
      <c r="B241" s="1462" t="s">
        <v>372</v>
      </c>
      <c r="C241" s="1463">
        <v>1.0213000000000001</v>
      </c>
      <c r="D241" s="1464">
        <f>INDEX(Data!$E$5:$E$300,MATCH('Cost of Collection'!B241,Data!$C$5:$C$300,0))</f>
        <v>160706530</v>
      </c>
      <c r="E241" s="1464">
        <f>INDEX(Data!$F$5:$F$300,MATCH('Cost of Collection'!B241,Data!$C$5:$C$300,0))</f>
        <v>6082</v>
      </c>
      <c r="F241" s="1611">
        <f t="shared" si="28"/>
        <v>164129579.08900002</v>
      </c>
      <c r="G241" s="1465">
        <f t="shared" si="29"/>
        <v>6211.5466000000006</v>
      </c>
      <c r="H241" s="1614">
        <f t="shared" si="30"/>
        <v>20160000</v>
      </c>
      <c r="I241" s="1466">
        <f t="shared" si="31"/>
        <v>63840000</v>
      </c>
      <c r="J241" s="1465">
        <f t="shared" si="27"/>
        <v>44958.833179932211</v>
      </c>
      <c r="K241" s="1465">
        <f t="shared" si="27"/>
        <v>190123.58541570479</v>
      </c>
      <c r="L241" s="1467">
        <f t="shared" si="32"/>
        <v>235082</v>
      </c>
      <c r="N241" s="1616">
        <v>234860.821137349</v>
      </c>
      <c r="O241" s="1468">
        <f t="shared" si="33"/>
        <v>-221.17886265099514</v>
      </c>
      <c r="P241" s="1469">
        <f t="shared" si="34"/>
        <v>-9.4174439814994726E-4</v>
      </c>
      <c r="R241" s="1605">
        <v>235082.37539999999</v>
      </c>
      <c r="S241" s="750">
        <f t="shared" si="35"/>
        <v>0.37539999998989515</v>
      </c>
    </row>
    <row r="242" spans="1:19" x14ac:dyDescent="0.2">
      <c r="A242" s="1461" t="s">
        <v>373</v>
      </c>
      <c r="B242" s="1462" t="s">
        <v>374</v>
      </c>
      <c r="C242" s="1463">
        <v>1.0197000000000001</v>
      </c>
      <c r="D242" s="1464">
        <f>INDEX(Data!$E$5:$E$300,MATCH('Cost of Collection'!B242,Data!$C$5:$C$300,0))</f>
        <v>103558634</v>
      </c>
      <c r="E242" s="1464">
        <f>INDEX(Data!$F$5:$F$300,MATCH('Cost of Collection'!B242,Data!$C$5:$C$300,0))</f>
        <v>4342</v>
      </c>
      <c r="F242" s="1611">
        <f t="shared" si="28"/>
        <v>105598739.0898</v>
      </c>
      <c r="G242" s="1465">
        <f t="shared" si="29"/>
        <v>4427.5374000000002</v>
      </c>
      <c r="H242" s="1614">
        <f t="shared" si="30"/>
        <v>20160000</v>
      </c>
      <c r="I242" s="1466">
        <f t="shared" si="31"/>
        <v>63840000</v>
      </c>
      <c r="J242" s="1465">
        <f t="shared" si="27"/>
        <v>28925.901845974386</v>
      </c>
      <c r="K242" s="1465">
        <f t="shared" si="27"/>
        <v>135518.46895105438</v>
      </c>
      <c r="L242" s="1467">
        <f t="shared" si="32"/>
        <v>164444</v>
      </c>
      <c r="N242" s="1616">
        <v>163641.865948733</v>
      </c>
      <c r="O242" s="1468">
        <f t="shared" si="33"/>
        <v>-802.13405126699945</v>
      </c>
      <c r="P242" s="1469">
        <f t="shared" si="34"/>
        <v>-4.9017654902462323E-3</v>
      </c>
      <c r="R242" s="1605">
        <v>164444.34</v>
      </c>
      <c r="S242" s="750">
        <f t="shared" si="35"/>
        <v>0.33999999999650754</v>
      </c>
    </row>
    <row r="243" spans="1:19" x14ac:dyDescent="0.2">
      <c r="A243" s="1461" t="s">
        <v>375</v>
      </c>
      <c r="B243" s="1462" t="s">
        <v>376</v>
      </c>
      <c r="C243" s="1463">
        <v>1</v>
      </c>
      <c r="D243" s="1464">
        <f>INDEX(Data!$E$5:$E$300,MATCH('Cost of Collection'!B243,Data!$C$5:$C$300,0))</f>
        <v>230806458</v>
      </c>
      <c r="E243" s="1464">
        <f>INDEX(Data!$F$5:$F$300,MATCH('Cost of Collection'!B243,Data!$C$5:$C$300,0))</f>
        <v>8432</v>
      </c>
      <c r="F243" s="1611">
        <f t="shared" si="28"/>
        <v>230806458</v>
      </c>
      <c r="G243" s="1465">
        <f t="shared" si="29"/>
        <v>8432</v>
      </c>
      <c r="H243" s="1614">
        <f t="shared" si="30"/>
        <v>20160000</v>
      </c>
      <c r="I243" s="1466">
        <f t="shared" si="31"/>
        <v>63840000</v>
      </c>
      <c r="J243" s="1465">
        <f t="shared" si="27"/>
        <v>63223.150267424789</v>
      </c>
      <c r="K243" s="1465">
        <f t="shared" si="27"/>
        <v>258087.4257991114</v>
      </c>
      <c r="L243" s="1467">
        <f t="shared" si="32"/>
        <v>321311</v>
      </c>
      <c r="N243" s="1616">
        <v>322728.335245714</v>
      </c>
      <c r="O243" s="1468">
        <f t="shared" si="33"/>
        <v>1417.335245713999</v>
      </c>
      <c r="P243" s="1469">
        <f t="shared" si="34"/>
        <v>4.3917285559536938E-3</v>
      </c>
      <c r="R243" s="1605">
        <v>321310.51740000001</v>
      </c>
      <c r="S243" s="750">
        <f t="shared" si="35"/>
        <v>-0.4825999999884516</v>
      </c>
    </row>
    <row r="244" spans="1:19" x14ac:dyDescent="0.2">
      <c r="A244" s="1461" t="s">
        <v>377</v>
      </c>
      <c r="B244" s="1462" t="s">
        <v>378</v>
      </c>
      <c r="C244" s="1463">
        <v>1.1039000000000001</v>
      </c>
      <c r="D244" s="1464">
        <f>INDEX(Data!$E$5:$E$300,MATCH('Cost of Collection'!B244,Data!$C$5:$C$300,0))</f>
        <v>94258832</v>
      </c>
      <c r="E244" s="1464">
        <f>INDEX(Data!$F$5:$F$300,MATCH('Cost of Collection'!B244,Data!$C$5:$C$300,0))</f>
        <v>2976</v>
      </c>
      <c r="F244" s="1611">
        <f t="shared" si="28"/>
        <v>104052324.64480001</v>
      </c>
      <c r="G244" s="1465">
        <f t="shared" si="29"/>
        <v>3285.2064000000005</v>
      </c>
      <c r="H244" s="1614">
        <f t="shared" si="30"/>
        <v>20160000</v>
      </c>
      <c r="I244" s="1466">
        <f t="shared" si="31"/>
        <v>63840000</v>
      </c>
      <c r="J244" s="1465">
        <f t="shared" si="27"/>
        <v>28502.303677711905</v>
      </c>
      <c r="K244" s="1465">
        <f t="shared" si="27"/>
        <v>100553.89741399027</v>
      </c>
      <c r="L244" s="1467">
        <f t="shared" si="32"/>
        <v>129056</v>
      </c>
      <c r="N244" s="1616">
        <v>128322.998674869</v>
      </c>
      <c r="O244" s="1468">
        <f t="shared" si="33"/>
        <v>-733.00132513100107</v>
      </c>
      <c r="P244" s="1469">
        <f t="shared" si="34"/>
        <v>-5.7121586364124871E-3</v>
      </c>
      <c r="R244" s="1605">
        <v>129056.17819999999</v>
      </c>
      <c r="S244" s="750">
        <f t="shared" si="35"/>
        <v>0.17819999999483116</v>
      </c>
    </row>
    <row r="245" spans="1:19" x14ac:dyDescent="0.2">
      <c r="A245" s="1461" t="s">
        <v>379</v>
      </c>
      <c r="B245" s="1462" t="s">
        <v>380</v>
      </c>
      <c r="C245" s="1463">
        <v>1.1113</v>
      </c>
      <c r="D245" s="1464">
        <f>INDEX(Data!$E$5:$E$300,MATCH('Cost of Collection'!B245,Data!$C$5:$C$300,0))</f>
        <v>173897353</v>
      </c>
      <c r="E245" s="1464">
        <f>INDEX(Data!$F$5:$F$300,MATCH('Cost of Collection'!B245,Data!$C$5:$C$300,0))</f>
        <v>3974</v>
      </c>
      <c r="F245" s="1611">
        <f t="shared" si="28"/>
        <v>193252128.38889998</v>
      </c>
      <c r="G245" s="1465">
        <f t="shared" si="29"/>
        <v>4416.3062</v>
      </c>
      <c r="H245" s="1614">
        <f t="shared" si="30"/>
        <v>20160000</v>
      </c>
      <c r="I245" s="1466">
        <f t="shared" si="31"/>
        <v>63840000</v>
      </c>
      <c r="J245" s="1465">
        <f t="shared" si="27"/>
        <v>52936.163305409289</v>
      </c>
      <c r="K245" s="1465">
        <f t="shared" si="27"/>
        <v>135174.70335610243</v>
      </c>
      <c r="L245" s="1467">
        <f t="shared" si="32"/>
        <v>188111</v>
      </c>
      <c r="N245" s="1616">
        <v>187126.682920169</v>
      </c>
      <c r="O245" s="1468">
        <f t="shared" si="33"/>
        <v>-984.31707983100205</v>
      </c>
      <c r="P245" s="1469">
        <f t="shared" si="34"/>
        <v>-5.2601642078533833E-3</v>
      </c>
      <c r="R245" s="1605">
        <v>188110.83590000001</v>
      </c>
      <c r="S245" s="750">
        <f t="shared" si="35"/>
        <v>-0.1640999999945052</v>
      </c>
    </row>
    <row r="246" spans="1:19" x14ac:dyDescent="0.2">
      <c r="A246" s="1461" t="s">
        <v>381</v>
      </c>
      <c r="B246" s="1462" t="s">
        <v>382</v>
      </c>
      <c r="C246" s="1463">
        <v>1.0067999999999999</v>
      </c>
      <c r="D246" s="1464">
        <f>INDEX(Data!$E$5:$E$300,MATCH('Cost of Collection'!B246,Data!$C$5:$C$300,0))</f>
        <v>165634200</v>
      </c>
      <c r="E246" s="1464">
        <f>INDEX(Data!$F$5:$F$300,MATCH('Cost of Collection'!B246,Data!$C$5:$C$300,0))</f>
        <v>4874</v>
      </c>
      <c r="F246" s="1611">
        <f t="shared" si="28"/>
        <v>166760512.55999997</v>
      </c>
      <c r="G246" s="1465">
        <f t="shared" si="29"/>
        <v>4907.1431999999995</v>
      </c>
      <c r="H246" s="1614">
        <f t="shared" si="30"/>
        <v>20160000</v>
      </c>
      <c r="I246" s="1466">
        <f t="shared" si="31"/>
        <v>63840000</v>
      </c>
      <c r="J246" s="1465">
        <f t="shared" ref="J246:K288" si="36">(F246*H246)/F$301</f>
        <v>45679.505831910719</v>
      </c>
      <c r="K246" s="1465">
        <f t="shared" si="36"/>
        <v>150198.2870630472</v>
      </c>
      <c r="L246" s="1467">
        <f t="shared" si="32"/>
        <v>195878</v>
      </c>
      <c r="N246" s="1616">
        <v>192703.00815762501</v>
      </c>
      <c r="O246" s="1468">
        <f t="shared" si="33"/>
        <v>-3174.9918423749914</v>
      </c>
      <c r="P246" s="1469">
        <f t="shared" si="34"/>
        <v>-1.647608863364472E-2</v>
      </c>
      <c r="R246" s="1605">
        <v>195877.75870000001</v>
      </c>
      <c r="S246" s="750">
        <f t="shared" si="35"/>
        <v>-0.2412999999942258</v>
      </c>
    </row>
    <row r="247" spans="1:19" x14ac:dyDescent="0.2">
      <c r="A247" s="1461" t="s">
        <v>657</v>
      </c>
      <c r="B247" s="1462" t="s">
        <v>384</v>
      </c>
      <c r="C247" s="1463">
        <v>1.0216000000000001</v>
      </c>
      <c r="D247" s="1464">
        <f>INDEX(Data!$E$5:$E$300,MATCH('Cost of Collection'!B247,Data!$C$5:$C$300,0))</f>
        <v>286637663</v>
      </c>
      <c r="E247" s="1464">
        <f>INDEX(Data!$F$5:$F$300,MATCH('Cost of Collection'!B247,Data!$C$5:$C$300,0))</f>
        <v>5753</v>
      </c>
      <c r="F247" s="1611">
        <f t="shared" si="28"/>
        <v>292829036.52079999</v>
      </c>
      <c r="G247" s="1465">
        <f t="shared" si="29"/>
        <v>5877.2647999999999</v>
      </c>
      <c r="H247" s="1614">
        <f t="shared" si="30"/>
        <v>20160000</v>
      </c>
      <c r="I247" s="1466">
        <f t="shared" si="31"/>
        <v>63840000</v>
      </c>
      <c r="J247" s="1465">
        <f t="shared" si="36"/>
        <v>80212.548379472806</v>
      </c>
      <c r="K247" s="1465">
        <f t="shared" si="36"/>
        <v>179891.85756306085</v>
      </c>
      <c r="L247" s="1467">
        <f t="shared" si="32"/>
        <v>260104</v>
      </c>
      <c r="N247" s="1616">
        <v>263152.31386441999</v>
      </c>
      <c r="O247" s="1468">
        <f t="shared" si="33"/>
        <v>3048.3138644199935</v>
      </c>
      <c r="P247" s="1469">
        <f t="shared" si="34"/>
        <v>1.158383834690707E-2</v>
      </c>
      <c r="R247" s="1605">
        <v>260104.36499999999</v>
      </c>
      <c r="S247" s="750">
        <f t="shared" si="35"/>
        <v>0.36499999999068677</v>
      </c>
    </row>
    <row r="248" spans="1:19" x14ac:dyDescent="0.2">
      <c r="A248" s="1461" t="s">
        <v>385</v>
      </c>
      <c r="B248" s="1462" t="s">
        <v>386</v>
      </c>
      <c r="C248" s="1463">
        <v>1.0168999999999999</v>
      </c>
      <c r="D248" s="1464">
        <f>INDEX(Data!$E$5:$E$300,MATCH('Cost of Collection'!B248,Data!$C$5:$C$300,0))</f>
        <v>158007597</v>
      </c>
      <c r="E248" s="1464">
        <f>INDEX(Data!$F$5:$F$300,MATCH('Cost of Collection'!B248,Data!$C$5:$C$300,0))</f>
        <v>7802</v>
      </c>
      <c r="F248" s="1611">
        <f t="shared" si="28"/>
        <v>160677925.38929999</v>
      </c>
      <c r="G248" s="1465">
        <f t="shared" si="29"/>
        <v>7933.853799999999</v>
      </c>
      <c r="H248" s="1614">
        <f t="shared" si="30"/>
        <v>20160000</v>
      </c>
      <c r="I248" s="1466">
        <f t="shared" si="31"/>
        <v>63840000</v>
      </c>
      <c r="J248" s="1465">
        <f t="shared" si="36"/>
        <v>44013.346548326575</v>
      </c>
      <c r="K248" s="1465">
        <f t="shared" si="36"/>
        <v>242840.12143127344</v>
      </c>
      <c r="L248" s="1467">
        <f t="shared" si="32"/>
        <v>286853</v>
      </c>
      <c r="N248" s="1616">
        <v>287251.01551670401</v>
      </c>
      <c r="O248" s="1468">
        <f t="shared" si="33"/>
        <v>398.01551670400659</v>
      </c>
      <c r="P248" s="1469">
        <f t="shared" si="34"/>
        <v>1.3856017740722713E-3</v>
      </c>
      <c r="R248" s="1605">
        <v>286853.41269999999</v>
      </c>
      <c r="S248" s="750">
        <f t="shared" si="35"/>
        <v>0.41269999998621643</v>
      </c>
    </row>
    <row r="249" spans="1:19" x14ac:dyDescent="0.2">
      <c r="A249" s="1461" t="s">
        <v>387</v>
      </c>
      <c r="B249" s="1462" t="s">
        <v>388</v>
      </c>
      <c r="C249" s="1463">
        <v>1</v>
      </c>
      <c r="D249" s="1464">
        <f>INDEX(Data!$E$5:$E$300,MATCH('Cost of Collection'!B249,Data!$C$5:$C$300,0))</f>
        <v>85260902</v>
      </c>
      <c r="E249" s="1464">
        <f>INDEX(Data!$F$5:$F$300,MATCH('Cost of Collection'!B249,Data!$C$5:$C$300,0))</f>
        <v>2109</v>
      </c>
      <c r="F249" s="1611">
        <f t="shared" si="28"/>
        <v>85260902</v>
      </c>
      <c r="G249" s="1465">
        <f t="shared" si="29"/>
        <v>2109</v>
      </c>
      <c r="H249" s="1614">
        <f t="shared" si="30"/>
        <v>20160000</v>
      </c>
      <c r="I249" s="1466">
        <f t="shared" si="31"/>
        <v>63840000</v>
      </c>
      <c r="J249" s="1465">
        <f t="shared" si="36"/>
        <v>23354.904649514523</v>
      </c>
      <c r="K249" s="1465">
        <f t="shared" si="36"/>
        <v>64552.464541072804</v>
      </c>
      <c r="L249" s="1467">
        <f t="shared" si="32"/>
        <v>87907</v>
      </c>
      <c r="N249" s="1616">
        <v>87429.290148775399</v>
      </c>
      <c r="O249" s="1468">
        <f t="shared" si="33"/>
        <v>-477.70985122460115</v>
      </c>
      <c r="P249" s="1469">
        <f t="shared" si="34"/>
        <v>-5.4639566489868424E-3</v>
      </c>
      <c r="R249" s="1605">
        <v>87907.354510000005</v>
      </c>
      <c r="S249" s="750">
        <f t="shared" si="35"/>
        <v>0.35451000000466593</v>
      </c>
    </row>
    <row r="250" spans="1:19" x14ac:dyDescent="0.2">
      <c r="A250" s="1461" t="s">
        <v>389</v>
      </c>
      <c r="B250" s="1462" t="s">
        <v>390</v>
      </c>
      <c r="C250" s="1463">
        <v>1.1039000000000001</v>
      </c>
      <c r="D250" s="1464">
        <f>INDEX(Data!$E$5:$E$300,MATCH('Cost of Collection'!B250,Data!$C$5:$C$300,0))</f>
        <v>64389024</v>
      </c>
      <c r="E250" s="1464">
        <f>INDEX(Data!$F$5:$F$300,MATCH('Cost of Collection'!B250,Data!$C$5:$C$300,0))</f>
        <v>2914</v>
      </c>
      <c r="F250" s="1611">
        <f t="shared" si="28"/>
        <v>71079043.593600005</v>
      </c>
      <c r="G250" s="1465">
        <f t="shared" si="29"/>
        <v>3216.7646000000004</v>
      </c>
      <c r="H250" s="1614">
        <f t="shared" si="30"/>
        <v>20160000</v>
      </c>
      <c r="I250" s="1466">
        <f t="shared" si="31"/>
        <v>63840000</v>
      </c>
      <c r="J250" s="1465">
        <f t="shared" si="36"/>
        <v>19470.170344986665</v>
      </c>
      <c r="K250" s="1465">
        <f t="shared" si="36"/>
        <v>98459.024551198803</v>
      </c>
      <c r="L250" s="1467">
        <f t="shared" si="32"/>
        <v>117929</v>
      </c>
      <c r="N250" s="1616">
        <v>117562.647788043</v>
      </c>
      <c r="O250" s="1468">
        <f t="shared" si="33"/>
        <v>-366.35221195699705</v>
      </c>
      <c r="P250" s="1469">
        <f t="shared" si="34"/>
        <v>-3.1162296771122724E-3</v>
      </c>
      <c r="R250" s="1605">
        <v>117929.1725</v>
      </c>
      <c r="S250" s="750">
        <f t="shared" si="35"/>
        <v>0.17250000000058208</v>
      </c>
    </row>
    <row r="251" spans="1:19" x14ac:dyDescent="0.2">
      <c r="A251" s="1461" t="s">
        <v>391</v>
      </c>
      <c r="B251" s="1462" t="s">
        <v>392</v>
      </c>
      <c r="C251" s="1463">
        <v>1</v>
      </c>
      <c r="D251" s="1464">
        <f>INDEX(Data!$E$5:$E$300,MATCH('Cost of Collection'!B251,Data!$C$5:$C$300,0))</f>
        <v>95538220</v>
      </c>
      <c r="E251" s="1464">
        <f>INDEX(Data!$F$5:$F$300,MATCH('Cost of Collection'!B251,Data!$C$5:$C$300,0))</f>
        <v>5584</v>
      </c>
      <c r="F251" s="1611">
        <f t="shared" si="28"/>
        <v>95538220</v>
      </c>
      <c r="G251" s="1465">
        <f t="shared" si="29"/>
        <v>5584</v>
      </c>
      <c r="H251" s="1614">
        <f t="shared" si="30"/>
        <v>20160000</v>
      </c>
      <c r="I251" s="1466">
        <f t="shared" si="31"/>
        <v>63840000</v>
      </c>
      <c r="J251" s="1465">
        <f t="shared" si="36"/>
        <v>26170.096329550226</v>
      </c>
      <c r="K251" s="1465">
        <f t="shared" si="36"/>
        <v>170915.58179106237</v>
      </c>
      <c r="L251" s="1467">
        <f t="shared" si="32"/>
        <v>197086</v>
      </c>
      <c r="N251" s="1616">
        <v>198958.72331848001</v>
      </c>
      <c r="O251" s="1468">
        <f t="shared" si="33"/>
        <v>1872.7233184800134</v>
      </c>
      <c r="P251" s="1469">
        <f t="shared" si="34"/>
        <v>9.4126223130326456E-3</v>
      </c>
      <c r="R251" s="1605">
        <v>197085.63920000001</v>
      </c>
      <c r="S251" s="750">
        <f t="shared" si="35"/>
        <v>-0.36079999999492429</v>
      </c>
    </row>
    <row r="252" spans="1:19" x14ac:dyDescent="0.2">
      <c r="A252" s="1461" t="s">
        <v>971</v>
      </c>
      <c r="B252" s="1462" t="s">
        <v>394</v>
      </c>
      <c r="C252" s="1463">
        <v>1</v>
      </c>
      <c r="D252" s="1464">
        <f>INDEX(Data!$E$5:$E$300,MATCH('Cost of Collection'!B252,Data!$C$5:$C$300,0))</f>
        <v>194956055</v>
      </c>
      <c r="E252" s="1464">
        <f>INDEX(Data!$F$5:$F$300,MATCH('Cost of Collection'!B252,Data!$C$5:$C$300,0))</f>
        <v>5423</v>
      </c>
      <c r="F252" s="1611">
        <f t="shared" si="28"/>
        <v>194956055</v>
      </c>
      <c r="G252" s="1465">
        <f t="shared" si="29"/>
        <v>5423</v>
      </c>
      <c r="H252" s="1614">
        <f t="shared" si="30"/>
        <v>20160000</v>
      </c>
      <c r="I252" s="1466">
        <f t="shared" si="31"/>
        <v>63840000</v>
      </c>
      <c r="J252" s="1465">
        <f t="shared" si="36"/>
        <v>53402.907646584703</v>
      </c>
      <c r="K252" s="1465">
        <f t="shared" si="36"/>
        <v>165987.67909257364</v>
      </c>
      <c r="L252" s="1467">
        <f t="shared" si="32"/>
        <v>219391</v>
      </c>
      <c r="N252" s="1616">
        <v>216843.57630079199</v>
      </c>
      <c r="O252" s="1468">
        <f t="shared" si="33"/>
        <v>-2547.4236992080114</v>
      </c>
      <c r="P252" s="1469">
        <f t="shared" si="34"/>
        <v>-1.1747748043383969E-2</v>
      </c>
      <c r="R252" s="1605">
        <v>219390.549</v>
      </c>
      <c r="S252" s="750">
        <f t="shared" si="35"/>
        <v>-0.45100000000093132</v>
      </c>
    </row>
    <row r="253" spans="1:19" x14ac:dyDescent="0.2">
      <c r="A253" s="1461" t="s">
        <v>395</v>
      </c>
      <c r="B253" s="1462" t="s">
        <v>396</v>
      </c>
      <c r="C253" s="1463">
        <v>1.0129999999999999</v>
      </c>
      <c r="D253" s="1464">
        <f>INDEX(Data!$E$5:$E$300,MATCH('Cost of Collection'!B253,Data!$C$5:$C$300,0))</f>
        <v>92511738</v>
      </c>
      <c r="E253" s="1464">
        <f>INDEX(Data!$F$5:$F$300,MATCH('Cost of Collection'!B253,Data!$C$5:$C$300,0))</f>
        <v>8591</v>
      </c>
      <c r="F253" s="1611">
        <f t="shared" si="28"/>
        <v>93714390.593999997</v>
      </c>
      <c r="G253" s="1465">
        <f t="shared" si="29"/>
        <v>8702.6829999999991</v>
      </c>
      <c r="H253" s="1614">
        <f t="shared" si="30"/>
        <v>20160000</v>
      </c>
      <c r="I253" s="1466">
        <f t="shared" si="31"/>
        <v>63840000</v>
      </c>
      <c r="J253" s="1465">
        <f t="shared" si="36"/>
        <v>25670.507879569825</v>
      </c>
      <c r="K253" s="1465">
        <f t="shared" si="36"/>
        <v>266372.51577510533</v>
      </c>
      <c r="L253" s="1467">
        <f t="shared" si="32"/>
        <v>292043</v>
      </c>
      <c r="N253" s="1616">
        <v>289681.43164202</v>
      </c>
      <c r="O253" s="1468">
        <f t="shared" si="33"/>
        <v>-2361.5683579799952</v>
      </c>
      <c r="P253" s="1469">
        <f t="shared" si="34"/>
        <v>-8.1522945554147689E-3</v>
      </c>
      <c r="R253" s="1605">
        <v>292042.96309999999</v>
      </c>
      <c r="S253" s="750">
        <f t="shared" si="35"/>
        <v>-3.6900000006426126E-2</v>
      </c>
    </row>
    <row r="254" spans="1:19" x14ac:dyDescent="0.2">
      <c r="A254" s="1461" t="s">
        <v>397</v>
      </c>
      <c r="B254" s="1462" t="s">
        <v>398</v>
      </c>
      <c r="C254" s="1463">
        <v>1.036</v>
      </c>
      <c r="D254" s="1464">
        <f>INDEX(Data!$E$5:$E$300,MATCH('Cost of Collection'!B254,Data!$C$5:$C$300,0))</f>
        <v>172337018</v>
      </c>
      <c r="E254" s="1464">
        <f>INDEX(Data!$F$5:$F$300,MATCH('Cost of Collection'!B254,Data!$C$5:$C$300,0))</f>
        <v>4839</v>
      </c>
      <c r="F254" s="1611">
        <f t="shared" si="28"/>
        <v>178541150.648</v>
      </c>
      <c r="G254" s="1465">
        <f t="shared" si="29"/>
        <v>5013.2039999999997</v>
      </c>
      <c r="H254" s="1614">
        <f t="shared" si="30"/>
        <v>20160000</v>
      </c>
      <c r="I254" s="1466">
        <f t="shared" si="31"/>
        <v>63840000</v>
      </c>
      <c r="J254" s="1465">
        <f t="shared" si="36"/>
        <v>48906.491153455638</v>
      </c>
      <c r="K254" s="1465">
        <f t="shared" si="36"/>
        <v>153444.60571226382</v>
      </c>
      <c r="L254" s="1467">
        <f t="shared" si="32"/>
        <v>202351</v>
      </c>
      <c r="N254" s="1616">
        <v>197439.30528256801</v>
      </c>
      <c r="O254" s="1468">
        <f t="shared" si="33"/>
        <v>-4911.6947174319939</v>
      </c>
      <c r="P254" s="1469">
        <f t="shared" si="34"/>
        <v>-2.4876985412821191E-2</v>
      </c>
      <c r="R254" s="1605">
        <v>202351.06200000001</v>
      </c>
      <c r="S254" s="750">
        <f t="shared" si="35"/>
        <v>6.2000000005355105E-2</v>
      </c>
    </row>
    <row r="255" spans="1:19" x14ac:dyDescent="0.2">
      <c r="A255" s="1461" t="s">
        <v>399</v>
      </c>
      <c r="B255" s="1462" t="s">
        <v>400</v>
      </c>
      <c r="C255" s="1463">
        <v>1.0197000000000001</v>
      </c>
      <c r="D255" s="1464">
        <f>INDEX(Data!$E$5:$E$300,MATCH('Cost of Collection'!B255,Data!$C$5:$C$300,0))</f>
        <v>103306301</v>
      </c>
      <c r="E255" s="1464">
        <f>INDEX(Data!$F$5:$F$300,MATCH('Cost of Collection'!B255,Data!$C$5:$C$300,0))</f>
        <v>3068</v>
      </c>
      <c r="F255" s="1611">
        <f t="shared" si="28"/>
        <v>105341435.12970001</v>
      </c>
      <c r="G255" s="1465">
        <f t="shared" si="29"/>
        <v>3128.4396000000002</v>
      </c>
      <c r="H255" s="1614">
        <f t="shared" si="30"/>
        <v>20160000</v>
      </c>
      <c r="I255" s="1466">
        <f t="shared" si="31"/>
        <v>63840000</v>
      </c>
      <c r="J255" s="1465">
        <f t="shared" si="36"/>
        <v>28855.420425849625</v>
      </c>
      <c r="K255" s="1465">
        <f t="shared" si="36"/>
        <v>95755.564887571367</v>
      </c>
      <c r="L255" s="1467">
        <f t="shared" si="32"/>
        <v>124611</v>
      </c>
      <c r="N255" s="1616">
        <v>124798.787571967</v>
      </c>
      <c r="O255" s="1468">
        <f t="shared" si="33"/>
        <v>187.78757196699735</v>
      </c>
      <c r="P255" s="1469">
        <f t="shared" si="34"/>
        <v>1.5047227270433775E-3</v>
      </c>
      <c r="R255" s="1605">
        <v>124610.9635</v>
      </c>
      <c r="S255" s="750">
        <f t="shared" si="35"/>
        <v>-3.650000000197906E-2</v>
      </c>
    </row>
    <row r="256" spans="1:19" x14ac:dyDescent="0.2">
      <c r="A256" s="1461" t="s">
        <v>401</v>
      </c>
      <c r="B256" s="1462" t="s">
        <v>402</v>
      </c>
      <c r="C256" s="1463">
        <v>1.0067999999999999</v>
      </c>
      <c r="D256" s="1464">
        <f>INDEX(Data!$E$5:$E$300,MATCH('Cost of Collection'!B256,Data!$C$5:$C$300,0))</f>
        <v>107590842</v>
      </c>
      <c r="E256" s="1464">
        <f>INDEX(Data!$F$5:$F$300,MATCH('Cost of Collection'!B256,Data!$C$5:$C$300,0))</f>
        <v>5589</v>
      </c>
      <c r="F256" s="1611">
        <f t="shared" si="28"/>
        <v>108322459.72559999</v>
      </c>
      <c r="G256" s="1465">
        <f t="shared" si="29"/>
        <v>5627.0051999999996</v>
      </c>
      <c r="H256" s="1614">
        <f t="shared" si="30"/>
        <v>20160000</v>
      </c>
      <c r="I256" s="1466">
        <f t="shared" si="31"/>
        <v>63840000</v>
      </c>
      <c r="J256" s="1465">
        <f t="shared" si="36"/>
        <v>29671.991017550634</v>
      </c>
      <c r="K256" s="1465">
        <f t="shared" si="36"/>
        <v>172231.88887882043</v>
      </c>
      <c r="L256" s="1467">
        <f t="shared" si="32"/>
        <v>201904</v>
      </c>
      <c r="N256" s="1616">
        <v>202733.851638183</v>
      </c>
      <c r="O256" s="1468">
        <f t="shared" si="33"/>
        <v>829.8516381829977</v>
      </c>
      <c r="P256" s="1469">
        <f t="shared" si="34"/>
        <v>4.0933057379288849E-3</v>
      </c>
      <c r="R256" s="1605">
        <v>201903.8407</v>
      </c>
      <c r="S256" s="750">
        <f t="shared" si="35"/>
        <v>-0.15929999999934807</v>
      </c>
    </row>
    <row r="257" spans="1:19" x14ac:dyDescent="0.2">
      <c r="A257" s="1461" t="s">
        <v>403</v>
      </c>
      <c r="B257" s="1462" t="s">
        <v>404</v>
      </c>
      <c r="C257" s="1463">
        <v>1.0815999999999999</v>
      </c>
      <c r="D257" s="1464">
        <f>INDEX(Data!$E$5:$E$300,MATCH('Cost of Collection'!B257,Data!$C$5:$C$300,0))</f>
        <v>121638534</v>
      </c>
      <c r="E257" s="1464">
        <f>INDEX(Data!$F$5:$F$300,MATCH('Cost of Collection'!B257,Data!$C$5:$C$300,0))</f>
        <v>2114</v>
      </c>
      <c r="F257" s="1611">
        <f t="shared" si="28"/>
        <v>131564238.37439999</v>
      </c>
      <c r="G257" s="1465">
        <f t="shared" si="29"/>
        <v>2286.5023999999999</v>
      </c>
      <c r="H257" s="1614">
        <f t="shared" si="30"/>
        <v>20160000</v>
      </c>
      <c r="I257" s="1466">
        <f t="shared" si="31"/>
        <v>63840000</v>
      </c>
      <c r="J257" s="1465">
        <f t="shared" si="36"/>
        <v>36038.444004733981</v>
      </c>
      <c r="K257" s="1465">
        <f t="shared" si="36"/>
        <v>69985.474205347491</v>
      </c>
      <c r="L257" s="1467">
        <f t="shared" si="32"/>
        <v>106024</v>
      </c>
      <c r="N257" s="1616">
        <v>104296.92679577001</v>
      </c>
      <c r="O257" s="1468">
        <f t="shared" si="33"/>
        <v>-1727.0732042299933</v>
      </c>
      <c r="P257" s="1469">
        <f t="shared" si="34"/>
        <v>-1.6559195532308231E-2</v>
      </c>
      <c r="R257" s="1605">
        <v>106023.9023</v>
      </c>
      <c r="S257" s="750">
        <f t="shared" si="35"/>
        <v>-9.7699999998440035E-2</v>
      </c>
    </row>
    <row r="258" spans="1:19" x14ac:dyDescent="0.2">
      <c r="A258" s="1461" t="s">
        <v>574</v>
      </c>
      <c r="B258" s="1462" t="s">
        <v>406</v>
      </c>
      <c r="C258" s="1463">
        <v>1.0618000000000001</v>
      </c>
      <c r="D258" s="1464">
        <f>INDEX(Data!$E$5:$E$300,MATCH('Cost of Collection'!B258,Data!$C$5:$C$300,0))</f>
        <v>331174483</v>
      </c>
      <c r="E258" s="1464">
        <f>INDEX(Data!$F$5:$F$300,MATCH('Cost of Collection'!B258,Data!$C$5:$C$300,0))</f>
        <v>4390</v>
      </c>
      <c r="F258" s="1611">
        <f t="shared" si="28"/>
        <v>351641066.04940003</v>
      </c>
      <c r="G258" s="1465">
        <f t="shared" si="29"/>
        <v>4661.3020000000006</v>
      </c>
      <c r="H258" s="1614">
        <f t="shared" si="30"/>
        <v>20160000</v>
      </c>
      <c r="I258" s="1466">
        <f t="shared" si="31"/>
        <v>63840000</v>
      </c>
      <c r="J258" s="1465">
        <f t="shared" si="36"/>
        <v>96322.503935477682</v>
      </c>
      <c r="K258" s="1465">
        <f t="shared" si="36"/>
        <v>142673.55716938447</v>
      </c>
      <c r="L258" s="1467">
        <f t="shared" si="32"/>
        <v>238996</v>
      </c>
      <c r="N258" s="1616">
        <v>236516.16381953799</v>
      </c>
      <c r="O258" s="1468">
        <f t="shared" si="33"/>
        <v>-2479.8361804620072</v>
      </c>
      <c r="P258" s="1469">
        <f t="shared" si="34"/>
        <v>-1.0484848648036267E-2</v>
      </c>
      <c r="R258" s="1605">
        <v>238996.0287</v>
      </c>
      <c r="S258" s="750">
        <f t="shared" si="35"/>
        <v>2.8699999995296821E-2</v>
      </c>
    </row>
    <row r="259" spans="1:19" x14ac:dyDescent="0.2">
      <c r="A259" s="1461" t="s">
        <v>407</v>
      </c>
      <c r="B259" s="1462" t="s">
        <v>408</v>
      </c>
      <c r="C259" s="1463">
        <v>1.0067999999999999</v>
      </c>
      <c r="D259" s="1464">
        <f>INDEX(Data!$E$5:$E$300,MATCH('Cost of Collection'!B259,Data!$C$5:$C$300,0))</f>
        <v>174089342</v>
      </c>
      <c r="E259" s="1464">
        <f>INDEX(Data!$F$5:$F$300,MATCH('Cost of Collection'!B259,Data!$C$5:$C$300,0))</f>
        <v>3764</v>
      </c>
      <c r="F259" s="1611">
        <f t="shared" si="28"/>
        <v>175273149.52559999</v>
      </c>
      <c r="G259" s="1465">
        <f t="shared" si="29"/>
        <v>3789.5951999999997</v>
      </c>
      <c r="H259" s="1614">
        <f t="shared" si="30"/>
        <v>20160000</v>
      </c>
      <c r="I259" s="1466">
        <f t="shared" si="31"/>
        <v>63840000</v>
      </c>
      <c r="J259" s="1465">
        <f t="shared" si="36"/>
        <v>48011.311149282577</v>
      </c>
      <c r="K259" s="1465">
        <f t="shared" si="36"/>
        <v>115992.27585254608</v>
      </c>
      <c r="L259" s="1467">
        <f t="shared" si="32"/>
        <v>164004</v>
      </c>
      <c r="N259" s="1616">
        <v>161510.47525775401</v>
      </c>
      <c r="O259" s="1468">
        <f t="shared" si="33"/>
        <v>-2493.5247422459943</v>
      </c>
      <c r="P259" s="1469">
        <f t="shared" si="34"/>
        <v>-1.5438780291288146E-2</v>
      </c>
      <c r="R259" s="1605">
        <v>164003.5606</v>
      </c>
      <c r="S259" s="750">
        <f t="shared" si="35"/>
        <v>-0.43940000000293367</v>
      </c>
    </row>
    <row r="260" spans="1:19" x14ac:dyDescent="0.2">
      <c r="A260" s="1461" t="s">
        <v>556</v>
      </c>
      <c r="B260" s="1462" t="s">
        <v>410</v>
      </c>
      <c r="C260" s="1463">
        <v>1</v>
      </c>
      <c r="D260" s="1464">
        <f>INDEX(Data!$E$5:$E$300,MATCH('Cost of Collection'!B260,Data!$C$5:$C$300,0))</f>
        <v>99477351</v>
      </c>
      <c r="E260" s="1464">
        <f>INDEX(Data!$F$5:$F$300,MATCH('Cost of Collection'!B260,Data!$C$5:$C$300,0))</f>
        <v>5527</v>
      </c>
      <c r="F260" s="1611">
        <f t="shared" si="28"/>
        <v>99477351</v>
      </c>
      <c r="G260" s="1465">
        <f t="shared" si="29"/>
        <v>5527</v>
      </c>
      <c r="H260" s="1614">
        <f t="shared" si="30"/>
        <v>20160000</v>
      </c>
      <c r="I260" s="1466">
        <f t="shared" si="31"/>
        <v>63840000</v>
      </c>
      <c r="J260" s="1465">
        <f t="shared" si="36"/>
        <v>27249.11410615018</v>
      </c>
      <c r="K260" s="1465">
        <f t="shared" si="36"/>
        <v>169170.92058724959</v>
      </c>
      <c r="L260" s="1467">
        <f t="shared" si="32"/>
        <v>196420</v>
      </c>
      <c r="N260" s="1616">
        <v>199473.79686767</v>
      </c>
      <c r="O260" s="1468">
        <f t="shared" si="33"/>
        <v>3053.7968676699966</v>
      </c>
      <c r="P260" s="1469">
        <f t="shared" si="34"/>
        <v>1.530926324972834E-2</v>
      </c>
      <c r="R260" s="1605">
        <v>196419.99619999999</v>
      </c>
      <c r="S260" s="750">
        <f t="shared" si="35"/>
        <v>-3.8000000058673322E-3</v>
      </c>
    </row>
    <row r="261" spans="1:19" x14ac:dyDescent="0.2">
      <c r="A261" s="1461" t="s">
        <v>411</v>
      </c>
      <c r="B261" s="1462" t="s">
        <v>412</v>
      </c>
      <c r="C261" s="1463">
        <v>1</v>
      </c>
      <c r="D261" s="1464">
        <f>INDEX(Data!$E$5:$E$300,MATCH('Cost of Collection'!B261,Data!$C$5:$C$300,0))</f>
        <v>45548880</v>
      </c>
      <c r="E261" s="1464">
        <f>INDEX(Data!$F$5:$F$300,MATCH('Cost of Collection'!B261,Data!$C$5:$C$300,0))</f>
        <v>3974</v>
      </c>
      <c r="F261" s="1611">
        <f t="shared" ref="F261:F299" si="37">D261*C261</f>
        <v>45548880</v>
      </c>
      <c r="G261" s="1465">
        <f t="shared" ref="G261:G299" si="38">E261*C261</f>
        <v>3974</v>
      </c>
      <c r="H261" s="1614">
        <f t="shared" ref="H261:H299" si="39">20160000</f>
        <v>20160000</v>
      </c>
      <c r="I261" s="1466">
        <f t="shared" ref="I261:I299" si="40">63840000</f>
        <v>63840000</v>
      </c>
      <c r="J261" s="1465">
        <f t="shared" si="36"/>
        <v>12476.876555823666</v>
      </c>
      <c r="K261" s="1465">
        <f t="shared" si="36"/>
        <v>121636.55480617512</v>
      </c>
      <c r="L261" s="1467">
        <f t="shared" ref="L261:L299" si="41">ROUND(J261+K261,0)</f>
        <v>134113</v>
      </c>
      <c r="N261" s="1616">
        <v>139654.39939719799</v>
      </c>
      <c r="O261" s="1468">
        <f t="shared" ref="O261:O299" si="42">N261-L261</f>
        <v>5541.3993971979944</v>
      </c>
      <c r="P261" s="1469">
        <f t="shared" ref="P261:P299" si="43">O261/N261</f>
        <v>3.9679375809976637E-2</v>
      </c>
      <c r="R261" s="1605">
        <v>134113.4037</v>
      </c>
      <c r="S261" s="750">
        <f t="shared" ref="S261:S299" si="44">R261-L261</f>
        <v>0.40369999999529682</v>
      </c>
    </row>
    <row r="262" spans="1:19" x14ac:dyDescent="0.2">
      <c r="A262" s="1461" t="s">
        <v>413</v>
      </c>
      <c r="B262" s="1462" t="s">
        <v>414</v>
      </c>
      <c r="C262" s="1463">
        <v>1.2208000000000001</v>
      </c>
      <c r="D262" s="1464">
        <f>INDEX(Data!$E$5:$E$300,MATCH('Cost of Collection'!B262,Data!$C$5:$C$300,0))</f>
        <v>1027015436</v>
      </c>
      <c r="E262" s="1464">
        <f>INDEX(Data!$F$5:$F$300,MATCH('Cost of Collection'!B262,Data!$C$5:$C$300,0))</f>
        <v>18108</v>
      </c>
      <c r="F262" s="1611">
        <f t="shared" si="37"/>
        <v>1253780444.2688</v>
      </c>
      <c r="G262" s="1465">
        <f t="shared" si="38"/>
        <v>22106.246400000004</v>
      </c>
      <c r="H262" s="1614">
        <f t="shared" si="39"/>
        <v>20160000</v>
      </c>
      <c r="I262" s="1466">
        <f t="shared" si="40"/>
        <v>63840000</v>
      </c>
      <c r="J262" s="1465">
        <f t="shared" si="36"/>
        <v>343439.04463177954</v>
      </c>
      <c r="K262" s="1465">
        <f t="shared" si="36"/>
        <v>676630.00800010364</v>
      </c>
      <c r="L262" s="1467">
        <f t="shared" si="41"/>
        <v>1020069</v>
      </c>
      <c r="N262" s="1616">
        <v>1020632.36169792</v>
      </c>
      <c r="O262" s="1468">
        <f t="shared" si="42"/>
        <v>563.36169792001601</v>
      </c>
      <c r="P262" s="1469">
        <f t="shared" si="43"/>
        <v>5.5197318746860985E-4</v>
      </c>
      <c r="R262" s="1605">
        <v>1020068.899</v>
      </c>
      <c r="S262" s="750">
        <f t="shared" si="44"/>
        <v>-0.10100000002421439</v>
      </c>
    </row>
    <row r="263" spans="1:19" x14ac:dyDescent="0.2">
      <c r="A263" s="1461" t="s">
        <v>415</v>
      </c>
      <c r="B263" s="1462" t="s">
        <v>416</v>
      </c>
      <c r="C263" s="1463">
        <v>1.0168999999999999</v>
      </c>
      <c r="D263" s="1464">
        <f>INDEX(Data!$E$5:$E$300,MATCH('Cost of Collection'!B263,Data!$C$5:$C$300,0))</f>
        <v>360289083</v>
      </c>
      <c r="E263" s="1464">
        <f>INDEX(Data!$F$5:$F$300,MATCH('Cost of Collection'!B263,Data!$C$5:$C$300,0))</f>
        <v>10857</v>
      </c>
      <c r="F263" s="1611">
        <f t="shared" si="37"/>
        <v>366377968.50269997</v>
      </c>
      <c r="G263" s="1465">
        <f t="shared" si="38"/>
        <v>11040.4833</v>
      </c>
      <c r="H263" s="1614">
        <f t="shared" si="39"/>
        <v>20160000</v>
      </c>
      <c r="I263" s="1466">
        <f t="shared" si="40"/>
        <v>63840000</v>
      </c>
      <c r="J263" s="1465">
        <f t="shared" si="36"/>
        <v>100359.27745713262</v>
      </c>
      <c r="K263" s="1465">
        <f t="shared" si="36"/>
        <v>337928.1207868926</v>
      </c>
      <c r="L263" s="1467">
        <f t="shared" si="41"/>
        <v>438287</v>
      </c>
      <c r="N263" s="1616">
        <v>438660.90437311202</v>
      </c>
      <c r="O263" s="1468">
        <f t="shared" si="42"/>
        <v>373.90437311201822</v>
      </c>
      <c r="P263" s="1469">
        <f t="shared" si="43"/>
        <v>8.5237678896039979E-4</v>
      </c>
      <c r="R263" s="1605">
        <v>438287.32140000002</v>
      </c>
      <c r="S263" s="750">
        <f t="shared" si="44"/>
        <v>0.32140000001527369</v>
      </c>
    </row>
    <row r="264" spans="1:19" x14ac:dyDescent="0.2">
      <c r="A264" s="1461" t="s">
        <v>417</v>
      </c>
      <c r="B264" s="1462" t="s">
        <v>418</v>
      </c>
      <c r="C264" s="1463">
        <v>1.0067999999999999</v>
      </c>
      <c r="D264" s="1464">
        <f>INDEX(Data!$E$5:$E$300,MATCH('Cost of Collection'!B264,Data!$C$5:$C$300,0))</f>
        <v>142538046</v>
      </c>
      <c r="E264" s="1464">
        <f>INDEX(Data!$F$5:$F$300,MATCH('Cost of Collection'!B264,Data!$C$5:$C$300,0))</f>
        <v>4060</v>
      </c>
      <c r="F264" s="1611">
        <f t="shared" si="37"/>
        <v>143507304.7128</v>
      </c>
      <c r="G264" s="1465">
        <f t="shared" si="38"/>
        <v>4087.6079999999997</v>
      </c>
      <c r="H264" s="1614">
        <f t="shared" si="39"/>
        <v>20160000</v>
      </c>
      <c r="I264" s="1466">
        <f t="shared" si="40"/>
        <v>63840000</v>
      </c>
      <c r="J264" s="1465">
        <f t="shared" si="36"/>
        <v>39309.922126747733</v>
      </c>
      <c r="K264" s="1465">
        <f t="shared" si="36"/>
        <v>125113.87884201304</v>
      </c>
      <c r="L264" s="1467">
        <f t="shared" si="41"/>
        <v>164424</v>
      </c>
      <c r="N264" s="1616">
        <v>164792.25606012499</v>
      </c>
      <c r="O264" s="1468">
        <f t="shared" si="42"/>
        <v>368.25606012498611</v>
      </c>
      <c r="P264" s="1469">
        <f t="shared" si="43"/>
        <v>2.2346684785395903E-3</v>
      </c>
      <c r="R264" s="1605">
        <v>164423.77249999999</v>
      </c>
      <c r="S264" s="750">
        <f t="shared" si="44"/>
        <v>-0.22750000000814907</v>
      </c>
    </row>
    <row r="265" spans="1:19" x14ac:dyDescent="0.2">
      <c r="A265" s="1461" t="s">
        <v>419</v>
      </c>
      <c r="B265" s="1462" t="s">
        <v>420</v>
      </c>
      <c r="C265" s="1463">
        <v>1.0129999999999999</v>
      </c>
      <c r="D265" s="1464">
        <f>INDEX(Data!$E$5:$E$300,MATCH('Cost of Collection'!B265,Data!$C$5:$C$300,0))</f>
        <v>128765939</v>
      </c>
      <c r="E265" s="1464">
        <f>INDEX(Data!$F$5:$F$300,MATCH('Cost of Collection'!B265,Data!$C$5:$C$300,0))</f>
        <v>3538</v>
      </c>
      <c r="F265" s="1611">
        <f t="shared" si="37"/>
        <v>130439896.20699999</v>
      </c>
      <c r="G265" s="1465">
        <f t="shared" si="38"/>
        <v>3583.9939999999997</v>
      </c>
      <c r="H265" s="1614">
        <f t="shared" si="39"/>
        <v>20160000</v>
      </c>
      <c r="I265" s="1466">
        <f t="shared" si="40"/>
        <v>63840000</v>
      </c>
      <c r="J265" s="1465">
        <f t="shared" si="36"/>
        <v>35730.46105478752</v>
      </c>
      <c r="K265" s="1465">
        <f t="shared" si="36"/>
        <v>109699.21555259253</v>
      </c>
      <c r="L265" s="1467">
        <f t="shared" si="41"/>
        <v>145430</v>
      </c>
      <c r="N265" s="1616">
        <v>144474.73686916099</v>
      </c>
      <c r="O265" s="1468">
        <f t="shared" si="42"/>
        <v>-955.26313083901186</v>
      </c>
      <c r="P265" s="1469">
        <f t="shared" si="43"/>
        <v>-6.6119734947440393E-3</v>
      </c>
      <c r="R265" s="1605">
        <v>145429.65169999999</v>
      </c>
      <c r="S265" s="750">
        <f t="shared" si="44"/>
        <v>-0.34830000001238659</v>
      </c>
    </row>
    <row r="266" spans="1:19" x14ac:dyDescent="0.2">
      <c r="A266" s="1461" t="s">
        <v>421</v>
      </c>
      <c r="B266" s="1462" t="s">
        <v>422</v>
      </c>
      <c r="C266" s="1463">
        <v>1.0533999999999999</v>
      </c>
      <c r="D266" s="1464">
        <f>INDEX(Data!$E$5:$E$300,MATCH('Cost of Collection'!B266,Data!$C$5:$C$300,0))</f>
        <v>193768741</v>
      </c>
      <c r="E266" s="1464">
        <f>INDEX(Data!$F$5:$F$300,MATCH('Cost of Collection'!B266,Data!$C$5:$C$300,0))</f>
        <v>4013</v>
      </c>
      <c r="F266" s="1611">
        <f t="shared" si="37"/>
        <v>204115991.76939997</v>
      </c>
      <c r="G266" s="1465">
        <f t="shared" si="38"/>
        <v>4227.2941999999994</v>
      </c>
      <c r="H266" s="1614">
        <f t="shared" si="39"/>
        <v>20160000</v>
      </c>
      <c r="I266" s="1466">
        <f t="shared" si="40"/>
        <v>63840000</v>
      </c>
      <c r="J266" s="1465">
        <f t="shared" si="36"/>
        <v>55912.023135943688</v>
      </c>
      <c r="K266" s="1465">
        <f t="shared" si="36"/>
        <v>129389.40680425923</v>
      </c>
      <c r="L266" s="1467">
        <f t="shared" si="41"/>
        <v>185301</v>
      </c>
      <c r="N266" s="1616">
        <v>183838.67762250901</v>
      </c>
      <c r="O266" s="1468">
        <f t="shared" si="42"/>
        <v>-1462.3223774909857</v>
      </c>
      <c r="P266" s="1469">
        <f t="shared" si="43"/>
        <v>-7.9543782429380375E-3</v>
      </c>
      <c r="R266" s="1605">
        <v>185301.40049999999</v>
      </c>
      <c r="S266" s="750">
        <f t="shared" si="44"/>
        <v>0.40049999998882413</v>
      </c>
    </row>
    <row r="267" spans="1:19" x14ac:dyDescent="0.2">
      <c r="A267" s="1461" t="s">
        <v>423</v>
      </c>
      <c r="B267" s="1462" t="s">
        <v>424</v>
      </c>
      <c r="C267" s="1463">
        <v>1.0055000000000001</v>
      </c>
      <c r="D267" s="1464">
        <f>INDEX(Data!$E$5:$E$300,MATCH('Cost of Collection'!B267,Data!$C$5:$C$300,0))</f>
        <v>367568409</v>
      </c>
      <c r="E267" s="1464">
        <f>INDEX(Data!$F$5:$F$300,MATCH('Cost of Collection'!B267,Data!$C$5:$C$300,0))</f>
        <v>11790</v>
      </c>
      <c r="F267" s="1611">
        <f t="shared" si="37"/>
        <v>369590035.24950004</v>
      </c>
      <c r="G267" s="1465">
        <f t="shared" si="38"/>
        <v>11854.845000000001</v>
      </c>
      <c r="H267" s="1614">
        <f t="shared" si="39"/>
        <v>20160000</v>
      </c>
      <c r="I267" s="1466">
        <f t="shared" si="40"/>
        <v>63840000</v>
      </c>
      <c r="J267" s="1465">
        <f t="shared" si="36"/>
        <v>101239.13576075919</v>
      </c>
      <c r="K267" s="1465">
        <f t="shared" si="36"/>
        <v>362854.17804761231</v>
      </c>
      <c r="L267" s="1467">
        <f t="shared" si="41"/>
        <v>464093</v>
      </c>
      <c r="N267" s="1616">
        <v>463984.040104585</v>
      </c>
      <c r="O267" s="1468">
        <f t="shared" si="42"/>
        <v>-108.95989541499875</v>
      </c>
      <c r="P267" s="1469">
        <f t="shared" si="43"/>
        <v>-2.3483543828455499E-4</v>
      </c>
      <c r="R267" s="1605">
        <v>464093.23129999998</v>
      </c>
      <c r="S267" s="750">
        <f t="shared" si="44"/>
        <v>0.23129999998491257</v>
      </c>
    </row>
    <row r="268" spans="1:19" x14ac:dyDescent="0.2">
      <c r="A268" s="1461" t="s">
        <v>425</v>
      </c>
      <c r="B268" s="1462" t="s">
        <v>426</v>
      </c>
      <c r="C268" s="1463">
        <v>1.0134000000000001</v>
      </c>
      <c r="D268" s="1464">
        <f>INDEX(Data!$E$5:$E$300,MATCH('Cost of Collection'!B268,Data!$C$5:$C$300,0))</f>
        <v>202734821</v>
      </c>
      <c r="E268" s="1464">
        <f>INDEX(Data!$F$5:$F$300,MATCH('Cost of Collection'!B268,Data!$C$5:$C$300,0))</f>
        <v>8449</v>
      </c>
      <c r="F268" s="1611">
        <f t="shared" si="37"/>
        <v>205451467.60140002</v>
      </c>
      <c r="G268" s="1465">
        <f t="shared" si="38"/>
        <v>8562.2166000000016</v>
      </c>
      <c r="H268" s="1614">
        <f t="shared" si="39"/>
        <v>20160000</v>
      </c>
      <c r="I268" s="1466">
        <f t="shared" si="40"/>
        <v>63840000</v>
      </c>
      <c r="J268" s="1465">
        <f t="shared" si="36"/>
        <v>56277.840409587974</v>
      </c>
      <c r="K268" s="1465">
        <f t="shared" si="36"/>
        <v>262073.10738003088</v>
      </c>
      <c r="L268" s="1467">
        <f t="shared" si="41"/>
        <v>318351</v>
      </c>
      <c r="N268" s="1616">
        <v>317566.67331916897</v>
      </c>
      <c r="O268" s="1468">
        <f t="shared" si="42"/>
        <v>-784.32668083102908</v>
      </c>
      <c r="P268" s="1469">
        <f t="shared" si="43"/>
        <v>-2.4698016093229816E-3</v>
      </c>
      <c r="R268" s="1605">
        <v>318350.88819999999</v>
      </c>
      <c r="S268" s="750">
        <f t="shared" si="44"/>
        <v>-0.11180000001331791</v>
      </c>
    </row>
    <row r="269" spans="1:19" x14ac:dyDescent="0.2">
      <c r="A269" s="1461" t="s">
        <v>427</v>
      </c>
      <c r="B269" s="1462" t="s">
        <v>428</v>
      </c>
      <c r="C269" s="1463">
        <v>1.0760000000000001</v>
      </c>
      <c r="D269" s="1464">
        <f>INDEX(Data!$E$5:$E$300,MATCH('Cost of Collection'!B269,Data!$C$5:$C$300,0))</f>
        <v>190429151</v>
      </c>
      <c r="E269" s="1464">
        <f>INDEX(Data!$F$5:$F$300,MATCH('Cost of Collection'!B269,Data!$C$5:$C$300,0))</f>
        <v>6787</v>
      </c>
      <c r="F269" s="1611">
        <f t="shared" si="37"/>
        <v>204901766.47600001</v>
      </c>
      <c r="G269" s="1465">
        <f t="shared" si="38"/>
        <v>7302.8120000000008</v>
      </c>
      <c r="H269" s="1614">
        <f t="shared" si="39"/>
        <v>20160000</v>
      </c>
      <c r="I269" s="1466">
        <f t="shared" si="40"/>
        <v>63840000</v>
      </c>
      <c r="J269" s="1465">
        <f t="shared" si="36"/>
        <v>56127.264740455968</v>
      </c>
      <c r="K269" s="1465">
        <f t="shared" si="36"/>
        <v>223525.13640593697</v>
      </c>
      <c r="L269" s="1467">
        <f t="shared" si="41"/>
        <v>279652</v>
      </c>
      <c r="N269" s="1616">
        <v>277379.32429694</v>
      </c>
      <c r="O269" s="1468">
        <f t="shared" si="42"/>
        <v>-2272.6757030599983</v>
      </c>
      <c r="P269" s="1469">
        <f t="shared" si="43"/>
        <v>-8.1933853895579268E-3</v>
      </c>
      <c r="R269" s="1605">
        <v>279652.35029999999</v>
      </c>
      <c r="S269" s="750">
        <f t="shared" si="44"/>
        <v>0.35029999999096617</v>
      </c>
    </row>
    <row r="270" spans="1:19" x14ac:dyDescent="0.2">
      <c r="A270" s="1461" t="s">
        <v>429</v>
      </c>
      <c r="B270" s="1462" t="s">
        <v>430</v>
      </c>
      <c r="C270" s="1463">
        <v>1.2208000000000001</v>
      </c>
      <c r="D270" s="1464">
        <f>INDEX(Data!$E$5:$E$300,MATCH('Cost of Collection'!B270,Data!$C$5:$C$300,0))</f>
        <v>367071763</v>
      </c>
      <c r="E270" s="1464">
        <f>INDEX(Data!$F$5:$F$300,MATCH('Cost of Collection'!B270,Data!$C$5:$C$300,0))</f>
        <v>8401</v>
      </c>
      <c r="F270" s="1611">
        <f t="shared" si="37"/>
        <v>448121208.27040005</v>
      </c>
      <c r="G270" s="1465">
        <f t="shared" si="38"/>
        <v>10255.9408</v>
      </c>
      <c r="H270" s="1614">
        <f t="shared" si="39"/>
        <v>20160000</v>
      </c>
      <c r="I270" s="1466">
        <f t="shared" si="40"/>
        <v>63840000</v>
      </c>
      <c r="J270" s="1465">
        <f t="shared" si="36"/>
        <v>122750.61423324411</v>
      </c>
      <c r="K270" s="1465">
        <f t="shared" si="36"/>
        <v>313914.77232211566</v>
      </c>
      <c r="L270" s="1467">
        <f t="shared" si="41"/>
        <v>436665</v>
      </c>
      <c r="N270" s="1616">
        <v>426738.04257569002</v>
      </c>
      <c r="O270" s="1468">
        <f t="shared" si="42"/>
        <v>-9926.9574243099778</v>
      </c>
      <c r="P270" s="1469">
        <f t="shared" si="43"/>
        <v>-2.3262414956944564E-2</v>
      </c>
      <c r="R270" s="1605">
        <v>436665.31520000001</v>
      </c>
      <c r="S270" s="750">
        <f t="shared" si="44"/>
        <v>0.3152000000118278</v>
      </c>
    </row>
    <row r="271" spans="1:19" x14ac:dyDescent="0.2">
      <c r="A271" s="1461" t="s">
        <v>538</v>
      </c>
      <c r="B271" s="1462" t="s">
        <v>432</v>
      </c>
      <c r="C271" s="1463">
        <v>1.0129999999999999</v>
      </c>
      <c r="D271" s="1464">
        <f>INDEX(Data!$E$5:$E$300,MATCH('Cost of Collection'!B271,Data!$C$5:$C$300,0))</f>
        <v>265785398</v>
      </c>
      <c r="E271" s="1464">
        <f>INDEX(Data!$F$5:$F$300,MATCH('Cost of Collection'!B271,Data!$C$5:$C$300,0))</f>
        <v>6970</v>
      </c>
      <c r="F271" s="1611">
        <f t="shared" si="37"/>
        <v>269240608.17399997</v>
      </c>
      <c r="G271" s="1465">
        <f t="shared" si="38"/>
        <v>7060.61</v>
      </c>
      <c r="H271" s="1614">
        <f t="shared" si="39"/>
        <v>20160000</v>
      </c>
      <c r="I271" s="1466">
        <f t="shared" si="40"/>
        <v>63840000</v>
      </c>
      <c r="J271" s="1465">
        <f t="shared" si="36"/>
        <v>73751.14013784501</v>
      </c>
      <c r="K271" s="1465">
        <f t="shared" si="36"/>
        <v>216111.79547811477</v>
      </c>
      <c r="L271" s="1467">
        <f t="shared" si="41"/>
        <v>289863</v>
      </c>
      <c r="N271" s="1616">
        <v>289290.25809104199</v>
      </c>
      <c r="O271" s="1468">
        <f t="shared" si="42"/>
        <v>-572.74190895800712</v>
      </c>
      <c r="P271" s="1469">
        <f t="shared" si="43"/>
        <v>-1.9798174772195773E-3</v>
      </c>
      <c r="R271" s="1605">
        <v>289862.88650000002</v>
      </c>
      <c r="S271" s="750">
        <f t="shared" si="44"/>
        <v>-0.11349999997764826</v>
      </c>
    </row>
    <row r="272" spans="1:19" x14ac:dyDescent="0.2">
      <c r="A272" s="1461" t="s">
        <v>433</v>
      </c>
      <c r="B272" s="1462" t="s">
        <v>434</v>
      </c>
      <c r="C272" s="1463">
        <v>1.0213000000000001</v>
      </c>
      <c r="D272" s="1464">
        <f>INDEX(Data!$E$5:$E$300,MATCH('Cost of Collection'!B272,Data!$C$5:$C$300,0))</f>
        <v>197367793</v>
      </c>
      <c r="E272" s="1464">
        <f>INDEX(Data!$F$5:$F$300,MATCH('Cost of Collection'!B272,Data!$C$5:$C$300,0))</f>
        <v>5356</v>
      </c>
      <c r="F272" s="1611">
        <f t="shared" si="37"/>
        <v>201571726.99090001</v>
      </c>
      <c r="G272" s="1465">
        <f t="shared" si="38"/>
        <v>5470.0828000000001</v>
      </c>
      <c r="H272" s="1614">
        <f t="shared" si="39"/>
        <v>20160000</v>
      </c>
      <c r="I272" s="1466">
        <f t="shared" si="40"/>
        <v>63840000</v>
      </c>
      <c r="J272" s="1465">
        <f t="shared" si="36"/>
        <v>55215.091014524369</v>
      </c>
      <c r="K272" s="1465">
        <f t="shared" si="36"/>
        <v>167428.79373339604</v>
      </c>
      <c r="L272" s="1467">
        <f t="shared" si="41"/>
        <v>222644</v>
      </c>
      <c r="N272" s="1616">
        <v>221067.041770985</v>
      </c>
      <c r="O272" s="1468">
        <f t="shared" si="42"/>
        <v>-1576.9582290149992</v>
      </c>
      <c r="P272" s="1469">
        <f t="shared" si="43"/>
        <v>-7.133393636527029E-3</v>
      </c>
      <c r="R272" s="1605">
        <v>222643.84669999999</v>
      </c>
      <c r="S272" s="750">
        <f t="shared" si="44"/>
        <v>-0.15330000000540167</v>
      </c>
    </row>
    <row r="273" spans="1:19" x14ac:dyDescent="0.2">
      <c r="A273" s="1461" t="s">
        <v>435</v>
      </c>
      <c r="B273" s="1462" t="s">
        <v>436</v>
      </c>
      <c r="C273" s="1463">
        <v>1.0815999999999999</v>
      </c>
      <c r="D273" s="1464">
        <f>INDEX(Data!$E$5:$E$300,MATCH('Cost of Collection'!B273,Data!$C$5:$C$300,0))</f>
        <v>157411152</v>
      </c>
      <c r="E273" s="1464">
        <f>INDEX(Data!$F$5:$F$300,MATCH('Cost of Collection'!B273,Data!$C$5:$C$300,0))</f>
        <v>2910</v>
      </c>
      <c r="F273" s="1611">
        <f t="shared" si="37"/>
        <v>170255902.00319999</v>
      </c>
      <c r="G273" s="1465">
        <f t="shared" si="38"/>
        <v>3147.4559999999997</v>
      </c>
      <c r="H273" s="1614">
        <f t="shared" si="39"/>
        <v>20160000</v>
      </c>
      <c r="I273" s="1466">
        <f t="shared" si="40"/>
        <v>63840000</v>
      </c>
      <c r="J273" s="1465">
        <f t="shared" si="36"/>
        <v>46636.972680652907</v>
      </c>
      <c r="K273" s="1465">
        <f t="shared" si="36"/>
        <v>96337.620594872846</v>
      </c>
      <c r="L273" s="1467">
        <f t="shared" si="41"/>
        <v>142975</v>
      </c>
      <c r="N273" s="1616">
        <v>142541.354556462</v>
      </c>
      <c r="O273" s="1468">
        <f t="shared" si="42"/>
        <v>-433.64544353800011</v>
      </c>
      <c r="P273" s="1469">
        <f t="shared" si="43"/>
        <v>-3.0422430380807768E-3</v>
      </c>
      <c r="R273" s="1605">
        <v>142974.57139999999</v>
      </c>
      <c r="S273" s="750">
        <f t="shared" si="44"/>
        <v>-0.42860000001383014</v>
      </c>
    </row>
    <row r="274" spans="1:19" x14ac:dyDescent="0.2">
      <c r="A274" s="1461" t="s">
        <v>437</v>
      </c>
      <c r="B274" s="1462" t="s">
        <v>438</v>
      </c>
      <c r="C274" s="1463">
        <v>1.1039000000000001</v>
      </c>
      <c r="D274" s="1464">
        <f>INDEX(Data!$E$5:$E$300,MATCH('Cost of Collection'!B274,Data!$C$5:$C$300,0))</f>
        <v>109421545</v>
      </c>
      <c r="E274" s="1464">
        <f>INDEX(Data!$F$5:$F$300,MATCH('Cost of Collection'!B274,Data!$C$5:$C$300,0))</f>
        <v>3989</v>
      </c>
      <c r="F274" s="1611">
        <f t="shared" si="37"/>
        <v>120790443.52550001</v>
      </c>
      <c r="G274" s="1465">
        <f t="shared" si="38"/>
        <v>4403.4571000000005</v>
      </c>
      <c r="H274" s="1614">
        <f t="shared" si="39"/>
        <v>20160000</v>
      </c>
      <c r="I274" s="1466">
        <f t="shared" si="40"/>
        <v>63840000</v>
      </c>
      <c r="J274" s="1465">
        <f t="shared" si="36"/>
        <v>33087.255998190376</v>
      </c>
      <c r="K274" s="1465">
        <f t="shared" si="36"/>
        <v>134781.41693024436</v>
      </c>
      <c r="L274" s="1467">
        <f t="shared" si="41"/>
        <v>167869</v>
      </c>
      <c r="N274" s="1616">
        <v>167141.76061231899</v>
      </c>
      <c r="O274" s="1468">
        <f t="shared" si="42"/>
        <v>-727.23938768100925</v>
      </c>
      <c r="P274" s="1469">
        <f t="shared" si="43"/>
        <v>-4.3510334282514966E-3</v>
      </c>
      <c r="R274" s="1605">
        <v>167868.64230000001</v>
      </c>
      <c r="S274" s="750">
        <f t="shared" si="44"/>
        <v>-0.35769999999320135</v>
      </c>
    </row>
    <row r="275" spans="1:19" x14ac:dyDescent="0.2">
      <c r="A275" s="1461" t="s">
        <v>439</v>
      </c>
      <c r="B275" s="1462" t="s">
        <v>440</v>
      </c>
      <c r="C275" s="1463">
        <v>1.0089999999999999</v>
      </c>
      <c r="D275" s="1464">
        <f>INDEX(Data!$E$5:$E$300,MATCH('Cost of Collection'!B275,Data!$C$5:$C$300,0))</f>
        <v>111710938</v>
      </c>
      <c r="E275" s="1464">
        <f>INDEX(Data!$F$5:$F$300,MATCH('Cost of Collection'!B275,Data!$C$5:$C$300,0))</f>
        <v>6702</v>
      </c>
      <c r="F275" s="1611">
        <f t="shared" si="37"/>
        <v>112716336.44199999</v>
      </c>
      <c r="G275" s="1465">
        <f t="shared" si="38"/>
        <v>6762.3179999999993</v>
      </c>
      <c r="H275" s="1614">
        <f t="shared" si="39"/>
        <v>20160000</v>
      </c>
      <c r="I275" s="1466">
        <f t="shared" si="40"/>
        <v>63840000</v>
      </c>
      <c r="J275" s="1465">
        <f t="shared" si="36"/>
        <v>30875.574012171586</v>
      </c>
      <c r="K275" s="1465">
        <f t="shared" si="36"/>
        <v>206981.64670955823</v>
      </c>
      <c r="L275" s="1467">
        <f t="shared" si="41"/>
        <v>237857</v>
      </c>
      <c r="N275" s="1616">
        <v>235093.888029511</v>
      </c>
      <c r="O275" s="1468">
        <f t="shared" si="42"/>
        <v>-2763.1119704890007</v>
      </c>
      <c r="P275" s="1469">
        <f t="shared" si="43"/>
        <v>-1.1753227587703816E-2</v>
      </c>
      <c r="R275" s="1605">
        <v>237857.17360000001</v>
      </c>
      <c r="S275" s="750">
        <f t="shared" si="44"/>
        <v>0.17360000000917353</v>
      </c>
    </row>
    <row r="276" spans="1:19" x14ac:dyDescent="0.2">
      <c r="A276" s="1461" t="s">
        <v>441</v>
      </c>
      <c r="B276" s="1462" t="s">
        <v>442</v>
      </c>
      <c r="C276" s="1463">
        <v>1.0815999999999999</v>
      </c>
      <c r="D276" s="1464">
        <f>INDEX(Data!$E$5:$E$300,MATCH('Cost of Collection'!B276,Data!$C$5:$C$300,0))</f>
        <v>193462540</v>
      </c>
      <c r="E276" s="1464">
        <f>INDEX(Data!$F$5:$F$300,MATCH('Cost of Collection'!B276,Data!$C$5:$C$300,0))</f>
        <v>2969</v>
      </c>
      <c r="F276" s="1611">
        <f t="shared" si="37"/>
        <v>209249083.26399997</v>
      </c>
      <c r="G276" s="1465">
        <f t="shared" si="38"/>
        <v>3211.2703999999999</v>
      </c>
      <c r="H276" s="1614">
        <f t="shared" si="39"/>
        <v>20160000</v>
      </c>
      <c r="I276" s="1466">
        <f t="shared" si="40"/>
        <v>63840000</v>
      </c>
      <c r="J276" s="1465">
        <f t="shared" si="36"/>
        <v>57318.09390931666</v>
      </c>
      <c r="K276" s="1465">
        <f t="shared" si="36"/>
        <v>98290.857576006019</v>
      </c>
      <c r="L276" s="1467">
        <f t="shared" si="41"/>
        <v>155609</v>
      </c>
      <c r="N276" s="1616">
        <v>155489.40500397899</v>
      </c>
      <c r="O276" s="1468">
        <f t="shared" si="42"/>
        <v>-119.59499602101278</v>
      </c>
      <c r="P276" s="1469">
        <f t="shared" si="43"/>
        <v>-7.6915205906120953E-4</v>
      </c>
      <c r="R276" s="1605">
        <v>155608.92910000001</v>
      </c>
      <c r="S276" s="750">
        <f t="shared" si="44"/>
        <v>-7.0899999991524965E-2</v>
      </c>
    </row>
    <row r="277" spans="1:19" x14ac:dyDescent="0.2">
      <c r="A277" s="1461" t="s">
        <v>521</v>
      </c>
      <c r="B277" s="1462" t="s">
        <v>444</v>
      </c>
      <c r="C277" s="1463">
        <v>1.0806</v>
      </c>
      <c r="D277" s="1464">
        <f>INDEX(Data!$E$5:$E$300,MATCH('Cost of Collection'!B277,Data!$C$5:$C$300,0))</f>
        <v>238584262</v>
      </c>
      <c r="E277" s="1464">
        <f>INDEX(Data!$F$5:$F$300,MATCH('Cost of Collection'!B277,Data!$C$5:$C$300,0))</f>
        <v>5993</v>
      </c>
      <c r="F277" s="1611">
        <f t="shared" si="37"/>
        <v>257814153.51719999</v>
      </c>
      <c r="G277" s="1465">
        <f t="shared" si="38"/>
        <v>6476.0357999999997</v>
      </c>
      <c r="H277" s="1614">
        <f t="shared" si="39"/>
        <v>20160000</v>
      </c>
      <c r="I277" s="1466">
        <f t="shared" si="40"/>
        <v>63840000</v>
      </c>
      <c r="J277" s="1465">
        <f t="shared" si="36"/>
        <v>70621.173732005613</v>
      </c>
      <c r="K277" s="1465">
        <f t="shared" si="36"/>
        <v>198219.09499583597</v>
      </c>
      <c r="L277" s="1467">
        <f t="shared" si="41"/>
        <v>268840</v>
      </c>
      <c r="N277" s="1616">
        <v>268030.50695281499</v>
      </c>
      <c r="O277" s="1468">
        <f t="shared" si="42"/>
        <v>-809.49304718500935</v>
      </c>
      <c r="P277" s="1469">
        <f t="shared" si="43"/>
        <v>-3.0201526549644415E-3</v>
      </c>
      <c r="R277" s="1605">
        <v>268840.22360000003</v>
      </c>
      <c r="S277" s="750">
        <f t="shared" si="44"/>
        <v>0.22360000002663583</v>
      </c>
    </row>
    <row r="278" spans="1:19" x14ac:dyDescent="0.2">
      <c r="A278" s="1461" t="s">
        <v>445</v>
      </c>
      <c r="B278" s="1462" t="s">
        <v>446</v>
      </c>
      <c r="C278" s="1463">
        <v>1</v>
      </c>
      <c r="D278" s="1464">
        <f>INDEX(Data!$E$5:$E$300,MATCH('Cost of Collection'!B278,Data!$C$5:$C$300,0))</f>
        <v>35143654</v>
      </c>
      <c r="E278" s="1464">
        <f>INDEX(Data!$F$5:$F$300,MATCH('Cost of Collection'!B278,Data!$C$5:$C$300,0))</f>
        <v>2434</v>
      </c>
      <c r="F278" s="1611">
        <f t="shared" si="37"/>
        <v>35143654</v>
      </c>
      <c r="G278" s="1465">
        <f t="shared" si="38"/>
        <v>2434</v>
      </c>
      <c r="H278" s="1614">
        <f t="shared" si="39"/>
        <v>20160000</v>
      </c>
      <c r="I278" s="1466">
        <f t="shared" si="40"/>
        <v>63840000</v>
      </c>
      <c r="J278" s="1465">
        <f t="shared" si="36"/>
        <v>9626.6479588209113</v>
      </c>
      <c r="K278" s="1465">
        <f t="shared" si="36"/>
        <v>74500.094211935138</v>
      </c>
      <c r="L278" s="1467">
        <f t="shared" si="41"/>
        <v>84127</v>
      </c>
      <c r="N278" s="1616">
        <v>84520.356046659101</v>
      </c>
      <c r="O278" s="1468">
        <f t="shared" si="42"/>
        <v>393.35604665910068</v>
      </c>
      <c r="P278" s="1469">
        <f t="shared" si="43"/>
        <v>4.6539800002966172E-3</v>
      </c>
      <c r="R278" s="1605">
        <v>84126.725229999996</v>
      </c>
      <c r="S278" s="750">
        <f t="shared" si="44"/>
        <v>-0.2747700000036275</v>
      </c>
    </row>
    <row r="279" spans="1:19" x14ac:dyDescent="0.2">
      <c r="A279" s="1461" t="s">
        <v>447</v>
      </c>
      <c r="B279" s="1462" t="s">
        <v>448</v>
      </c>
      <c r="C279" s="1463">
        <v>1</v>
      </c>
      <c r="D279" s="1464">
        <f>INDEX(Data!$E$5:$E$300,MATCH('Cost of Collection'!B279,Data!$C$5:$C$300,0))</f>
        <v>94775006</v>
      </c>
      <c r="E279" s="1464">
        <f>INDEX(Data!$F$5:$F$300,MATCH('Cost of Collection'!B279,Data!$C$5:$C$300,0))</f>
        <v>3487</v>
      </c>
      <c r="F279" s="1611">
        <f t="shared" si="37"/>
        <v>94775006</v>
      </c>
      <c r="G279" s="1465">
        <f t="shared" si="38"/>
        <v>3487</v>
      </c>
      <c r="H279" s="1614">
        <f t="shared" si="39"/>
        <v>20160000</v>
      </c>
      <c r="I279" s="1466">
        <f t="shared" si="40"/>
        <v>63840000</v>
      </c>
      <c r="J279" s="1465">
        <f t="shared" si="36"/>
        <v>25961.034616865381</v>
      </c>
      <c r="K279" s="1465">
        <f t="shared" si="36"/>
        <v>106730.41434552911</v>
      </c>
      <c r="L279" s="1467">
        <f t="shared" si="41"/>
        <v>132691</v>
      </c>
      <c r="N279" s="1616">
        <v>129872.72556729701</v>
      </c>
      <c r="O279" s="1468">
        <f t="shared" si="42"/>
        <v>-2818.2744327029941</v>
      </c>
      <c r="P279" s="1469">
        <f t="shared" si="43"/>
        <v>-2.1700279411188843E-2</v>
      </c>
      <c r="R279" s="1605">
        <v>132691.4247</v>
      </c>
      <c r="S279" s="750">
        <f t="shared" si="44"/>
        <v>0.42470000000321306</v>
      </c>
    </row>
    <row r="280" spans="1:19" x14ac:dyDescent="0.2">
      <c r="A280" s="1461" t="s">
        <v>449</v>
      </c>
      <c r="B280" s="1462" t="s">
        <v>450</v>
      </c>
      <c r="C280" s="1463">
        <v>1</v>
      </c>
      <c r="D280" s="1464">
        <f>INDEX(Data!$E$5:$E$300,MATCH('Cost of Collection'!B280,Data!$C$5:$C$300,0))</f>
        <v>54441614</v>
      </c>
      <c r="E280" s="1464">
        <f>INDEX(Data!$F$5:$F$300,MATCH('Cost of Collection'!B280,Data!$C$5:$C$300,0))</f>
        <v>3050</v>
      </c>
      <c r="F280" s="1611">
        <f t="shared" si="37"/>
        <v>54441614</v>
      </c>
      <c r="G280" s="1465">
        <f t="shared" si="38"/>
        <v>3050</v>
      </c>
      <c r="H280" s="1614">
        <f t="shared" si="39"/>
        <v>20160000</v>
      </c>
      <c r="I280" s="1466">
        <f t="shared" si="40"/>
        <v>63840000</v>
      </c>
      <c r="J280" s="1465">
        <f t="shared" si="36"/>
        <v>14912.799115539206</v>
      </c>
      <c r="K280" s="1465">
        <f t="shared" si="36"/>
        <v>93354.67844963113</v>
      </c>
      <c r="L280" s="1467">
        <f t="shared" si="41"/>
        <v>108267</v>
      </c>
      <c r="N280" s="1616">
        <v>107859.98059713301</v>
      </c>
      <c r="O280" s="1468">
        <f t="shared" si="42"/>
        <v>-407.01940286699391</v>
      </c>
      <c r="P280" s="1469">
        <f t="shared" si="43"/>
        <v>-3.7735905440892761E-3</v>
      </c>
      <c r="R280" s="1605">
        <v>108267.45630000001</v>
      </c>
      <c r="S280" s="750">
        <f t="shared" si="44"/>
        <v>0.45630000000528526</v>
      </c>
    </row>
    <row r="281" spans="1:19" x14ac:dyDescent="0.2">
      <c r="A281" s="1461" t="s">
        <v>1289</v>
      </c>
      <c r="B281" s="1462" t="s">
        <v>1314</v>
      </c>
      <c r="C281" s="1463">
        <v>1.0132000000000001</v>
      </c>
      <c r="D281" s="1464">
        <f>INDEX(Data!$E$5:$E$300,MATCH('Cost of Collection'!B281,Data!$C$5:$C$300,0))</f>
        <v>533772099</v>
      </c>
      <c r="E281" s="1464">
        <f>INDEX(Data!$F$5:$F$300,MATCH('Cost of Collection'!B281,Data!$C$5:$C$300,0))</f>
        <v>12229</v>
      </c>
      <c r="F281" s="1611">
        <f t="shared" si="37"/>
        <v>540817890.7068001</v>
      </c>
      <c r="G281" s="1465">
        <f t="shared" si="38"/>
        <v>12390.422800000002</v>
      </c>
      <c r="H281" s="1614">
        <f t="shared" si="39"/>
        <v>20160000</v>
      </c>
      <c r="I281" s="1466">
        <f t="shared" si="40"/>
        <v>63840000</v>
      </c>
      <c r="J281" s="1465">
        <f t="shared" si="36"/>
        <v>148142.34864896085</v>
      </c>
      <c r="K281" s="1465">
        <f t="shared" si="36"/>
        <v>379247.19224556669</v>
      </c>
      <c r="L281" s="1467">
        <f t="shared" si="41"/>
        <v>527390</v>
      </c>
      <c r="N281" s="1616">
        <v>523148.62657415302</v>
      </c>
      <c r="O281" s="1468">
        <f t="shared" si="42"/>
        <v>-4241.3734258469776</v>
      </c>
      <c r="P281" s="1469">
        <f t="shared" si="43"/>
        <v>-8.1073966563224645E-3</v>
      </c>
      <c r="R281" s="1605">
        <v>527389.45460000006</v>
      </c>
      <c r="S281" s="750">
        <f t="shared" si="44"/>
        <v>-0.54539999994449317</v>
      </c>
    </row>
    <row r="282" spans="1:19" x14ac:dyDescent="0.2">
      <c r="A282" s="1461" t="s">
        <v>451</v>
      </c>
      <c r="B282" s="1462" t="s">
        <v>452</v>
      </c>
      <c r="C282" s="1463">
        <v>1.0533999999999999</v>
      </c>
      <c r="D282" s="1464">
        <f>INDEX(Data!$E$5:$E$300,MATCH('Cost of Collection'!B282,Data!$C$5:$C$300,0))</f>
        <v>117713559</v>
      </c>
      <c r="E282" s="1464">
        <f>INDEX(Data!$F$5:$F$300,MATCH('Cost of Collection'!B282,Data!$C$5:$C$300,0))</f>
        <v>4357</v>
      </c>
      <c r="F282" s="1611">
        <f t="shared" si="37"/>
        <v>123999463.05059999</v>
      </c>
      <c r="G282" s="1465">
        <f t="shared" si="38"/>
        <v>4589.6637999999994</v>
      </c>
      <c r="H282" s="1614">
        <f t="shared" si="39"/>
        <v>20160000</v>
      </c>
      <c r="I282" s="1466">
        <f t="shared" si="40"/>
        <v>63840000</v>
      </c>
      <c r="J282" s="1465">
        <f t="shared" si="36"/>
        <v>33966.279598329398</v>
      </c>
      <c r="K282" s="1465">
        <f t="shared" si="36"/>
        <v>140480.84860357773</v>
      </c>
      <c r="L282" s="1467">
        <f t="shared" si="41"/>
        <v>174447</v>
      </c>
      <c r="N282" s="1616">
        <v>174020.946269785</v>
      </c>
      <c r="O282" s="1468">
        <f t="shared" si="42"/>
        <v>-426.05373021500418</v>
      </c>
      <c r="P282" s="1469">
        <f t="shared" si="43"/>
        <v>-2.4482899291588282E-3</v>
      </c>
      <c r="R282" s="1605">
        <v>174447.0962</v>
      </c>
      <c r="S282" s="750">
        <f t="shared" si="44"/>
        <v>9.6199999999953434E-2</v>
      </c>
    </row>
    <row r="283" spans="1:19" x14ac:dyDescent="0.2">
      <c r="A283" s="1470" t="s">
        <v>1183</v>
      </c>
      <c r="B283" s="1471" t="s">
        <v>1184</v>
      </c>
      <c r="C283" s="1463">
        <v>1.0054000000000001</v>
      </c>
      <c r="D283" s="1464">
        <f>INDEX(Data!$E$5:$E$300,MATCH('Cost of Collection'!B283,Data!$C$5:$C$300,0))</f>
        <v>204610206</v>
      </c>
      <c r="E283" s="1464">
        <f>INDEX(Data!$F$5:$F$300,MATCH('Cost of Collection'!B283,Data!$C$5:$C$300,0))</f>
        <v>6402</v>
      </c>
      <c r="F283" s="1611">
        <f t="shared" si="37"/>
        <v>205715101.11240003</v>
      </c>
      <c r="G283" s="1465">
        <f t="shared" si="38"/>
        <v>6436.5708000000004</v>
      </c>
      <c r="H283" s="1614">
        <f t="shared" si="39"/>
        <v>20160000</v>
      </c>
      <c r="I283" s="1466">
        <f t="shared" si="40"/>
        <v>63840000</v>
      </c>
      <c r="J283" s="1465">
        <f t="shared" si="36"/>
        <v>56350.055637991507</v>
      </c>
      <c r="K283" s="1465">
        <f t="shared" si="36"/>
        <v>197011.14667288034</v>
      </c>
      <c r="L283" s="1467">
        <f t="shared" si="41"/>
        <v>253361</v>
      </c>
      <c r="N283" s="1616">
        <v>253518.05962373901</v>
      </c>
      <c r="O283" s="1468">
        <f t="shared" si="42"/>
        <v>157.05962373901275</v>
      </c>
      <c r="P283" s="1469">
        <f t="shared" si="43"/>
        <v>6.1952045535578067E-4</v>
      </c>
      <c r="R283" s="1605">
        <v>253361.1575</v>
      </c>
      <c r="S283" s="750">
        <f t="shared" si="44"/>
        <v>0.15750000000116415</v>
      </c>
    </row>
    <row r="284" spans="1:19" x14ac:dyDescent="0.2">
      <c r="A284" s="1461" t="s">
        <v>453</v>
      </c>
      <c r="B284" s="1462" t="s">
        <v>454</v>
      </c>
      <c r="C284" s="1463">
        <v>1.2208000000000001</v>
      </c>
      <c r="D284" s="1464">
        <f>INDEX(Data!$E$5:$E$300,MATCH('Cost of Collection'!B284,Data!$C$5:$C$300,0))</f>
        <v>4707460956</v>
      </c>
      <c r="E284" s="1464">
        <f>INDEX(Data!$F$5:$F$300,MATCH('Cost of Collection'!B284,Data!$C$5:$C$300,0))</f>
        <v>36109</v>
      </c>
      <c r="F284" s="1611">
        <f t="shared" si="37"/>
        <v>5746868335.0848007</v>
      </c>
      <c r="G284" s="1465">
        <f t="shared" si="38"/>
        <v>44081.867200000001</v>
      </c>
      <c r="H284" s="1614">
        <f t="shared" si="39"/>
        <v>20160000</v>
      </c>
      <c r="I284" s="1466">
        <f t="shared" si="40"/>
        <v>63840000</v>
      </c>
      <c r="J284" s="1465">
        <f t="shared" si="36"/>
        <v>1574198.2415248177</v>
      </c>
      <c r="K284" s="1465">
        <f t="shared" si="36"/>
        <v>1349261.8157099481</v>
      </c>
      <c r="L284" s="1467">
        <f t="shared" si="41"/>
        <v>2923460</v>
      </c>
      <c r="N284" s="1616">
        <v>2954125.6186737102</v>
      </c>
      <c r="O284" s="1468">
        <f t="shared" si="42"/>
        <v>30665.618673710153</v>
      </c>
      <c r="P284" s="1469">
        <f t="shared" si="43"/>
        <v>1.0380607540811973E-2</v>
      </c>
      <c r="R284" s="1605">
        <v>2923459.75</v>
      </c>
      <c r="S284" s="750">
        <f t="shared" si="44"/>
        <v>-0.25</v>
      </c>
    </row>
    <row r="285" spans="1:19" x14ac:dyDescent="0.2">
      <c r="A285" s="1472" t="s">
        <v>2337</v>
      </c>
      <c r="B285" s="1473" t="s">
        <v>2336</v>
      </c>
      <c r="C285" s="1474">
        <v>1</v>
      </c>
      <c r="D285" s="1464">
        <f>INDEX(Data!$E$5:$E$300,MATCH('Cost of Collection'!B285,Data!$C$5:$C$300,0))</f>
        <v>250196764</v>
      </c>
      <c r="E285" s="1464">
        <f>INDEX(Data!$F$5:$F$300,MATCH('Cost of Collection'!B285,Data!$C$5:$C$300,0))</f>
        <v>15087</v>
      </c>
      <c r="F285" s="1611">
        <f t="shared" si="37"/>
        <v>250196764</v>
      </c>
      <c r="G285" s="1465">
        <f t="shared" si="38"/>
        <v>15087</v>
      </c>
      <c r="H285" s="1614">
        <f t="shared" si="39"/>
        <v>20160000</v>
      </c>
      <c r="I285" s="1466">
        <f t="shared" si="40"/>
        <v>63840000</v>
      </c>
      <c r="J285" s="1465">
        <f t="shared" si="36"/>
        <v>68534.597098645376</v>
      </c>
      <c r="K285" s="1465">
        <f t="shared" si="36"/>
        <v>461784.27336707705</v>
      </c>
      <c r="L285" s="1467">
        <f t="shared" si="41"/>
        <v>530319</v>
      </c>
      <c r="N285" s="1616">
        <v>537334.348325136</v>
      </c>
      <c r="O285" s="1468">
        <f t="shared" si="42"/>
        <v>7015.3483251360012</v>
      </c>
      <c r="P285" s="1469">
        <f t="shared" si="43"/>
        <v>1.3055834504164397E-2</v>
      </c>
      <c r="R285" s="1605">
        <v>530318.76540000003</v>
      </c>
      <c r="S285" s="750">
        <f t="shared" si="44"/>
        <v>-0.23459999996703118</v>
      </c>
    </row>
    <row r="286" spans="1:19" x14ac:dyDescent="0.2">
      <c r="A286" s="1461" t="s">
        <v>455</v>
      </c>
      <c r="B286" s="1462" t="s">
        <v>456</v>
      </c>
      <c r="C286" s="1463">
        <v>1.0168999999999999</v>
      </c>
      <c r="D286" s="1464">
        <f>INDEX(Data!$E$5:$E$300,MATCH('Cost of Collection'!B286,Data!$C$5:$C$300,0))</f>
        <v>222885516</v>
      </c>
      <c r="E286" s="1464">
        <f>INDEX(Data!$F$5:$F$300,MATCH('Cost of Collection'!B286,Data!$C$5:$C$300,0))</f>
        <v>9706</v>
      </c>
      <c r="F286" s="1611">
        <f t="shared" si="37"/>
        <v>226652281.22039998</v>
      </c>
      <c r="G286" s="1465">
        <f t="shared" si="38"/>
        <v>9870.0313999999998</v>
      </c>
      <c r="H286" s="1614">
        <f t="shared" si="39"/>
        <v>20160000</v>
      </c>
      <c r="I286" s="1466">
        <f t="shared" si="40"/>
        <v>63840000</v>
      </c>
      <c r="J286" s="1465">
        <f>(F286*H286)/F$301</f>
        <v>62085.226549648665</v>
      </c>
      <c r="K286" s="1465">
        <f t="shared" si="36"/>
        <v>302102.822175332</v>
      </c>
      <c r="L286" s="1467">
        <f t="shared" si="41"/>
        <v>364188</v>
      </c>
      <c r="N286" s="1616">
        <v>367208.03229440202</v>
      </c>
      <c r="O286" s="1468">
        <f t="shared" si="42"/>
        <v>3020.0322944020154</v>
      </c>
      <c r="P286" s="1469">
        <f t="shared" si="43"/>
        <v>8.2243089170248931E-3</v>
      </c>
      <c r="R286" s="1605">
        <v>364187.98</v>
      </c>
      <c r="S286" s="750">
        <f t="shared" si="44"/>
        <v>-2.0000000018626451E-2</v>
      </c>
    </row>
    <row r="287" spans="1:19" x14ac:dyDescent="0.2">
      <c r="A287" s="1461" t="s">
        <v>457</v>
      </c>
      <c r="B287" s="1462" t="s">
        <v>458</v>
      </c>
      <c r="C287" s="1463">
        <v>1.0216000000000001</v>
      </c>
      <c r="D287" s="1464">
        <f>INDEX(Data!$E$5:$E$300,MATCH('Cost of Collection'!B287,Data!$C$5:$C$300,0))</f>
        <v>454118010</v>
      </c>
      <c r="E287" s="1464">
        <f>INDEX(Data!$F$5:$F$300,MATCH('Cost of Collection'!B287,Data!$C$5:$C$300,0))</f>
        <v>16655</v>
      </c>
      <c r="F287" s="1611">
        <f t="shared" si="37"/>
        <v>463926959.01600003</v>
      </c>
      <c r="G287" s="1465">
        <f t="shared" si="38"/>
        <v>17014.748</v>
      </c>
      <c r="H287" s="1614">
        <f t="shared" si="39"/>
        <v>20160000</v>
      </c>
      <c r="I287" s="1466">
        <f t="shared" si="40"/>
        <v>63840000</v>
      </c>
      <c r="J287" s="1465">
        <f t="shared" si="36"/>
        <v>127080.16966742754</v>
      </c>
      <c r="K287" s="1465">
        <f t="shared" si="36"/>
        <v>520788.96014475555</v>
      </c>
      <c r="L287" s="1467">
        <f t="shared" si="41"/>
        <v>647869</v>
      </c>
      <c r="N287" s="1616">
        <v>643769.31695813301</v>
      </c>
      <c r="O287" s="1468">
        <f t="shared" si="42"/>
        <v>-4099.6830418669851</v>
      </c>
      <c r="P287" s="1469">
        <f t="shared" si="43"/>
        <v>-6.3682485851272791E-3</v>
      </c>
      <c r="R287" s="1605">
        <v>647869.01139999996</v>
      </c>
      <c r="S287" s="750">
        <f t="shared" si="44"/>
        <v>1.1399999959394336E-2</v>
      </c>
    </row>
    <row r="288" spans="1:19" x14ac:dyDescent="0.2">
      <c r="A288" s="1461" t="s">
        <v>459</v>
      </c>
      <c r="B288" s="1462" t="s">
        <v>460</v>
      </c>
      <c r="C288" s="1463">
        <v>1.036</v>
      </c>
      <c r="D288" s="1464">
        <f>INDEX(Data!$E$5:$E$300,MATCH('Cost of Collection'!B288,Data!$C$5:$C$300,0))</f>
        <v>167672430</v>
      </c>
      <c r="E288" s="1464">
        <f>INDEX(Data!$F$5:$F$300,MATCH('Cost of Collection'!B288,Data!$C$5:$C$300,0))</f>
        <v>5120</v>
      </c>
      <c r="F288" s="1611">
        <f t="shared" si="37"/>
        <v>173708637.48000002</v>
      </c>
      <c r="G288" s="1465">
        <f t="shared" si="38"/>
        <v>5304.32</v>
      </c>
      <c r="H288" s="1614">
        <f t="shared" si="39"/>
        <v>20160000</v>
      </c>
      <c r="I288" s="1466">
        <f t="shared" si="40"/>
        <v>63840000</v>
      </c>
      <c r="J288" s="1465">
        <f t="shared" si="36"/>
        <v>47582.755635666224</v>
      </c>
      <c r="K288" s="1465">
        <f t="shared" si="36"/>
        <v>162355.11081768767</v>
      </c>
      <c r="L288" s="1467">
        <f t="shared" si="41"/>
        <v>209938</v>
      </c>
      <c r="N288" s="1616">
        <v>209335.95354827199</v>
      </c>
      <c r="O288" s="1468">
        <f t="shared" si="42"/>
        <v>-602.0464517280052</v>
      </c>
      <c r="P288" s="1469">
        <f t="shared" si="43"/>
        <v>-2.875982082978287E-3</v>
      </c>
      <c r="R288" s="1605">
        <v>209937.82949999999</v>
      </c>
      <c r="S288" s="750">
        <f t="shared" si="44"/>
        <v>-0.17050000000745058</v>
      </c>
    </row>
    <row r="289" spans="1:19" x14ac:dyDescent="0.2">
      <c r="A289" s="1461" t="s">
        <v>960</v>
      </c>
      <c r="B289" s="1462" t="s">
        <v>462</v>
      </c>
      <c r="C289" s="1463">
        <v>1.1039000000000001</v>
      </c>
      <c r="D289" s="1464">
        <f>INDEX(Data!$E$5:$E$300,MATCH('Cost of Collection'!B289,Data!$C$5:$C$300,0))</f>
        <v>208204081</v>
      </c>
      <c r="E289" s="1464">
        <f>INDEX(Data!$F$5:$F$300,MATCH('Cost of Collection'!B289,Data!$C$5:$C$300,0))</f>
        <v>4762</v>
      </c>
      <c r="F289" s="1611">
        <f t="shared" si="37"/>
        <v>229836485.01590002</v>
      </c>
      <c r="G289" s="1465">
        <f t="shared" si="38"/>
        <v>5256.7718000000004</v>
      </c>
      <c r="H289" s="1614">
        <f t="shared" si="39"/>
        <v>20160000</v>
      </c>
      <c r="I289" s="1466">
        <f t="shared" si="40"/>
        <v>63840000</v>
      </c>
      <c r="J289" s="1465">
        <f t="shared" ref="J289:K299" si="45">(F289*H289)/F$301</f>
        <v>62957.452555755488</v>
      </c>
      <c r="K289" s="1465">
        <f t="shared" si="45"/>
        <v>160899.75117117661</v>
      </c>
      <c r="L289" s="1467">
        <f t="shared" si="41"/>
        <v>223857</v>
      </c>
      <c r="N289" s="1616">
        <v>225285.507580634</v>
      </c>
      <c r="O289" s="1468">
        <f t="shared" si="42"/>
        <v>1428.5075806340028</v>
      </c>
      <c r="P289" s="1469">
        <f t="shared" si="43"/>
        <v>6.3408764992249336E-3</v>
      </c>
      <c r="R289" s="1605">
        <v>223857.16709999999</v>
      </c>
      <c r="S289" s="750">
        <f t="shared" si="44"/>
        <v>0.1670999999914784</v>
      </c>
    </row>
    <row r="290" spans="1:19" x14ac:dyDescent="0.2">
      <c r="A290" s="1461" t="s">
        <v>463</v>
      </c>
      <c r="B290" s="1462" t="s">
        <v>464</v>
      </c>
      <c r="C290" s="1463">
        <v>1.0075000000000001</v>
      </c>
      <c r="D290" s="1464">
        <f>INDEX(Data!$E$5:$E$300,MATCH('Cost of Collection'!B290,Data!$C$5:$C$300,0))</f>
        <v>192532360</v>
      </c>
      <c r="E290" s="1464">
        <f>INDEX(Data!$F$5:$F$300,MATCH('Cost of Collection'!B290,Data!$C$5:$C$300,0))</f>
        <v>8558</v>
      </c>
      <c r="F290" s="1611">
        <f t="shared" si="37"/>
        <v>193976352.70000002</v>
      </c>
      <c r="G290" s="1465">
        <f t="shared" si="38"/>
        <v>8622.1850000000013</v>
      </c>
      <c r="H290" s="1614">
        <f t="shared" si="39"/>
        <v>20160000</v>
      </c>
      <c r="I290" s="1466">
        <f t="shared" si="40"/>
        <v>63840000</v>
      </c>
      <c r="J290" s="1465">
        <f t="shared" si="45"/>
        <v>53134.544853502717</v>
      </c>
      <c r="K290" s="1465">
        <f t="shared" si="45"/>
        <v>263908.6256420436</v>
      </c>
      <c r="L290" s="1467">
        <f t="shared" si="41"/>
        <v>317043</v>
      </c>
      <c r="N290" s="1616">
        <v>316540.53815981402</v>
      </c>
      <c r="O290" s="1468">
        <f t="shared" si="42"/>
        <v>-502.46184018597705</v>
      </c>
      <c r="P290" s="1469">
        <f t="shared" si="43"/>
        <v>-1.5873538444933573E-3</v>
      </c>
      <c r="R290" s="1605">
        <v>317043.11050000001</v>
      </c>
      <c r="S290" s="750">
        <f t="shared" si="44"/>
        <v>0.11050000000977889</v>
      </c>
    </row>
    <row r="291" spans="1:19" x14ac:dyDescent="0.2">
      <c r="A291" s="1461" t="s">
        <v>465</v>
      </c>
      <c r="B291" s="1462" t="s">
        <v>466</v>
      </c>
      <c r="C291" s="1463">
        <v>1.1039000000000001</v>
      </c>
      <c r="D291" s="1464">
        <f>INDEX(Data!$E$5:$E$300,MATCH('Cost of Collection'!B291,Data!$C$5:$C$300,0))</f>
        <v>129706344</v>
      </c>
      <c r="E291" s="1464">
        <f>INDEX(Data!$F$5:$F$300,MATCH('Cost of Collection'!B291,Data!$C$5:$C$300,0))</f>
        <v>2812</v>
      </c>
      <c r="F291" s="1611">
        <f t="shared" si="37"/>
        <v>143182833.14160001</v>
      </c>
      <c r="G291" s="1465">
        <f t="shared" si="38"/>
        <v>3104.1668000000004</v>
      </c>
      <c r="H291" s="1614">
        <f t="shared" si="39"/>
        <v>20160000</v>
      </c>
      <c r="I291" s="1466">
        <f t="shared" si="40"/>
        <v>63840000</v>
      </c>
      <c r="J291" s="1465">
        <f t="shared" si="45"/>
        <v>39221.041966802281</v>
      </c>
      <c r="K291" s="1465">
        <f t="shared" si="45"/>
        <v>95012.62080918705</v>
      </c>
      <c r="L291" s="1467">
        <f t="shared" si="41"/>
        <v>134234</v>
      </c>
      <c r="N291" s="1616">
        <v>133372.52646415599</v>
      </c>
      <c r="O291" s="1468">
        <f t="shared" si="42"/>
        <v>-861.47353584400844</v>
      </c>
      <c r="P291" s="1469">
        <f t="shared" si="43"/>
        <v>-6.4591528606570284E-3</v>
      </c>
      <c r="R291" s="1605">
        <v>134233.64120000001</v>
      </c>
      <c r="S291" s="750">
        <f t="shared" si="44"/>
        <v>-0.35879999998724088</v>
      </c>
    </row>
    <row r="292" spans="1:19" x14ac:dyDescent="0.2">
      <c r="A292" s="1461" t="s">
        <v>525</v>
      </c>
      <c r="B292" s="1462" t="s">
        <v>468</v>
      </c>
      <c r="C292" s="1463">
        <v>1.0806</v>
      </c>
      <c r="D292" s="1464">
        <f>INDEX(Data!$E$5:$E$300,MATCH('Cost of Collection'!B292,Data!$C$5:$C$300,0))</f>
        <v>200129930</v>
      </c>
      <c r="E292" s="1464">
        <f>INDEX(Data!$F$5:$F$300,MATCH('Cost of Collection'!B292,Data!$C$5:$C$300,0))</f>
        <v>4361</v>
      </c>
      <c r="F292" s="1611">
        <f t="shared" si="37"/>
        <v>216260402.35800001</v>
      </c>
      <c r="G292" s="1465">
        <f t="shared" si="38"/>
        <v>4712.4966000000004</v>
      </c>
      <c r="H292" s="1614">
        <f t="shared" si="39"/>
        <v>20160000</v>
      </c>
      <c r="I292" s="1466">
        <f t="shared" si="40"/>
        <v>63840000</v>
      </c>
      <c r="J292" s="1465">
        <f t="shared" si="45"/>
        <v>59238.65403789343</v>
      </c>
      <c r="K292" s="1465">
        <f t="shared" si="45"/>
        <v>144240.52615999343</v>
      </c>
      <c r="L292" s="1467">
        <f t="shared" si="41"/>
        <v>203479</v>
      </c>
      <c r="N292" s="1616">
        <v>204981.255004537</v>
      </c>
      <c r="O292" s="1468">
        <f t="shared" si="42"/>
        <v>1502.2550045370008</v>
      </c>
      <c r="P292" s="1469">
        <f t="shared" si="43"/>
        <v>7.3287433258409423E-3</v>
      </c>
      <c r="R292" s="1605">
        <v>203479.14739999999</v>
      </c>
      <c r="S292" s="750">
        <f t="shared" si="44"/>
        <v>0.14739999998710118</v>
      </c>
    </row>
    <row r="293" spans="1:19" x14ac:dyDescent="0.2">
      <c r="A293" s="1461" t="s">
        <v>469</v>
      </c>
      <c r="B293" s="1462" t="s">
        <v>470</v>
      </c>
      <c r="C293" s="1463">
        <v>1.0134000000000001</v>
      </c>
      <c r="D293" s="1464">
        <f>INDEX(Data!$E$5:$E$300,MATCH('Cost of Collection'!B293,Data!$C$5:$C$300,0))</f>
        <v>218554435</v>
      </c>
      <c r="E293" s="1464">
        <f>INDEX(Data!$F$5:$F$300,MATCH('Cost of Collection'!B293,Data!$C$5:$C$300,0))</f>
        <v>8939</v>
      </c>
      <c r="F293" s="1611">
        <f t="shared" si="37"/>
        <v>221483064.42900002</v>
      </c>
      <c r="G293" s="1465">
        <f t="shared" si="38"/>
        <v>9058.7826000000005</v>
      </c>
      <c r="H293" s="1614">
        <f t="shared" si="39"/>
        <v>20160000</v>
      </c>
      <c r="I293" s="1466">
        <f t="shared" si="40"/>
        <v>63840000</v>
      </c>
      <c r="J293" s="1465">
        <f t="shared" si="45"/>
        <v>60669.260233976616</v>
      </c>
      <c r="K293" s="1465">
        <f t="shared" si="45"/>
        <v>277272.04484200443</v>
      </c>
      <c r="L293" s="1467">
        <f t="shared" si="41"/>
        <v>337941</v>
      </c>
      <c r="N293" s="1616">
        <v>336492.52719800803</v>
      </c>
      <c r="O293" s="1468">
        <f t="shared" si="42"/>
        <v>-1448.4728019919712</v>
      </c>
      <c r="P293" s="1469">
        <f t="shared" si="43"/>
        <v>-4.3046210091305286E-3</v>
      </c>
      <c r="R293" s="1605">
        <v>337941.24200000003</v>
      </c>
      <c r="S293" s="750">
        <f t="shared" si="44"/>
        <v>0.24200000002747402</v>
      </c>
    </row>
    <row r="294" spans="1:19" x14ac:dyDescent="0.2">
      <c r="A294" s="1461" t="s">
        <v>471</v>
      </c>
      <c r="B294" s="1462" t="s">
        <v>472</v>
      </c>
      <c r="C294" s="1463">
        <v>1</v>
      </c>
      <c r="D294" s="1464">
        <f>INDEX(Data!$E$5:$E$300,MATCH('Cost of Collection'!B294,Data!$C$5:$C$300,0))</f>
        <v>108839323</v>
      </c>
      <c r="E294" s="1464">
        <f>INDEX(Data!$F$5:$F$300,MATCH('Cost of Collection'!B294,Data!$C$5:$C$300,0))</f>
        <v>3136</v>
      </c>
      <c r="F294" s="1611">
        <f t="shared" si="37"/>
        <v>108839323</v>
      </c>
      <c r="G294" s="1465">
        <f t="shared" si="38"/>
        <v>3136</v>
      </c>
      <c r="H294" s="1614">
        <f t="shared" si="39"/>
        <v>20160000</v>
      </c>
      <c r="I294" s="1466">
        <f t="shared" si="40"/>
        <v>63840000</v>
      </c>
      <c r="J294" s="1465">
        <f t="shared" si="45"/>
        <v>29813.571650728172</v>
      </c>
      <c r="K294" s="1465">
        <f t="shared" si="45"/>
        <v>95986.974300997783</v>
      </c>
      <c r="L294" s="1467">
        <f t="shared" si="41"/>
        <v>125801</v>
      </c>
      <c r="N294" s="1616">
        <v>126441.827117297</v>
      </c>
      <c r="O294" s="1468">
        <f t="shared" si="42"/>
        <v>640.82711729699804</v>
      </c>
      <c r="P294" s="1469">
        <f t="shared" si="43"/>
        <v>5.0681576809430183E-3</v>
      </c>
      <c r="R294" s="1605">
        <v>125800.5241</v>
      </c>
      <c r="S294" s="750">
        <f t="shared" si="44"/>
        <v>-0.47590000000491273</v>
      </c>
    </row>
    <row r="295" spans="1:19" x14ac:dyDescent="0.2">
      <c r="A295" s="1461" t="s">
        <v>473</v>
      </c>
      <c r="B295" s="1462" t="s">
        <v>474</v>
      </c>
      <c r="C295" s="1463">
        <v>1</v>
      </c>
      <c r="D295" s="1464">
        <f>INDEX(Data!$E$5:$E$300,MATCH('Cost of Collection'!B295,Data!$C$5:$C$300,0))</f>
        <v>78416543</v>
      </c>
      <c r="E295" s="1464">
        <f>INDEX(Data!$F$5:$F$300,MATCH('Cost of Collection'!B295,Data!$C$5:$C$300,0))</f>
        <v>3290</v>
      </c>
      <c r="F295" s="1611">
        <f t="shared" si="37"/>
        <v>78416543</v>
      </c>
      <c r="G295" s="1465">
        <f t="shared" si="38"/>
        <v>3290</v>
      </c>
      <c r="H295" s="1614">
        <f t="shared" si="39"/>
        <v>20160000</v>
      </c>
      <c r="I295" s="1466">
        <f t="shared" si="40"/>
        <v>63840000</v>
      </c>
      <c r="J295" s="1465">
        <f t="shared" si="45"/>
        <v>21480.078696675711</v>
      </c>
      <c r="K295" s="1465">
        <f t="shared" si="45"/>
        <v>100700.62036042179</v>
      </c>
      <c r="L295" s="1467">
        <f t="shared" si="41"/>
        <v>122181</v>
      </c>
      <c r="N295" s="1616">
        <v>122647.636130595</v>
      </c>
      <c r="O295" s="1468">
        <f t="shared" si="42"/>
        <v>466.63613059499767</v>
      </c>
      <c r="P295" s="1469">
        <f t="shared" si="43"/>
        <v>3.8046891511070323E-3</v>
      </c>
      <c r="R295" s="1605">
        <v>122180.6762</v>
      </c>
      <c r="S295" s="750">
        <f t="shared" si="44"/>
        <v>-0.32379999999830034</v>
      </c>
    </row>
    <row r="296" spans="1:19" x14ac:dyDescent="0.2">
      <c r="A296" s="1461" t="s">
        <v>475</v>
      </c>
      <c r="B296" s="1462" t="s">
        <v>476</v>
      </c>
      <c r="C296" s="1463">
        <v>1</v>
      </c>
      <c r="D296" s="1464">
        <f>INDEX(Data!$E$5:$E$300,MATCH('Cost of Collection'!B296,Data!$C$5:$C$300,0))</f>
        <v>137417602</v>
      </c>
      <c r="E296" s="1464">
        <f>INDEX(Data!$F$5:$F$300,MATCH('Cost of Collection'!B296,Data!$C$5:$C$300,0))</f>
        <v>5209</v>
      </c>
      <c r="F296" s="1611">
        <f t="shared" si="37"/>
        <v>137417602</v>
      </c>
      <c r="G296" s="1465">
        <f t="shared" si="38"/>
        <v>5209</v>
      </c>
      <c r="H296" s="1614">
        <f t="shared" si="39"/>
        <v>20160000</v>
      </c>
      <c r="I296" s="1466">
        <f t="shared" si="40"/>
        <v>63840000</v>
      </c>
      <c r="J296" s="1465">
        <f t="shared" si="45"/>
        <v>37641.813733977811</v>
      </c>
      <c r="K296" s="1465">
        <f t="shared" si="45"/>
        <v>159437.54755545198</v>
      </c>
      <c r="L296" s="1467">
        <f t="shared" si="41"/>
        <v>197079</v>
      </c>
      <c r="N296" s="1616">
        <v>195481.00843915399</v>
      </c>
      <c r="O296" s="1468">
        <f t="shared" si="42"/>
        <v>-1597.9915608460142</v>
      </c>
      <c r="P296" s="1469">
        <f t="shared" si="43"/>
        <v>-8.1746639921975329E-3</v>
      </c>
      <c r="R296" s="1605">
        <v>197079.32500000001</v>
      </c>
      <c r="S296" s="750">
        <f t="shared" si="44"/>
        <v>0.32500000001164153</v>
      </c>
    </row>
    <row r="297" spans="1:19" x14ac:dyDescent="0.2">
      <c r="A297" s="1461" t="s">
        <v>477</v>
      </c>
      <c r="B297" s="1462" t="s">
        <v>478</v>
      </c>
      <c r="C297" s="1463">
        <v>1</v>
      </c>
      <c r="D297" s="1464">
        <f>INDEX(Data!$E$5:$E$300,MATCH('Cost of Collection'!B297,Data!$C$5:$C$300,0))</f>
        <v>78155693</v>
      </c>
      <c r="E297" s="1464">
        <f>INDEX(Data!$F$5:$F$300,MATCH('Cost of Collection'!B297,Data!$C$5:$C$300,0))</f>
        <v>4232</v>
      </c>
      <c r="F297" s="1611">
        <f t="shared" si="37"/>
        <v>78155693</v>
      </c>
      <c r="G297" s="1465">
        <f t="shared" si="38"/>
        <v>4232</v>
      </c>
      <c r="H297" s="1614">
        <f t="shared" si="39"/>
        <v>20160000</v>
      </c>
      <c r="I297" s="1466">
        <f t="shared" si="40"/>
        <v>63840000</v>
      </c>
      <c r="J297" s="1465">
        <f t="shared" si="45"/>
        <v>21408.625935387474</v>
      </c>
      <c r="K297" s="1465">
        <f t="shared" si="45"/>
        <v>129533.44236027508</v>
      </c>
      <c r="L297" s="1467">
        <f t="shared" si="41"/>
        <v>150942</v>
      </c>
      <c r="N297" s="1616">
        <v>149985.28712360101</v>
      </c>
      <c r="O297" s="1468">
        <f t="shared" si="42"/>
        <v>-956.71287639898947</v>
      </c>
      <c r="P297" s="1469">
        <f t="shared" si="43"/>
        <v>-6.3787115039528799E-3</v>
      </c>
      <c r="R297" s="1605">
        <v>150942.03880000001</v>
      </c>
      <c r="S297" s="750">
        <f t="shared" si="44"/>
        <v>3.8800000009359792E-2</v>
      </c>
    </row>
    <row r="298" spans="1:19" x14ac:dyDescent="0.2">
      <c r="A298" s="1461" t="s">
        <v>479</v>
      </c>
      <c r="B298" s="1462" t="s">
        <v>480</v>
      </c>
      <c r="C298" s="1463">
        <v>1</v>
      </c>
      <c r="D298" s="1464">
        <f>INDEX(Data!$E$5:$E$300,MATCH('Cost of Collection'!B298,Data!$C$5:$C$300,0))</f>
        <v>81189306</v>
      </c>
      <c r="E298" s="1464">
        <f>INDEX(Data!$F$5:$F$300,MATCH('Cost of Collection'!B298,Data!$C$5:$C$300,0))</f>
        <v>3553</v>
      </c>
      <c r="F298" s="1611">
        <f t="shared" si="37"/>
        <v>81189306</v>
      </c>
      <c r="G298" s="1465">
        <f t="shared" si="38"/>
        <v>3553</v>
      </c>
      <c r="H298" s="1614">
        <f t="shared" si="39"/>
        <v>20160000</v>
      </c>
      <c r="I298" s="1466">
        <f t="shared" si="40"/>
        <v>63840000</v>
      </c>
      <c r="J298" s="1465">
        <f t="shared" si="45"/>
        <v>22239.601689766987</v>
      </c>
      <c r="K298" s="1465">
        <f t="shared" si="45"/>
        <v>108750.54837099653</v>
      </c>
      <c r="L298" s="1467">
        <f t="shared" si="41"/>
        <v>130990</v>
      </c>
      <c r="N298" s="1616">
        <v>131813.138675789</v>
      </c>
      <c r="O298" s="1468">
        <f t="shared" si="42"/>
        <v>823.13867578899954</v>
      </c>
      <c r="P298" s="1469">
        <f t="shared" si="43"/>
        <v>6.2447392123300598E-3</v>
      </c>
      <c r="R298" s="1605">
        <v>130990.1253</v>
      </c>
      <c r="S298" s="750">
        <f t="shared" si="44"/>
        <v>0.12529999999969732</v>
      </c>
    </row>
    <row r="299" spans="1:19" x14ac:dyDescent="0.2">
      <c r="A299" s="1475" t="s">
        <v>624</v>
      </c>
      <c r="B299" s="1476" t="s">
        <v>482</v>
      </c>
      <c r="C299" s="1477">
        <v>1</v>
      </c>
      <c r="D299" s="1478">
        <f>INDEX(Data!$E$5:$E$300,MATCH('Cost of Collection'!B299,Data!$C$5:$C$300,0))</f>
        <v>242674066</v>
      </c>
      <c r="E299" s="1478">
        <f>INDEX(Data!$F$5:$F$300,MATCH('Cost of Collection'!B299,Data!$C$5:$C$300,0))</f>
        <v>7159</v>
      </c>
      <c r="F299" s="1612">
        <f t="shared" si="37"/>
        <v>242674066</v>
      </c>
      <c r="G299" s="1479">
        <f t="shared" si="38"/>
        <v>7159</v>
      </c>
      <c r="H299" s="1615">
        <f t="shared" si="39"/>
        <v>20160000</v>
      </c>
      <c r="I299" s="1480">
        <f t="shared" si="40"/>
        <v>63840000</v>
      </c>
      <c r="J299" s="1479">
        <f t="shared" si="45"/>
        <v>66473.958630416484</v>
      </c>
      <c r="K299" s="1479">
        <f t="shared" si="45"/>
        <v>219123.325580626</v>
      </c>
      <c r="L299" s="1481">
        <f t="shared" si="41"/>
        <v>285597</v>
      </c>
      <c r="N299" s="1616">
        <v>287419.32827835297</v>
      </c>
      <c r="O299" s="1482">
        <f t="shared" si="42"/>
        <v>1822.3282783529721</v>
      </c>
      <c r="P299" s="1483">
        <f t="shared" si="43"/>
        <v>6.3403122165400349E-3</v>
      </c>
      <c r="R299" s="1605">
        <v>285597.23440000002</v>
      </c>
      <c r="S299" s="750">
        <f t="shared" si="44"/>
        <v>0.23440000001573935</v>
      </c>
    </row>
    <row r="300" spans="1:19" ht="13.5" thickBot="1" x14ac:dyDescent="0.25">
      <c r="D300" s="1484"/>
      <c r="E300" s="1484"/>
      <c r="F300" s="1484"/>
      <c r="G300" s="1484"/>
    </row>
    <row r="301" spans="1:19" ht="13.5" thickTop="1" x14ac:dyDescent="0.2">
      <c r="A301" s="1485" t="s">
        <v>5447</v>
      </c>
      <c r="B301" s="1486"/>
      <c r="C301" s="1486"/>
      <c r="D301" s="1487">
        <f>SUM(D4:D299)</f>
        <v>68314929880</v>
      </c>
      <c r="E301" s="1487">
        <f>SUM(E4:E299)</f>
        <v>2002838</v>
      </c>
      <c r="F301" s="1487">
        <f>ROUND(SUM(F4:F299),0)</f>
        <v>73597379656</v>
      </c>
      <c r="G301" s="1487">
        <f>ROUND(SUM(G4:G299),0)</f>
        <v>2085723</v>
      </c>
      <c r="H301" s="1487"/>
      <c r="I301" s="1487"/>
      <c r="J301" s="1487">
        <f>SUM(J4:J299)</f>
        <v>20160000.000032291</v>
      </c>
      <c r="K301" s="1487">
        <f>SUM(K4:K299)</f>
        <v>63840014.520478539</v>
      </c>
      <c r="L301" s="1487">
        <f>SUM(L4:L299)</f>
        <v>84000011</v>
      </c>
    </row>
    <row r="303" spans="1:19" x14ac:dyDescent="0.2">
      <c r="A303" s="672" t="s">
        <v>5448</v>
      </c>
      <c r="D303" s="1488" t="b">
        <f>D301=SUM(Data!E5:E300)</f>
        <v>1</v>
      </c>
      <c r="E303" s="1488" t="b">
        <f>E301=SUM(Data!F5:F300)</f>
        <v>1</v>
      </c>
    </row>
    <row r="304" spans="1:19" x14ac:dyDescent="0.2">
      <c r="D304" s="158"/>
      <c r="E304" s="158"/>
    </row>
    <row r="305" spans="4:5" x14ac:dyDescent="0.2">
      <c r="D305" s="1488"/>
      <c r="E305" s="1488"/>
    </row>
  </sheetData>
  <dataValidations count="4">
    <dataValidation type="custom" allowBlank="1" showInputMessage="1" showErrorMessage="1" errorTitle="DO NOT AMEND" sqref="A281:B281 A174:B174" xr:uid="{19A5E283-6B3C-423F-977B-1CF438DC51A9}">
      <formula1>"cb1=""unlock"""</formula1>
    </dataValidation>
    <dataValidation type="custom" allowBlank="1" showInputMessage="1" showErrorMessage="1" sqref="A297:B299 A4:B295" xr:uid="{9926FA52-A330-4496-91D9-4B6A47AD02E5}">
      <formula1>$BW$2="UNLOCK"</formula1>
    </dataValidation>
    <dataValidation type="custom" allowBlank="1" showInputMessage="1" showErrorMessage="1" sqref="N4:N299" xr:uid="{005FE2E3-BDAA-4391-AC59-01E90888BB6A}">
      <formula1>$BY$1="UNLOCK"</formula1>
    </dataValidation>
    <dataValidation type="custom" allowBlank="1" showInputMessage="1" showErrorMessage="1" sqref="R4:R299" xr:uid="{4EE8521B-5E47-42DC-A339-D6D82DD74BB1}">
      <formula1>$BW$1="UNLOCK"</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9ebd40c-6560-4b68-b582-5c2afbc374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8C173D900E7A543BC33189B6049FB5B" ma:contentTypeVersion="14" ma:contentTypeDescription="Create a new document." ma:contentTypeScope="" ma:versionID="187082977a429338be6c7b1ad234ab44">
  <xsd:schema xmlns:xsd="http://www.w3.org/2001/XMLSchema" xmlns:xs="http://www.w3.org/2001/XMLSchema" xmlns:p="http://schemas.microsoft.com/office/2006/metadata/properties" xmlns:ns3="3af078b7-2790-4b6a-bce6-e9eabb4cbe6c" xmlns:ns4="39ebd40c-6560-4b68-b582-5c2afbc37499" targetNamespace="http://schemas.microsoft.com/office/2006/metadata/properties" ma:root="true" ma:fieldsID="6b8040d3935f258667da80ebd82d751e" ns3:_="" ns4:_="">
    <xsd:import namespace="3af078b7-2790-4b6a-bce6-e9eabb4cbe6c"/>
    <xsd:import namespace="39ebd40c-6560-4b68-b582-5c2afbc3749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AutoKeyPoints" minOccurs="0"/>
                <xsd:element ref="ns4:MediaServiceKeyPoints" minOccurs="0"/>
                <xsd:element ref="ns4:MediaServiceDateTaken" minOccurs="0"/>
                <xsd:element ref="ns4:MediaServiceGenerationTime" minOccurs="0"/>
                <xsd:element ref="ns4:MediaServiceEventHashCode"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f078b7-2790-4b6a-bce6-e9eabb4cbe6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bd40c-6560-4b68-b582-5c2afbc3749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8270c081-d9f3-48ae-83c7-c2320a8ca25c"/>
</file>

<file path=customXml/itemProps1.xml><?xml version="1.0" encoding="utf-8"?>
<ds:datastoreItem xmlns:ds="http://schemas.openxmlformats.org/officeDocument/2006/customXml" ds:itemID="{0F9F3929-5FA5-4809-B26B-41D5650BFB7C}">
  <ds:schemaRefs>
    <ds:schemaRef ds:uri="http://purl.org/dc/terms/"/>
    <ds:schemaRef ds:uri="http://schemas.microsoft.com/office/2006/documentManagement/types"/>
    <ds:schemaRef ds:uri="http://schemas.openxmlformats.org/package/2006/metadata/core-properties"/>
    <ds:schemaRef ds:uri="http://purl.org/dc/elements/1.1/"/>
    <ds:schemaRef ds:uri="39ebd40c-6560-4b68-b582-5c2afbc37499"/>
    <ds:schemaRef ds:uri="http://schemas.microsoft.com/office/infopath/2007/PartnerControls"/>
    <ds:schemaRef ds:uri="3af078b7-2790-4b6a-bce6-e9eabb4cbe6c"/>
    <ds:schemaRef ds:uri="http://www.w3.org/XML/1998/namespac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BB00861-DF6A-4443-9B9A-C2F8931F256E}">
  <ds:schemaRefs>
    <ds:schemaRef ds:uri="http://schemas.microsoft.com/sharepoint/v3/contenttype/forms"/>
  </ds:schemaRefs>
</ds:datastoreItem>
</file>

<file path=customXml/itemProps3.xml><?xml version="1.0" encoding="utf-8"?>
<ds:datastoreItem xmlns:ds="http://schemas.openxmlformats.org/officeDocument/2006/customXml" ds:itemID="{47B10145-491C-4B50-8726-8FED090543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f078b7-2790-4b6a-bce6-e9eabb4cbe6c"/>
    <ds:schemaRef ds:uri="39ebd40c-6560-4b68-b582-5c2afbc374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8076D1E-006C-4973-80CF-C092913DCAA5}">
  <ds:schemaRefs>
    <ds:schemaRef ds:uri="http://www.w3.org/2001/XMLSchema"/>
    <ds:schemaRef ds:uri="http://www.boldonjames.com/2008/01/sie/internal/label"/>
  </ds:schemaRefs>
</ds:datastoreItem>
</file>

<file path=docMetadata/LabelInfo.xml><?xml version="1.0" encoding="utf-8"?>
<clbl:labelList xmlns:clbl="http://schemas.microsoft.com/office/2020/mipLabelMetadata">
  <clbl:label id="{fbd41ebe-fca6-4f2c-aecb-bf3a17e72416}" enabled="1" method="Privileged" siteId="{bf346810-9c7d-43de-a872-24a2ef3995a8}" contentBits="3"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Title</vt:lpstr>
      <vt:lpstr>Part 1</vt:lpstr>
      <vt:lpstr>Part 2</vt:lpstr>
      <vt:lpstr>Part 3</vt:lpstr>
      <vt:lpstr>Part 3 DA summary</vt:lpstr>
      <vt:lpstr>Part 4</vt:lpstr>
      <vt:lpstr>Supplementary Information</vt:lpstr>
      <vt:lpstr>Main Validation</vt:lpstr>
      <vt:lpstr>Supplementary Validation</vt:lpstr>
      <vt:lpstr>adj_factor</vt:lpstr>
      <vt:lpstr>adj_factor_supp</vt:lpstr>
      <vt:lpstr>CONTACT</vt:lpstr>
      <vt:lpstr>'Part 3 DA summary'!CTRprint1</vt:lpstr>
      <vt:lpstr>'Part 3 DA summary'!CTRprint2</vt:lpstr>
      <vt:lpstr>datar</vt:lpstr>
      <vt:lpstr>Import_LA_Code</vt:lpstr>
      <vt:lpstr>Import_LA_Name</vt:lpstr>
      <vt:lpstr>Local_Share_Total</vt:lpstr>
      <vt:lpstr>MHCLG_CONTROL</vt:lpstr>
      <vt:lpstr>Data!Print_Area</vt:lpstr>
      <vt:lpstr>'EZ list'!Print_Area</vt:lpstr>
      <vt:lpstr>'Main Validation'!Print_Area</vt:lpstr>
      <vt:lpstr>'Part 1'!Print_Area</vt:lpstr>
      <vt:lpstr>'Part 2'!Print_Area</vt:lpstr>
      <vt:lpstr>'Part 3'!Print_Area</vt:lpstr>
      <vt:lpstr>'Part 3 DA summary'!Print_Area</vt:lpstr>
      <vt:lpstr>'Part 4'!Print_Area</vt:lpstr>
      <vt:lpstr>'Supplementary Information'!Print_Area</vt:lpstr>
      <vt:lpstr>'Supplementary Validation'!Print_Area</vt:lpstr>
      <vt:lpstr>TierSplit!Print_Area</vt:lpstr>
      <vt:lpstr>Title!Print_Area</vt:lpstr>
      <vt:lpstr>Data!Print_Titles</vt:lpstr>
      <vt:lpstr>'EZ list'!Print_Titles</vt:lpstr>
      <vt:lpstr>'Main Validation'!Print_Titles</vt:lpstr>
      <vt:lpstr>'Part 1'!Print_Titles</vt:lpstr>
      <vt:lpstr>'Part 2'!Print_Titles</vt:lpstr>
      <vt:lpstr>'Part 3 DA summary'!Print_Titles</vt:lpstr>
      <vt:lpstr>'Supplementary Validation'!Print_Titles</vt:lpstr>
      <vt:lpstr>Ref_LA_Codes</vt:lpstr>
      <vt:lpstr>Ref_LA_Codes2</vt:lpstr>
      <vt:lpstr>SBRR_Multiple</vt:lpstr>
      <vt:lpstr>SBRR_supp_historic</vt:lpstr>
      <vt:lpstr>SBRR_Supplement</vt:lpstr>
      <vt:lpstr>small_share_baa</vt:lpstr>
      <vt:lpstr>small_share_da</vt:lpstr>
      <vt:lpstr>small_share_total</vt:lpstr>
      <vt:lpstr>standard_share_baa</vt:lpstr>
      <vt:lpstr>standard_share_da</vt:lpstr>
      <vt:lpstr>standard_share_total</vt:lpstr>
      <vt:lpstr>tiersplit</vt:lpstr>
    </vt:vector>
  </TitlesOfParts>
  <Company>DCLG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JFarrar</dc:creator>
  <cp:lastModifiedBy>Jonny Corfield</cp:lastModifiedBy>
  <cp:lastPrinted>2019-12-16T17:53:06Z</cp:lastPrinted>
  <dcterms:created xsi:type="dcterms:W3CDTF">2013-07-12T16:47:25Z</dcterms:created>
  <dcterms:modified xsi:type="dcterms:W3CDTF">2025-01-09T11:32:20Z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4fb1df8e-c098-4f4f-8ae7-e9be86402f4a</vt:lpwstr>
  </property>
  <property fmtid="{D5CDD505-2E9C-101B-9397-08002B2CF9AE}" pid="3" name="bjSaver">
    <vt:lpwstr>XePHT1A/4MVOnNF8mnysHX9hPqgb2QQL</vt:lpwstr>
  </property>
  <property fmtid="{D5CDD505-2E9C-101B-9397-08002B2CF9AE}" pid="4" name="bjDocumentSecurityLabel">
    <vt:lpwstr>No Marking</vt:lpwstr>
  </property>
  <property fmtid="{D5CDD505-2E9C-101B-9397-08002B2CF9AE}" pid="5" name="ContentTypeId">
    <vt:lpwstr>0x01010048C173D900E7A543BC33189B6049FB5B</vt:lpwstr>
  </property>
</Properties>
</file>