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clg-my.sharepoint.com/personal/john_norman_communities_gov_uk/Documents/Documents 1/"/>
    </mc:Choice>
  </mc:AlternateContent>
  <xr:revisionPtr revIDLastSave="0" documentId="8_{7688932D-0187-42AF-9461-C5A9B6593A1B}" xr6:coauthVersionLast="47" xr6:coauthVersionMax="47" xr10:uidLastSave="{00000000-0000-0000-0000-000000000000}"/>
  <bookViews>
    <workbookView xWindow="-120" yWindow="-120" windowWidth="29040" windowHeight="15720" activeTab="1" xr2:uid="{0D9AD459-9A63-4A95-8F49-057C3FFB59DA}"/>
  </bookViews>
  <sheets>
    <sheet name="Long list" sheetId="1" r:id="rId1"/>
    <sheet name="Short list" sheetId="2" r:id="rId2"/>
  </sheets>
  <externalReferences>
    <externalReference r:id="rId3"/>
  </externalReferences>
  <definedNames>
    <definedName name="_xlnm._FilterDatabase" localSheetId="0" hidden="1">'Long list'!$A$1:$AD$1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2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K13" i="2"/>
  <c r="E13" i="2"/>
  <c r="D13" i="2"/>
  <c r="B37" i="2" l="1"/>
  <c r="C37" i="2"/>
  <c r="D37" i="2"/>
  <c r="E37" i="2"/>
  <c r="F37" i="2"/>
  <c r="G37" i="2"/>
  <c r="H37" i="2"/>
  <c r="I37" i="2"/>
  <c r="J37" i="2"/>
  <c r="K37" i="2"/>
  <c r="M37" i="2"/>
  <c r="R37" i="2"/>
  <c r="S37" i="2"/>
  <c r="T37" i="2"/>
  <c r="U37" i="2"/>
  <c r="V37" i="2"/>
  <c r="W37" i="2"/>
  <c r="X37" i="2"/>
  <c r="Y37" i="2"/>
  <c r="Z37" i="2"/>
  <c r="AA37" i="2"/>
  <c r="AC37" i="2"/>
  <c r="B36" i="2" l="1"/>
  <c r="C36" i="2"/>
  <c r="D36" i="2"/>
  <c r="E36" i="2"/>
  <c r="F36" i="2"/>
  <c r="G36" i="2"/>
  <c r="H36" i="2"/>
  <c r="I36" i="2"/>
  <c r="J36" i="2"/>
  <c r="K36" i="2"/>
  <c r="M36" i="2"/>
  <c r="R36" i="2"/>
  <c r="S36" i="2"/>
  <c r="T36" i="2"/>
  <c r="U36" i="2"/>
  <c r="V36" i="2"/>
  <c r="W36" i="2"/>
  <c r="X36" i="2"/>
  <c r="Y36" i="2"/>
  <c r="Z36" i="2"/>
  <c r="AA36" i="2"/>
  <c r="AC36" i="2"/>
  <c r="B35" i="2"/>
  <c r="C35" i="2"/>
  <c r="D35" i="2"/>
  <c r="E35" i="2"/>
  <c r="F35" i="2"/>
  <c r="G35" i="2"/>
  <c r="H35" i="2"/>
  <c r="I35" i="2"/>
  <c r="J35" i="2"/>
  <c r="K35" i="2"/>
  <c r="M35" i="2"/>
  <c r="R35" i="2"/>
  <c r="S35" i="2"/>
  <c r="T35" i="2"/>
  <c r="U35" i="2"/>
  <c r="V35" i="2"/>
  <c r="W35" i="2"/>
  <c r="X35" i="2"/>
  <c r="Y35" i="2"/>
  <c r="Z35" i="2"/>
  <c r="AA35" i="2"/>
  <c r="AC35" i="2"/>
  <c r="U24" i="2"/>
  <c r="V24" i="2"/>
  <c r="W24" i="2"/>
  <c r="B34" i="2"/>
  <c r="C34" i="2"/>
  <c r="D34" i="2"/>
  <c r="E34" i="2"/>
  <c r="F34" i="2"/>
  <c r="G34" i="2"/>
  <c r="H34" i="2"/>
  <c r="I34" i="2"/>
  <c r="J34" i="2"/>
  <c r="K34" i="2"/>
  <c r="M34" i="2"/>
  <c r="R34" i="2"/>
  <c r="S34" i="2"/>
  <c r="T34" i="2"/>
  <c r="U34" i="2"/>
  <c r="V34" i="2"/>
  <c r="W34" i="2"/>
  <c r="X34" i="2"/>
  <c r="Y34" i="2"/>
  <c r="Z34" i="2"/>
  <c r="AA34" i="2"/>
  <c r="AB34" i="2"/>
  <c r="M33" i="2" l="1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2" i="2"/>
  <c r="M11" i="2"/>
  <c r="M10" i="2"/>
  <c r="M9" i="2"/>
  <c r="M8" i="2"/>
  <c r="M7" i="2"/>
  <c r="M6" i="2"/>
  <c r="M5" i="2"/>
  <c r="M4" i="2"/>
  <c r="M3" i="2"/>
  <c r="M2" i="2"/>
  <c r="F26" i="2" l="1"/>
  <c r="F27" i="2"/>
  <c r="F25" i="2"/>
  <c r="N32" i="2" l="1"/>
  <c r="N21" i="2"/>
  <c r="K15" i="2"/>
  <c r="D15" i="2"/>
  <c r="E15" i="2"/>
  <c r="K14" i="2"/>
  <c r="E14" i="2"/>
  <c r="D14" i="2"/>
  <c r="F13" i="2" l="1"/>
  <c r="F15" i="2"/>
  <c r="F14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K33" i="2"/>
  <c r="J33" i="2"/>
  <c r="I33" i="2"/>
  <c r="H33" i="2"/>
  <c r="G33" i="2"/>
  <c r="F33" i="2"/>
  <c r="E33" i="2"/>
  <c r="D33" i="2"/>
  <c r="C33" i="2"/>
  <c r="B33" i="2"/>
  <c r="AD32" i="2"/>
  <c r="AA32" i="2"/>
  <c r="Z32" i="2"/>
  <c r="Y32" i="2"/>
  <c r="X32" i="2"/>
  <c r="W32" i="2"/>
  <c r="V32" i="2"/>
  <c r="U32" i="2"/>
  <c r="T32" i="2"/>
  <c r="S32" i="2"/>
  <c r="R32" i="2"/>
  <c r="Q32" i="2"/>
  <c r="K32" i="2"/>
  <c r="J32" i="2"/>
  <c r="I32" i="2"/>
  <c r="H32" i="2"/>
  <c r="G32" i="2"/>
  <c r="F32" i="2"/>
  <c r="E32" i="2"/>
  <c r="D32" i="2"/>
  <c r="C32" i="2"/>
  <c r="B32" i="2"/>
  <c r="AD31" i="2"/>
  <c r="AA31" i="2"/>
  <c r="Z31" i="2"/>
  <c r="Y31" i="2"/>
  <c r="X31" i="2"/>
  <c r="W31" i="2"/>
  <c r="V31" i="2"/>
  <c r="U31" i="2"/>
  <c r="T31" i="2"/>
  <c r="S31" i="2"/>
  <c r="R31" i="2"/>
  <c r="Q31" i="2"/>
  <c r="K31" i="2"/>
  <c r="J31" i="2"/>
  <c r="I31" i="2"/>
  <c r="H31" i="2"/>
  <c r="G31" i="2"/>
  <c r="F31" i="2"/>
  <c r="E31" i="2"/>
  <c r="D31" i="2"/>
  <c r="C31" i="2"/>
  <c r="B31" i="2"/>
  <c r="AC30" i="2"/>
  <c r="AA30" i="2"/>
  <c r="Z30" i="2"/>
  <c r="Y30" i="2"/>
  <c r="X30" i="2"/>
  <c r="W30" i="2"/>
  <c r="V30" i="2"/>
  <c r="U30" i="2"/>
  <c r="T30" i="2"/>
  <c r="S30" i="2"/>
  <c r="R30" i="2"/>
  <c r="K30" i="2"/>
  <c r="J30" i="2"/>
  <c r="I30" i="2"/>
  <c r="H30" i="2"/>
  <c r="G30" i="2"/>
  <c r="F30" i="2"/>
  <c r="E30" i="2"/>
  <c r="D30" i="2"/>
  <c r="C30" i="2"/>
  <c r="B30" i="2"/>
  <c r="AC29" i="2"/>
  <c r="AA29" i="2"/>
  <c r="Z29" i="2"/>
  <c r="Y29" i="2"/>
  <c r="X29" i="2"/>
  <c r="W29" i="2"/>
  <c r="V29" i="2"/>
  <c r="U29" i="2"/>
  <c r="T29" i="2"/>
  <c r="S29" i="2"/>
  <c r="R29" i="2"/>
  <c r="K29" i="2"/>
  <c r="J29" i="2"/>
  <c r="I29" i="2"/>
  <c r="H29" i="2"/>
  <c r="G29" i="2"/>
  <c r="F29" i="2"/>
  <c r="E29" i="2"/>
  <c r="D29" i="2"/>
  <c r="C29" i="2"/>
  <c r="B29" i="2"/>
  <c r="AC28" i="2"/>
  <c r="AA28" i="2"/>
  <c r="Z28" i="2"/>
  <c r="Y28" i="2"/>
  <c r="X28" i="2"/>
  <c r="W28" i="2"/>
  <c r="V28" i="2"/>
  <c r="U28" i="2"/>
  <c r="T28" i="2"/>
  <c r="S28" i="2"/>
  <c r="R28" i="2"/>
  <c r="K28" i="2"/>
  <c r="J28" i="2"/>
  <c r="I28" i="2"/>
  <c r="H28" i="2"/>
  <c r="G28" i="2"/>
  <c r="F28" i="2"/>
  <c r="E28" i="2"/>
  <c r="D28" i="2"/>
  <c r="C28" i="2"/>
  <c r="B28" i="2"/>
  <c r="B22" i="2"/>
  <c r="C22" i="2"/>
  <c r="D22" i="2"/>
  <c r="E22" i="2"/>
  <c r="F22" i="2"/>
  <c r="G22" i="2"/>
  <c r="H22" i="2"/>
  <c r="I22" i="2"/>
  <c r="J22" i="2"/>
  <c r="K22" i="2"/>
  <c r="R22" i="2"/>
  <c r="S22" i="2"/>
  <c r="T22" i="2"/>
  <c r="U22" i="2"/>
  <c r="V22" i="2"/>
  <c r="W22" i="2"/>
  <c r="X22" i="2"/>
  <c r="Y22" i="2"/>
  <c r="Z22" i="2"/>
  <c r="AA22" i="2"/>
  <c r="B23" i="2"/>
  <c r="C23" i="2"/>
  <c r="D23" i="2"/>
  <c r="E23" i="2"/>
  <c r="F23" i="2"/>
  <c r="G23" i="2"/>
  <c r="H23" i="2"/>
  <c r="I23" i="2"/>
  <c r="J23" i="2"/>
  <c r="K23" i="2"/>
  <c r="R23" i="2"/>
  <c r="S23" i="2"/>
  <c r="T23" i="2"/>
  <c r="U23" i="2"/>
  <c r="V23" i="2"/>
  <c r="W23" i="2"/>
  <c r="X23" i="2"/>
  <c r="Y23" i="2"/>
  <c r="Z23" i="2"/>
  <c r="AA23" i="2"/>
  <c r="AC23" i="2"/>
  <c r="B24" i="2"/>
  <c r="C24" i="2"/>
  <c r="D24" i="2"/>
  <c r="E24" i="2"/>
  <c r="F24" i="2"/>
  <c r="G24" i="2"/>
  <c r="H24" i="2"/>
  <c r="I24" i="2"/>
  <c r="J24" i="2"/>
  <c r="K24" i="2"/>
  <c r="R24" i="2"/>
  <c r="S24" i="2"/>
  <c r="T24" i="2"/>
  <c r="X24" i="2"/>
  <c r="Y24" i="2"/>
  <c r="Z24" i="2"/>
  <c r="AA24" i="2"/>
  <c r="AB24" i="2"/>
  <c r="B19" i="2"/>
  <c r="C19" i="2"/>
  <c r="D19" i="2"/>
  <c r="E19" i="2"/>
  <c r="F19" i="2"/>
  <c r="G19" i="2"/>
  <c r="H19" i="2"/>
  <c r="I19" i="2"/>
  <c r="J19" i="2"/>
  <c r="K19" i="2"/>
  <c r="N19" i="2"/>
  <c r="R19" i="2"/>
  <c r="S19" i="2"/>
  <c r="T19" i="2"/>
  <c r="U19" i="2"/>
  <c r="V19" i="2"/>
  <c r="W19" i="2"/>
  <c r="X19" i="2"/>
  <c r="Y19" i="2"/>
  <c r="Z19" i="2"/>
  <c r="AA19" i="2"/>
  <c r="AC19" i="2"/>
  <c r="B20" i="2"/>
  <c r="C20" i="2"/>
  <c r="D20" i="2"/>
  <c r="E20" i="2"/>
  <c r="F20" i="2"/>
  <c r="G20" i="2"/>
  <c r="H20" i="2"/>
  <c r="I20" i="2"/>
  <c r="J20" i="2"/>
  <c r="K20" i="2"/>
  <c r="R20" i="2"/>
  <c r="S20" i="2"/>
  <c r="T20" i="2"/>
  <c r="U20" i="2"/>
  <c r="V20" i="2"/>
  <c r="W20" i="2"/>
  <c r="X20" i="2"/>
  <c r="Y20" i="2"/>
  <c r="Z20" i="2"/>
  <c r="AA20" i="2"/>
  <c r="AD20" i="2"/>
  <c r="B21" i="2"/>
  <c r="C21" i="2"/>
  <c r="D21" i="2"/>
  <c r="E21" i="2"/>
  <c r="F21" i="2"/>
  <c r="G21" i="2"/>
  <c r="I21" i="2"/>
  <c r="J21" i="2"/>
  <c r="K21" i="2"/>
  <c r="R21" i="2"/>
  <c r="S21" i="2"/>
  <c r="T21" i="2"/>
  <c r="U21" i="2"/>
  <c r="V21" i="2"/>
  <c r="W21" i="2"/>
  <c r="X21" i="2"/>
  <c r="Y21" i="2"/>
  <c r="Z21" i="2"/>
  <c r="AA21" i="2"/>
  <c r="AC21" i="2"/>
  <c r="B3" i="2"/>
  <c r="C3" i="2"/>
  <c r="D3" i="2"/>
  <c r="E3" i="2"/>
  <c r="F3" i="2"/>
  <c r="G3" i="2"/>
  <c r="H3" i="2"/>
  <c r="I3" i="2"/>
  <c r="J3" i="2"/>
  <c r="K3" i="2"/>
  <c r="R3" i="2"/>
  <c r="S3" i="2"/>
  <c r="T3" i="2"/>
  <c r="U3" i="2"/>
  <c r="V3" i="2"/>
  <c r="W3" i="2"/>
  <c r="X3" i="2"/>
  <c r="Y3" i="2"/>
  <c r="Z3" i="2"/>
  <c r="AA3" i="2"/>
  <c r="AC3" i="2"/>
  <c r="B4" i="2"/>
  <c r="C4" i="2"/>
  <c r="D4" i="2"/>
  <c r="E4" i="2"/>
  <c r="F4" i="2"/>
  <c r="G4" i="2"/>
  <c r="H4" i="2"/>
  <c r="I4" i="2"/>
  <c r="J4" i="2"/>
  <c r="K4" i="2"/>
  <c r="R4" i="2"/>
  <c r="S4" i="2"/>
  <c r="T4" i="2"/>
  <c r="U4" i="2"/>
  <c r="V4" i="2"/>
  <c r="W4" i="2"/>
  <c r="X4" i="2"/>
  <c r="Y4" i="2"/>
  <c r="Z4" i="2"/>
  <c r="AA4" i="2"/>
  <c r="AC4" i="2"/>
  <c r="AD4" i="2"/>
  <c r="B5" i="2"/>
  <c r="C5" i="2"/>
  <c r="D5" i="2"/>
  <c r="E5" i="2"/>
  <c r="F5" i="2"/>
  <c r="G5" i="2"/>
  <c r="H5" i="2"/>
  <c r="I5" i="2"/>
  <c r="J5" i="2"/>
  <c r="K5" i="2"/>
  <c r="R5" i="2"/>
  <c r="S5" i="2"/>
  <c r="T5" i="2"/>
  <c r="U5" i="2"/>
  <c r="V5" i="2"/>
  <c r="W5" i="2"/>
  <c r="X5" i="2"/>
  <c r="Y5" i="2"/>
  <c r="Z5" i="2"/>
  <c r="AA5" i="2"/>
  <c r="B6" i="2"/>
  <c r="C6" i="2"/>
  <c r="D6" i="2"/>
  <c r="E6" i="2"/>
  <c r="F6" i="2"/>
  <c r="G6" i="2"/>
  <c r="H6" i="2"/>
  <c r="I6" i="2"/>
  <c r="J6" i="2"/>
  <c r="K6" i="2"/>
  <c r="R6" i="2"/>
  <c r="S6" i="2"/>
  <c r="T6" i="2"/>
  <c r="U6" i="2"/>
  <c r="V6" i="2"/>
  <c r="W6" i="2"/>
  <c r="X6" i="2"/>
  <c r="Y6" i="2"/>
  <c r="Z6" i="2"/>
  <c r="AA6" i="2"/>
  <c r="AD6" i="2"/>
  <c r="B7" i="2"/>
  <c r="C7" i="2"/>
  <c r="D7" i="2"/>
  <c r="E7" i="2"/>
  <c r="F7" i="2"/>
  <c r="G7" i="2"/>
  <c r="H7" i="2"/>
  <c r="I7" i="2"/>
  <c r="J7" i="2"/>
  <c r="K7" i="2"/>
  <c r="R7" i="2"/>
  <c r="S7" i="2"/>
  <c r="T7" i="2"/>
  <c r="U7" i="2"/>
  <c r="V7" i="2"/>
  <c r="W7" i="2"/>
  <c r="X7" i="2"/>
  <c r="Y7" i="2"/>
  <c r="Z7" i="2"/>
  <c r="AA7" i="2"/>
  <c r="B8" i="2"/>
  <c r="C8" i="2"/>
  <c r="D8" i="2"/>
  <c r="E8" i="2"/>
  <c r="F8" i="2"/>
  <c r="G8" i="2"/>
  <c r="H8" i="2"/>
  <c r="I8" i="2"/>
  <c r="J8" i="2"/>
  <c r="K8" i="2"/>
  <c r="R8" i="2"/>
  <c r="S8" i="2"/>
  <c r="T8" i="2"/>
  <c r="U8" i="2"/>
  <c r="V8" i="2"/>
  <c r="W8" i="2"/>
  <c r="X8" i="2"/>
  <c r="Y8" i="2"/>
  <c r="Z8" i="2"/>
  <c r="AA8" i="2"/>
  <c r="AB8" i="2"/>
  <c r="B9" i="2"/>
  <c r="C9" i="2"/>
  <c r="D9" i="2"/>
  <c r="E9" i="2"/>
  <c r="F9" i="2"/>
  <c r="G9" i="2"/>
  <c r="H9" i="2"/>
  <c r="I9" i="2"/>
  <c r="J9" i="2"/>
  <c r="K9" i="2"/>
  <c r="R9" i="2"/>
  <c r="S9" i="2"/>
  <c r="T9" i="2"/>
  <c r="U9" i="2"/>
  <c r="V9" i="2"/>
  <c r="W9" i="2"/>
  <c r="X9" i="2"/>
  <c r="Y9" i="2"/>
  <c r="Z9" i="2"/>
  <c r="AA9" i="2"/>
  <c r="B10" i="2"/>
  <c r="C10" i="2"/>
  <c r="D10" i="2"/>
  <c r="E10" i="2"/>
  <c r="F10" i="2"/>
  <c r="G10" i="2"/>
  <c r="H10" i="2"/>
  <c r="I10" i="2"/>
  <c r="J10" i="2"/>
  <c r="K10" i="2"/>
  <c r="N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B11" i="2"/>
  <c r="C11" i="2"/>
  <c r="D11" i="2"/>
  <c r="E11" i="2"/>
  <c r="F11" i="2"/>
  <c r="G11" i="2"/>
  <c r="H11" i="2"/>
  <c r="I11" i="2"/>
  <c r="J11" i="2"/>
  <c r="K11" i="2"/>
  <c r="R11" i="2"/>
  <c r="S11" i="2"/>
  <c r="T11" i="2"/>
  <c r="U11" i="2"/>
  <c r="V11" i="2"/>
  <c r="W11" i="2"/>
  <c r="X11" i="2"/>
  <c r="Y11" i="2"/>
  <c r="Z11" i="2"/>
  <c r="AA11" i="2"/>
  <c r="AC11" i="2"/>
  <c r="AD11" i="2"/>
  <c r="B12" i="2"/>
  <c r="C12" i="2"/>
  <c r="D12" i="2"/>
  <c r="E12" i="2"/>
  <c r="F12" i="2"/>
  <c r="G12" i="2"/>
  <c r="H12" i="2"/>
  <c r="I12" i="2"/>
  <c r="J12" i="2"/>
  <c r="K12" i="2"/>
  <c r="R12" i="2"/>
  <c r="S12" i="2"/>
  <c r="T12" i="2"/>
  <c r="U12" i="2"/>
  <c r="V12" i="2"/>
  <c r="W12" i="2"/>
  <c r="X12" i="2"/>
  <c r="Y12" i="2"/>
  <c r="Z12" i="2"/>
  <c r="AA12" i="2"/>
  <c r="AC12" i="2"/>
  <c r="B16" i="2"/>
  <c r="C16" i="2"/>
  <c r="D16" i="2"/>
  <c r="E16" i="2"/>
  <c r="F16" i="2"/>
  <c r="G16" i="2"/>
  <c r="H16" i="2"/>
  <c r="I16" i="2"/>
  <c r="J16" i="2"/>
  <c r="K16" i="2"/>
  <c r="R16" i="2"/>
  <c r="S16" i="2"/>
  <c r="T16" i="2"/>
  <c r="U16" i="2"/>
  <c r="V16" i="2"/>
  <c r="W16" i="2"/>
  <c r="X16" i="2"/>
  <c r="Y16" i="2"/>
  <c r="Z16" i="2"/>
  <c r="AA16" i="2"/>
  <c r="AC16" i="2"/>
  <c r="B17" i="2"/>
  <c r="C17" i="2"/>
  <c r="D17" i="2"/>
  <c r="E17" i="2"/>
  <c r="F17" i="2"/>
  <c r="G17" i="2"/>
  <c r="H17" i="2"/>
  <c r="I17" i="2"/>
  <c r="J17" i="2"/>
  <c r="K17" i="2"/>
  <c r="R17" i="2"/>
  <c r="S17" i="2"/>
  <c r="T17" i="2"/>
  <c r="U17" i="2"/>
  <c r="V17" i="2"/>
  <c r="W17" i="2"/>
  <c r="X17" i="2"/>
  <c r="Y17" i="2"/>
  <c r="Z17" i="2"/>
  <c r="AA17" i="2"/>
  <c r="B18" i="2"/>
  <c r="C18" i="2"/>
  <c r="D18" i="2"/>
  <c r="E18" i="2"/>
  <c r="F18" i="2"/>
  <c r="G18" i="2"/>
  <c r="H18" i="2"/>
  <c r="I18" i="2"/>
  <c r="J18" i="2"/>
  <c r="K18" i="2"/>
  <c r="R18" i="2"/>
  <c r="S18" i="2"/>
  <c r="T18" i="2"/>
  <c r="U18" i="2"/>
  <c r="V18" i="2"/>
  <c r="W18" i="2"/>
  <c r="X18" i="2"/>
  <c r="Y18" i="2"/>
  <c r="Z18" i="2"/>
  <c r="AA18" i="2"/>
  <c r="AD18" i="2"/>
  <c r="AD2" i="2"/>
  <c r="AC2" i="2"/>
  <c r="AA2" i="2"/>
  <c r="Z2" i="2"/>
  <c r="Y2" i="2"/>
  <c r="X2" i="2"/>
  <c r="W2" i="2"/>
  <c r="V2" i="2"/>
  <c r="U2" i="2"/>
  <c r="T2" i="2"/>
  <c r="S2" i="2"/>
  <c r="R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<sst xmlns="http://schemas.openxmlformats.org/spreadsheetml/2006/main" count="1371" uniqueCount="158">
  <si>
    <t>GOR/Nation</t>
  </si>
  <si>
    <t>Type of authority</t>
  </si>
  <si>
    <t>Population</t>
  </si>
  <si>
    <t>UKSPF allocation (£)</t>
  </si>
  <si>
    <t>Funding per head (£)</t>
  </si>
  <si>
    <t>Minimum funding (£1mill)</t>
  </si>
  <si>
    <t>Small funding (&lt;£ 10per capita)</t>
  </si>
  <si>
    <t>Medium Funding (£10-£30 per capita)</t>
  </si>
  <si>
    <t>Large funding (£30+ per capita)</t>
  </si>
  <si>
    <t>Levelling Up partnership in area?</t>
  </si>
  <si>
    <t>Freeport in area?</t>
  </si>
  <si>
    <t>Coastal community</t>
  </si>
  <si>
    <t>Ex-mining community</t>
  </si>
  <si>
    <t>Level of ERDF 2014-2020 funding</t>
  </si>
  <si>
    <t>Rural/Urban classification</t>
  </si>
  <si>
    <t>Deprivation quintile</t>
  </si>
  <si>
    <t>Evidence of delivery (taken from 6 month report - evidence of spend)</t>
  </si>
  <si>
    <t>Area selected for other evaluations</t>
  </si>
  <si>
    <t>Multiply funding (£)</t>
  </si>
  <si>
    <t>REPF funding (£)</t>
  </si>
  <si>
    <t>West Berkshire</t>
  </si>
  <si>
    <t>South East</t>
  </si>
  <si>
    <t>Upper tier</t>
  </si>
  <si>
    <t/>
  </si>
  <si>
    <t>None</t>
  </si>
  <si>
    <t>Urban with Significant Rural (rural including hub towns 26-49%)</t>
  </si>
  <si>
    <t>Yes</t>
  </si>
  <si>
    <t>No</t>
  </si>
  <si>
    <t>Medium</t>
  </si>
  <si>
    <t>Maidstone</t>
  </si>
  <si>
    <t>Lower</t>
  </si>
  <si>
    <t>High</t>
  </si>
  <si>
    <t>Wealden</t>
  </si>
  <si>
    <t xml:space="preserve">Mainly Rural (rural including hub towns &gt;=80%) </t>
  </si>
  <si>
    <t>Low</t>
  </si>
  <si>
    <t>Southend on Sea</t>
  </si>
  <si>
    <t>East of England</t>
  </si>
  <si>
    <t>Urban with City and Town</t>
  </si>
  <si>
    <t>Tendring</t>
  </si>
  <si>
    <t xml:space="preserve">Largely Rural (rural including hub towns 50-79%) </t>
  </si>
  <si>
    <t>Dartford</t>
  </si>
  <si>
    <t>Urban with Major Conurbation</t>
  </si>
  <si>
    <t>Fareham</t>
  </si>
  <si>
    <t>Swindon</t>
  </si>
  <si>
    <t>South West</t>
  </si>
  <si>
    <t>Watford</t>
  </si>
  <si>
    <t>Cheltenham</t>
  </si>
  <si>
    <t>Buckinghamshire</t>
  </si>
  <si>
    <t>Urban with Significant Rural</t>
  </si>
  <si>
    <t>Uttlesford</t>
  </si>
  <si>
    <t>Surrey Heath</t>
  </si>
  <si>
    <t>Norwich</t>
  </si>
  <si>
    <t>Towns Fund</t>
  </si>
  <si>
    <t>East Suffolk</t>
  </si>
  <si>
    <t>Largely Rural</t>
  </si>
  <si>
    <t>Mole Valley</t>
  </si>
  <si>
    <t>Forest of Dean</t>
  </si>
  <si>
    <t>Upper</t>
  </si>
  <si>
    <t>Rochford</t>
  </si>
  <si>
    <t>South Hams</t>
  </si>
  <si>
    <t>North Norfolk</t>
  </si>
  <si>
    <t>Teignbridge</t>
  </si>
  <si>
    <t>Epsom and Ewell</t>
  </si>
  <si>
    <t>West Northamptonshire</t>
  </si>
  <si>
    <t>East Midlands</t>
  </si>
  <si>
    <t>Luton</t>
  </si>
  <si>
    <t>Torridge</t>
  </si>
  <si>
    <t>Adur</t>
  </si>
  <si>
    <t>Greater London Authority</t>
  </si>
  <si>
    <t>London</t>
  </si>
  <si>
    <t>Combined</t>
  </si>
  <si>
    <t>South Derbyshire</t>
  </si>
  <si>
    <t>Blaby</t>
  </si>
  <si>
    <t>North West Leicestershire</t>
  </si>
  <si>
    <t>Bolsover</t>
  </si>
  <si>
    <t>North East Derbyshire</t>
  </si>
  <si>
    <t>Leicester</t>
  </si>
  <si>
    <t>York</t>
  </si>
  <si>
    <t>Yorkshire and The Humber</t>
  </si>
  <si>
    <t>Edinburgh and South East Scotland</t>
  </si>
  <si>
    <t>Scotland</t>
  </si>
  <si>
    <t>Urban with Minor Conurbation</t>
  </si>
  <si>
    <t>Chesterfield</t>
  </si>
  <si>
    <t>Aberdeen City Region</t>
  </si>
  <si>
    <t>Urban with significant rural</t>
  </si>
  <si>
    <t>Stratford-on-Avon</t>
  </si>
  <si>
    <t>West Midlands</t>
  </si>
  <si>
    <t>Nottingham</t>
  </si>
  <si>
    <t>North Yorkshire</t>
  </si>
  <si>
    <t>South Yorkshire</t>
  </si>
  <si>
    <t>Yorkshire and Humber</t>
  </si>
  <si>
    <t>Worcester</t>
  </si>
  <si>
    <t>Liverpool City Region</t>
  </si>
  <si>
    <t>North West</t>
  </si>
  <si>
    <t>Cheshire East</t>
  </si>
  <si>
    <t>West Yorkshire</t>
  </si>
  <si>
    <t>Greater Manchester</t>
  </si>
  <si>
    <t>Tamworth</t>
  </si>
  <si>
    <t>Cannock Chase</t>
  </si>
  <si>
    <t>Wychavon</t>
  </si>
  <si>
    <t>North Warwickshire</t>
  </si>
  <si>
    <t>East Riding of Yorkshire</t>
  </si>
  <si>
    <t>Tay Cities Region</t>
  </si>
  <si>
    <t>Glasgow City Region</t>
  </si>
  <si>
    <t>North East Lincolnshire</t>
  </si>
  <si>
    <t>Kingston upon Hull</t>
  </si>
  <si>
    <t>Forth Valley</t>
  </si>
  <si>
    <t>Urban city and town</t>
  </si>
  <si>
    <t>Wyre</t>
  </si>
  <si>
    <t>Chorley</t>
  </si>
  <si>
    <t>Blackpool</t>
  </si>
  <si>
    <t>Burnley</t>
  </si>
  <si>
    <t>South of Scotland</t>
  </si>
  <si>
    <t>Blackburn with Darwen</t>
  </si>
  <si>
    <t>Ayrshire</t>
  </si>
  <si>
    <t>Largely rural</t>
  </si>
  <si>
    <t>Newcastle-under-Lyme</t>
  </si>
  <si>
    <t>Allerdale</t>
  </si>
  <si>
    <t>Highlands and Islands</t>
  </si>
  <si>
    <t>Sunderland</t>
  </si>
  <si>
    <t>North East</t>
  </si>
  <si>
    <t>Northern Ireland</t>
  </si>
  <si>
    <t>XX</t>
  </si>
  <si>
    <t>North of Tyne</t>
  </si>
  <si>
    <t>County Durham</t>
  </si>
  <si>
    <t>Gateshead</t>
  </si>
  <si>
    <t>South Tyneside</t>
  </si>
  <si>
    <t>Tees Valley</t>
  </si>
  <si>
    <t>Cardiff Capital Region / South East Wales</t>
  </si>
  <si>
    <t>Wales</t>
  </si>
  <si>
    <t>North Wales</t>
  </si>
  <si>
    <t>South West Wales/ Swansea Bay</t>
  </si>
  <si>
    <t>Mid Wales</t>
  </si>
  <si>
    <t>Cornwall and Isles of Scilly</t>
  </si>
  <si>
    <t xml:space="preserve">Towns Fund  </t>
  </si>
  <si>
    <t>Hastings</t>
  </si>
  <si>
    <t>Redbridge</t>
  </si>
  <si>
    <t>Urban</t>
  </si>
  <si>
    <t>Richmond upon Thames</t>
  </si>
  <si>
    <t>Hackney</t>
  </si>
  <si>
    <t>Estuary</t>
  </si>
  <si>
    <t>City of Edinburgh</t>
  </si>
  <si>
    <t>Partial</t>
  </si>
  <si>
    <t xml:space="preserve">Highlands </t>
  </si>
  <si>
    <t>North Ayrshire</t>
  </si>
  <si>
    <t>Glasgow city region</t>
  </si>
  <si>
    <t>Mid wales</t>
  </si>
  <si>
    <t>Value of other MHCLG funding streams (£)</t>
  </si>
  <si>
    <t>Community &amp; Place planned activity</t>
  </si>
  <si>
    <t>Supporting Local Business planned activity</t>
  </si>
  <si>
    <t>People &amp; Skills planned activity</t>
  </si>
  <si>
    <t>Supporting Local Business (% of funding)</t>
  </si>
  <si>
    <t>People &amp; Skills (% of funding)</t>
  </si>
  <si>
    <t>Other MHCLG spending per capita</t>
  </si>
  <si>
    <t>Other MHCLG funding category</t>
  </si>
  <si>
    <t>Community &amp; Place 
(% of funding)</t>
  </si>
  <si>
    <t>Lead Local Authority</t>
  </si>
  <si>
    <t>Total value of other MHCLG funding streams 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</si>
</sst>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&quot;£&quot;#,##0.00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</font>
    <font>
      <b/>
      <sz val="11"/>
      <color theme="1"/>
      <name val="Arial"/>
    </font>
    <font>
      <sz val="11"/>
      <color rgb="FF0B0C0C"/>
      <name val="Arial"/>
    </font>
    <font>
      <sz val="10"/>
      <color rgb="FF0B0C0C"/>
      <name val="Arial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2" fillId="2" borderId="2" xfId="0" applyFont="1" applyFill="1" applyBorder="1" applyAlignment="1">
      <alignment wrapText="1"/>
    </xf>
    <xf numFmtId="0" fontId="3" fillId="0" borderId="1" xfId="0" applyFont="1" applyBorder="1"/>
    <xf numFmtId="0" fontId="4" fillId="2" borderId="1" xfId="0" applyFont="1" applyFill="1" applyBorder="1" applyAlignment="1">
      <alignment wrapText="1"/>
    </xf>
    <xf numFmtId="0" fontId="5" fillId="0" borderId="1" xfId="0" applyFont="1" applyBorder="1" applyAlignment="1">
      <alignment vertical="top" wrapText="1" indent="1"/>
    </xf>
    <xf numFmtId="164" fontId="3" fillId="0" borderId="1" xfId="0" applyNumberFormat="1" applyFont="1" applyBorder="1"/>
    <xf numFmtId="165" fontId="3" fillId="0" borderId="1" xfId="0" applyNumberFormat="1" applyFont="1" applyBorder="1"/>
    <xf numFmtId="0" fontId="6" fillId="0" borderId="1" xfId="0" applyFont="1" applyBorder="1"/>
    <xf numFmtId="1" fontId="3" fillId="0" borderId="1" xfId="0" applyNumberFormat="1" applyFont="1" applyBorder="1"/>
    <xf numFmtId="166" fontId="3" fillId="0" borderId="1" xfId="0" applyNumberFormat="1" applyFont="1" applyBorder="1"/>
    <xf numFmtId="3" fontId="3" fillId="0" borderId="1" xfId="0" applyNumberFormat="1" applyFont="1" applyBorder="1"/>
    <xf numFmtId="0" fontId="2" fillId="2" borderId="1" xfId="0" applyFont="1" applyFill="1" applyBorder="1" applyAlignment="1">
      <alignment wrapText="1"/>
    </xf>
    <xf numFmtId="3" fontId="1" fillId="0" borderId="1" xfId="0" applyNumberFormat="1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psosgroup.ipsos.com\dfs\EMEA\United%20Kingdom\File\LON_Files_SRI_PublicAffairs\GOVT_CEN\23-010932-01%20Evaluation%20of%20the%20UKSPF\02%20Scoping\03%20Data%20collection\UK%20SPF%20funding%20allocations.xlsx" TargetMode="External"/><Relationship Id="rId1" Type="http://schemas.openxmlformats.org/officeDocument/2006/relationships/externalLinkPath" Target="https://mhclg.sharepoint.com/EMEA/United%20Kingdom/File/LON_Files_SRI_PublicAffairs/GOVT_CEN/23-010932-01%20Evaluation%20of%20the%20UKSPF/02%20Scoping/03%20Data%20collection/UK%20SPF%20funding%20allo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4"/>
      <sheetName val="Sheet6"/>
      <sheetName val="Sheet1"/>
      <sheetName val="Sheet3"/>
      <sheetName val="Sheet5"/>
      <sheetName val="Sheet2"/>
    </sheetNames>
    <sheetDataSet>
      <sheetData sheetId="0"/>
      <sheetData sheetId="1"/>
      <sheetData sheetId="2"/>
      <sheetData sheetId="3"/>
      <sheetData sheetId="4"/>
      <sheetData sheetId="5">
        <row r="137">
          <cell r="C137">
            <v>5151461</v>
          </cell>
          <cell r="H137">
            <v>259956</v>
          </cell>
          <cell r="J137">
            <v>22209596</v>
          </cell>
        </row>
        <row r="152">
          <cell r="C152">
            <v>5794257</v>
          </cell>
          <cell r="H152">
            <v>309836</v>
          </cell>
          <cell r="J152">
            <v>1800000</v>
          </cell>
        </row>
        <row r="153">
          <cell r="C153">
            <v>2259008</v>
          </cell>
          <cell r="H153">
            <v>195232</v>
          </cell>
          <cell r="J153">
            <v>30913348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49F0C-1AAD-41E0-8CB3-5167B4244E07}">
  <dimension ref="A1:AD144"/>
  <sheetViews>
    <sheetView workbookViewId="0">
      <pane xSplit="1" topLeftCell="O1" activePane="topRight" state="frozen"/>
      <selection pane="topRight" activeCell="A20" sqref="A20:XFD20"/>
    </sheetView>
  </sheetViews>
  <sheetFormatPr defaultRowHeight="15" x14ac:dyDescent="0.25"/>
  <cols>
    <col min="1" max="1" width="19.7109375" style="1" customWidth="1"/>
    <col min="2" max="16" width="15.5703125" style="1" customWidth="1"/>
    <col min="17" max="17" width="29" style="1" customWidth="1"/>
    <col min="18" max="30" width="15.5703125" style="1" customWidth="1"/>
  </cols>
  <sheetData>
    <row r="1" spans="1:30" ht="90" x14ac:dyDescent="0.25">
      <c r="A1" s="13" t="s">
        <v>156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147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148</v>
      </c>
      <c r="T1" s="5" t="s">
        <v>149</v>
      </c>
      <c r="U1" s="5" t="s">
        <v>150</v>
      </c>
      <c r="V1" s="13" t="s">
        <v>155</v>
      </c>
      <c r="W1" s="5" t="s">
        <v>151</v>
      </c>
      <c r="X1" s="5" t="s">
        <v>152</v>
      </c>
      <c r="Y1" s="5" t="s">
        <v>16</v>
      </c>
      <c r="Z1" s="5" t="s">
        <v>153</v>
      </c>
      <c r="AA1" s="5" t="s">
        <v>154</v>
      </c>
      <c r="AB1" s="5" t="s">
        <v>17</v>
      </c>
      <c r="AC1" s="5" t="s">
        <v>18</v>
      </c>
      <c r="AD1" s="5" t="s">
        <v>19</v>
      </c>
    </row>
    <row r="2" spans="1:30" x14ac:dyDescent="0.25">
      <c r="A2" s="6" t="s">
        <v>20</v>
      </c>
      <c r="B2" s="4" t="s">
        <v>21</v>
      </c>
      <c r="C2" s="4" t="s">
        <v>22</v>
      </c>
      <c r="D2" s="12">
        <v>161865</v>
      </c>
      <c r="E2" s="12">
        <v>1000000</v>
      </c>
      <c r="F2" s="11">
        <v>6.1779878293639765</v>
      </c>
      <c r="G2" s="4" t="s">
        <v>26</v>
      </c>
      <c r="H2" s="4" t="s">
        <v>26</v>
      </c>
      <c r="I2" s="4" t="s">
        <v>23</v>
      </c>
      <c r="J2" s="4" t="s">
        <v>23</v>
      </c>
      <c r="K2" s="7">
        <v>19861333</v>
      </c>
      <c r="L2" s="4"/>
      <c r="M2" s="4"/>
      <c r="N2" s="4"/>
      <c r="O2" s="4"/>
      <c r="P2" s="4" t="s">
        <v>24</v>
      </c>
      <c r="Q2" s="4" t="s">
        <v>25</v>
      </c>
      <c r="R2" s="4">
        <v>5</v>
      </c>
      <c r="S2" s="4" t="s">
        <v>26</v>
      </c>
      <c r="T2" s="4" t="s">
        <v>26</v>
      </c>
      <c r="U2" s="4" t="s">
        <v>27</v>
      </c>
      <c r="V2" s="10">
        <v>82.125603864734302</v>
      </c>
      <c r="W2" s="10">
        <v>17.874396135265702</v>
      </c>
      <c r="X2" s="10">
        <v>0</v>
      </c>
      <c r="Y2" s="4" t="s">
        <v>26</v>
      </c>
      <c r="Z2" s="8">
        <v>122.70307354894511</v>
      </c>
      <c r="AA2" s="4" t="s">
        <v>28</v>
      </c>
      <c r="AB2" s="4"/>
      <c r="AC2" s="12">
        <v>674525</v>
      </c>
      <c r="AD2" s="12">
        <v>597994</v>
      </c>
    </row>
    <row r="3" spans="1:30" x14ac:dyDescent="0.25">
      <c r="A3" s="6" t="s">
        <v>29</v>
      </c>
      <c r="B3" s="4" t="s">
        <v>21</v>
      </c>
      <c r="C3" s="4" t="s">
        <v>30</v>
      </c>
      <c r="D3" s="12">
        <v>176712</v>
      </c>
      <c r="E3" s="12">
        <v>1199253</v>
      </c>
      <c r="F3" s="11">
        <v>6.7864830911313323</v>
      </c>
      <c r="G3" s="4" t="s">
        <v>23</v>
      </c>
      <c r="H3" s="4" t="s">
        <v>26</v>
      </c>
      <c r="I3" s="4" t="s">
        <v>23</v>
      </c>
      <c r="J3" s="4" t="s">
        <v>23</v>
      </c>
      <c r="K3" s="7">
        <v>31627586</v>
      </c>
      <c r="L3" s="4"/>
      <c r="M3" s="4"/>
      <c r="N3" s="4"/>
      <c r="O3" s="4"/>
      <c r="P3" s="4" t="s">
        <v>31</v>
      </c>
      <c r="Q3" s="4" t="s">
        <v>25</v>
      </c>
      <c r="R3" s="4">
        <v>4</v>
      </c>
      <c r="S3" s="4" t="s">
        <v>26</v>
      </c>
      <c r="T3" s="4" t="s">
        <v>27</v>
      </c>
      <c r="U3" s="4" t="s">
        <v>27</v>
      </c>
      <c r="V3" s="10">
        <v>99.999999999999986</v>
      </c>
      <c r="W3" s="10">
        <v>0</v>
      </c>
      <c r="X3" s="10">
        <v>0</v>
      </c>
      <c r="Y3" s="4" t="s">
        <v>26</v>
      </c>
      <c r="Z3" s="8">
        <v>178.97814523065779</v>
      </c>
      <c r="AA3" s="4" t="s">
        <v>28</v>
      </c>
      <c r="AB3" s="4"/>
      <c r="AC3" s="12"/>
      <c r="AD3" s="12">
        <v>539728</v>
      </c>
    </row>
    <row r="4" spans="1:30" x14ac:dyDescent="0.25">
      <c r="A4" s="6" t="s">
        <v>32</v>
      </c>
      <c r="B4" s="4" t="s">
        <v>21</v>
      </c>
      <c r="C4" s="4" t="s">
        <v>30</v>
      </c>
      <c r="D4" s="12">
        <v>160749</v>
      </c>
      <c r="E4" s="12">
        <v>1172127</v>
      </c>
      <c r="F4" s="11">
        <v>7.2916596681783403</v>
      </c>
      <c r="G4" s="4" t="s">
        <v>23</v>
      </c>
      <c r="H4" s="4" t="s">
        <v>26</v>
      </c>
      <c r="I4" s="4" t="s">
        <v>23</v>
      </c>
      <c r="J4" s="4" t="s">
        <v>23</v>
      </c>
      <c r="K4" s="7">
        <v>7007335</v>
      </c>
      <c r="L4" s="4"/>
      <c r="M4" s="4"/>
      <c r="N4" s="4" t="s">
        <v>26</v>
      </c>
      <c r="O4" s="4"/>
      <c r="P4" s="4" t="s">
        <v>24</v>
      </c>
      <c r="Q4" s="4" t="s">
        <v>33</v>
      </c>
      <c r="R4" s="4">
        <v>5</v>
      </c>
      <c r="S4" s="4" t="s">
        <v>26</v>
      </c>
      <c r="T4" s="4" t="s">
        <v>26</v>
      </c>
      <c r="U4" s="4" t="s">
        <v>26</v>
      </c>
      <c r="V4" s="10">
        <v>83.681599666168466</v>
      </c>
      <c r="W4" s="10">
        <v>9.9638491115567867</v>
      </c>
      <c r="X4" s="10">
        <v>6.354551222274738</v>
      </c>
      <c r="Y4" s="4" t="s">
        <v>26</v>
      </c>
      <c r="Z4" s="8">
        <v>43.591779731133627</v>
      </c>
      <c r="AA4" s="4" t="s">
        <v>34</v>
      </c>
      <c r="AB4" s="4"/>
      <c r="AC4" s="12"/>
      <c r="AD4" s="12">
        <v>838120</v>
      </c>
    </row>
    <row r="5" spans="1:30" ht="15.95" customHeight="1" x14ac:dyDescent="0.25">
      <c r="A5" s="6" t="s">
        <v>35</v>
      </c>
      <c r="B5" s="4" t="s">
        <v>36</v>
      </c>
      <c r="C5" s="4" t="s">
        <v>22</v>
      </c>
      <c r="D5" s="12">
        <v>180601</v>
      </c>
      <c r="E5" s="12">
        <v>1338755</v>
      </c>
      <c r="F5" s="11">
        <v>7.4127773378884942</v>
      </c>
      <c r="G5" s="4" t="s">
        <v>23</v>
      </c>
      <c r="H5" s="4" t="s">
        <v>26</v>
      </c>
      <c r="I5" s="4" t="s">
        <v>23</v>
      </c>
      <c r="J5" s="4" t="s">
        <v>23</v>
      </c>
      <c r="K5" s="7">
        <v>77052389</v>
      </c>
      <c r="L5" s="4"/>
      <c r="M5" s="4"/>
      <c r="N5" s="4" t="s">
        <v>26</v>
      </c>
      <c r="O5" s="4"/>
      <c r="P5" s="4" t="s">
        <v>31</v>
      </c>
      <c r="Q5" s="4" t="s">
        <v>37</v>
      </c>
      <c r="R5" s="4">
        <v>2</v>
      </c>
      <c r="S5" s="4" t="s">
        <v>26</v>
      </c>
      <c r="T5" s="4" t="s">
        <v>26</v>
      </c>
      <c r="U5" s="4" t="s">
        <v>26</v>
      </c>
      <c r="V5" s="10">
        <v>47.740695472060757</v>
      </c>
      <c r="W5" s="10">
        <v>28.796327064644554</v>
      </c>
      <c r="X5" s="10">
        <v>23.462977463294692</v>
      </c>
      <c r="Y5" s="4" t="s">
        <v>26</v>
      </c>
      <c r="Z5" s="8">
        <v>426.64430983217147</v>
      </c>
      <c r="AA5" s="4" t="s">
        <v>28</v>
      </c>
      <c r="AB5" s="4"/>
      <c r="AC5" s="12">
        <v>999755</v>
      </c>
      <c r="AD5" s="12"/>
    </row>
    <row r="6" spans="1:30" x14ac:dyDescent="0.25">
      <c r="A6" s="6" t="s">
        <v>38</v>
      </c>
      <c r="B6" s="4" t="s">
        <v>36</v>
      </c>
      <c r="C6" s="4" t="s">
        <v>30</v>
      </c>
      <c r="D6" s="12">
        <v>148934</v>
      </c>
      <c r="E6" s="12">
        <v>1188232</v>
      </c>
      <c r="F6" s="11">
        <v>7.9782453972900749</v>
      </c>
      <c r="G6" s="4" t="s">
        <v>23</v>
      </c>
      <c r="H6" s="4" t="s">
        <v>26</v>
      </c>
      <c r="I6" s="4" t="s">
        <v>23</v>
      </c>
      <c r="J6" s="4" t="s">
        <v>23</v>
      </c>
      <c r="K6" s="7">
        <v>48907760</v>
      </c>
      <c r="L6" s="4" t="s">
        <v>26</v>
      </c>
      <c r="M6" s="4"/>
      <c r="N6" s="4" t="s">
        <v>26</v>
      </c>
      <c r="O6" s="4"/>
      <c r="P6" s="4" t="s">
        <v>24</v>
      </c>
      <c r="Q6" s="4" t="s">
        <v>39</v>
      </c>
      <c r="R6" s="4">
        <v>1</v>
      </c>
      <c r="S6" s="4" t="s">
        <v>26</v>
      </c>
      <c r="T6" s="4" t="s">
        <v>26</v>
      </c>
      <c r="U6" s="4" t="s">
        <v>26</v>
      </c>
      <c r="V6" s="10">
        <v>25.453314740711861</v>
      </c>
      <c r="W6" s="10">
        <v>52.050251104036555</v>
      </c>
      <c r="X6" s="10">
        <v>22.496434155251578</v>
      </c>
      <c r="Y6" s="4" t="s">
        <v>26</v>
      </c>
      <c r="Z6" s="8">
        <v>328.38545933097885</v>
      </c>
      <c r="AA6" s="4" t="s">
        <v>28</v>
      </c>
      <c r="AB6" s="4"/>
      <c r="AC6" s="12"/>
      <c r="AD6" s="12">
        <v>659335</v>
      </c>
    </row>
    <row r="7" spans="1:30" x14ac:dyDescent="0.25">
      <c r="A7" s="6" t="s">
        <v>40</v>
      </c>
      <c r="B7" s="4" t="s">
        <v>21</v>
      </c>
      <c r="C7" s="4" t="s">
        <v>30</v>
      </c>
      <c r="D7" s="12">
        <v>116777</v>
      </c>
      <c r="E7" s="12">
        <v>1000000</v>
      </c>
      <c r="F7" s="11">
        <v>8.5633301078123267</v>
      </c>
      <c r="G7" s="4" t="s">
        <v>26</v>
      </c>
      <c r="H7" s="4" t="s">
        <v>26</v>
      </c>
      <c r="I7" s="4" t="s">
        <v>23</v>
      </c>
      <c r="J7" s="4" t="s">
        <v>23</v>
      </c>
      <c r="K7" s="7">
        <v>25301796</v>
      </c>
      <c r="L7" s="4"/>
      <c r="M7" s="4"/>
      <c r="N7" s="4"/>
      <c r="O7" s="4"/>
      <c r="P7" s="4" t="s">
        <v>24</v>
      </c>
      <c r="Q7" s="4" t="s">
        <v>41</v>
      </c>
      <c r="R7" s="4">
        <v>4</v>
      </c>
      <c r="S7" s="4" t="s">
        <v>26</v>
      </c>
      <c r="T7" s="4" t="s">
        <v>26</v>
      </c>
      <c r="U7" s="4" t="s">
        <v>26</v>
      </c>
      <c r="V7" s="10">
        <v>94.224727407133628</v>
      </c>
      <c r="W7" s="10">
        <v>5.7752725928663837</v>
      </c>
      <c r="X7" s="10">
        <v>0</v>
      </c>
      <c r="Y7" s="4" t="s">
        <v>26</v>
      </c>
      <c r="Z7" s="8">
        <v>216.66763146852549</v>
      </c>
      <c r="AA7" s="4" t="s">
        <v>28</v>
      </c>
      <c r="AB7" s="4"/>
      <c r="AC7" s="12"/>
      <c r="AD7" s="12"/>
    </row>
    <row r="8" spans="1:30" x14ac:dyDescent="0.25">
      <c r="A8" s="6" t="s">
        <v>42</v>
      </c>
      <c r="B8" s="4" t="s">
        <v>21</v>
      </c>
      <c r="C8" s="4" t="s">
        <v>30</v>
      </c>
      <c r="D8" s="12">
        <v>114993</v>
      </c>
      <c r="E8" s="12">
        <v>1000000</v>
      </c>
      <c r="F8" s="11">
        <v>8.6961815067004071</v>
      </c>
      <c r="G8" s="4" t="s">
        <v>26</v>
      </c>
      <c r="H8" s="4" t="s">
        <v>26</v>
      </c>
      <c r="I8" s="4" t="s">
        <v>23</v>
      </c>
      <c r="J8" s="4" t="s">
        <v>23</v>
      </c>
      <c r="K8" s="7">
        <v>37889870</v>
      </c>
      <c r="L8" s="4"/>
      <c r="M8" s="4"/>
      <c r="N8" s="4" t="s">
        <v>26</v>
      </c>
      <c r="O8" s="4"/>
      <c r="P8" s="4" t="s">
        <v>24</v>
      </c>
      <c r="Q8" s="4" t="s">
        <v>37</v>
      </c>
      <c r="R8" s="4">
        <v>5</v>
      </c>
      <c r="S8" s="4" t="s">
        <v>26</v>
      </c>
      <c r="T8" s="4" t="s">
        <v>26</v>
      </c>
      <c r="U8" s="4" t="s">
        <v>27</v>
      </c>
      <c r="V8" s="10">
        <v>80</v>
      </c>
      <c r="W8" s="10">
        <v>20</v>
      </c>
      <c r="X8" s="10">
        <v>0</v>
      </c>
      <c r="Y8" s="4" t="s">
        <v>26</v>
      </c>
      <c r="Z8" s="8">
        <v>329.49718678528257</v>
      </c>
      <c r="AA8" s="4" t="s">
        <v>28</v>
      </c>
      <c r="AB8" s="4"/>
      <c r="AC8" s="12"/>
      <c r="AD8" s="12"/>
    </row>
    <row r="9" spans="1:30" x14ac:dyDescent="0.25">
      <c r="A9" s="6" t="s">
        <v>43</v>
      </c>
      <c r="B9" s="4" t="s">
        <v>44</v>
      </c>
      <c r="C9" s="4" t="s">
        <v>22</v>
      </c>
      <c r="D9" s="12">
        <v>233713</v>
      </c>
      <c r="E9" s="12">
        <v>2070057</v>
      </c>
      <c r="F9" s="11">
        <v>8.8572608284519898</v>
      </c>
      <c r="G9" s="4" t="s">
        <v>23</v>
      </c>
      <c r="H9" s="4" t="s">
        <v>26</v>
      </c>
      <c r="I9" s="4" t="s">
        <v>23</v>
      </c>
      <c r="J9" s="4" t="s">
        <v>23</v>
      </c>
      <c r="K9" s="7">
        <v>76750000</v>
      </c>
      <c r="L9" s="4"/>
      <c r="M9" s="4"/>
      <c r="N9" s="4"/>
      <c r="O9" s="4"/>
      <c r="P9" s="4" t="s">
        <v>34</v>
      </c>
      <c r="Q9" s="4" t="s">
        <v>37</v>
      </c>
      <c r="R9" s="4">
        <v>3</v>
      </c>
      <c r="S9" s="4" t="s">
        <v>26</v>
      </c>
      <c r="T9" s="4" t="s">
        <v>26</v>
      </c>
      <c r="U9" s="4" t="s">
        <v>26</v>
      </c>
      <c r="V9" s="10">
        <v>61.019114658565428</v>
      </c>
      <c r="W9" s="10">
        <v>0</v>
      </c>
      <c r="X9" s="10">
        <v>38.980885341434586</v>
      </c>
      <c r="Y9" s="4" t="s">
        <v>26</v>
      </c>
      <c r="Z9" s="8">
        <v>328.39422710760635</v>
      </c>
      <c r="AA9" s="4" t="s">
        <v>28</v>
      </c>
      <c r="AB9" s="4"/>
      <c r="AC9" s="12">
        <v>1209629</v>
      </c>
      <c r="AD9" s="12"/>
    </row>
    <row r="10" spans="1:30" x14ac:dyDescent="0.25">
      <c r="A10" s="6" t="s">
        <v>45</v>
      </c>
      <c r="B10" s="4" t="s">
        <v>36</v>
      </c>
      <c r="C10" s="4" t="s">
        <v>30</v>
      </c>
      <c r="D10" s="12">
        <v>102451</v>
      </c>
      <c r="E10" s="12">
        <v>1000000</v>
      </c>
      <c r="F10" s="11">
        <v>9.7607636821504915</v>
      </c>
      <c r="G10" s="4" t="s">
        <v>26</v>
      </c>
      <c r="H10" s="4" t="s">
        <v>26</v>
      </c>
      <c r="I10" s="4" t="s">
        <v>23</v>
      </c>
      <c r="J10" s="4" t="s">
        <v>23</v>
      </c>
      <c r="K10" s="7">
        <v>11672423</v>
      </c>
      <c r="L10" s="4"/>
      <c r="M10" s="4"/>
      <c r="N10" s="4"/>
      <c r="O10" s="4"/>
      <c r="P10" s="4" t="s">
        <v>28</v>
      </c>
      <c r="Q10" s="4" t="s">
        <v>41</v>
      </c>
      <c r="R10" s="4">
        <v>4</v>
      </c>
      <c r="S10" s="4" t="s">
        <v>26</v>
      </c>
      <c r="T10" s="4" t="s">
        <v>26</v>
      </c>
      <c r="U10" s="4" t="s">
        <v>26</v>
      </c>
      <c r="V10" s="10">
        <v>4</v>
      </c>
      <c r="W10" s="10">
        <v>71</v>
      </c>
      <c r="X10" s="10">
        <v>25</v>
      </c>
      <c r="Y10" s="4" t="s">
        <v>26</v>
      </c>
      <c r="Z10" s="8">
        <v>113.93176250109809</v>
      </c>
      <c r="AA10" s="4" t="s">
        <v>28</v>
      </c>
      <c r="AB10" s="4"/>
      <c r="AC10" s="12"/>
      <c r="AD10" s="12"/>
    </row>
    <row r="11" spans="1:30" x14ac:dyDescent="0.25">
      <c r="A11" s="6" t="s">
        <v>46</v>
      </c>
      <c r="B11" s="4" t="s">
        <v>44</v>
      </c>
      <c r="C11" s="4" t="s">
        <v>30</v>
      </c>
      <c r="D11" s="12">
        <v>118866</v>
      </c>
      <c r="E11" s="12">
        <v>1178035</v>
      </c>
      <c r="F11" s="11">
        <v>9.9106136321572187</v>
      </c>
      <c r="G11" s="4" t="s">
        <v>23</v>
      </c>
      <c r="H11" s="4" t="s">
        <v>26</v>
      </c>
      <c r="I11" s="4" t="s">
        <v>23</v>
      </c>
      <c r="J11" s="4" t="s">
        <v>23</v>
      </c>
      <c r="K11" s="7">
        <v>24261000</v>
      </c>
      <c r="L11" s="4"/>
      <c r="M11" s="4"/>
      <c r="N11" s="4"/>
      <c r="O11" s="4"/>
      <c r="P11" s="4" t="s">
        <v>28</v>
      </c>
      <c r="Q11" s="4" t="s">
        <v>37</v>
      </c>
      <c r="R11" s="4">
        <v>4</v>
      </c>
      <c r="S11" s="4" t="s">
        <v>26</v>
      </c>
      <c r="T11" s="4" t="s">
        <v>26</v>
      </c>
      <c r="U11" s="4" t="s">
        <v>26</v>
      </c>
      <c r="V11" s="10">
        <v>43.165633767863177</v>
      </c>
      <c r="W11" s="10">
        <v>50.981655992996053</v>
      </c>
      <c r="X11" s="10">
        <v>5.8527102391407757</v>
      </c>
      <c r="Y11" s="4" t="s">
        <v>26</v>
      </c>
      <c r="Z11" s="8">
        <v>204.10378072787844</v>
      </c>
      <c r="AA11" s="4" t="s">
        <v>28</v>
      </c>
      <c r="AB11" s="4"/>
      <c r="AC11" s="12"/>
      <c r="AD11" s="12"/>
    </row>
    <row r="12" spans="1:30" x14ac:dyDescent="0.25">
      <c r="A12" s="6" t="s">
        <v>47</v>
      </c>
      <c r="B12" s="4" t="s">
        <v>21</v>
      </c>
      <c r="C12" s="4" t="s">
        <v>22</v>
      </c>
      <c r="D12" s="12">
        <v>555257</v>
      </c>
      <c r="E12" s="12">
        <v>5768620</v>
      </c>
      <c r="F12" s="11">
        <v>10.389099101857338</v>
      </c>
      <c r="G12" s="4" t="s">
        <v>23</v>
      </c>
      <c r="H12" s="4" t="s">
        <v>23</v>
      </c>
      <c r="I12" s="4" t="s">
        <v>26</v>
      </c>
      <c r="J12" s="4" t="s">
        <v>23</v>
      </c>
      <c r="K12" s="7">
        <v>82794626.640000001</v>
      </c>
      <c r="L12" s="4"/>
      <c r="M12" s="4"/>
      <c r="N12" s="4"/>
      <c r="O12" s="4"/>
      <c r="P12" s="4" t="s">
        <v>24</v>
      </c>
      <c r="Q12" s="4" t="s">
        <v>48</v>
      </c>
      <c r="R12" s="4">
        <v>5</v>
      </c>
      <c r="S12" s="4" t="s">
        <v>26</v>
      </c>
      <c r="T12" s="4" t="s">
        <v>26</v>
      </c>
      <c r="U12" s="4" t="s">
        <v>26</v>
      </c>
      <c r="V12" s="10">
        <v>36.859456431664164</v>
      </c>
      <c r="W12" s="10">
        <v>33.030415684246847</v>
      </c>
      <c r="X12" s="10">
        <v>30.110127884088993</v>
      </c>
      <c r="Y12" s="4" t="s">
        <v>26</v>
      </c>
      <c r="Z12" s="8">
        <v>149.11045991315734</v>
      </c>
      <c r="AA12" s="4" t="s">
        <v>28</v>
      </c>
      <c r="AB12" s="4"/>
      <c r="AC12" s="12">
        <v>2169617</v>
      </c>
      <c r="AD12" s="12">
        <v>1828695</v>
      </c>
    </row>
    <row r="13" spans="1:30" x14ac:dyDescent="0.25">
      <c r="A13" s="6" t="s">
        <v>49</v>
      </c>
      <c r="B13" s="4" t="s">
        <v>36</v>
      </c>
      <c r="C13" s="4" t="s">
        <v>30</v>
      </c>
      <c r="D13" s="12">
        <v>91948</v>
      </c>
      <c r="E13" s="12">
        <v>1000000</v>
      </c>
      <c r="F13" s="11">
        <v>10.875712359159525</v>
      </c>
      <c r="G13" s="4" t="s">
        <v>26</v>
      </c>
      <c r="H13" s="4" t="s">
        <v>23</v>
      </c>
      <c r="I13" s="4" t="s">
        <v>26</v>
      </c>
      <c r="J13" s="4" t="s">
        <v>23</v>
      </c>
      <c r="K13" s="7">
        <v>7233896</v>
      </c>
      <c r="L13" s="4"/>
      <c r="M13" s="4"/>
      <c r="N13" s="4"/>
      <c r="O13" s="4"/>
      <c r="P13" s="4" t="s">
        <v>24</v>
      </c>
      <c r="Q13" s="4" t="s">
        <v>33</v>
      </c>
      <c r="R13" s="4">
        <v>5</v>
      </c>
      <c r="S13" s="4" t="s">
        <v>26</v>
      </c>
      <c r="T13" s="4" t="s">
        <v>26</v>
      </c>
      <c r="U13" s="4" t="s">
        <v>26</v>
      </c>
      <c r="V13" s="10">
        <v>58.424734156308908</v>
      </c>
      <c r="W13" s="10">
        <v>9.8519118045765666</v>
      </c>
      <c r="X13" s="10">
        <v>31.723354039114525</v>
      </c>
      <c r="Y13" s="4" t="s">
        <v>26</v>
      </c>
      <c r="Z13" s="8">
        <v>78.673772132074646</v>
      </c>
      <c r="AA13" s="4" t="s">
        <v>34</v>
      </c>
      <c r="AB13" s="4"/>
      <c r="AC13" s="12"/>
      <c r="AD13" s="12">
        <v>813487</v>
      </c>
    </row>
    <row r="14" spans="1:30" x14ac:dyDescent="0.25">
      <c r="A14" s="6" t="s">
        <v>50</v>
      </c>
      <c r="B14" s="4" t="s">
        <v>21</v>
      </c>
      <c r="C14" s="4" t="s">
        <v>30</v>
      </c>
      <c r="D14" s="12">
        <v>90645</v>
      </c>
      <c r="E14" s="12">
        <v>1000000</v>
      </c>
      <c r="F14" s="11">
        <v>11.032048099729716</v>
      </c>
      <c r="G14" s="4" t="s">
        <v>26</v>
      </c>
      <c r="H14" s="4" t="s">
        <v>23</v>
      </c>
      <c r="I14" s="4" t="s">
        <v>26</v>
      </c>
      <c r="J14" s="4" t="s">
        <v>23</v>
      </c>
      <c r="K14" s="7">
        <v>16640142.120000001</v>
      </c>
      <c r="L14" s="4"/>
      <c r="M14" s="4"/>
      <c r="N14" s="4"/>
      <c r="O14" s="4"/>
      <c r="P14" s="4" t="s">
        <v>24</v>
      </c>
      <c r="Q14" s="4" t="s">
        <v>37</v>
      </c>
      <c r="R14" s="4">
        <v>5</v>
      </c>
      <c r="S14" s="4" t="s">
        <v>26</v>
      </c>
      <c r="T14" s="4" t="s">
        <v>26</v>
      </c>
      <c r="U14" s="4" t="s">
        <v>26</v>
      </c>
      <c r="V14" s="10">
        <v>49</v>
      </c>
      <c r="W14" s="10">
        <v>36</v>
      </c>
      <c r="X14" s="10">
        <v>15</v>
      </c>
      <c r="Y14" s="4" t="s">
        <v>26</v>
      </c>
      <c r="Z14" s="8">
        <v>183.57484825417839</v>
      </c>
      <c r="AA14" s="4" t="s">
        <v>28</v>
      </c>
      <c r="AB14" s="4"/>
      <c r="AC14" s="12"/>
      <c r="AD14" s="12"/>
    </row>
    <row r="15" spans="1:30" x14ac:dyDescent="0.25">
      <c r="A15" s="6" t="s">
        <v>51</v>
      </c>
      <c r="B15" s="4" t="s">
        <v>36</v>
      </c>
      <c r="C15" s="4" t="s">
        <v>30</v>
      </c>
      <c r="D15" s="12">
        <v>143118</v>
      </c>
      <c r="E15" s="12">
        <v>1586556</v>
      </c>
      <c r="F15" s="11">
        <v>11.085649603823418</v>
      </c>
      <c r="G15" s="4" t="s">
        <v>23</v>
      </c>
      <c r="H15" s="4" t="s">
        <v>23</v>
      </c>
      <c r="I15" s="4" t="s">
        <v>26</v>
      </c>
      <c r="J15" s="4" t="s">
        <v>23</v>
      </c>
      <c r="K15" s="7">
        <v>57615320</v>
      </c>
      <c r="L15" s="4"/>
      <c r="M15" s="4"/>
      <c r="N15" s="4"/>
      <c r="O15" s="4"/>
      <c r="P15" s="4" t="s">
        <v>31</v>
      </c>
      <c r="Q15" s="4" t="s">
        <v>37</v>
      </c>
      <c r="R15" s="4">
        <v>1</v>
      </c>
      <c r="S15" s="4" t="s">
        <v>26</v>
      </c>
      <c r="T15" s="4" t="s">
        <v>26</v>
      </c>
      <c r="U15" s="4" t="s">
        <v>26</v>
      </c>
      <c r="V15" s="10">
        <v>70.566298160894632</v>
      </c>
      <c r="W15" s="10">
        <v>18.474344771353369</v>
      </c>
      <c r="X15" s="10">
        <v>10.959357067751997</v>
      </c>
      <c r="Y15" s="4" t="s">
        <v>26</v>
      </c>
      <c r="Z15" s="8">
        <v>402.57214326639559</v>
      </c>
      <c r="AA15" s="4" t="s">
        <v>28</v>
      </c>
      <c r="AB15" s="4" t="s">
        <v>52</v>
      </c>
      <c r="AC15" s="12"/>
      <c r="AD15" s="12"/>
    </row>
    <row r="16" spans="1:30" x14ac:dyDescent="0.25">
      <c r="A16" s="6" t="s">
        <v>53</v>
      </c>
      <c r="B16" s="4" t="s">
        <v>36</v>
      </c>
      <c r="C16" s="4" t="s">
        <v>30</v>
      </c>
      <c r="D16" s="12">
        <v>246801</v>
      </c>
      <c r="E16" s="12">
        <v>2752752</v>
      </c>
      <c r="F16" s="11">
        <v>11.153731143714976</v>
      </c>
      <c r="G16" s="4" t="s">
        <v>23</v>
      </c>
      <c r="H16" s="4" t="s">
        <v>23</v>
      </c>
      <c r="I16" s="4" t="s">
        <v>26</v>
      </c>
      <c r="J16" s="4" t="s">
        <v>23</v>
      </c>
      <c r="K16" s="7">
        <v>69892901</v>
      </c>
      <c r="L16" s="4"/>
      <c r="M16" s="4" t="s">
        <v>26</v>
      </c>
      <c r="N16" s="4" t="s">
        <v>26</v>
      </c>
      <c r="O16" s="4"/>
      <c r="P16" s="4" t="s">
        <v>24</v>
      </c>
      <c r="Q16" s="4" t="s">
        <v>54</v>
      </c>
      <c r="R16" s="4">
        <v>3</v>
      </c>
      <c r="S16" s="4" t="s">
        <v>26</v>
      </c>
      <c r="T16" s="4" t="s">
        <v>26</v>
      </c>
      <c r="U16" s="4" t="s">
        <v>26</v>
      </c>
      <c r="V16" s="10">
        <v>24.961618119592067</v>
      </c>
      <c r="W16" s="10">
        <v>47.221685557845717</v>
      </c>
      <c r="X16" s="10">
        <v>27.816696322562212</v>
      </c>
      <c r="Y16" s="4" t="s">
        <v>26</v>
      </c>
      <c r="Z16" s="8">
        <v>283.1953719798542</v>
      </c>
      <c r="AA16" s="4" t="s">
        <v>28</v>
      </c>
      <c r="AB16" s="4"/>
      <c r="AC16" s="12"/>
      <c r="AD16" s="12">
        <v>1129881</v>
      </c>
    </row>
    <row r="17" spans="1:30" x14ac:dyDescent="0.25">
      <c r="A17" s="6" t="s">
        <v>55</v>
      </c>
      <c r="B17" s="4" t="s">
        <v>21</v>
      </c>
      <c r="C17" s="4" t="s">
        <v>30</v>
      </c>
      <c r="D17" s="12">
        <v>87608</v>
      </c>
      <c r="E17" s="12">
        <v>1000000</v>
      </c>
      <c r="F17" s="11">
        <v>11.414482695644233</v>
      </c>
      <c r="G17" s="4" t="s">
        <v>26</v>
      </c>
      <c r="H17" s="4" t="s">
        <v>23</v>
      </c>
      <c r="I17" s="4" t="s">
        <v>26</v>
      </c>
      <c r="J17" s="4" t="s">
        <v>23</v>
      </c>
      <c r="K17" s="7">
        <v>6826095.7300000004</v>
      </c>
      <c r="L17" s="4"/>
      <c r="M17" s="4"/>
      <c r="N17" s="4"/>
      <c r="O17" s="4"/>
      <c r="P17" s="4" t="s">
        <v>24</v>
      </c>
      <c r="Q17" s="4" t="s">
        <v>25</v>
      </c>
      <c r="R17" s="4">
        <v>5</v>
      </c>
      <c r="S17" s="4" t="s">
        <v>26</v>
      </c>
      <c r="T17" s="4" t="s">
        <v>26</v>
      </c>
      <c r="U17" s="4" t="s">
        <v>27</v>
      </c>
      <c r="V17" s="10">
        <v>63.285000000000004</v>
      </c>
      <c r="W17" s="10">
        <v>36.715000000000003</v>
      </c>
      <c r="X17" s="10">
        <v>0</v>
      </c>
      <c r="Y17" s="4" t="s">
        <v>26</v>
      </c>
      <c r="Z17" s="8">
        <v>77.916351588895992</v>
      </c>
      <c r="AA17" s="4" t="s">
        <v>34</v>
      </c>
      <c r="AB17" s="4"/>
      <c r="AC17" s="12"/>
      <c r="AD17" s="12"/>
    </row>
    <row r="18" spans="1:30" x14ac:dyDescent="0.25">
      <c r="A18" s="6" t="s">
        <v>56</v>
      </c>
      <c r="B18" s="4" t="s">
        <v>44</v>
      </c>
      <c r="C18" s="4" t="s">
        <v>30</v>
      </c>
      <c r="D18" s="12">
        <v>87140</v>
      </c>
      <c r="E18" s="12">
        <v>1000000</v>
      </c>
      <c r="F18" s="11">
        <v>11.475786091347258</v>
      </c>
      <c r="G18" s="4" t="s">
        <v>26</v>
      </c>
      <c r="H18" s="4" t="s">
        <v>23</v>
      </c>
      <c r="I18" s="4" t="s">
        <v>26</v>
      </c>
      <c r="J18" s="4" t="s">
        <v>23</v>
      </c>
      <c r="K18" s="7">
        <v>74128222</v>
      </c>
      <c r="L18" s="4"/>
      <c r="M18" s="4"/>
      <c r="N18" s="4" t="s">
        <v>26</v>
      </c>
      <c r="O18" s="4"/>
      <c r="P18" s="4" t="s">
        <v>34</v>
      </c>
      <c r="Q18" s="4" t="s">
        <v>33</v>
      </c>
      <c r="R18" s="4">
        <v>3</v>
      </c>
      <c r="S18" s="4" t="s">
        <v>26</v>
      </c>
      <c r="T18" s="4" t="s">
        <v>26</v>
      </c>
      <c r="U18" s="4" t="s">
        <v>26</v>
      </c>
      <c r="V18" s="10">
        <v>60.461205387305014</v>
      </c>
      <c r="W18" s="10">
        <v>29.675548519773344</v>
      </c>
      <c r="X18" s="10">
        <v>9.8632460929216421</v>
      </c>
      <c r="Y18" s="4" t="s">
        <v>26</v>
      </c>
      <c r="Z18" s="8">
        <v>850.67961900390173</v>
      </c>
      <c r="AA18" s="4" t="s">
        <v>57</v>
      </c>
      <c r="AB18" s="4"/>
      <c r="AC18" s="12"/>
      <c r="AD18" s="12">
        <v>614444</v>
      </c>
    </row>
    <row r="19" spans="1:30" x14ac:dyDescent="0.25">
      <c r="A19" s="6" t="s">
        <v>58</v>
      </c>
      <c r="B19" s="4" t="s">
        <v>36</v>
      </c>
      <c r="C19" s="4" t="s">
        <v>30</v>
      </c>
      <c r="D19" s="12">
        <v>86186</v>
      </c>
      <c r="E19" s="12">
        <v>1000000</v>
      </c>
      <c r="F19" s="11">
        <v>11.602812521755274</v>
      </c>
      <c r="G19" s="4" t="s">
        <v>26</v>
      </c>
      <c r="H19" s="4" t="s">
        <v>23</v>
      </c>
      <c r="I19" s="4" t="s">
        <v>26</v>
      </c>
      <c r="J19" s="4" t="s">
        <v>23</v>
      </c>
      <c r="K19" s="7">
        <v>23803000</v>
      </c>
      <c r="L19" s="4"/>
      <c r="M19" s="4"/>
      <c r="N19" s="4" t="s">
        <v>26</v>
      </c>
      <c r="O19" s="4"/>
      <c r="P19" s="4" t="s">
        <v>24</v>
      </c>
      <c r="Q19" s="4" t="s">
        <v>37</v>
      </c>
      <c r="R19" s="4">
        <v>5</v>
      </c>
      <c r="S19" s="4" t="s">
        <v>26</v>
      </c>
      <c r="T19" s="4" t="s">
        <v>26</v>
      </c>
      <c r="U19" s="4" t="s">
        <v>27</v>
      </c>
      <c r="V19" s="10">
        <v>89.756271108552625</v>
      </c>
      <c r="W19" s="10">
        <v>10.243728891447375</v>
      </c>
      <c r="X19" s="10">
        <v>0</v>
      </c>
      <c r="Y19" s="4" t="s">
        <v>26</v>
      </c>
      <c r="Z19" s="8">
        <v>276.18174645534077</v>
      </c>
      <c r="AA19" s="4" t="s">
        <v>28</v>
      </c>
      <c r="AB19" s="4"/>
      <c r="AC19" s="12"/>
      <c r="AD19" s="12"/>
    </row>
    <row r="20" spans="1:30" x14ac:dyDescent="0.25">
      <c r="A20" s="6" t="s">
        <v>59</v>
      </c>
      <c r="B20" s="4" t="s">
        <v>44</v>
      </c>
      <c r="C20" s="4" t="s">
        <v>30</v>
      </c>
      <c r="D20" s="12">
        <v>89213</v>
      </c>
      <c r="E20" s="12">
        <v>1062367</v>
      </c>
      <c r="F20" s="11">
        <v>11.908208444957573</v>
      </c>
      <c r="G20" s="4" t="s">
        <v>23</v>
      </c>
      <c r="H20" s="4" t="s">
        <v>23</v>
      </c>
      <c r="I20" s="4" t="s">
        <v>26</v>
      </c>
      <c r="J20" s="4" t="s">
        <v>23</v>
      </c>
      <c r="K20" s="7">
        <v>503347</v>
      </c>
      <c r="L20" s="4"/>
      <c r="M20" s="4"/>
      <c r="N20" s="4" t="s">
        <v>26</v>
      </c>
      <c r="O20" s="4"/>
      <c r="P20" s="4" t="s">
        <v>24</v>
      </c>
      <c r="Q20" s="4" t="s">
        <v>33</v>
      </c>
      <c r="R20" s="4">
        <v>4</v>
      </c>
      <c r="S20" s="4"/>
      <c r="T20" s="4"/>
      <c r="U20" s="4"/>
      <c r="V20" s="10">
        <v>17.082753469962434</v>
      </c>
      <c r="W20" s="10">
        <v>82.917246530037559</v>
      </c>
      <c r="X20" s="10">
        <v>0</v>
      </c>
      <c r="Y20" s="4" t="s">
        <v>26</v>
      </c>
      <c r="Z20" s="8">
        <v>5.6420813110196946</v>
      </c>
      <c r="AA20" s="4" t="s">
        <v>34</v>
      </c>
      <c r="AB20" s="4"/>
      <c r="AC20" s="12"/>
      <c r="AD20" s="12">
        <v>843317</v>
      </c>
    </row>
    <row r="21" spans="1:30" x14ac:dyDescent="0.25">
      <c r="A21" s="6" t="s">
        <v>60</v>
      </c>
      <c r="B21" s="4" t="s">
        <v>36</v>
      </c>
      <c r="C21" s="4" t="s">
        <v>30</v>
      </c>
      <c r="D21" s="12">
        <v>103257</v>
      </c>
      <c r="E21" s="12">
        <v>1238269</v>
      </c>
      <c r="F21" s="11">
        <v>11.992107072643986</v>
      </c>
      <c r="G21" s="4" t="s">
        <v>23</v>
      </c>
      <c r="H21" s="4" t="s">
        <v>23</v>
      </c>
      <c r="I21" s="4" t="s">
        <v>26</v>
      </c>
      <c r="J21" s="4" t="s">
        <v>23</v>
      </c>
      <c r="K21" s="7">
        <v>3945272</v>
      </c>
      <c r="L21" s="4"/>
      <c r="M21" s="4"/>
      <c r="N21" s="4" t="s">
        <v>26</v>
      </c>
      <c r="O21" s="4"/>
      <c r="P21" s="4" t="s">
        <v>24</v>
      </c>
      <c r="Q21" s="4" t="s">
        <v>33</v>
      </c>
      <c r="R21" s="4">
        <v>3</v>
      </c>
      <c r="S21" s="4" t="s">
        <v>26</v>
      </c>
      <c r="T21" s="4" t="s">
        <v>26</v>
      </c>
      <c r="U21" s="4" t="s">
        <v>26</v>
      </c>
      <c r="V21" s="10">
        <v>32.425129293497044</v>
      </c>
      <c r="W21" s="10">
        <v>55.461176417382994</v>
      </c>
      <c r="X21" s="10">
        <v>12.113694289119964</v>
      </c>
      <c r="Y21" s="4" t="s">
        <v>26</v>
      </c>
      <c r="Z21" s="8">
        <v>38.208276436464359</v>
      </c>
      <c r="AA21" s="4" t="s">
        <v>34</v>
      </c>
      <c r="AB21" s="4"/>
      <c r="AC21" s="12"/>
      <c r="AD21" s="12">
        <v>1457851</v>
      </c>
    </row>
    <row r="22" spans="1:30" x14ac:dyDescent="0.25">
      <c r="A22" s="6" t="s">
        <v>61</v>
      </c>
      <c r="B22" s="4" t="s">
        <v>44</v>
      </c>
      <c r="C22" s="4" t="s">
        <v>30</v>
      </c>
      <c r="D22" s="12">
        <v>135216</v>
      </c>
      <c r="E22" s="12">
        <v>1639624</v>
      </c>
      <c r="F22" s="11">
        <v>12.125961424683469</v>
      </c>
      <c r="G22" s="4" t="s">
        <v>23</v>
      </c>
      <c r="H22" s="4" t="s">
        <v>23</v>
      </c>
      <c r="I22" s="4" t="s">
        <v>26</v>
      </c>
      <c r="J22" s="4" t="s">
        <v>23</v>
      </c>
      <c r="K22" s="7">
        <v>22406917.240000002</v>
      </c>
      <c r="L22" s="4"/>
      <c r="M22" s="4"/>
      <c r="N22" s="4" t="s">
        <v>26</v>
      </c>
      <c r="O22" s="4"/>
      <c r="P22" s="4" t="s">
        <v>24</v>
      </c>
      <c r="Q22" s="4" t="s">
        <v>39</v>
      </c>
      <c r="R22" s="4">
        <v>3</v>
      </c>
      <c r="S22" s="4" t="s">
        <v>27</v>
      </c>
      <c r="T22" s="4" t="s">
        <v>26</v>
      </c>
      <c r="U22" s="4" t="s">
        <v>27</v>
      </c>
      <c r="V22" s="10">
        <v>36.590863121922652</v>
      </c>
      <c r="W22" s="10">
        <v>63.409136878077348</v>
      </c>
      <c r="X22" s="10">
        <v>0</v>
      </c>
      <c r="Y22" s="4" t="s">
        <v>26</v>
      </c>
      <c r="Z22" s="8">
        <v>165.71202549994086</v>
      </c>
      <c r="AA22" s="4" t="s">
        <v>28</v>
      </c>
      <c r="AB22" s="4"/>
      <c r="AC22" s="12"/>
      <c r="AD22" s="12">
        <v>650332</v>
      </c>
    </row>
    <row r="23" spans="1:30" x14ac:dyDescent="0.25">
      <c r="A23" s="6" t="s">
        <v>62</v>
      </c>
      <c r="B23" s="4" t="s">
        <v>21</v>
      </c>
      <c r="C23" s="4" t="s">
        <v>30</v>
      </c>
      <c r="D23" s="12">
        <v>80998</v>
      </c>
      <c r="E23" s="12">
        <v>1000000</v>
      </c>
      <c r="F23" s="11">
        <v>12.345983851453122</v>
      </c>
      <c r="G23" s="4" t="s">
        <v>26</v>
      </c>
      <c r="H23" s="4" t="s">
        <v>23</v>
      </c>
      <c r="I23" s="4" t="s">
        <v>26</v>
      </c>
      <c r="J23" s="4" t="s">
        <v>23</v>
      </c>
      <c r="K23" s="7">
        <v>4986000</v>
      </c>
      <c r="L23" s="4"/>
      <c r="M23" s="4"/>
      <c r="N23" s="4"/>
      <c r="O23" s="4"/>
      <c r="P23" s="4" t="s">
        <v>24</v>
      </c>
      <c r="Q23" s="4" t="s">
        <v>41</v>
      </c>
      <c r="R23" s="4">
        <v>5</v>
      </c>
      <c r="S23" s="4" t="s">
        <v>26</v>
      </c>
      <c r="T23" s="4" t="s">
        <v>27</v>
      </c>
      <c r="U23" s="4" t="s">
        <v>26</v>
      </c>
      <c r="V23" s="10">
        <v>71.000006041665401</v>
      </c>
      <c r="W23" s="10">
        <v>0</v>
      </c>
      <c r="X23" s="10">
        <v>28.999993958334592</v>
      </c>
      <c r="Y23" s="4" t="s">
        <v>26</v>
      </c>
      <c r="Z23" s="8">
        <v>61.557075483345265</v>
      </c>
      <c r="AA23" s="4" t="s">
        <v>34</v>
      </c>
      <c r="AB23" s="4"/>
      <c r="AC23" s="12"/>
      <c r="AD23" s="12"/>
    </row>
    <row r="24" spans="1:30" ht="28.5" x14ac:dyDescent="0.25">
      <c r="A24" s="6" t="s">
        <v>63</v>
      </c>
      <c r="B24" s="4" t="s">
        <v>64</v>
      </c>
      <c r="C24" s="4" t="s">
        <v>22</v>
      </c>
      <c r="D24" s="12">
        <v>426462</v>
      </c>
      <c r="E24" s="12">
        <v>5426224</v>
      </c>
      <c r="F24" s="11">
        <v>12.723815955466138</v>
      </c>
      <c r="G24" s="4" t="s">
        <v>23</v>
      </c>
      <c r="H24" s="4" t="s">
        <v>23</v>
      </c>
      <c r="I24" s="4" t="s">
        <v>26</v>
      </c>
      <c r="J24" s="4" t="s">
        <v>23</v>
      </c>
      <c r="K24" s="7">
        <v>136126589</v>
      </c>
      <c r="L24" s="4"/>
      <c r="M24" s="4"/>
      <c r="N24" s="4"/>
      <c r="O24" s="4"/>
      <c r="P24" s="4" t="s">
        <v>24</v>
      </c>
      <c r="Q24" s="4" t="s">
        <v>48</v>
      </c>
      <c r="R24" s="4">
        <v>3</v>
      </c>
      <c r="S24" s="4" t="s">
        <v>26</v>
      </c>
      <c r="T24" s="4" t="s">
        <v>26</v>
      </c>
      <c r="U24" s="4" t="s">
        <v>26</v>
      </c>
      <c r="V24" s="10">
        <v>27.406613212128743</v>
      </c>
      <c r="W24" s="10">
        <v>31.932872331236233</v>
      </c>
      <c r="X24" s="10">
        <v>40.660514456635035</v>
      </c>
      <c r="Y24" s="4" t="s">
        <v>26</v>
      </c>
      <c r="Z24" s="8">
        <v>319.19980912719069</v>
      </c>
      <c r="AA24" s="4" t="s">
        <v>28</v>
      </c>
      <c r="AB24" s="4"/>
      <c r="AC24" s="12">
        <v>1901176</v>
      </c>
      <c r="AD24" s="12">
        <v>1367953</v>
      </c>
    </row>
    <row r="25" spans="1:30" x14ac:dyDescent="0.25">
      <c r="A25" s="6" t="s">
        <v>65</v>
      </c>
      <c r="B25" s="4" t="s">
        <v>36</v>
      </c>
      <c r="C25" s="4" t="s">
        <v>22</v>
      </c>
      <c r="D25" s="12">
        <v>224826</v>
      </c>
      <c r="E25" s="12">
        <v>2866133</v>
      </c>
      <c r="F25" s="11">
        <v>12.748227518169607</v>
      </c>
      <c r="G25" s="4" t="s">
        <v>23</v>
      </c>
      <c r="H25" s="4" t="s">
        <v>23</v>
      </c>
      <c r="I25" s="4" t="s">
        <v>26</v>
      </c>
      <c r="J25" s="4" t="s">
        <v>23</v>
      </c>
      <c r="K25" s="7">
        <v>37012000</v>
      </c>
      <c r="L25" s="4"/>
      <c r="M25" s="4"/>
      <c r="N25" s="4"/>
      <c r="O25" s="4"/>
      <c r="P25" s="4" t="s">
        <v>28</v>
      </c>
      <c r="Q25" s="4" t="s">
        <v>37</v>
      </c>
      <c r="R25" s="4">
        <v>2</v>
      </c>
      <c r="S25" s="4" t="s">
        <v>26</v>
      </c>
      <c r="T25" s="4" t="s">
        <v>26</v>
      </c>
      <c r="U25" s="4" t="s">
        <v>26</v>
      </c>
      <c r="V25" s="10">
        <v>51.95640125219164</v>
      </c>
      <c r="W25" s="10">
        <v>22.802317174401182</v>
      </c>
      <c r="X25" s="10">
        <v>25.241281573407175</v>
      </c>
      <c r="Y25" s="4" t="s">
        <v>26</v>
      </c>
      <c r="Z25" s="8">
        <v>164.62508784571179</v>
      </c>
      <c r="AA25" s="4" t="s">
        <v>28</v>
      </c>
      <c r="AB25" s="4"/>
      <c r="AC25" s="12">
        <v>1223582</v>
      </c>
      <c r="AD25" s="12"/>
    </row>
    <row r="26" spans="1:30" x14ac:dyDescent="0.25">
      <c r="A26" s="6" t="s">
        <v>66</v>
      </c>
      <c r="B26" s="4" t="s">
        <v>44</v>
      </c>
      <c r="C26" s="4" t="s">
        <v>30</v>
      </c>
      <c r="D26" s="12">
        <v>68475</v>
      </c>
      <c r="E26" s="12">
        <v>1000000</v>
      </c>
      <c r="F26" s="11">
        <v>14.603870025556773</v>
      </c>
      <c r="G26" s="4" t="s">
        <v>26</v>
      </c>
      <c r="H26" s="4" t="s">
        <v>23</v>
      </c>
      <c r="I26" s="4" t="s">
        <v>26</v>
      </c>
      <c r="J26" s="4" t="s">
        <v>23</v>
      </c>
      <c r="K26" s="7">
        <v>17205360</v>
      </c>
      <c r="L26" s="4" t="s">
        <v>26</v>
      </c>
      <c r="M26" s="4"/>
      <c r="N26" s="4" t="s">
        <v>26</v>
      </c>
      <c r="O26" s="4"/>
      <c r="P26" s="4" t="s">
        <v>24</v>
      </c>
      <c r="Q26" s="4" t="s">
        <v>33</v>
      </c>
      <c r="R26" s="4">
        <v>3</v>
      </c>
      <c r="S26" s="4" t="s">
        <v>26</v>
      </c>
      <c r="T26" s="4" t="s">
        <v>26</v>
      </c>
      <c r="U26" s="4" t="s">
        <v>26</v>
      </c>
      <c r="V26" s="10">
        <v>21.087532543202112</v>
      </c>
      <c r="W26" s="10">
        <v>65.039699238385026</v>
      </c>
      <c r="X26" s="10">
        <v>13.872768218412864</v>
      </c>
      <c r="Y26" s="4" t="s">
        <v>26</v>
      </c>
      <c r="Z26" s="8">
        <v>251.26484118291347</v>
      </c>
      <c r="AA26" s="4" t="s">
        <v>28</v>
      </c>
      <c r="AB26" s="4"/>
      <c r="AC26" s="12"/>
      <c r="AD26" s="12">
        <v>995347</v>
      </c>
    </row>
    <row r="27" spans="1:30" x14ac:dyDescent="0.25">
      <c r="A27" s="6" t="s">
        <v>67</v>
      </c>
      <c r="B27" s="4" t="s">
        <v>21</v>
      </c>
      <c r="C27" s="4" t="s">
        <v>30</v>
      </c>
      <c r="D27" s="12">
        <v>64626</v>
      </c>
      <c r="E27" s="12">
        <v>1000000</v>
      </c>
      <c r="F27" s="11">
        <v>15.473648376814285</v>
      </c>
      <c r="G27" s="4" t="s">
        <v>26</v>
      </c>
      <c r="H27" s="4" t="s">
        <v>23</v>
      </c>
      <c r="I27" s="4" t="s">
        <v>26</v>
      </c>
      <c r="J27" s="4" t="s">
        <v>23</v>
      </c>
      <c r="K27" s="7">
        <v>19767842.77</v>
      </c>
      <c r="L27" s="4"/>
      <c r="M27" s="4"/>
      <c r="N27" s="4" t="s">
        <v>26</v>
      </c>
      <c r="O27" s="4"/>
      <c r="P27" s="4" t="s">
        <v>24</v>
      </c>
      <c r="Q27" s="4" t="s">
        <v>37</v>
      </c>
      <c r="R27" s="4">
        <v>3</v>
      </c>
      <c r="S27" s="4" t="s">
        <v>26</v>
      </c>
      <c r="T27" s="4" t="s">
        <v>26</v>
      </c>
      <c r="U27" s="4" t="s">
        <v>26</v>
      </c>
      <c r="V27" s="10">
        <v>83.333333333333343</v>
      </c>
      <c r="W27" s="10">
        <v>16.666666666666668</v>
      </c>
      <c r="X27" s="10">
        <v>0</v>
      </c>
      <c r="Y27" s="4" t="s">
        <v>26</v>
      </c>
      <c r="Z27" s="8">
        <v>305.88064819113049</v>
      </c>
      <c r="AA27" s="4" t="s">
        <v>28</v>
      </c>
      <c r="AB27" s="4"/>
      <c r="AC27" s="12"/>
      <c r="AD27" s="12"/>
    </row>
    <row r="28" spans="1:30" ht="28.5" x14ac:dyDescent="0.25">
      <c r="A28" s="6" t="s">
        <v>68</v>
      </c>
      <c r="B28" s="4" t="s">
        <v>69</v>
      </c>
      <c r="C28" s="4" t="s">
        <v>70</v>
      </c>
      <c r="D28" s="12">
        <v>8788010</v>
      </c>
      <c r="E28" s="12">
        <v>144444970</v>
      </c>
      <c r="F28" s="11">
        <v>16.436595998411473</v>
      </c>
      <c r="G28" s="4" t="s">
        <v>23</v>
      </c>
      <c r="H28" s="4" t="s">
        <v>23</v>
      </c>
      <c r="I28" s="4" t="s">
        <v>26</v>
      </c>
      <c r="J28" s="4" t="s">
        <v>23</v>
      </c>
      <c r="K28" s="7">
        <v>1177399297.5800002</v>
      </c>
      <c r="L28" s="4"/>
      <c r="M28" s="4" t="s">
        <v>26</v>
      </c>
      <c r="N28" s="4"/>
      <c r="O28" s="4"/>
      <c r="P28" s="4" t="s">
        <v>28</v>
      </c>
      <c r="Q28" s="4" t="s">
        <v>41</v>
      </c>
      <c r="R28" s="4">
        <v>2</v>
      </c>
      <c r="S28" s="4" t="s">
        <v>26</v>
      </c>
      <c r="T28" s="4" t="s">
        <v>26</v>
      </c>
      <c r="U28" s="4" t="s">
        <v>26</v>
      </c>
      <c r="V28" s="10">
        <v>30.789514769315225</v>
      </c>
      <c r="W28" s="10">
        <v>44.704526746008128</v>
      </c>
      <c r="X28" s="10">
        <v>24.50595848467665</v>
      </c>
      <c r="Y28" s="4" t="s">
        <v>26</v>
      </c>
      <c r="Z28" s="8">
        <v>133.97791964051021</v>
      </c>
      <c r="AA28" s="4" t="s">
        <v>28</v>
      </c>
      <c r="AB28" s="4"/>
      <c r="AC28" s="12">
        <v>40945591</v>
      </c>
      <c r="AD28" s="12"/>
    </row>
    <row r="29" spans="1:30" x14ac:dyDescent="0.25">
      <c r="A29" s="6" t="s">
        <v>71</v>
      </c>
      <c r="B29" s="4" t="s">
        <v>64</v>
      </c>
      <c r="C29" s="4" t="s">
        <v>30</v>
      </c>
      <c r="D29" s="12">
        <v>108063</v>
      </c>
      <c r="E29" s="12">
        <v>2156374</v>
      </c>
      <c r="F29" s="11">
        <v>19.954785634305914</v>
      </c>
      <c r="G29" s="4" t="s">
        <v>23</v>
      </c>
      <c r="H29" s="4" t="s">
        <v>23</v>
      </c>
      <c r="I29" s="4" t="s">
        <v>26</v>
      </c>
      <c r="J29" s="4" t="s">
        <v>23</v>
      </c>
      <c r="K29" s="7">
        <v>64248972</v>
      </c>
      <c r="L29" s="4"/>
      <c r="M29" s="4"/>
      <c r="N29" s="4"/>
      <c r="O29" s="4" t="s">
        <v>26</v>
      </c>
      <c r="P29" s="4" t="s">
        <v>24</v>
      </c>
      <c r="Q29" s="4" t="s">
        <v>25</v>
      </c>
      <c r="R29" s="4">
        <v>4</v>
      </c>
      <c r="S29" s="4" t="s">
        <v>26</v>
      </c>
      <c r="T29" s="4" t="s">
        <v>26</v>
      </c>
      <c r="U29" s="4" t="s">
        <v>26</v>
      </c>
      <c r="V29" s="10">
        <v>43.483520774869881</v>
      </c>
      <c r="W29" s="10">
        <v>36.680131483916547</v>
      </c>
      <c r="X29" s="10">
        <v>19.836347741213572</v>
      </c>
      <c r="Y29" s="4" t="s">
        <v>26</v>
      </c>
      <c r="Z29" s="8">
        <v>594.55106743288638</v>
      </c>
      <c r="AA29" s="4" t="s">
        <v>57</v>
      </c>
      <c r="AB29" s="4"/>
      <c r="AC29" s="12"/>
      <c r="AD29" s="12">
        <v>400000</v>
      </c>
    </row>
    <row r="30" spans="1:30" x14ac:dyDescent="0.25">
      <c r="A30" s="6" t="s">
        <v>72</v>
      </c>
      <c r="B30" s="4" t="s">
        <v>64</v>
      </c>
      <c r="C30" s="4" t="s">
        <v>30</v>
      </c>
      <c r="D30" s="12">
        <v>103271</v>
      </c>
      <c r="E30" s="12">
        <v>2115168</v>
      </c>
      <c r="F30" s="11">
        <v>20.481722845716611</v>
      </c>
      <c r="G30" s="4" t="s">
        <v>23</v>
      </c>
      <c r="H30" s="4" t="s">
        <v>23</v>
      </c>
      <c r="I30" s="4" t="s">
        <v>26</v>
      </c>
      <c r="J30" s="4" t="s">
        <v>23</v>
      </c>
      <c r="K30" s="7">
        <v>22550000</v>
      </c>
      <c r="L30" s="4"/>
      <c r="M30" s="4"/>
      <c r="N30" s="4"/>
      <c r="O30" s="4"/>
      <c r="P30" s="4" t="s">
        <v>31</v>
      </c>
      <c r="Q30" s="4" t="s">
        <v>37</v>
      </c>
      <c r="R30" s="4">
        <v>5</v>
      </c>
      <c r="S30" s="4" t="s">
        <v>26</v>
      </c>
      <c r="T30" s="4" t="s">
        <v>26</v>
      </c>
      <c r="U30" s="4" t="s">
        <v>26</v>
      </c>
      <c r="V30" s="10">
        <v>74</v>
      </c>
      <c r="W30" s="10">
        <v>23</v>
      </c>
      <c r="X30" s="10">
        <v>3</v>
      </c>
      <c r="Y30" s="4" t="s">
        <v>26</v>
      </c>
      <c r="Z30" s="8">
        <v>218.35752534593448</v>
      </c>
      <c r="AA30" s="4" t="s">
        <v>28</v>
      </c>
      <c r="AB30" s="4"/>
      <c r="AC30" s="12"/>
      <c r="AD30" s="12"/>
    </row>
    <row r="31" spans="1:30" ht="28.5" x14ac:dyDescent="0.25">
      <c r="A31" s="6" t="s">
        <v>73</v>
      </c>
      <c r="B31" s="4" t="s">
        <v>64</v>
      </c>
      <c r="C31" s="4" t="s">
        <v>30</v>
      </c>
      <c r="D31" s="12">
        <v>105011</v>
      </c>
      <c r="E31" s="12">
        <v>2414817</v>
      </c>
      <c r="F31" s="11">
        <v>22.99584805401339</v>
      </c>
      <c r="G31" s="4" t="s">
        <v>23</v>
      </c>
      <c r="H31" s="4" t="s">
        <v>23</v>
      </c>
      <c r="I31" s="4" t="s">
        <v>26</v>
      </c>
      <c r="J31" s="4" t="s">
        <v>23</v>
      </c>
      <c r="K31" s="7">
        <v>2367494</v>
      </c>
      <c r="L31" s="4"/>
      <c r="M31" s="4" t="s">
        <v>26</v>
      </c>
      <c r="N31" s="4"/>
      <c r="O31" s="4" t="s">
        <v>26</v>
      </c>
      <c r="P31" s="4" t="s">
        <v>24</v>
      </c>
      <c r="Q31" s="4" t="s">
        <v>39</v>
      </c>
      <c r="R31" s="4">
        <v>4</v>
      </c>
      <c r="S31" s="4" t="s">
        <v>26</v>
      </c>
      <c r="T31" s="4" t="s">
        <v>26</v>
      </c>
      <c r="U31" s="4" t="s">
        <v>26</v>
      </c>
      <c r="V31" s="10">
        <v>74.402800967628792</v>
      </c>
      <c r="W31" s="10">
        <v>20.852130851711184</v>
      </c>
      <c r="X31" s="10">
        <v>4.7450681806600139</v>
      </c>
      <c r="Y31" s="4" t="s">
        <v>26</v>
      </c>
      <c r="Z31" s="8">
        <v>22.545200026663874</v>
      </c>
      <c r="AA31" s="4" t="s">
        <v>34</v>
      </c>
      <c r="AB31" s="4"/>
      <c r="AC31" s="12"/>
      <c r="AD31" s="12">
        <v>469090</v>
      </c>
    </row>
    <row r="32" spans="1:30" x14ac:dyDescent="0.25">
      <c r="A32" s="6" t="s">
        <v>74</v>
      </c>
      <c r="B32" s="4" t="s">
        <v>64</v>
      </c>
      <c r="C32" s="4" t="s">
        <v>30</v>
      </c>
      <c r="D32" s="12">
        <v>80476</v>
      </c>
      <c r="E32" s="12">
        <v>1963993</v>
      </c>
      <c r="F32" s="11">
        <v>24.404704508176351</v>
      </c>
      <c r="G32" s="4" t="s">
        <v>23</v>
      </c>
      <c r="H32" s="4" t="s">
        <v>23</v>
      </c>
      <c r="I32" s="4" t="s">
        <v>26</v>
      </c>
      <c r="J32" s="4" t="s">
        <v>23</v>
      </c>
      <c r="K32" s="7">
        <v>52804161.740000002</v>
      </c>
      <c r="L32" s="4"/>
      <c r="M32" s="4"/>
      <c r="N32" s="4"/>
      <c r="O32" s="4" t="s">
        <v>26</v>
      </c>
      <c r="P32" s="4" t="s">
        <v>24</v>
      </c>
      <c r="Q32" s="4" t="s">
        <v>25</v>
      </c>
      <c r="R32" s="4">
        <v>2</v>
      </c>
      <c r="S32" s="4" t="s">
        <v>26</v>
      </c>
      <c r="T32" s="4" t="s">
        <v>26</v>
      </c>
      <c r="U32" s="4" t="s">
        <v>26</v>
      </c>
      <c r="V32" s="10">
        <v>36.077302194085775</v>
      </c>
      <c r="W32" s="10">
        <v>38.748090529787738</v>
      </c>
      <c r="X32" s="10">
        <v>25.174607276126494</v>
      </c>
      <c r="Y32" s="4" t="s">
        <v>26</v>
      </c>
      <c r="Z32" s="8">
        <v>656.14794149808642</v>
      </c>
      <c r="AA32" s="4" t="s">
        <v>57</v>
      </c>
      <c r="AB32" s="4"/>
      <c r="AC32" s="12"/>
      <c r="AD32" s="12">
        <v>427884</v>
      </c>
    </row>
    <row r="33" spans="1:30" ht="28.5" x14ac:dyDescent="0.25">
      <c r="A33" s="6" t="s">
        <v>75</v>
      </c>
      <c r="B33" s="4" t="s">
        <v>64</v>
      </c>
      <c r="C33" s="4" t="s">
        <v>30</v>
      </c>
      <c r="D33" s="12">
        <v>102315</v>
      </c>
      <c r="E33" s="12">
        <v>2568204</v>
      </c>
      <c r="F33" s="11">
        <v>25.100952939451695</v>
      </c>
      <c r="G33" s="4" t="s">
        <v>23</v>
      </c>
      <c r="H33" s="4" t="s">
        <v>23</v>
      </c>
      <c r="I33" s="4" t="s">
        <v>26</v>
      </c>
      <c r="J33" s="4" t="s">
        <v>23</v>
      </c>
      <c r="K33" s="7">
        <v>35523284.424999997</v>
      </c>
      <c r="L33" s="4"/>
      <c r="M33" s="4"/>
      <c r="N33" s="4"/>
      <c r="O33" s="4" t="s">
        <v>26</v>
      </c>
      <c r="P33" s="4" t="s">
        <v>24</v>
      </c>
      <c r="Q33" s="4" t="s">
        <v>37</v>
      </c>
      <c r="R33" s="4">
        <v>3</v>
      </c>
      <c r="S33" s="4" t="s">
        <v>26</v>
      </c>
      <c r="T33" s="4" t="s">
        <v>26</v>
      </c>
      <c r="U33" s="4" t="s">
        <v>26</v>
      </c>
      <c r="V33" s="10">
        <v>70.046439495565551</v>
      </c>
      <c r="W33" s="10">
        <v>26.023828035001451</v>
      </c>
      <c r="X33" s="10">
        <v>3.9297324694329983</v>
      </c>
      <c r="Y33" s="4" t="s">
        <v>26</v>
      </c>
      <c r="Z33" s="8">
        <v>347.19527366466303</v>
      </c>
      <c r="AA33" s="4" t="s">
        <v>28</v>
      </c>
      <c r="AB33" s="4" t="s">
        <v>52</v>
      </c>
      <c r="AC33" s="12"/>
      <c r="AD33" s="12"/>
    </row>
    <row r="34" spans="1:30" x14ac:dyDescent="0.25">
      <c r="A34" s="6" t="s">
        <v>76</v>
      </c>
      <c r="B34" s="4" t="s">
        <v>64</v>
      </c>
      <c r="C34" s="4" t="s">
        <v>22</v>
      </c>
      <c r="D34" s="12">
        <v>366018</v>
      </c>
      <c r="E34" s="12">
        <v>9193083</v>
      </c>
      <c r="F34" s="11">
        <v>25.11647787813714</v>
      </c>
      <c r="G34" s="4" t="s">
        <v>23</v>
      </c>
      <c r="H34" s="4" t="s">
        <v>23</v>
      </c>
      <c r="I34" s="4" t="s">
        <v>26</v>
      </c>
      <c r="J34" s="4" t="s">
        <v>23</v>
      </c>
      <c r="K34" s="7">
        <v>160663851</v>
      </c>
      <c r="L34" s="4"/>
      <c r="M34" s="4"/>
      <c r="N34" s="4"/>
      <c r="O34" s="4"/>
      <c r="P34" s="4" t="s">
        <v>31</v>
      </c>
      <c r="Q34" s="4" t="s">
        <v>37</v>
      </c>
      <c r="R34" s="4">
        <v>1</v>
      </c>
      <c r="S34" s="4" t="s">
        <v>26</v>
      </c>
      <c r="T34" s="4" t="s">
        <v>26</v>
      </c>
      <c r="U34" s="4" t="s">
        <v>26</v>
      </c>
      <c r="V34" s="10">
        <v>28.756995688789747</v>
      </c>
      <c r="W34" s="10">
        <v>37.392003673415296</v>
      </c>
      <c r="X34" s="10">
        <v>33.851000637794961</v>
      </c>
      <c r="Y34" s="4" t="s">
        <v>26</v>
      </c>
      <c r="Z34" s="8">
        <v>438.95068275330721</v>
      </c>
      <c r="AA34" s="4" t="s">
        <v>28</v>
      </c>
      <c r="AB34" s="4"/>
      <c r="AC34" s="12">
        <v>2127770</v>
      </c>
      <c r="AD34" s="12"/>
    </row>
    <row r="35" spans="1:30" x14ac:dyDescent="0.25">
      <c r="A35" s="6" t="s">
        <v>77</v>
      </c>
      <c r="B35" s="4" t="s">
        <v>78</v>
      </c>
      <c r="C35" s="4" t="s">
        <v>22</v>
      </c>
      <c r="D35" s="12">
        <v>201672</v>
      </c>
      <c r="E35" s="12">
        <v>5107510</v>
      </c>
      <c r="F35" s="11">
        <v>25.325826093855369</v>
      </c>
      <c r="G35" s="4" t="s">
        <v>23</v>
      </c>
      <c r="H35" s="4" t="s">
        <v>23</v>
      </c>
      <c r="I35" s="4" t="s">
        <v>26</v>
      </c>
      <c r="J35" s="4" t="s">
        <v>23</v>
      </c>
      <c r="K35" s="7">
        <v>32214225.75</v>
      </c>
      <c r="L35" s="4"/>
      <c r="M35" s="4"/>
      <c r="N35" s="4"/>
      <c r="O35" s="4"/>
      <c r="P35" s="4" t="s">
        <v>31</v>
      </c>
      <c r="Q35" s="4" t="s">
        <v>37</v>
      </c>
      <c r="R35" s="4">
        <v>5</v>
      </c>
      <c r="S35" s="4" t="s">
        <v>26</v>
      </c>
      <c r="T35" s="4" t="s">
        <v>26</v>
      </c>
      <c r="U35" s="4" t="s">
        <v>26</v>
      </c>
      <c r="V35" s="10">
        <v>54.341534276243678</v>
      </c>
      <c r="W35" s="10">
        <v>31.712900968001794</v>
      </c>
      <c r="X35" s="10">
        <v>13.945564755754527</v>
      </c>
      <c r="Y35" s="4" t="s">
        <v>26</v>
      </c>
      <c r="Z35" s="8">
        <v>159.73573798048315</v>
      </c>
      <c r="AA35" s="4" t="s">
        <v>28</v>
      </c>
      <c r="AB35" s="4"/>
      <c r="AC35" s="12">
        <v>741291</v>
      </c>
      <c r="AD35" s="12">
        <v>400000</v>
      </c>
    </row>
    <row r="36" spans="1:30" ht="42.75" x14ac:dyDescent="0.25">
      <c r="A36" s="6" t="s">
        <v>79</v>
      </c>
      <c r="B36" s="4" t="s">
        <v>80</v>
      </c>
      <c r="C36" s="4" t="s">
        <v>70</v>
      </c>
      <c r="D36" s="12">
        <v>1291040</v>
      </c>
      <c r="E36" s="12">
        <v>33211244</v>
      </c>
      <c r="F36" s="11">
        <v>25.724411327302022</v>
      </c>
      <c r="G36" s="4" t="s">
        <v>23</v>
      </c>
      <c r="H36" s="4" t="s">
        <v>23</v>
      </c>
      <c r="I36" s="4" t="s">
        <v>26</v>
      </c>
      <c r="J36" s="4" t="s">
        <v>23</v>
      </c>
      <c r="K36" s="7">
        <v>70784158</v>
      </c>
      <c r="L36" s="4"/>
      <c r="M36" s="4" t="s">
        <v>26</v>
      </c>
      <c r="N36" s="4" t="s">
        <v>26</v>
      </c>
      <c r="O36" s="4" t="s">
        <v>26</v>
      </c>
      <c r="P36" s="4" t="s">
        <v>28</v>
      </c>
      <c r="Q36" s="4" t="s">
        <v>81</v>
      </c>
      <c r="R36" s="4">
        <v>4</v>
      </c>
      <c r="S36" s="4" t="s">
        <v>26</v>
      </c>
      <c r="T36" s="4" t="s">
        <v>26</v>
      </c>
      <c r="U36" s="4" t="s">
        <v>26</v>
      </c>
      <c r="V36" s="10">
        <v>36.837465701902808</v>
      </c>
      <c r="W36" s="10">
        <v>26.171266920429549</v>
      </c>
      <c r="X36" s="10">
        <v>36.991267377667633</v>
      </c>
      <c r="Y36" s="4" t="s">
        <v>26</v>
      </c>
      <c r="Z36" s="8">
        <v>54.827238505391001</v>
      </c>
      <c r="AA36" s="4" t="s">
        <v>34</v>
      </c>
      <c r="AB36" s="4"/>
      <c r="AC36" s="12">
        <v>6932444</v>
      </c>
      <c r="AD36" s="12"/>
    </row>
    <row r="37" spans="1:30" x14ac:dyDescent="0.25">
      <c r="A37" s="6" t="s">
        <v>82</v>
      </c>
      <c r="B37" s="4" t="s">
        <v>64</v>
      </c>
      <c r="C37" s="4" t="s">
        <v>30</v>
      </c>
      <c r="D37" s="12">
        <v>103672</v>
      </c>
      <c r="E37" s="12">
        <v>2693257</v>
      </c>
      <c r="F37" s="11">
        <v>25.978634539702139</v>
      </c>
      <c r="G37" s="4" t="s">
        <v>23</v>
      </c>
      <c r="H37" s="4" t="s">
        <v>23</v>
      </c>
      <c r="I37" s="4" t="s">
        <v>26</v>
      </c>
      <c r="J37" s="4" t="s">
        <v>23</v>
      </c>
      <c r="K37" s="7">
        <v>337711801.44200003</v>
      </c>
      <c r="L37" s="4"/>
      <c r="M37" s="4"/>
      <c r="N37" s="4"/>
      <c r="O37" s="4" t="s">
        <v>26</v>
      </c>
      <c r="P37" s="4" t="s">
        <v>28</v>
      </c>
      <c r="Q37" s="4" t="s">
        <v>37</v>
      </c>
      <c r="R37" s="4">
        <v>2</v>
      </c>
      <c r="S37" s="4" t="s">
        <v>26</v>
      </c>
      <c r="T37" s="4" t="s">
        <v>26</v>
      </c>
      <c r="U37" s="4" t="s">
        <v>26</v>
      </c>
      <c r="V37" s="10">
        <v>47.789418273989689</v>
      </c>
      <c r="W37" s="10">
        <v>34.33024551847253</v>
      </c>
      <c r="X37" s="10">
        <v>17.880336207537777</v>
      </c>
      <c r="Y37" s="4" t="s">
        <v>26</v>
      </c>
      <c r="Z37" s="8">
        <v>3257.5025218188134</v>
      </c>
      <c r="AA37" s="4" t="s">
        <v>31</v>
      </c>
      <c r="AB37" s="4"/>
      <c r="AC37" s="12"/>
      <c r="AD37" s="12"/>
    </row>
    <row r="38" spans="1:30" ht="28.5" x14ac:dyDescent="0.25">
      <c r="A38" s="6" t="s">
        <v>83</v>
      </c>
      <c r="B38" s="4" t="s">
        <v>80</v>
      </c>
      <c r="C38" s="4" t="s">
        <v>70</v>
      </c>
      <c r="D38" s="12">
        <v>490120</v>
      </c>
      <c r="E38" s="12">
        <v>12785682</v>
      </c>
      <c r="F38" s="11">
        <v>26.086839957561413</v>
      </c>
      <c r="G38" s="4" t="s">
        <v>23</v>
      </c>
      <c r="H38" s="4" t="s">
        <v>23</v>
      </c>
      <c r="I38" s="4" t="s">
        <v>26</v>
      </c>
      <c r="J38" s="4" t="s">
        <v>23</v>
      </c>
      <c r="K38" s="7">
        <v>100907903</v>
      </c>
      <c r="L38" s="4"/>
      <c r="M38" s="4"/>
      <c r="N38" s="4" t="s">
        <v>26</v>
      </c>
      <c r="O38" s="4"/>
      <c r="P38" s="4" t="s">
        <v>28</v>
      </c>
      <c r="Q38" s="4" t="s">
        <v>84</v>
      </c>
      <c r="R38" s="4">
        <v>5</v>
      </c>
      <c r="S38" s="4" t="s">
        <v>26</v>
      </c>
      <c r="T38" s="4" t="s">
        <v>26</v>
      </c>
      <c r="U38" s="4" t="s">
        <v>26</v>
      </c>
      <c r="V38" s="10">
        <v>57.386086835900109</v>
      </c>
      <c r="W38" s="10">
        <v>31.893621363816667</v>
      </c>
      <c r="X38" s="10">
        <v>10.720291800283228</v>
      </c>
      <c r="Y38" s="4" t="s">
        <v>26</v>
      </c>
      <c r="Z38" s="8">
        <v>205.88407532849098</v>
      </c>
      <c r="AA38" s="4" t="s">
        <v>28</v>
      </c>
      <c r="AB38" s="4"/>
      <c r="AC38" s="12">
        <v>2668856</v>
      </c>
      <c r="AD38" s="12"/>
    </row>
    <row r="39" spans="1:30" x14ac:dyDescent="0.25">
      <c r="A39" s="6" t="s">
        <v>85</v>
      </c>
      <c r="B39" s="4" t="s">
        <v>86</v>
      </c>
      <c r="C39" s="4" t="s">
        <v>30</v>
      </c>
      <c r="D39" s="12">
        <v>135964</v>
      </c>
      <c r="E39" s="12">
        <v>3596031</v>
      </c>
      <c r="F39" s="11">
        <v>26.448405460268894</v>
      </c>
      <c r="G39" s="4" t="s">
        <v>23</v>
      </c>
      <c r="H39" s="4" t="s">
        <v>23</v>
      </c>
      <c r="I39" s="4" t="s">
        <v>26</v>
      </c>
      <c r="J39" s="4" t="s">
        <v>23</v>
      </c>
      <c r="K39" s="7">
        <v>6276862</v>
      </c>
      <c r="L39" s="4"/>
      <c r="M39" s="4"/>
      <c r="N39" s="4"/>
      <c r="O39" s="4"/>
      <c r="P39" s="4" t="s">
        <v>24</v>
      </c>
      <c r="Q39" s="4" t="s">
        <v>33</v>
      </c>
      <c r="R39" s="4">
        <v>5</v>
      </c>
      <c r="S39" s="4" t="s">
        <v>26</v>
      </c>
      <c r="T39" s="4" t="s">
        <v>26</v>
      </c>
      <c r="U39" s="4" t="s">
        <v>26</v>
      </c>
      <c r="V39" s="10">
        <v>38</v>
      </c>
      <c r="W39" s="10">
        <v>24</v>
      </c>
      <c r="X39" s="10">
        <v>21</v>
      </c>
      <c r="Y39" s="4" t="s">
        <v>26</v>
      </c>
      <c r="Z39" s="8">
        <v>46.165617369303639</v>
      </c>
      <c r="AA39" s="4" t="s">
        <v>34</v>
      </c>
      <c r="AB39" s="4"/>
      <c r="AC39" s="12"/>
      <c r="AD39" s="12">
        <v>1015179</v>
      </c>
    </row>
    <row r="40" spans="1:30" x14ac:dyDescent="0.25">
      <c r="A40" s="6" t="s">
        <v>87</v>
      </c>
      <c r="B40" s="4" t="s">
        <v>64</v>
      </c>
      <c r="C40" s="4" t="s">
        <v>22</v>
      </c>
      <c r="D40" s="12">
        <v>319566</v>
      </c>
      <c r="E40" s="12">
        <v>8602152</v>
      </c>
      <c r="F40" s="11">
        <v>26.918232853307298</v>
      </c>
      <c r="G40" s="4" t="s">
        <v>23</v>
      </c>
      <c r="H40" s="4" t="s">
        <v>23</v>
      </c>
      <c r="I40" s="4" t="s">
        <v>26</v>
      </c>
      <c r="J40" s="4" t="s">
        <v>23</v>
      </c>
      <c r="K40" s="7">
        <v>182534311.32999998</v>
      </c>
      <c r="L40" s="4"/>
      <c r="M40" s="4"/>
      <c r="N40" s="4"/>
      <c r="O40" s="4" t="s">
        <v>26</v>
      </c>
      <c r="P40" s="4" t="s">
        <v>31</v>
      </c>
      <c r="Q40" s="4" t="s">
        <v>81</v>
      </c>
      <c r="R40" s="4">
        <v>1</v>
      </c>
      <c r="S40" s="4" t="s">
        <v>26</v>
      </c>
      <c r="T40" s="4" t="s">
        <v>26</v>
      </c>
      <c r="U40" s="4" t="s">
        <v>26</v>
      </c>
      <c r="V40" s="10">
        <v>31.691188855409091</v>
      </c>
      <c r="W40" s="10">
        <v>32.661477459859995</v>
      </c>
      <c r="X40" s="10">
        <v>35.647333684730896</v>
      </c>
      <c r="Y40" s="4" t="s">
        <v>26</v>
      </c>
      <c r="Z40" s="8">
        <v>571.19440531846317</v>
      </c>
      <c r="AA40" s="4" t="s">
        <v>57</v>
      </c>
      <c r="AB40" s="4"/>
      <c r="AC40" s="12">
        <v>1852173</v>
      </c>
      <c r="AD40" s="12"/>
    </row>
    <row r="41" spans="1:30" x14ac:dyDescent="0.25">
      <c r="A41" s="6" t="s">
        <v>88</v>
      </c>
      <c r="B41" s="4" t="s">
        <v>78</v>
      </c>
      <c r="C41" s="4" t="s">
        <v>30</v>
      </c>
      <c r="D41" s="12">
        <v>618847</v>
      </c>
      <c r="E41" s="12">
        <v>16892952</v>
      </c>
      <c r="F41" s="11">
        <v>27.29746124647934</v>
      </c>
      <c r="G41" s="4" t="s">
        <v>23</v>
      </c>
      <c r="H41" s="4" t="s">
        <v>23</v>
      </c>
      <c r="I41" s="4" t="s">
        <v>26</v>
      </c>
      <c r="J41" s="4" t="s">
        <v>23</v>
      </c>
      <c r="K41" s="7">
        <v>0</v>
      </c>
      <c r="L41" s="4"/>
      <c r="M41" s="4"/>
      <c r="N41" s="4" t="s">
        <v>26</v>
      </c>
      <c r="O41" s="4" t="s">
        <v>26</v>
      </c>
      <c r="P41" s="4" t="s">
        <v>34</v>
      </c>
      <c r="Q41" s="4" t="s">
        <v>54</v>
      </c>
      <c r="R41" s="4">
        <v>5</v>
      </c>
      <c r="S41" s="4" t="s">
        <v>26</v>
      </c>
      <c r="T41" s="4" t="s">
        <v>26</v>
      </c>
      <c r="U41" s="4" t="s">
        <v>26</v>
      </c>
      <c r="V41" s="10">
        <v>36.3871322742934</v>
      </c>
      <c r="W41" s="10">
        <v>37.006077831449325</v>
      </c>
      <c r="X41" s="10">
        <v>26.606789894257275</v>
      </c>
      <c r="Y41" s="4" t="s">
        <v>26</v>
      </c>
      <c r="Z41" s="8">
        <v>0</v>
      </c>
      <c r="AA41" s="4" t="s">
        <v>34</v>
      </c>
      <c r="AB41" s="4"/>
      <c r="AC41" s="12">
        <v>2667945</v>
      </c>
      <c r="AD41" s="12">
        <v>5417114</v>
      </c>
    </row>
    <row r="42" spans="1:30" x14ac:dyDescent="0.25">
      <c r="A42" s="6" t="s">
        <v>89</v>
      </c>
      <c r="B42" s="4" t="s">
        <v>90</v>
      </c>
      <c r="C42" s="4" t="s">
        <v>70</v>
      </c>
      <c r="D42" s="12">
        <v>1374182</v>
      </c>
      <c r="E42" s="12">
        <v>38906130</v>
      </c>
      <c r="F42" s="11">
        <v>28.312210464116106</v>
      </c>
      <c r="G42" s="4" t="s">
        <v>23</v>
      </c>
      <c r="H42" s="4" t="s">
        <v>23</v>
      </c>
      <c r="I42" s="4" t="s">
        <v>26</v>
      </c>
      <c r="J42" s="4" t="s">
        <v>23</v>
      </c>
      <c r="K42" s="7">
        <v>3104890170.4220791</v>
      </c>
      <c r="L42" s="4" t="s">
        <v>26</v>
      </c>
      <c r="M42" s="4"/>
      <c r="N42" s="4"/>
      <c r="O42" s="4" t="s">
        <v>26</v>
      </c>
      <c r="P42" s="4" t="s">
        <v>31</v>
      </c>
      <c r="Q42" s="4" t="s">
        <v>81</v>
      </c>
      <c r="R42" s="4">
        <v>1</v>
      </c>
      <c r="S42" s="4" t="s">
        <v>26</v>
      </c>
      <c r="T42" s="4" t="s">
        <v>26</v>
      </c>
      <c r="U42" s="4" t="s">
        <v>26</v>
      </c>
      <c r="V42" s="10">
        <v>86.455886008377689</v>
      </c>
      <c r="W42" s="10">
        <v>13.544113991622291</v>
      </c>
      <c r="X42" s="10">
        <v>0</v>
      </c>
      <c r="Y42" s="4" t="s">
        <v>26</v>
      </c>
      <c r="Z42" s="8">
        <v>2259.4461071547139</v>
      </c>
      <c r="AA42" s="4" t="s">
        <v>31</v>
      </c>
      <c r="AB42" s="4" t="s">
        <v>52</v>
      </c>
      <c r="AC42" s="12">
        <v>7256309</v>
      </c>
      <c r="AD42" s="12">
        <v>1434307</v>
      </c>
    </row>
    <row r="43" spans="1:30" x14ac:dyDescent="0.25">
      <c r="A43" s="6" t="s">
        <v>91</v>
      </c>
      <c r="B43" s="4" t="s">
        <v>86</v>
      </c>
      <c r="C43" s="4" t="s">
        <v>30</v>
      </c>
      <c r="D43" s="12">
        <v>103617</v>
      </c>
      <c r="E43" s="12">
        <v>2945472</v>
      </c>
      <c r="F43" s="11">
        <v>28.426532325776659</v>
      </c>
      <c r="G43" s="4" t="s">
        <v>23</v>
      </c>
      <c r="H43" s="4" t="s">
        <v>23</v>
      </c>
      <c r="I43" s="4" t="s">
        <v>26</v>
      </c>
      <c r="J43" s="4" t="s">
        <v>23</v>
      </c>
      <c r="K43" s="7">
        <v>74731895</v>
      </c>
      <c r="L43" s="4"/>
      <c r="M43" s="4"/>
      <c r="N43" s="4"/>
      <c r="O43" s="4"/>
      <c r="P43" s="4" t="s">
        <v>31</v>
      </c>
      <c r="Q43" s="4" t="s">
        <v>37</v>
      </c>
      <c r="R43" s="4">
        <v>3</v>
      </c>
      <c r="S43" s="4" t="s">
        <v>26</v>
      </c>
      <c r="T43" s="4" t="s">
        <v>26</v>
      </c>
      <c r="U43" s="4" t="s">
        <v>26</v>
      </c>
      <c r="V43" s="10">
        <v>25.556652453963736</v>
      </c>
      <c r="W43" s="10">
        <v>43.195906290583189</v>
      </c>
      <c r="X43" s="10">
        <v>31.247441255453076</v>
      </c>
      <c r="Y43" s="4" t="s">
        <v>26</v>
      </c>
      <c r="Z43" s="8">
        <v>721.2319889593407</v>
      </c>
      <c r="AA43" s="4" t="s">
        <v>57</v>
      </c>
      <c r="AB43" s="4" t="s">
        <v>52</v>
      </c>
      <c r="AC43" s="12"/>
      <c r="AD43" s="12"/>
    </row>
    <row r="44" spans="1:30" ht="28.5" x14ac:dyDescent="0.25">
      <c r="A44" s="6" t="s">
        <v>92</v>
      </c>
      <c r="B44" s="4" t="s">
        <v>93</v>
      </c>
      <c r="C44" s="4" t="s">
        <v>70</v>
      </c>
      <c r="D44" s="12">
        <v>1551722</v>
      </c>
      <c r="E44" s="12">
        <v>44380307</v>
      </c>
      <c r="F44" s="11">
        <v>28.600681694272556</v>
      </c>
      <c r="G44" s="4" t="s">
        <v>23</v>
      </c>
      <c r="H44" s="4" t="s">
        <v>23</v>
      </c>
      <c r="I44" s="4" t="s">
        <v>26</v>
      </c>
      <c r="J44" s="4" t="s">
        <v>23</v>
      </c>
      <c r="K44" s="7">
        <v>1022477127.7</v>
      </c>
      <c r="L44" s="4"/>
      <c r="M44" s="4" t="s">
        <v>26</v>
      </c>
      <c r="N44" s="4"/>
      <c r="O44" s="4" t="s">
        <v>26</v>
      </c>
      <c r="P44" s="4" t="s">
        <v>31</v>
      </c>
      <c r="Q44" s="4" t="s">
        <v>41</v>
      </c>
      <c r="R44" s="4">
        <v>1</v>
      </c>
      <c r="S44" s="4" t="s">
        <v>26</v>
      </c>
      <c r="T44" s="4" t="s">
        <v>26</v>
      </c>
      <c r="U44" s="4" t="s">
        <v>26</v>
      </c>
      <c r="V44" s="10">
        <v>27.866969886399552</v>
      </c>
      <c r="W44" s="10">
        <v>41.052526781130879</v>
      </c>
      <c r="X44" s="10">
        <v>26</v>
      </c>
      <c r="Y44" s="4" t="s">
        <v>26</v>
      </c>
      <c r="Z44" s="8">
        <v>658.93061237773259</v>
      </c>
      <c r="AA44" s="4" t="s">
        <v>57</v>
      </c>
      <c r="AB44" s="4"/>
      <c r="AC44" s="12">
        <v>8375194</v>
      </c>
      <c r="AD44" s="12"/>
    </row>
    <row r="45" spans="1:30" x14ac:dyDescent="0.25">
      <c r="A45" s="6" t="s">
        <v>94</v>
      </c>
      <c r="B45" s="4" t="s">
        <v>93</v>
      </c>
      <c r="C45" s="4" t="s">
        <v>22</v>
      </c>
      <c r="D45" s="12">
        <v>400528</v>
      </c>
      <c r="E45" s="12">
        <v>11585762</v>
      </c>
      <c r="F45" s="11">
        <v>28.926222386449886</v>
      </c>
      <c r="G45" s="4" t="s">
        <v>23</v>
      </c>
      <c r="H45" s="4" t="s">
        <v>23</v>
      </c>
      <c r="I45" s="4" t="s">
        <v>26</v>
      </c>
      <c r="J45" s="4" t="s">
        <v>23</v>
      </c>
      <c r="K45" s="7">
        <v>89365636.488000005</v>
      </c>
      <c r="L45" s="4"/>
      <c r="M45" s="4"/>
      <c r="N45" s="4"/>
      <c r="O45" s="4"/>
      <c r="P45" s="4" t="s">
        <v>28</v>
      </c>
      <c r="Q45" s="4" t="s">
        <v>25</v>
      </c>
      <c r="R45" s="4">
        <v>4</v>
      </c>
      <c r="S45" s="4" t="s">
        <v>26</v>
      </c>
      <c r="T45" s="4" t="s">
        <v>26</v>
      </c>
      <c r="U45" s="4" t="s">
        <v>26</v>
      </c>
      <c r="V45" s="10">
        <v>49.566605097299608</v>
      </c>
      <c r="W45" s="10">
        <v>36.075417387649878</v>
      </c>
      <c r="X45" s="10">
        <v>14.357977515050507</v>
      </c>
      <c r="Y45" s="4" t="s">
        <v>26</v>
      </c>
      <c r="Z45" s="8">
        <v>223.11957338313428</v>
      </c>
      <c r="AA45" s="4" t="s">
        <v>28</v>
      </c>
      <c r="AB45" s="4"/>
      <c r="AC45" s="12">
        <v>1535547</v>
      </c>
      <c r="AD45" s="12">
        <v>827627</v>
      </c>
    </row>
    <row r="46" spans="1:30" x14ac:dyDescent="0.25">
      <c r="A46" s="6" t="s">
        <v>95</v>
      </c>
      <c r="B46" s="4" t="s">
        <v>78</v>
      </c>
      <c r="C46" s="4" t="s">
        <v>70</v>
      </c>
      <c r="D46" s="12">
        <v>2349987</v>
      </c>
      <c r="E46" s="12">
        <v>68002877</v>
      </c>
      <c r="F46" s="11">
        <v>28.937554548174095</v>
      </c>
      <c r="G46" s="4" t="s">
        <v>23</v>
      </c>
      <c r="H46" s="4" t="s">
        <v>23</v>
      </c>
      <c r="I46" s="4" t="s">
        <v>26</v>
      </c>
      <c r="J46" s="4" t="s">
        <v>23</v>
      </c>
      <c r="K46" s="7">
        <v>2348478129.9500999</v>
      </c>
      <c r="L46" s="4" t="s">
        <v>26</v>
      </c>
      <c r="M46" s="4"/>
      <c r="N46" s="4"/>
      <c r="O46" s="4" t="s">
        <v>26</v>
      </c>
      <c r="P46" s="4" t="s">
        <v>28</v>
      </c>
      <c r="Q46" s="4" t="s">
        <v>41</v>
      </c>
      <c r="R46" s="4">
        <v>2</v>
      </c>
      <c r="S46" s="4" t="s">
        <v>26</v>
      </c>
      <c r="T46" s="4" t="s">
        <v>26</v>
      </c>
      <c r="U46" s="4" t="s">
        <v>26</v>
      </c>
      <c r="V46" s="10">
        <v>36.253161564331101</v>
      </c>
      <c r="W46" s="10">
        <v>39.777609474776135</v>
      </c>
      <c r="X46" s="10">
        <v>23.969228960892785</v>
      </c>
      <c r="Y46" s="4" t="s">
        <v>26</v>
      </c>
      <c r="Z46" s="8">
        <v>999.35792408643113</v>
      </c>
      <c r="AA46" s="4" t="s">
        <v>57</v>
      </c>
      <c r="AB46" s="4"/>
      <c r="AC46" s="12">
        <v>12483680</v>
      </c>
      <c r="AD46" s="12">
        <v>2567501</v>
      </c>
    </row>
    <row r="47" spans="1:30" ht="28.5" x14ac:dyDescent="0.25">
      <c r="A47" s="6" t="s">
        <v>96</v>
      </c>
      <c r="B47" s="4" t="s">
        <v>93</v>
      </c>
      <c r="C47" s="4" t="s">
        <v>70</v>
      </c>
      <c r="D47" s="12">
        <v>2868387</v>
      </c>
      <c r="E47" s="12">
        <v>83850595</v>
      </c>
      <c r="F47" s="11">
        <v>29.232664560256339</v>
      </c>
      <c r="G47" s="4" t="s">
        <v>23</v>
      </c>
      <c r="H47" s="4" t="s">
        <v>23</v>
      </c>
      <c r="I47" s="4" t="s">
        <v>26</v>
      </c>
      <c r="J47" s="4" t="s">
        <v>23</v>
      </c>
      <c r="K47" s="7">
        <v>957066314.07354987</v>
      </c>
      <c r="L47" s="4" t="s">
        <v>26</v>
      </c>
      <c r="M47" s="4"/>
      <c r="N47" s="4"/>
      <c r="O47" s="4" t="s">
        <v>26</v>
      </c>
      <c r="P47" s="4" t="s">
        <v>28</v>
      </c>
      <c r="Q47" s="4" t="s">
        <v>41</v>
      </c>
      <c r="R47" s="4">
        <v>1</v>
      </c>
      <c r="S47" s="4" t="s">
        <v>26</v>
      </c>
      <c r="T47" s="4" t="s">
        <v>26</v>
      </c>
      <c r="U47" s="4" t="s">
        <v>26</v>
      </c>
      <c r="V47" s="10">
        <v>13.710758678084481</v>
      </c>
      <c r="W47" s="10">
        <v>43.064040714705513</v>
      </c>
      <c r="X47" s="10">
        <v>43.225200607210006</v>
      </c>
      <c r="Y47" s="4" t="s">
        <v>26</v>
      </c>
      <c r="Z47" s="8">
        <v>333.66010725663932</v>
      </c>
      <c r="AA47" s="4" t="s">
        <v>28</v>
      </c>
      <c r="AB47" s="4"/>
      <c r="AC47" s="12">
        <v>14384692</v>
      </c>
      <c r="AD47" s="12"/>
    </row>
    <row r="48" spans="1:30" x14ac:dyDescent="0.25">
      <c r="A48" s="6" t="s">
        <v>97</v>
      </c>
      <c r="B48" s="4" t="s">
        <v>86</v>
      </c>
      <c r="C48" s="4" t="s">
        <v>30</v>
      </c>
      <c r="D48" s="12">
        <v>78838</v>
      </c>
      <c r="E48" s="12">
        <v>2328244</v>
      </c>
      <c r="F48" s="11">
        <v>29.532002333899896</v>
      </c>
      <c r="G48" s="4" t="s">
        <v>23</v>
      </c>
      <c r="H48" s="4" t="s">
        <v>23</v>
      </c>
      <c r="I48" s="4" t="s">
        <v>26</v>
      </c>
      <c r="J48" s="4" t="s">
        <v>23</v>
      </c>
      <c r="K48" s="7">
        <v>26458445</v>
      </c>
      <c r="L48" s="4"/>
      <c r="M48" s="4"/>
      <c r="N48" s="4"/>
      <c r="O48" s="4" t="s">
        <v>26</v>
      </c>
      <c r="P48" s="4" t="s">
        <v>24</v>
      </c>
      <c r="Q48" s="4" t="s">
        <v>37</v>
      </c>
      <c r="R48" s="4">
        <v>2</v>
      </c>
      <c r="S48" s="4" t="s">
        <v>26</v>
      </c>
      <c r="T48" s="4" t="s">
        <v>26</v>
      </c>
      <c r="U48" s="4" t="s">
        <v>26</v>
      </c>
      <c r="V48" s="10">
        <v>61.535828579505093</v>
      </c>
      <c r="W48" s="10">
        <v>14.994190643526778</v>
      </c>
      <c r="X48" s="10">
        <v>23.469980776968125</v>
      </c>
      <c r="Y48" s="4" t="s">
        <v>26</v>
      </c>
      <c r="Z48" s="8">
        <v>335.60522844313658</v>
      </c>
      <c r="AA48" s="4" t="s">
        <v>28</v>
      </c>
      <c r="AB48" s="4"/>
      <c r="AC48" s="12"/>
      <c r="AD48" s="12"/>
    </row>
    <row r="49" spans="1:30" x14ac:dyDescent="0.25">
      <c r="A49" s="6" t="s">
        <v>98</v>
      </c>
      <c r="B49" s="4" t="s">
        <v>86</v>
      </c>
      <c r="C49" s="4" t="s">
        <v>30</v>
      </c>
      <c r="D49" s="12">
        <v>100590</v>
      </c>
      <c r="E49" s="12">
        <v>3021807</v>
      </c>
      <c r="F49" s="11">
        <v>30.04082910826126</v>
      </c>
      <c r="G49" s="4" t="s">
        <v>23</v>
      </c>
      <c r="H49" s="4" t="s">
        <v>23</v>
      </c>
      <c r="I49" s="4" t="s">
        <v>23</v>
      </c>
      <c r="J49" s="4" t="s">
        <v>26</v>
      </c>
      <c r="K49" s="7">
        <v>110019400</v>
      </c>
      <c r="L49" s="4"/>
      <c r="M49" s="4"/>
      <c r="N49" s="4"/>
      <c r="O49" s="4" t="s">
        <v>26</v>
      </c>
      <c r="P49" s="4" t="s">
        <v>24</v>
      </c>
      <c r="Q49" s="4" t="s">
        <v>25</v>
      </c>
      <c r="R49" s="4">
        <v>2</v>
      </c>
      <c r="S49" s="4" t="s">
        <v>26</v>
      </c>
      <c r="T49" s="4" t="s">
        <v>26</v>
      </c>
      <c r="U49" s="4" t="s">
        <v>26</v>
      </c>
      <c r="V49" s="10">
        <v>43.936005440719001</v>
      </c>
      <c r="W49" s="10">
        <v>41.460839995192501</v>
      </c>
      <c r="X49" s="10">
        <v>14.603154564088451</v>
      </c>
      <c r="Y49" s="4" t="s">
        <v>26</v>
      </c>
      <c r="Z49" s="8">
        <v>1093.7409285217218</v>
      </c>
      <c r="AA49" s="4" t="s">
        <v>31</v>
      </c>
      <c r="AB49" s="4"/>
      <c r="AC49" s="12"/>
      <c r="AD49" s="12"/>
    </row>
    <row r="50" spans="1:30" x14ac:dyDescent="0.25">
      <c r="A50" s="6" t="s">
        <v>99</v>
      </c>
      <c r="B50" s="4" t="s">
        <v>86</v>
      </c>
      <c r="C50" s="4" t="s">
        <v>30</v>
      </c>
      <c r="D50" s="12">
        <v>133100</v>
      </c>
      <c r="E50" s="12">
        <v>3999058</v>
      </c>
      <c r="F50" s="11">
        <v>30.045514650638619</v>
      </c>
      <c r="G50" s="4" t="s">
        <v>23</v>
      </c>
      <c r="H50" s="4" t="s">
        <v>23</v>
      </c>
      <c r="I50" s="4" t="s">
        <v>23</v>
      </c>
      <c r="J50" s="4" t="s">
        <v>26</v>
      </c>
      <c r="K50" s="7">
        <v>15513000</v>
      </c>
      <c r="L50" s="4"/>
      <c r="M50" s="4"/>
      <c r="N50" s="4"/>
      <c r="O50" s="4"/>
      <c r="P50" s="4" t="s">
        <v>24</v>
      </c>
      <c r="Q50" s="4" t="s">
        <v>33</v>
      </c>
      <c r="R50" s="4">
        <v>4</v>
      </c>
      <c r="S50" s="4" t="s">
        <v>26</v>
      </c>
      <c r="T50" s="4" t="s">
        <v>26</v>
      </c>
      <c r="U50" s="4" t="s">
        <v>26</v>
      </c>
      <c r="V50" s="10">
        <v>61.667665630532049</v>
      </c>
      <c r="W50" s="10">
        <v>21.509366307632483</v>
      </c>
      <c r="X50" s="10">
        <v>16.822968061835464</v>
      </c>
      <c r="Y50" s="4" t="s">
        <v>26</v>
      </c>
      <c r="Z50" s="8">
        <v>116.55146506386176</v>
      </c>
      <c r="AA50" s="4" t="s">
        <v>28</v>
      </c>
      <c r="AB50" s="4"/>
      <c r="AC50" s="12"/>
      <c r="AD50" s="12">
        <v>819286</v>
      </c>
    </row>
    <row r="51" spans="1:30" ht="28.5" x14ac:dyDescent="0.25">
      <c r="A51" s="6" t="s">
        <v>100</v>
      </c>
      <c r="B51" s="4" t="s">
        <v>86</v>
      </c>
      <c r="C51" s="4" t="s">
        <v>30</v>
      </c>
      <c r="D51" s="12">
        <v>65340</v>
      </c>
      <c r="E51" s="12">
        <v>1965601</v>
      </c>
      <c r="F51" s="11">
        <v>30.082659932659933</v>
      </c>
      <c r="G51" s="4" t="s">
        <v>23</v>
      </c>
      <c r="H51" s="4" t="s">
        <v>23</v>
      </c>
      <c r="I51" s="4" t="s">
        <v>23</v>
      </c>
      <c r="J51" s="4" t="s">
        <v>26</v>
      </c>
      <c r="K51" s="7">
        <v>0</v>
      </c>
      <c r="L51" s="4"/>
      <c r="M51" s="4"/>
      <c r="N51" s="4"/>
      <c r="O51" s="4" t="s">
        <v>26</v>
      </c>
      <c r="P51" s="4" t="s">
        <v>24</v>
      </c>
      <c r="Q51" s="4" t="s">
        <v>33</v>
      </c>
      <c r="R51" s="4">
        <v>4</v>
      </c>
      <c r="S51" s="4" t="s">
        <v>26</v>
      </c>
      <c r="T51" s="4" t="s">
        <v>26</v>
      </c>
      <c r="U51" s="4" t="s">
        <v>26</v>
      </c>
      <c r="V51" s="10">
        <v>50.393329039589375</v>
      </c>
      <c r="W51" s="10">
        <v>18.95529463296414</v>
      </c>
      <c r="X51" s="10">
        <v>30.651376327446485</v>
      </c>
      <c r="Y51" s="4" t="s">
        <v>26</v>
      </c>
      <c r="Z51" s="8">
        <v>0</v>
      </c>
      <c r="AA51" s="4" t="s">
        <v>34</v>
      </c>
      <c r="AB51" s="4"/>
      <c r="AC51" s="12"/>
      <c r="AD51" s="12">
        <v>495639</v>
      </c>
    </row>
    <row r="52" spans="1:30" x14ac:dyDescent="0.25">
      <c r="A52" s="6" t="s">
        <v>86</v>
      </c>
      <c r="B52" s="4" t="s">
        <v>86</v>
      </c>
      <c r="C52" s="4" t="s">
        <v>70</v>
      </c>
      <c r="D52" s="12">
        <v>2916132</v>
      </c>
      <c r="E52" s="12">
        <v>88408357</v>
      </c>
      <c r="F52" s="11">
        <v>30.316994223855435</v>
      </c>
      <c r="G52" s="4" t="s">
        <v>23</v>
      </c>
      <c r="H52" s="4" t="s">
        <v>23</v>
      </c>
      <c r="I52" s="4" t="s">
        <v>23</v>
      </c>
      <c r="J52" s="4" t="s">
        <v>26</v>
      </c>
      <c r="K52" s="7">
        <v>934050167.62</v>
      </c>
      <c r="L52" s="4" t="s">
        <v>26</v>
      </c>
      <c r="M52" s="4"/>
      <c r="N52" s="4"/>
      <c r="O52" s="4"/>
      <c r="P52" s="4" t="s">
        <v>28</v>
      </c>
      <c r="Q52" s="4" t="s">
        <v>41</v>
      </c>
      <c r="R52" s="4">
        <v>1</v>
      </c>
      <c r="S52" s="4" t="s">
        <v>26</v>
      </c>
      <c r="T52" s="4" t="s">
        <v>26</v>
      </c>
      <c r="U52" s="4" t="s">
        <v>26</v>
      </c>
      <c r="V52" s="10">
        <v>29</v>
      </c>
      <c r="W52" s="10">
        <v>52</v>
      </c>
      <c r="X52" s="10">
        <v>19</v>
      </c>
      <c r="Y52" s="4" t="s">
        <v>26</v>
      </c>
      <c r="Z52" s="8">
        <v>320.30448814388376</v>
      </c>
      <c r="AA52" s="4" t="s">
        <v>28</v>
      </c>
      <c r="AB52" s="4"/>
      <c r="AC52" s="12">
        <v>16767132</v>
      </c>
      <c r="AD52" s="12"/>
    </row>
    <row r="53" spans="1:30" ht="28.5" x14ac:dyDescent="0.25">
      <c r="A53" s="6" t="s">
        <v>101</v>
      </c>
      <c r="B53" s="4" t="s">
        <v>78</v>
      </c>
      <c r="C53" s="4" t="s">
        <v>22</v>
      </c>
      <c r="D53" s="12">
        <v>343143</v>
      </c>
      <c r="E53" s="12">
        <v>10419619</v>
      </c>
      <c r="F53" s="11">
        <v>30.365238399151373</v>
      </c>
      <c r="G53" s="4" t="s">
        <v>23</v>
      </c>
      <c r="H53" s="4" t="s">
        <v>23</v>
      </c>
      <c r="I53" s="4" t="s">
        <v>23</v>
      </c>
      <c r="J53" s="4" t="s">
        <v>26</v>
      </c>
      <c r="K53" s="7">
        <v>88023137</v>
      </c>
      <c r="L53" s="4"/>
      <c r="M53" s="4"/>
      <c r="N53" s="4" t="s">
        <v>26</v>
      </c>
      <c r="O53" s="4"/>
      <c r="P53" s="4" t="s">
        <v>28</v>
      </c>
      <c r="Q53" s="4" t="s">
        <v>39</v>
      </c>
      <c r="R53" s="4">
        <v>4</v>
      </c>
      <c r="S53" s="4" t="s">
        <v>26</v>
      </c>
      <c r="T53" s="4" t="s">
        <v>26</v>
      </c>
      <c r="U53" s="4" t="s">
        <v>26</v>
      </c>
      <c r="V53" s="10">
        <v>42.951131118411062</v>
      </c>
      <c r="W53" s="10">
        <v>29.263682564179579</v>
      </c>
      <c r="X53" s="10">
        <v>27.785186317409355</v>
      </c>
      <c r="Y53" s="4" t="s">
        <v>26</v>
      </c>
      <c r="Z53" s="8">
        <v>256.52027580338228</v>
      </c>
      <c r="AA53" s="4" t="s">
        <v>28</v>
      </c>
      <c r="AB53" s="4"/>
      <c r="AC53" s="12">
        <v>1523637</v>
      </c>
      <c r="AD53" s="12">
        <v>1801827</v>
      </c>
    </row>
    <row r="54" spans="1:30" x14ac:dyDescent="0.25">
      <c r="A54" s="6" t="s">
        <v>102</v>
      </c>
      <c r="B54" s="4" t="s">
        <v>80</v>
      </c>
      <c r="C54" s="4" t="s">
        <v>70</v>
      </c>
      <c r="D54" s="12">
        <v>417650</v>
      </c>
      <c r="E54" s="12">
        <v>13446294</v>
      </c>
      <c r="F54" s="11">
        <v>32.195125104752783</v>
      </c>
      <c r="G54" s="4" t="s">
        <v>23</v>
      </c>
      <c r="H54" s="4" t="s">
        <v>23</v>
      </c>
      <c r="I54" s="4" t="s">
        <v>23</v>
      </c>
      <c r="J54" s="4" t="s">
        <v>26</v>
      </c>
      <c r="K54" s="7">
        <v>16871190</v>
      </c>
      <c r="L54" s="4"/>
      <c r="M54" s="4"/>
      <c r="N54" s="4" t="s">
        <v>26</v>
      </c>
      <c r="O54" s="4"/>
      <c r="P54" s="4" t="s">
        <v>28</v>
      </c>
      <c r="Q54" s="9" t="s">
        <v>48</v>
      </c>
      <c r="R54" s="4">
        <v>3</v>
      </c>
      <c r="S54" s="4" t="s">
        <v>26</v>
      </c>
      <c r="T54" s="4" t="s">
        <v>26</v>
      </c>
      <c r="U54" s="4" t="s">
        <v>26</v>
      </c>
      <c r="V54" s="10">
        <v>38.978167745233925</v>
      </c>
      <c r="W54" s="10">
        <v>25.81422771169688</v>
      </c>
      <c r="X54" s="10">
        <v>35.207604543069174</v>
      </c>
      <c r="Y54" s="4" t="s">
        <v>26</v>
      </c>
      <c r="Z54" s="8">
        <v>40.395522566742486</v>
      </c>
      <c r="AA54" s="4" t="s">
        <v>34</v>
      </c>
      <c r="AB54" s="4"/>
      <c r="AC54" s="12">
        <v>2806751</v>
      </c>
      <c r="AD54" s="12"/>
    </row>
    <row r="55" spans="1:30" ht="28.5" x14ac:dyDescent="0.25">
      <c r="A55" s="6" t="s">
        <v>103</v>
      </c>
      <c r="B55" s="4" t="s">
        <v>80</v>
      </c>
      <c r="C55" s="4" t="s">
        <v>70</v>
      </c>
      <c r="D55" s="12">
        <v>1849070</v>
      </c>
      <c r="E55" s="12">
        <v>61116874</v>
      </c>
      <c r="F55" s="11">
        <v>33.05276382181313</v>
      </c>
      <c r="G55" s="4" t="s">
        <v>23</v>
      </c>
      <c r="H55" s="4" t="s">
        <v>23</v>
      </c>
      <c r="I55" s="4" t="s">
        <v>23</v>
      </c>
      <c r="J55" s="4" t="s">
        <v>26</v>
      </c>
      <c r="K55" s="7">
        <v>141854404.59999999</v>
      </c>
      <c r="L55" s="4"/>
      <c r="M55" s="4"/>
      <c r="N55" s="4"/>
      <c r="O55" s="4"/>
      <c r="P55" s="4" t="s">
        <v>31</v>
      </c>
      <c r="Q55" s="4" t="s">
        <v>41</v>
      </c>
      <c r="R55" s="4">
        <v>1</v>
      </c>
      <c r="S55" s="4" t="s">
        <v>26</v>
      </c>
      <c r="T55" s="4" t="s">
        <v>26</v>
      </c>
      <c r="U55" s="4" t="s">
        <v>26</v>
      </c>
      <c r="V55" s="10">
        <v>40.565845238215843</v>
      </c>
      <c r="W55" s="10">
        <v>23.756362789427129</v>
      </c>
      <c r="X55" s="10">
        <v>35.677791972357028</v>
      </c>
      <c r="Y55" s="4" t="s">
        <v>26</v>
      </c>
      <c r="Z55" s="8">
        <v>76.716622193859607</v>
      </c>
      <c r="AA55" s="4" t="s">
        <v>34</v>
      </c>
      <c r="AB55" s="4"/>
      <c r="AC55" s="12">
        <v>12757406</v>
      </c>
      <c r="AD55" s="12"/>
    </row>
    <row r="56" spans="1:30" ht="28.5" x14ac:dyDescent="0.25">
      <c r="A56" s="6" t="s">
        <v>104</v>
      </c>
      <c r="B56" s="4" t="s">
        <v>78</v>
      </c>
      <c r="C56" s="4" t="s">
        <v>22</v>
      </c>
      <c r="D56" s="12">
        <v>157197</v>
      </c>
      <c r="E56" s="12">
        <v>5282105</v>
      </c>
      <c r="F56" s="11">
        <v>33.601818100854345</v>
      </c>
      <c r="G56" s="4" t="s">
        <v>23</v>
      </c>
      <c r="H56" s="4" t="s">
        <v>23</v>
      </c>
      <c r="I56" s="4" t="s">
        <v>23</v>
      </c>
      <c r="J56" s="4" t="s">
        <v>26</v>
      </c>
      <c r="K56" s="7">
        <v>135774686.99000001</v>
      </c>
      <c r="L56" s="4"/>
      <c r="M56" s="4"/>
      <c r="N56" s="4" t="s">
        <v>26</v>
      </c>
      <c r="O56" s="4"/>
      <c r="P56" s="4" t="s">
        <v>28</v>
      </c>
      <c r="Q56" s="4" t="s">
        <v>37</v>
      </c>
      <c r="R56" s="4">
        <v>1</v>
      </c>
      <c r="S56" s="4" t="s">
        <v>26</v>
      </c>
      <c r="T56" s="4" t="s">
        <v>26</v>
      </c>
      <c r="U56" s="4" t="s">
        <v>26</v>
      </c>
      <c r="V56" s="10">
        <v>38.422581182719377</v>
      </c>
      <c r="W56" s="10">
        <v>43.296559652024314</v>
      </c>
      <c r="X56" s="10">
        <v>18.280859165256306</v>
      </c>
      <c r="Y56" s="4" t="s">
        <v>26</v>
      </c>
      <c r="Z56" s="8">
        <v>863.72314350782779</v>
      </c>
      <c r="AA56" s="4" t="s">
        <v>57</v>
      </c>
      <c r="AB56" s="4"/>
      <c r="AC56" s="12">
        <v>962714</v>
      </c>
      <c r="AD56" s="12"/>
    </row>
    <row r="57" spans="1:30" ht="28.5" x14ac:dyDescent="0.25">
      <c r="A57" s="6" t="s">
        <v>105</v>
      </c>
      <c r="B57" s="4" t="s">
        <v>78</v>
      </c>
      <c r="C57" s="4" t="s">
        <v>22</v>
      </c>
      <c r="D57" s="12">
        <v>266463</v>
      </c>
      <c r="E57" s="12">
        <v>9081013</v>
      </c>
      <c r="F57" s="11">
        <v>34.079827218037778</v>
      </c>
      <c r="G57" s="4" t="s">
        <v>23</v>
      </c>
      <c r="H57" s="4" t="s">
        <v>23</v>
      </c>
      <c r="I57" s="4" t="s">
        <v>23</v>
      </c>
      <c r="J57" s="4" t="s">
        <v>26</v>
      </c>
      <c r="K57" s="7">
        <v>0</v>
      </c>
      <c r="L57" s="4" t="s">
        <v>26</v>
      </c>
      <c r="M57" s="4" t="s">
        <v>26</v>
      </c>
      <c r="N57" s="4"/>
      <c r="O57" s="4"/>
      <c r="P57" s="4" t="s">
        <v>31</v>
      </c>
      <c r="Q57" s="4" t="s">
        <v>37</v>
      </c>
      <c r="R57" s="4">
        <v>1</v>
      </c>
      <c r="S57" s="4" t="s">
        <v>26</v>
      </c>
      <c r="T57" s="4" t="s">
        <v>26</v>
      </c>
      <c r="U57" s="4" t="s">
        <v>26</v>
      </c>
      <c r="V57" s="10">
        <v>17.368313463408455</v>
      </c>
      <c r="W57" s="10">
        <v>31.894777404458818</v>
      </c>
      <c r="X57" s="10">
        <v>50.736909132132716</v>
      </c>
      <c r="Y57" s="4" t="s">
        <v>26</v>
      </c>
      <c r="Z57" s="8">
        <v>0</v>
      </c>
      <c r="AA57" s="4" t="s">
        <v>34</v>
      </c>
      <c r="AB57" s="4"/>
      <c r="AC57" s="12">
        <v>1533466</v>
      </c>
      <c r="AD57" s="12"/>
    </row>
    <row r="58" spans="1:30" x14ac:dyDescent="0.25">
      <c r="A58" s="6" t="s">
        <v>106</v>
      </c>
      <c r="B58" s="4" t="s">
        <v>80</v>
      </c>
      <c r="C58" s="4" t="s">
        <v>70</v>
      </c>
      <c r="D58" s="12">
        <v>305710</v>
      </c>
      <c r="E58" s="12">
        <v>10429076</v>
      </c>
      <c r="F58" s="11">
        <v>34.114278237545385</v>
      </c>
      <c r="G58" s="4" t="s">
        <v>23</v>
      </c>
      <c r="H58" s="4" t="s">
        <v>23</v>
      </c>
      <c r="I58" s="4" t="s">
        <v>23</v>
      </c>
      <c r="J58" s="4" t="s">
        <v>26</v>
      </c>
      <c r="K58" s="7">
        <v>97130146</v>
      </c>
      <c r="L58" s="4"/>
      <c r="M58" s="4"/>
      <c r="N58" s="4"/>
      <c r="O58" s="4" t="s">
        <v>26</v>
      </c>
      <c r="P58" s="4" t="s">
        <v>28</v>
      </c>
      <c r="Q58" s="4" t="s">
        <v>107</v>
      </c>
      <c r="R58" s="4">
        <v>3</v>
      </c>
      <c r="S58" s="4" t="s">
        <v>26</v>
      </c>
      <c r="T58" s="4" t="s">
        <v>26</v>
      </c>
      <c r="U58" s="4" t="s">
        <v>26</v>
      </c>
      <c r="V58" s="10">
        <v>34.923281734743149</v>
      </c>
      <c r="W58" s="10">
        <v>26.642260661175989</v>
      </c>
      <c r="X58" s="10">
        <v>38.434457604080826</v>
      </c>
      <c r="Y58" s="4" t="s">
        <v>26</v>
      </c>
      <c r="Z58" s="8">
        <v>317.71988485819895</v>
      </c>
      <c r="AA58" s="4" t="s">
        <v>28</v>
      </c>
      <c r="AB58" s="4"/>
      <c r="AC58" s="12">
        <v>2176943</v>
      </c>
      <c r="AD58" s="12"/>
    </row>
    <row r="59" spans="1:30" x14ac:dyDescent="0.25">
      <c r="A59" s="6" t="s">
        <v>108</v>
      </c>
      <c r="B59" s="4" t="s">
        <v>93</v>
      </c>
      <c r="C59" s="4" t="s">
        <v>30</v>
      </c>
      <c r="D59" s="12">
        <v>112457</v>
      </c>
      <c r="E59" s="12">
        <v>3929132</v>
      </c>
      <c r="F59" s="11">
        <v>34.938972229385456</v>
      </c>
      <c r="G59" s="4" t="s">
        <v>23</v>
      </c>
      <c r="H59" s="4" t="s">
        <v>23</v>
      </c>
      <c r="I59" s="4" t="s">
        <v>23</v>
      </c>
      <c r="J59" s="4" t="s">
        <v>26</v>
      </c>
      <c r="K59" s="7">
        <v>10820712</v>
      </c>
      <c r="L59" s="4"/>
      <c r="M59" s="4"/>
      <c r="N59" s="4" t="s">
        <v>26</v>
      </c>
      <c r="O59" s="4"/>
      <c r="P59" s="4" t="s">
        <v>24</v>
      </c>
      <c r="Q59" s="4" t="s">
        <v>39</v>
      </c>
      <c r="R59" s="4">
        <v>2</v>
      </c>
      <c r="S59" s="4" t="s">
        <v>26</v>
      </c>
      <c r="T59" s="4" t="s">
        <v>26</v>
      </c>
      <c r="U59" s="4" t="s">
        <v>26</v>
      </c>
      <c r="V59" s="10">
        <v>89.726401420749866</v>
      </c>
      <c r="W59" s="10">
        <v>9.0147827774864311</v>
      </c>
      <c r="X59" s="10">
        <v>1.2588158017637017</v>
      </c>
      <c r="Y59" s="4" t="s">
        <v>26</v>
      </c>
      <c r="Z59" s="8">
        <v>96.220884426936522</v>
      </c>
      <c r="AA59" s="4" t="s">
        <v>34</v>
      </c>
      <c r="AB59" s="4"/>
      <c r="AC59" s="12"/>
      <c r="AD59" s="12">
        <v>400000</v>
      </c>
    </row>
    <row r="60" spans="1:30" x14ac:dyDescent="0.25">
      <c r="A60" s="6" t="s">
        <v>109</v>
      </c>
      <c r="B60" s="4" t="s">
        <v>93</v>
      </c>
      <c r="C60" s="4" t="s">
        <v>30</v>
      </c>
      <c r="D60" s="12">
        <v>117937</v>
      </c>
      <c r="E60" s="12">
        <v>4212901</v>
      </c>
      <c r="F60" s="11">
        <v>35.721622561197925</v>
      </c>
      <c r="G60" s="4" t="s">
        <v>23</v>
      </c>
      <c r="H60" s="4" t="s">
        <v>23</v>
      </c>
      <c r="I60" s="4" t="s">
        <v>23</v>
      </c>
      <c r="J60" s="4" t="s">
        <v>26</v>
      </c>
      <c r="K60" s="7">
        <v>7460215</v>
      </c>
      <c r="L60" s="4"/>
      <c r="M60" s="4"/>
      <c r="N60" s="4"/>
      <c r="O60" s="4"/>
      <c r="P60" s="4" t="s">
        <v>28</v>
      </c>
      <c r="Q60" s="4" t="s">
        <v>25</v>
      </c>
      <c r="R60" s="4">
        <v>3</v>
      </c>
      <c r="S60" s="4" t="s">
        <v>26</v>
      </c>
      <c r="T60" s="4" t="s">
        <v>26</v>
      </c>
      <c r="U60" s="4" t="s">
        <v>26</v>
      </c>
      <c r="V60" s="10">
        <v>56.623365770709981</v>
      </c>
      <c r="W60" s="10">
        <v>39.923864372926644</v>
      </c>
      <c r="X60" s="10">
        <v>3.4527698563633633</v>
      </c>
      <c r="Y60" s="4" t="s">
        <v>26</v>
      </c>
      <c r="Z60" s="8">
        <v>63.255933252499219</v>
      </c>
      <c r="AA60" s="4" t="s">
        <v>34</v>
      </c>
      <c r="AB60" s="4"/>
      <c r="AC60" s="12"/>
      <c r="AD60" s="12">
        <v>400000</v>
      </c>
    </row>
    <row r="61" spans="1:30" x14ac:dyDescent="0.25">
      <c r="A61" s="6" t="s">
        <v>110</v>
      </c>
      <c r="B61" s="4" t="s">
        <v>93</v>
      </c>
      <c r="C61" s="4" t="s">
        <v>22</v>
      </c>
      <c r="D61" s="12">
        <v>140954</v>
      </c>
      <c r="E61" s="12">
        <v>5114423</v>
      </c>
      <c r="F61" s="11">
        <v>36.284340990677812</v>
      </c>
      <c r="G61" s="4" t="s">
        <v>23</v>
      </c>
      <c r="H61" s="4" t="s">
        <v>23</v>
      </c>
      <c r="I61" s="4" t="s">
        <v>23</v>
      </c>
      <c r="J61" s="4" t="s">
        <v>26</v>
      </c>
      <c r="K61" s="7">
        <v>146637444.53999999</v>
      </c>
      <c r="L61" s="4"/>
      <c r="M61" s="4"/>
      <c r="N61" s="4" t="s">
        <v>26</v>
      </c>
      <c r="O61" s="4"/>
      <c r="P61" s="4" t="s">
        <v>34</v>
      </c>
      <c r="Q61" s="4" t="s">
        <v>37</v>
      </c>
      <c r="R61" s="4">
        <v>1</v>
      </c>
      <c r="S61" s="4" t="s">
        <v>26</v>
      </c>
      <c r="T61" s="4" t="s">
        <v>26</v>
      </c>
      <c r="U61" s="4" t="s">
        <v>26</v>
      </c>
      <c r="V61" s="10">
        <v>60.465520635128925</v>
      </c>
      <c r="W61" s="10">
        <v>23.864672304194954</v>
      </c>
      <c r="X61" s="10">
        <v>15.669807060676117</v>
      </c>
      <c r="Y61" s="4" t="s">
        <v>26</v>
      </c>
      <c r="Z61" s="8">
        <v>1040.321271762419</v>
      </c>
      <c r="AA61" s="4" t="s">
        <v>31</v>
      </c>
      <c r="AB61" s="4"/>
      <c r="AC61" s="12">
        <v>770711</v>
      </c>
      <c r="AD61" s="12"/>
    </row>
    <row r="62" spans="1:30" x14ac:dyDescent="0.25">
      <c r="A62" s="6" t="s">
        <v>111</v>
      </c>
      <c r="B62" s="4" t="s">
        <v>93</v>
      </c>
      <c r="C62" s="4" t="s">
        <v>30</v>
      </c>
      <c r="D62" s="12">
        <v>94721</v>
      </c>
      <c r="E62" s="12">
        <v>3488102</v>
      </c>
      <c r="F62" s="11">
        <v>36.825012404852146</v>
      </c>
      <c r="G62" s="4" t="s">
        <v>23</v>
      </c>
      <c r="H62" s="4" t="s">
        <v>23</v>
      </c>
      <c r="I62" s="4" t="s">
        <v>23</v>
      </c>
      <c r="J62" s="4" t="s">
        <v>26</v>
      </c>
      <c r="K62" s="7">
        <v>131795481</v>
      </c>
      <c r="L62" s="4"/>
      <c r="M62" s="4"/>
      <c r="N62" s="4"/>
      <c r="O62" s="4"/>
      <c r="P62" s="4" t="s">
        <v>28</v>
      </c>
      <c r="Q62" s="4" t="s">
        <v>37</v>
      </c>
      <c r="R62" s="4">
        <v>1</v>
      </c>
      <c r="S62" s="4" t="s">
        <v>26</v>
      </c>
      <c r="T62" s="4" t="s">
        <v>26</v>
      </c>
      <c r="U62" s="4" t="s">
        <v>26</v>
      </c>
      <c r="V62" s="10">
        <v>40.915135272059672</v>
      </c>
      <c r="W62" s="10">
        <v>29.859581126444347</v>
      </c>
      <c r="X62" s="10">
        <v>29.225283601495985</v>
      </c>
      <c r="Y62" s="4" t="s">
        <v>26</v>
      </c>
      <c r="Z62" s="8">
        <v>1391.407195869976</v>
      </c>
      <c r="AA62" s="4" t="s">
        <v>31</v>
      </c>
      <c r="AB62" s="4"/>
      <c r="AC62" s="12"/>
      <c r="AD62" s="12"/>
    </row>
    <row r="63" spans="1:30" x14ac:dyDescent="0.25">
      <c r="A63" s="6" t="s">
        <v>112</v>
      </c>
      <c r="B63" s="4" t="s">
        <v>80</v>
      </c>
      <c r="C63" s="4" t="s">
        <v>70</v>
      </c>
      <c r="D63" s="12">
        <v>264810</v>
      </c>
      <c r="E63" s="12">
        <v>10047668</v>
      </c>
      <c r="F63" s="11">
        <v>37.942932668705865</v>
      </c>
      <c r="G63" s="4" t="s">
        <v>23</v>
      </c>
      <c r="H63" s="4" t="s">
        <v>23</v>
      </c>
      <c r="I63" s="4" t="s">
        <v>23</v>
      </c>
      <c r="J63" s="4" t="s">
        <v>26</v>
      </c>
      <c r="K63" s="7">
        <v>54713293</v>
      </c>
      <c r="L63" s="4"/>
      <c r="M63" s="4"/>
      <c r="N63" s="4" t="s">
        <v>26</v>
      </c>
      <c r="O63" s="4" t="s">
        <v>26</v>
      </c>
      <c r="P63" s="4" t="s">
        <v>28</v>
      </c>
      <c r="Q63" s="4" t="s">
        <v>33</v>
      </c>
      <c r="R63" s="4">
        <v>2</v>
      </c>
      <c r="S63" s="4" t="s">
        <v>26</v>
      </c>
      <c r="T63" s="4" t="s">
        <v>26</v>
      </c>
      <c r="U63" s="4" t="s">
        <v>26</v>
      </c>
      <c r="V63" s="10">
        <v>36.637899263499015</v>
      </c>
      <c r="W63" s="10">
        <v>26.494620250165529</v>
      </c>
      <c r="X63" s="10">
        <v>36.867480486335438</v>
      </c>
      <c r="Y63" s="4" t="s">
        <v>26</v>
      </c>
      <c r="Z63" s="8">
        <v>206.61339450927079</v>
      </c>
      <c r="AA63" s="4" t="s">
        <v>28</v>
      </c>
      <c r="AB63" s="4"/>
      <c r="AC63" s="12">
        <v>2097329</v>
      </c>
      <c r="AD63" s="12"/>
    </row>
    <row r="64" spans="1:30" ht="28.5" x14ac:dyDescent="0.25">
      <c r="A64" s="6" t="s">
        <v>113</v>
      </c>
      <c r="B64" s="4" t="s">
        <v>93</v>
      </c>
      <c r="C64" s="4" t="s">
        <v>22</v>
      </c>
      <c r="D64" s="12">
        <v>154922</v>
      </c>
      <c r="E64" s="12">
        <v>5933293</v>
      </c>
      <c r="F64" s="11">
        <v>38.298582512490157</v>
      </c>
      <c r="G64" s="4" t="s">
        <v>23</v>
      </c>
      <c r="H64" s="4"/>
      <c r="I64" s="4" t="s">
        <v>23</v>
      </c>
      <c r="J64" s="4" t="s">
        <v>26</v>
      </c>
      <c r="K64" s="7">
        <v>77850000</v>
      </c>
      <c r="L64" s="4" t="s">
        <v>26</v>
      </c>
      <c r="M64" s="4"/>
      <c r="N64" s="4"/>
      <c r="O64" s="4"/>
      <c r="P64" s="4" t="s">
        <v>34</v>
      </c>
      <c r="Q64" s="4" t="s">
        <v>37</v>
      </c>
      <c r="R64" s="4">
        <v>1</v>
      </c>
      <c r="S64" s="4" t="s">
        <v>26</v>
      </c>
      <c r="T64" s="4" t="s">
        <v>26</v>
      </c>
      <c r="U64" s="4" t="s">
        <v>26</v>
      </c>
      <c r="V64" s="10">
        <v>36.061443443912559</v>
      </c>
      <c r="W64" s="10">
        <v>47.033659157098384</v>
      </c>
      <c r="X64" s="10">
        <v>16.904897398989053</v>
      </c>
      <c r="Y64" s="4" t="s">
        <v>26</v>
      </c>
      <c r="Z64" s="8">
        <v>502.51094098965933</v>
      </c>
      <c r="AA64" s="4" t="s">
        <v>57</v>
      </c>
      <c r="AB64" s="4"/>
      <c r="AC64" s="12">
        <v>851021</v>
      </c>
      <c r="AD64" s="12"/>
    </row>
    <row r="65" spans="1:30" x14ac:dyDescent="0.25">
      <c r="A65" s="6" t="s">
        <v>114</v>
      </c>
      <c r="B65" s="4" t="s">
        <v>80</v>
      </c>
      <c r="C65" s="4" t="s">
        <v>70</v>
      </c>
      <c r="D65" s="12">
        <v>368690</v>
      </c>
      <c r="E65" s="12">
        <v>14355916</v>
      </c>
      <c r="F65" s="11">
        <v>38.937633242019039</v>
      </c>
      <c r="G65" s="4" t="s">
        <v>23</v>
      </c>
      <c r="H65" s="4" t="s">
        <v>23</v>
      </c>
      <c r="I65" s="4" t="s">
        <v>23</v>
      </c>
      <c r="J65" s="4" t="s">
        <v>26</v>
      </c>
      <c r="K65" s="7">
        <v>69998057.659999996</v>
      </c>
      <c r="L65" s="4"/>
      <c r="M65" s="4"/>
      <c r="N65" s="4" t="s">
        <v>26</v>
      </c>
      <c r="O65" s="4"/>
      <c r="P65" s="4" t="s">
        <v>28</v>
      </c>
      <c r="Q65" s="4" t="s">
        <v>115</v>
      </c>
      <c r="R65" s="4">
        <v>2</v>
      </c>
      <c r="S65" s="4" t="s">
        <v>26</v>
      </c>
      <c r="T65" s="4" t="s">
        <v>26</v>
      </c>
      <c r="U65" s="4" t="s">
        <v>26</v>
      </c>
      <c r="V65" s="10">
        <v>37.570049913941006</v>
      </c>
      <c r="W65" s="10">
        <v>25.297555296735407</v>
      </c>
      <c r="X65" s="10">
        <v>37.13239478932357</v>
      </c>
      <c r="Y65" s="4" t="s">
        <v>26</v>
      </c>
      <c r="Z65" s="8">
        <v>189.85613295722692</v>
      </c>
      <c r="AA65" s="4" t="s">
        <v>28</v>
      </c>
      <c r="AB65" s="4"/>
      <c r="AC65" s="12">
        <v>2996623</v>
      </c>
      <c r="AD65" s="12"/>
    </row>
    <row r="66" spans="1:30" ht="28.5" x14ac:dyDescent="0.25">
      <c r="A66" s="6" t="s">
        <v>116</v>
      </c>
      <c r="B66" s="4" t="s">
        <v>86</v>
      </c>
      <c r="C66" s="4" t="s">
        <v>30</v>
      </c>
      <c r="D66" s="12">
        <v>123025</v>
      </c>
      <c r="E66" s="12">
        <v>4836174</v>
      </c>
      <c r="F66" s="11">
        <v>39.310497866287342</v>
      </c>
      <c r="G66" s="4" t="s">
        <v>23</v>
      </c>
      <c r="H66" s="4" t="s">
        <v>23</v>
      </c>
      <c r="I66" s="4" t="s">
        <v>23</v>
      </c>
      <c r="J66" s="4" t="s">
        <v>26</v>
      </c>
      <c r="K66" s="7">
        <v>66355941</v>
      </c>
      <c r="L66" s="4"/>
      <c r="M66" s="4"/>
      <c r="N66" s="4"/>
      <c r="O66" s="4" t="s">
        <v>26</v>
      </c>
      <c r="P66" s="4" t="s">
        <v>31</v>
      </c>
      <c r="Q66" s="4" t="s">
        <v>37</v>
      </c>
      <c r="R66" s="4">
        <v>3</v>
      </c>
      <c r="S66" s="4" t="s">
        <v>26</v>
      </c>
      <c r="T66" s="4" t="s">
        <v>26</v>
      </c>
      <c r="U66" s="4" t="s">
        <v>26</v>
      </c>
      <c r="V66" s="10">
        <v>59.055872581183955</v>
      </c>
      <c r="W66" s="10">
        <v>38.920766550265057</v>
      </c>
      <c r="X66" s="10">
        <v>2.0233608685509994</v>
      </c>
      <c r="Y66" s="4" t="s">
        <v>26</v>
      </c>
      <c r="Z66" s="8">
        <v>539.36956716114616</v>
      </c>
      <c r="AA66" s="4" t="s">
        <v>57</v>
      </c>
      <c r="AB66" s="4" t="s">
        <v>52</v>
      </c>
      <c r="AC66" s="12"/>
      <c r="AD66" s="12"/>
    </row>
    <row r="67" spans="1:30" x14ac:dyDescent="0.25">
      <c r="A67" s="6" t="s">
        <v>117</v>
      </c>
      <c r="B67" s="4" t="s">
        <v>93</v>
      </c>
      <c r="C67" s="4" t="s">
        <v>70</v>
      </c>
      <c r="D67" s="12">
        <v>96384</v>
      </c>
      <c r="E67" s="12">
        <v>3842852</v>
      </c>
      <c r="F67" s="11">
        <v>39.870227423638781</v>
      </c>
      <c r="G67" s="4" t="s">
        <v>23</v>
      </c>
      <c r="H67" s="4" t="s">
        <v>23</v>
      </c>
      <c r="I67" s="4" t="s">
        <v>23</v>
      </c>
      <c r="J67" s="4" t="s">
        <v>26</v>
      </c>
      <c r="K67" s="7">
        <v>110762058.06999999</v>
      </c>
      <c r="L67" s="4"/>
      <c r="M67" s="4"/>
      <c r="N67" s="4"/>
      <c r="O67" s="4" t="s">
        <v>26</v>
      </c>
      <c r="P67" s="4" t="s">
        <v>34</v>
      </c>
      <c r="Q67" s="4" t="s">
        <v>115</v>
      </c>
      <c r="R67" s="4">
        <v>3</v>
      </c>
      <c r="S67" s="4" t="s">
        <v>26</v>
      </c>
      <c r="T67" s="4" t="s">
        <v>26</v>
      </c>
      <c r="U67" s="4" t="s">
        <v>26</v>
      </c>
      <c r="V67" s="10">
        <v>44</v>
      </c>
      <c r="W67" s="10">
        <v>29</v>
      </c>
      <c r="X67" s="10">
        <v>27</v>
      </c>
      <c r="Y67" s="4" t="s">
        <v>26</v>
      </c>
      <c r="Z67" s="8">
        <v>1149.1747392720783</v>
      </c>
      <c r="AA67" s="4" t="s">
        <v>31</v>
      </c>
      <c r="AB67" s="4"/>
      <c r="AC67" s="12"/>
      <c r="AD67" s="12">
        <v>1298210</v>
      </c>
    </row>
    <row r="68" spans="1:30" ht="28.5" x14ac:dyDescent="0.25">
      <c r="A68" s="6" t="s">
        <v>118</v>
      </c>
      <c r="B68" s="4" t="s">
        <v>80</v>
      </c>
      <c r="C68" s="4" t="s">
        <v>70</v>
      </c>
      <c r="D68" s="12">
        <v>492810</v>
      </c>
      <c r="E68" s="12">
        <v>19967429</v>
      </c>
      <c r="F68" s="11">
        <v>40.517499644893569</v>
      </c>
      <c r="G68" s="4" t="s">
        <v>23</v>
      </c>
      <c r="H68" s="4" t="s">
        <v>23</v>
      </c>
      <c r="I68" s="4" t="s">
        <v>23</v>
      </c>
      <c r="J68" s="4" t="s">
        <v>26</v>
      </c>
      <c r="K68" s="7">
        <v>125131482.06</v>
      </c>
      <c r="L68" s="4"/>
      <c r="M68" s="4" t="s">
        <v>26</v>
      </c>
      <c r="N68" s="4" t="s">
        <v>26</v>
      </c>
      <c r="O68" s="4"/>
      <c r="P68" s="4" t="s">
        <v>31</v>
      </c>
      <c r="Q68" s="4" t="s">
        <v>33</v>
      </c>
      <c r="R68" s="4">
        <v>4</v>
      </c>
      <c r="S68" s="4" t="s">
        <v>26</v>
      </c>
      <c r="T68" s="4" t="s">
        <v>26</v>
      </c>
      <c r="U68" s="4" t="s">
        <v>26</v>
      </c>
      <c r="V68" s="10">
        <v>38.423795553149084</v>
      </c>
      <c r="W68" s="10">
        <v>25.365083883170652</v>
      </c>
      <c r="X68" s="10">
        <v>36.211120563680247</v>
      </c>
      <c r="Y68" s="4" t="s">
        <v>26</v>
      </c>
      <c r="Z68" s="8">
        <v>253.91425105010046</v>
      </c>
      <c r="AA68" s="4" t="s">
        <v>28</v>
      </c>
      <c r="AB68" s="4"/>
      <c r="AC68" s="12">
        <v>4167958</v>
      </c>
      <c r="AD68" s="12"/>
    </row>
    <row r="69" spans="1:30" x14ac:dyDescent="0.25">
      <c r="A69" s="6" t="s">
        <v>119</v>
      </c>
      <c r="B69" s="4" t="s">
        <v>120</v>
      </c>
      <c r="C69" s="4" t="s">
        <v>22</v>
      </c>
      <c r="D69" s="12">
        <v>274211</v>
      </c>
      <c r="E69" s="12">
        <v>14936161</v>
      </c>
      <c r="F69" s="11">
        <v>54.469590935447521</v>
      </c>
      <c r="G69" s="4" t="s">
        <v>23</v>
      </c>
      <c r="H69" s="4" t="s">
        <v>23</v>
      </c>
      <c r="I69" s="4" t="s">
        <v>23</v>
      </c>
      <c r="J69" s="4" t="s">
        <v>26</v>
      </c>
      <c r="K69" s="7">
        <v>201158500.78999999</v>
      </c>
      <c r="L69" s="4"/>
      <c r="M69" s="4"/>
      <c r="N69" s="4" t="s">
        <v>26</v>
      </c>
      <c r="O69" s="4" t="s">
        <v>26</v>
      </c>
      <c r="P69" s="4" t="s">
        <v>31</v>
      </c>
      <c r="Q69" s="4" t="s">
        <v>41</v>
      </c>
      <c r="R69" s="4">
        <v>1</v>
      </c>
      <c r="S69" s="4" t="s">
        <v>26</v>
      </c>
      <c r="T69" s="4" t="s">
        <v>26</v>
      </c>
      <c r="U69" s="4" t="s">
        <v>26</v>
      </c>
      <c r="V69" s="10">
        <v>31.675131542059976</v>
      </c>
      <c r="W69" s="10">
        <v>39.43764560070899</v>
      </c>
      <c r="X69" s="10">
        <v>28.887222857231034</v>
      </c>
      <c r="Y69" s="4" t="s">
        <v>26</v>
      </c>
      <c r="Z69" s="8">
        <v>733.5901943758638</v>
      </c>
      <c r="AA69" s="4" t="s">
        <v>57</v>
      </c>
      <c r="AB69" s="4"/>
      <c r="AC69" s="12">
        <v>1641730</v>
      </c>
      <c r="AD69" s="12"/>
    </row>
    <row r="70" spans="1:30" x14ac:dyDescent="0.25">
      <c r="A70" s="6" t="s">
        <v>121</v>
      </c>
      <c r="B70" s="4" t="s">
        <v>121</v>
      </c>
      <c r="C70" s="4" t="s">
        <v>70</v>
      </c>
      <c r="D70" s="12">
        <v>1904563</v>
      </c>
      <c r="E70" s="12">
        <v>104947606</v>
      </c>
      <c r="F70" s="11">
        <v>55.103247306599989</v>
      </c>
      <c r="G70" s="4" t="s">
        <v>23</v>
      </c>
      <c r="H70" s="4" t="s">
        <v>23</v>
      </c>
      <c r="I70" s="4" t="s">
        <v>23</v>
      </c>
      <c r="J70" s="4" t="s">
        <v>26</v>
      </c>
      <c r="K70" s="7">
        <v>313036218.49000001</v>
      </c>
      <c r="L70" s="4"/>
      <c r="M70" s="4"/>
      <c r="N70" s="4" t="s">
        <v>26</v>
      </c>
      <c r="O70" s="4" t="s">
        <v>26</v>
      </c>
      <c r="P70" s="4" t="s">
        <v>31</v>
      </c>
      <c r="Q70" s="4" t="s">
        <v>84</v>
      </c>
      <c r="R70" s="4">
        <v>1</v>
      </c>
      <c r="S70" s="4" t="s">
        <v>26</v>
      </c>
      <c r="T70" s="4" t="s">
        <v>26</v>
      </c>
      <c r="U70" s="4" t="s">
        <v>26</v>
      </c>
      <c r="V70" s="10">
        <v>15</v>
      </c>
      <c r="W70" s="10">
        <v>48</v>
      </c>
      <c r="X70" s="10">
        <v>37</v>
      </c>
      <c r="Y70" s="4" t="s">
        <v>122</v>
      </c>
      <c r="Z70" s="8">
        <v>164.36117812327552</v>
      </c>
      <c r="AA70" s="4" t="s">
        <v>28</v>
      </c>
      <c r="AB70" s="4"/>
      <c r="AC70" s="12">
        <v>21906539</v>
      </c>
      <c r="AD70" s="12"/>
    </row>
    <row r="71" spans="1:30" x14ac:dyDescent="0.25">
      <c r="A71" s="6" t="s">
        <v>123</v>
      </c>
      <c r="B71" s="4" t="s">
        <v>120</v>
      </c>
      <c r="C71" s="4" t="s">
        <v>70</v>
      </c>
      <c r="D71" s="12">
        <v>828973</v>
      </c>
      <c r="E71" s="12">
        <v>47085061</v>
      </c>
      <c r="F71" s="11">
        <v>56.799269698771852</v>
      </c>
      <c r="G71" s="4" t="s">
        <v>23</v>
      </c>
      <c r="H71" s="4" t="s">
        <v>23</v>
      </c>
      <c r="I71" s="4" t="s">
        <v>23</v>
      </c>
      <c r="J71" s="4" t="s">
        <v>26</v>
      </c>
      <c r="K71" s="7">
        <v>368937934.43000001</v>
      </c>
      <c r="L71" s="4"/>
      <c r="M71" s="4"/>
      <c r="N71" s="4" t="s">
        <v>26</v>
      </c>
      <c r="O71" s="4"/>
      <c r="P71" s="4" t="s">
        <v>31</v>
      </c>
      <c r="Q71" s="4" t="s">
        <v>41</v>
      </c>
      <c r="R71" s="4">
        <v>2</v>
      </c>
      <c r="S71" s="4" t="s">
        <v>26</v>
      </c>
      <c r="T71" s="4" t="s">
        <v>26</v>
      </c>
      <c r="U71" s="4" t="s">
        <v>26</v>
      </c>
      <c r="V71" s="10">
        <v>31.954453491834325</v>
      </c>
      <c r="W71" s="10">
        <v>44.303700641904534</v>
      </c>
      <c r="X71" s="10">
        <v>23.741845866261144</v>
      </c>
      <c r="Y71" s="4" t="s">
        <v>26</v>
      </c>
      <c r="Z71" s="8">
        <v>445.05422303259576</v>
      </c>
      <c r="AA71" s="4" t="s">
        <v>28</v>
      </c>
      <c r="AB71" s="4"/>
      <c r="AC71" s="12">
        <v>4128607</v>
      </c>
      <c r="AD71" s="12">
        <v>3043546</v>
      </c>
    </row>
    <row r="72" spans="1:30" x14ac:dyDescent="0.25">
      <c r="A72" s="6" t="s">
        <v>124</v>
      </c>
      <c r="B72" s="4" t="s">
        <v>120</v>
      </c>
      <c r="C72" s="4" t="s">
        <v>22</v>
      </c>
      <c r="D72" s="12">
        <v>521346</v>
      </c>
      <c r="E72" s="12">
        <v>30830618</v>
      </c>
      <c r="F72" s="11">
        <v>59.136577244286904</v>
      </c>
      <c r="G72" s="4" t="s">
        <v>23</v>
      </c>
      <c r="H72" s="4" t="s">
        <v>23</v>
      </c>
      <c r="I72" s="4" t="s">
        <v>23</v>
      </c>
      <c r="J72" s="4" t="s">
        <v>26</v>
      </c>
      <c r="K72" s="7">
        <v>193409522</v>
      </c>
      <c r="L72" s="4"/>
      <c r="M72" s="4"/>
      <c r="N72" s="4" t="s">
        <v>26</v>
      </c>
      <c r="O72" s="4" t="s">
        <v>26</v>
      </c>
      <c r="P72" s="4" t="s">
        <v>31</v>
      </c>
      <c r="Q72" s="4" t="s">
        <v>39</v>
      </c>
      <c r="R72" s="4">
        <v>1</v>
      </c>
      <c r="S72" s="4" t="s">
        <v>26</v>
      </c>
      <c r="T72" s="4" t="s">
        <v>26</v>
      </c>
      <c r="U72" s="4" t="s">
        <v>26</v>
      </c>
      <c r="V72" s="10">
        <v>25.54929733130929</v>
      </c>
      <c r="W72" s="10">
        <v>45.841621072981084</v>
      </c>
      <c r="X72" s="10">
        <v>28.609081595709618</v>
      </c>
      <c r="Y72" s="4" t="s">
        <v>26</v>
      </c>
      <c r="Z72" s="8">
        <v>370.98111810582606</v>
      </c>
      <c r="AA72" s="4" t="s">
        <v>28</v>
      </c>
      <c r="AB72" s="4"/>
      <c r="AC72" s="12">
        <v>2803077</v>
      </c>
      <c r="AD72" s="12">
        <v>3512301</v>
      </c>
    </row>
    <row r="73" spans="1:30" x14ac:dyDescent="0.25">
      <c r="A73" s="6" t="s">
        <v>125</v>
      </c>
      <c r="B73" s="4" t="s">
        <v>120</v>
      </c>
      <c r="C73" s="4" t="s">
        <v>22</v>
      </c>
      <c r="D73" s="12">
        <v>196154</v>
      </c>
      <c r="E73" s="12">
        <v>11634466</v>
      </c>
      <c r="F73" s="11">
        <v>59.312917401633413</v>
      </c>
      <c r="G73" s="4" t="s">
        <v>23</v>
      </c>
      <c r="H73" s="4" t="s">
        <v>23</v>
      </c>
      <c r="I73" s="4" t="s">
        <v>23</v>
      </c>
      <c r="J73" s="4" t="s">
        <v>26</v>
      </c>
      <c r="K73" s="7">
        <v>71893465</v>
      </c>
      <c r="L73" s="4"/>
      <c r="M73" s="4"/>
      <c r="N73" s="4"/>
      <c r="O73" s="4"/>
      <c r="P73" s="4" t="s">
        <v>31</v>
      </c>
      <c r="Q73" s="4" t="s">
        <v>41</v>
      </c>
      <c r="R73" s="4">
        <v>1</v>
      </c>
      <c r="S73" s="4" t="s">
        <v>26</v>
      </c>
      <c r="T73" s="4" t="s">
        <v>26</v>
      </c>
      <c r="U73" s="4" t="s">
        <v>26</v>
      </c>
      <c r="V73" s="10">
        <v>54.722770030360856</v>
      </c>
      <c r="W73" s="10">
        <v>30.240960939391488</v>
      </c>
      <c r="X73" s="10">
        <v>15.036269030247663</v>
      </c>
      <c r="Y73" s="4" t="s">
        <v>26</v>
      </c>
      <c r="Z73" s="8">
        <v>366.51541645849687</v>
      </c>
      <c r="AA73" s="4" t="s">
        <v>28</v>
      </c>
      <c r="AB73" s="4"/>
      <c r="AC73" s="12">
        <v>1169621</v>
      </c>
      <c r="AD73" s="12">
        <v>0</v>
      </c>
    </row>
    <row r="74" spans="1:30" x14ac:dyDescent="0.25">
      <c r="A74" s="6" t="s">
        <v>126</v>
      </c>
      <c r="B74" s="4" t="s">
        <v>120</v>
      </c>
      <c r="C74" s="4" t="s">
        <v>22</v>
      </c>
      <c r="D74" s="12">
        <v>147915</v>
      </c>
      <c r="E74" s="12">
        <v>8868632</v>
      </c>
      <c r="F74" s="11">
        <v>59.957624311259842</v>
      </c>
      <c r="G74" s="4" t="s">
        <v>23</v>
      </c>
      <c r="H74" s="4" t="s">
        <v>23</v>
      </c>
      <c r="I74" s="4" t="s">
        <v>23</v>
      </c>
      <c r="J74" s="4" t="s">
        <v>26</v>
      </c>
      <c r="K74" s="7">
        <v>68072991</v>
      </c>
      <c r="L74" s="4" t="s">
        <v>26</v>
      </c>
      <c r="M74" s="4"/>
      <c r="N74" s="4" t="s">
        <v>26</v>
      </c>
      <c r="O74" s="4" t="s">
        <v>26</v>
      </c>
      <c r="P74" s="4" t="s">
        <v>28</v>
      </c>
      <c r="Q74" s="4" t="s">
        <v>41</v>
      </c>
      <c r="R74" s="4">
        <v>1</v>
      </c>
      <c r="S74" s="4" t="s">
        <v>26</v>
      </c>
      <c r="T74" s="4" t="s">
        <v>26</v>
      </c>
      <c r="U74" s="4" t="s">
        <v>26</v>
      </c>
      <c r="V74" s="10">
        <v>35.768438083794173</v>
      </c>
      <c r="W74" s="10">
        <v>35.258594491706134</v>
      </c>
      <c r="X74" s="10">
        <v>28.972967424499682</v>
      </c>
      <c r="Y74" s="4" t="s">
        <v>26</v>
      </c>
      <c r="Z74" s="8">
        <v>460.2169556840077</v>
      </c>
      <c r="AA74" s="4" t="s">
        <v>28</v>
      </c>
      <c r="AB74" s="4"/>
      <c r="AC74" s="12">
        <v>810389</v>
      </c>
      <c r="AD74" s="12">
        <v>0</v>
      </c>
    </row>
    <row r="75" spans="1:30" x14ac:dyDescent="0.25">
      <c r="A75" s="6" t="s">
        <v>127</v>
      </c>
      <c r="B75" s="4" t="s">
        <v>120</v>
      </c>
      <c r="C75" s="4" t="s">
        <v>70</v>
      </c>
      <c r="D75" s="12">
        <v>678173</v>
      </c>
      <c r="E75" s="12">
        <v>42725676</v>
      </c>
      <c r="F75" s="11">
        <v>63.001145725353268</v>
      </c>
      <c r="G75" s="4" t="s">
        <v>23</v>
      </c>
      <c r="H75" s="4" t="s">
        <v>23</v>
      </c>
      <c r="I75" s="4" t="s">
        <v>23</v>
      </c>
      <c r="J75" s="4" t="s">
        <v>26</v>
      </c>
      <c r="K75" s="7">
        <v>578846729</v>
      </c>
      <c r="L75" s="4" t="s">
        <v>26</v>
      </c>
      <c r="M75" s="4" t="s">
        <v>26</v>
      </c>
      <c r="N75" s="4" t="s">
        <v>26</v>
      </c>
      <c r="O75" s="4"/>
      <c r="P75" s="4" t="s">
        <v>31</v>
      </c>
      <c r="Q75" s="4" t="s">
        <v>48</v>
      </c>
      <c r="R75" s="4">
        <v>1</v>
      </c>
      <c r="S75" s="4" t="s">
        <v>26</v>
      </c>
      <c r="T75" s="4" t="s">
        <v>26</v>
      </c>
      <c r="U75" s="4" t="s">
        <v>26</v>
      </c>
      <c r="V75" s="10">
        <v>58.962650578415442</v>
      </c>
      <c r="W75" s="10">
        <v>29.450332432724394</v>
      </c>
      <c r="X75" s="10">
        <v>11.587016988860171</v>
      </c>
      <c r="Y75" s="4" t="s">
        <v>26</v>
      </c>
      <c r="Z75" s="8">
        <v>853.53844667953456</v>
      </c>
      <c r="AA75" s="4" t="s">
        <v>57</v>
      </c>
      <c r="AB75" s="4"/>
      <c r="AC75" s="12">
        <v>3631629</v>
      </c>
      <c r="AD75" s="12">
        <v>624909</v>
      </c>
    </row>
    <row r="76" spans="1:30" ht="42.75" x14ac:dyDescent="0.25">
      <c r="A76" s="6" t="s">
        <v>128</v>
      </c>
      <c r="B76" s="4" t="s">
        <v>129</v>
      </c>
      <c r="C76" s="4" t="s">
        <v>70</v>
      </c>
      <c r="D76" s="12">
        <v>1522472</v>
      </c>
      <c r="E76" s="12">
        <v>230432572</v>
      </c>
      <c r="F76" s="11">
        <v>151.35422654735194</v>
      </c>
      <c r="G76" s="4" t="s">
        <v>23</v>
      </c>
      <c r="H76" s="4" t="s">
        <v>23</v>
      </c>
      <c r="I76" s="4" t="s">
        <v>23</v>
      </c>
      <c r="J76" s="4" t="s">
        <v>26</v>
      </c>
      <c r="K76" s="7">
        <v>135146606.14899999</v>
      </c>
      <c r="L76" s="4"/>
      <c r="M76" s="4"/>
      <c r="N76" s="4" t="s">
        <v>26</v>
      </c>
      <c r="O76" s="4" t="s">
        <v>26</v>
      </c>
      <c r="P76" s="4" t="s">
        <v>31</v>
      </c>
      <c r="Q76" s="4" t="s">
        <v>81</v>
      </c>
      <c r="R76" s="4">
        <v>1</v>
      </c>
      <c r="S76" s="4" t="s">
        <v>26</v>
      </c>
      <c r="T76" s="4" t="s">
        <v>26</v>
      </c>
      <c r="U76" s="4" t="s">
        <v>26</v>
      </c>
      <c r="V76" s="10">
        <v>45.935520677119911</v>
      </c>
      <c r="W76" s="10">
        <v>22.232303988960169</v>
      </c>
      <c r="X76" s="10">
        <v>31.832175333919924</v>
      </c>
      <c r="Y76" s="4" t="s">
        <v>26</v>
      </c>
      <c r="Z76" s="8">
        <v>88.767876288693643</v>
      </c>
      <c r="AA76" s="4" t="s">
        <v>34</v>
      </c>
      <c r="AB76" s="4"/>
      <c r="AC76" s="12">
        <v>48100003</v>
      </c>
      <c r="AD76" s="12"/>
    </row>
    <row r="77" spans="1:30" x14ac:dyDescent="0.25">
      <c r="A77" s="6" t="s">
        <v>130</v>
      </c>
      <c r="B77" s="4" t="s">
        <v>129</v>
      </c>
      <c r="C77" s="4" t="s">
        <v>70</v>
      </c>
      <c r="D77" s="12">
        <v>687098</v>
      </c>
      <c r="E77" s="12">
        <v>104622271</v>
      </c>
      <c r="F77" s="11">
        <v>152.26688332668704</v>
      </c>
      <c r="G77" s="4" t="s">
        <v>23</v>
      </c>
      <c r="H77" s="4" t="s">
        <v>23</v>
      </c>
      <c r="I77" s="4" t="s">
        <v>23</v>
      </c>
      <c r="J77" s="4" t="s">
        <v>26</v>
      </c>
      <c r="K77" s="7">
        <v>481070023</v>
      </c>
      <c r="L77" s="4"/>
      <c r="M77" s="4"/>
      <c r="N77" s="4" t="s">
        <v>26</v>
      </c>
      <c r="O77" s="4"/>
      <c r="P77" s="4" t="s">
        <v>31</v>
      </c>
      <c r="Q77" s="4" t="s">
        <v>33</v>
      </c>
      <c r="R77" s="4">
        <v>2</v>
      </c>
      <c r="S77" s="4" t="s">
        <v>26</v>
      </c>
      <c r="T77" s="4" t="s">
        <v>26</v>
      </c>
      <c r="U77" s="4" t="s">
        <v>26</v>
      </c>
      <c r="V77" s="10">
        <v>40</v>
      </c>
      <c r="W77" s="10">
        <v>20</v>
      </c>
      <c r="X77" s="10">
        <v>23</v>
      </c>
      <c r="Y77" s="4" t="s">
        <v>26</v>
      </c>
      <c r="Z77" s="8">
        <v>700.14761067562415</v>
      </c>
      <c r="AA77" s="4" t="s">
        <v>57</v>
      </c>
      <c r="AB77" s="4"/>
      <c r="AC77" s="12">
        <v>21838629</v>
      </c>
      <c r="AD77" s="12"/>
    </row>
    <row r="78" spans="1:30" ht="42.75" x14ac:dyDescent="0.25">
      <c r="A78" s="6" t="s">
        <v>131</v>
      </c>
      <c r="B78" s="4" t="s">
        <v>129</v>
      </c>
      <c r="C78" s="4" t="s">
        <v>70</v>
      </c>
      <c r="D78" s="12">
        <v>691625</v>
      </c>
      <c r="E78" s="12">
        <v>113985415</v>
      </c>
      <c r="F78" s="11">
        <v>164.80811856135912</v>
      </c>
      <c r="G78" s="4" t="s">
        <v>23</v>
      </c>
      <c r="H78" s="4" t="s">
        <v>23</v>
      </c>
      <c r="I78" s="4" t="s">
        <v>23</v>
      </c>
      <c r="J78" s="4" t="s">
        <v>26</v>
      </c>
      <c r="K78" s="7">
        <v>210029263.19999999</v>
      </c>
      <c r="L78" s="4"/>
      <c r="M78" s="4"/>
      <c r="N78" s="4" t="s">
        <v>26</v>
      </c>
      <c r="O78" s="4" t="s">
        <v>26</v>
      </c>
      <c r="P78" s="4" t="s">
        <v>31</v>
      </c>
      <c r="Q78" s="4" t="s">
        <v>48</v>
      </c>
      <c r="R78" s="4">
        <v>1</v>
      </c>
      <c r="S78" s="4" t="s">
        <v>26</v>
      </c>
      <c r="T78" s="4" t="s">
        <v>26</v>
      </c>
      <c r="U78" s="4" t="s">
        <v>26</v>
      </c>
      <c r="V78" s="10">
        <v>37.893314478833481</v>
      </c>
      <c r="W78" s="10">
        <v>34.786734696585007</v>
      </c>
      <c r="X78" s="10">
        <v>27.319950824581515</v>
      </c>
      <c r="Y78" s="4" t="s">
        <v>26</v>
      </c>
      <c r="Z78" s="8">
        <v>303.67505975058737</v>
      </c>
      <c r="AA78" s="4" t="s">
        <v>28</v>
      </c>
      <c r="AB78" s="4"/>
      <c r="AC78" s="12">
        <v>23793072</v>
      </c>
      <c r="AD78" s="12"/>
    </row>
    <row r="79" spans="1:30" x14ac:dyDescent="0.25">
      <c r="A79" s="6" t="s">
        <v>132</v>
      </c>
      <c r="B79" s="4" t="s">
        <v>129</v>
      </c>
      <c r="C79" s="4" t="s">
        <v>70</v>
      </c>
      <c r="D79" s="12">
        <v>204215</v>
      </c>
      <c r="E79" s="12">
        <v>35081942</v>
      </c>
      <c r="F79" s="11">
        <v>171.78925152412899</v>
      </c>
      <c r="G79" s="4" t="s">
        <v>23</v>
      </c>
      <c r="H79" s="4" t="s">
        <v>23</v>
      </c>
      <c r="I79" s="4" t="s">
        <v>23</v>
      </c>
      <c r="J79" s="4" t="s">
        <v>26</v>
      </c>
      <c r="K79" s="7">
        <v>101799205</v>
      </c>
      <c r="L79" s="4"/>
      <c r="M79" s="4"/>
      <c r="N79" s="4" t="s">
        <v>26</v>
      </c>
      <c r="O79" s="4"/>
      <c r="P79" s="4" t="s">
        <v>31</v>
      </c>
      <c r="Q79" s="4" t="s">
        <v>33</v>
      </c>
      <c r="R79" s="4">
        <v>2</v>
      </c>
      <c r="S79" s="4" t="s">
        <v>26</v>
      </c>
      <c r="T79" s="4" t="s">
        <v>26</v>
      </c>
      <c r="U79" s="4" t="s">
        <v>26</v>
      </c>
      <c r="V79" s="4">
        <v>42</v>
      </c>
      <c r="W79" s="4">
        <v>35</v>
      </c>
      <c r="X79" s="4">
        <v>13</v>
      </c>
      <c r="Y79" s="4" t="s">
        <v>26</v>
      </c>
      <c r="Z79" s="8">
        <v>498.49034106211593</v>
      </c>
      <c r="AA79" s="4" t="s">
        <v>28</v>
      </c>
      <c r="AB79" s="4"/>
      <c r="AC79" s="12">
        <v>7322930</v>
      </c>
      <c r="AD79" s="12"/>
    </row>
    <row r="80" spans="1:30" ht="28.5" x14ac:dyDescent="0.25">
      <c r="A80" s="6" t="s">
        <v>133</v>
      </c>
      <c r="B80" s="4" t="s">
        <v>44</v>
      </c>
      <c r="C80" s="4" t="s">
        <v>22</v>
      </c>
      <c r="D80" s="12">
        <v>574281</v>
      </c>
      <c r="E80" s="12">
        <v>129549117</v>
      </c>
      <c r="F80" s="11">
        <v>225.58489136851122</v>
      </c>
      <c r="G80" s="4" t="s">
        <v>23</v>
      </c>
      <c r="H80" s="4" t="s">
        <v>23</v>
      </c>
      <c r="I80" s="4" t="s">
        <v>23</v>
      </c>
      <c r="J80" s="4" t="s">
        <v>26</v>
      </c>
      <c r="K80" s="7">
        <v>559833214.16199994</v>
      </c>
      <c r="L80" s="4"/>
      <c r="M80" s="4"/>
      <c r="N80" s="4" t="s">
        <v>26</v>
      </c>
      <c r="O80" s="4" t="s">
        <v>26</v>
      </c>
      <c r="P80" s="4" t="s">
        <v>31</v>
      </c>
      <c r="Q80" s="4" t="s">
        <v>33</v>
      </c>
      <c r="R80" s="4">
        <v>2</v>
      </c>
      <c r="S80" s="4" t="s">
        <v>26</v>
      </c>
      <c r="T80" s="4" t="s">
        <v>26</v>
      </c>
      <c r="U80" s="4" t="s">
        <v>26</v>
      </c>
      <c r="V80" s="10">
        <v>56.681709151522547</v>
      </c>
      <c r="W80" s="10">
        <v>31.121681505874704</v>
      </c>
      <c r="X80" s="10">
        <v>12.196609342602757</v>
      </c>
      <c r="Y80" s="4" t="s">
        <v>26</v>
      </c>
      <c r="Z80" s="8">
        <v>974.84195744243664</v>
      </c>
      <c r="AA80" s="4" t="s">
        <v>57</v>
      </c>
      <c r="AB80" s="4" t="s">
        <v>134</v>
      </c>
      <c r="AC80" s="12">
        <v>2452414</v>
      </c>
      <c r="AD80" s="12">
        <v>5567556</v>
      </c>
    </row>
    <row r="81" spans="1:30" x14ac:dyDescent="0.25">
      <c r="A81" s="4" t="s">
        <v>135</v>
      </c>
      <c r="B81" s="4" t="s">
        <v>21</v>
      </c>
      <c r="C81" s="4" t="s">
        <v>30</v>
      </c>
      <c r="D81" s="12">
        <v>90959</v>
      </c>
      <c r="E81" s="12">
        <v>1000000</v>
      </c>
      <c r="F81" s="11">
        <v>10.993964313591839</v>
      </c>
      <c r="G81" s="4" t="s">
        <v>26</v>
      </c>
      <c r="H81" s="4" t="s">
        <v>23</v>
      </c>
      <c r="I81" s="4" t="s">
        <v>26</v>
      </c>
      <c r="J81" s="4" t="s">
        <v>23</v>
      </c>
      <c r="K81" s="7">
        <v>39240655</v>
      </c>
      <c r="L81" s="4" t="s">
        <v>26</v>
      </c>
      <c r="M81" s="4"/>
      <c r="N81" s="4" t="s">
        <v>26</v>
      </c>
      <c r="O81" s="4"/>
      <c r="P81" s="4" t="s">
        <v>28</v>
      </c>
      <c r="Q81" s="4" t="s">
        <v>37</v>
      </c>
      <c r="R81" s="4">
        <v>1</v>
      </c>
      <c r="S81" s="4" t="s">
        <v>26</v>
      </c>
      <c r="T81" s="4" t="s">
        <v>26</v>
      </c>
      <c r="U81" s="4" t="s">
        <v>26</v>
      </c>
      <c r="V81" s="10">
        <v>81.239675372593339</v>
      </c>
      <c r="W81" s="10">
        <v>8.9893222172990264</v>
      </c>
      <c r="X81" s="10">
        <v>9.7710024101076378</v>
      </c>
      <c r="Y81" s="4" t="s">
        <v>26</v>
      </c>
      <c r="Z81" s="8">
        <v>431.41036071196913</v>
      </c>
      <c r="AA81" s="4" t="s">
        <v>28</v>
      </c>
      <c r="AB81" s="4"/>
      <c r="AC81" s="12"/>
      <c r="AD81" s="12"/>
    </row>
    <row r="82" spans="1:30" x14ac:dyDescent="0.25">
      <c r="K82" s="2"/>
    </row>
    <row r="83" spans="1:30" x14ac:dyDescent="0.25">
      <c r="K83" s="2"/>
    </row>
    <row r="84" spans="1:30" x14ac:dyDescent="0.25">
      <c r="K84" s="2"/>
    </row>
    <row r="85" spans="1:30" x14ac:dyDescent="0.25">
      <c r="K85" s="2"/>
    </row>
    <row r="86" spans="1:30" x14ac:dyDescent="0.25">
      <c r="K86" s="2"/>
    </row>
    <row r="87" spans="1:30" x14ac:dyDescent="0.25">
      <c r="K87" s="2"/>
    </row>
    <row r="88" spans="1:30" x14ac:dyDescent="0.25">
      <c r="K88" s="2"/>
    </row>
    <row r="89" spans="1:30" x14ac:dyDescent="0.25">
      <c r="K89" s="2"/>
    </row>
    <row r="90" spans="1:30" x14ac:dyDescent="0.25">
      <c r="K90" s="2"/>
    </row>
    <row r="91" spans="1:30" x14ac:dyDescent="0.25">
      <c r="K91" s="2"/>
    </row>
    <row r="92" spans="1:30" x14ac:dyDescent="0.25">
      <c r="K92" s="2"/>
    </row>
    <row r="93" spans="1:30" x14ac:dyDescent="0.25">
      <c r="K93" s="2"/>
    </row>
    <row r="94" spans="1:30" x14ac:dyDescent="0.25">
      <c r="K94" s="2"/>
    </row>
    <row r="95" spans="1:30" x14ac:dyDescent="0.25">
      <c r="K95" s="2"/>
    </row>
    <row r="96" spans="1:30" x14ac:dyDescent="0.25">
      <c r="K96" s="2"/>
    </row>
    <row r="97" spans="11:11" x14ac:dyDescent="0.25">
      <c r="K97" s="2"/>
    </row>
    <row r="98" spans="11:11" x14ac:dyDescent="0.25">
      <c r="K98" s="2"/>
    </row>
    <row r="99" spans="11:11" x14ac:dyDescent="0.25">
      <c r="K99" s="2"/>
    </row>
    <row r="100" spans="11:11" x14ac:dyDescent="0.25">
      <c r="K100" s="2"/>
    </row>
    <row r="101" spans="11:11" x14ac:dyDescent="0.25">
      <c r="K101" s="2"/>
    </row>
    <row r="102" spans="11:11" x14ac:dyDescent="0.25">
      <c r="K102" s="2"/>
    </row>
    <row r="103" spans="11:11" x14ac:dyDescent="0.25">
      <c r="K103" s="2"/>
    </row>
    <row r="104" spans="11:11" x14ac:dyDescent="0.25">
      <c r="K104" s="2"/>
    </row>
    <row r="105" spans="11:11" x14ac:dyDescent="0.25">
      <c r="K105" s="2"/>
    </row>
    <row r="106" spans="11:11" x14ac:dyDescent="0.25">
      <c r="K106" s="2"/>
    </row>
    <row r="107" spans="11:11" x14ac:dyDescent="0.25">
      <c r="K107" s="2"/>
    </row>
    <row r="108" spans="11:11" x14ac:dyDescent="0.25">
      <c r="K108" s="2"/>
    </row>
    <row r="109" spans="11:11" x14ac:dyDescent="0.25">
      <c r="K109" s="2"/>
    </row>
    <row r="110" spans="11:11" x14ac:dyDescent="0.25">
      <c r="K110" s="2"/>
    </row>
    <row r="111" spans="11:11" x14ac:dyDescent="0.25">
      <c r="K111" s="2"/>
    </row>
    <row r="112" spans="11:11" x14ac:dyDescent="0.25">
      <c r="K112" s="2"/>
    </row>
    <row r="113" spans="11:11" x14ac:dyDescent="0.25">
      <c r="K113" s="2"/>
    </row>
    <row r="114" spans="11:11" x14ac:dyDescent="0.25">
      <c r="K114" s="2"/>
    </row>
    <row r="115" spans="11:11" x14ac:dyDescent="0.25">
      <c r="K115" s="2"/>
    </row>
    <row r="116" spans="11:11" x14ac:dyDescent="0.25">
      <c r="K116" s="2"/>
    </row>
    <row r="117" spans="11:11" x14ac:dyDescent="0.25">
      <c r="K117" s="2"/>
    </row>
    <row r="118" spans="11:11" x14ac:dyDescent="0.25">
      <c r="K118" s="2"/>
    </row>
    <row r="119" spans="11:11" x14ac:dyDescent="0.25">
      <c r="K119" s="2"/>
    </row>
    <row r="120" spans="11:11" x14ac:dyDescent="0.25">
      <c r="K120" s="2"/>
    </row>
    <row r="121" spans="11:11" x14ac:dyDescent="0.25">
      <c r="K121" s="2"/>
    </row>
    <row r="122" spans="11:11" x14ac:dyDescent="0.25">
      <c r="K122" s="2"/>
    </row>
    <row r="123" spans="11:11" x14ac:dyDescent="0.25">
      <c r="K123" s="2"/>
    </row>
    <row r="124" spans="11:11" x14ac:dyDescent="0.25">
      <c r="K124" s="2"/>
    </row>
    <row r="125" spans="11:11" x14ac:dyDescent="0.25">
      <c r="K125" s="2"/>
    </row>
    <row r="126" spans="11:11" x14ac:dyDescent="0.25">
      <c r="K126" s="2"/>
    </row>
    <row r="127" spans="11:11" x14ac:dyDescent="0.25">
      <c r="K127" s="2"/>
    </row>
    <row r="128" spans="11:11" x14ac:dyDescent="0.25">
      <c r="K128" s="2"/>
    </row>
    <row r="129" spans="11:11" x14ac:dyDescent="0.25">
      <c r="K129" s="2"/>
    </row>
    <row r="130" spans="11:11" x14ac:dyDescent="0.25">
      <c r="K130" s="2"/>
    </row>
    <row r="131" spans="11:11" x14ac:dyDescent="0.25">
      <c r="K131" s="2"/>
    </row>
    <row r="132" spans="11:11" x14ac:dyDescent="0.25">
      <c r="K132" s="2"/>
    </row>
    <row r="133" spans="11:11" x14ac:dyDescent="0.25">
      <c r="K133" s="2"/>
    </row>
    <row r="134" spans="11:11" x14ac:dyDescent="0.25">
      <c r="K134" s="2"/>
    </row>
    <row r="135" spans="11:11" x14ac:dyDescent="0.25">
      <c r="K135" s="2"/>
    </row>
    <row r="136" spans="11:11" x14ac:dyDescent="0.25">
      <c r="K136" s="2"/>
    </row>
    <row r="137" spans="11:11" x14ac:dyDescent="0.25">
      <c r="K137" s="2"/>
    </row>
    <row r="138" spans="11:11" x14ac:dyDescent="0.25">
      <c r="K138" s="2"/>
    </row>
    <row r="139" spans="11:11" x14ac:dyDescent="0.25">
      <c r="K139" s="2"/>
    </row>
    <row r="140" spans="11:11" x14ac:dyDescent="0.25">
      <c r="K140" s="2"/>
    </row>
    <row r="141" spans="11:11" x14ac:dyDescent="0.25">
      <c r="K141" s="2"/>
    </row>
    <row r="142" spans="11:11" x14ac:dyDescent="0.25">
      <c r="K142" s="2"/>
    </row>
    <row r="143" spans="11:11" x14ac:dyDescent="0.25">
      <c r="K143" s="2"/>
    </row>
    <row r="144" spans="11:11" x14ac:dyDescent="0.25">
      <c r="K144" s="2"/>
    </row>
  </sheetData>
  <autoFilter ref="A1:AD1" xr:uid="{6E549F0C-1AAD-41E0-8CB3-5167B4244E07}"/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A2F98-1BE1-4246-8A98-4FFAA147D36E}">
  <dimension ref="A1:AD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6" sqref="H6"/>
    </sheetView>
  </sheetViews>
  <sheetFormatPr defaultRowHeight="15" x14ac:dyDescent="0.25"/>
  <cols>
    <col min="1" max="1" width="25.85546875" customWidth="1"/>
    <col min="2" max="2" width="17.5703125" customWidth="1"/>
    <col min="3" max="3" width="10.28515625" customWidth="1"/>
    <col min="4" max="4" width="11.7109375" customWidth="1"/>
    <col min="5" max="5" width="14.5703125" customWidth="1"/>
    <col min="6" max="6" width="13.5703125" customWidth="1"/>
    <col min="7" max="7" width="15.42578125" customWidth="1"/>
    <col min="8" max="8" width="16.140625" customWidth="1"/>
    <col min="9" max="9" width="17.42578125" customWidth="1"/>
    <col min="10" max="10" width="16.5703125" customWidth="1"/>
    <col min="11" max="11" width="15.85546875" customWidth="1"/>
    <col min="12" max="12" width="17.140625" customWidth="1"/>
    <col min="13" max="13" width="17.42578125" customWidth="1"/>
    <col min="14" max="14" width="13.140625" customWidth="1"/>
    <col min="15" max="15" width="11.140625" customWidth="1"/>
    <col min="16" max="16" width="11.42578125" customWidth="1"/>
    <col min="17" max="17" width="12.85546875" customWidth="1"/>
    <col min="18" max="18" width="14.140625" customWidth="1"/>
    <col min="19" max="19" width="28.85546875" customWidth="1"/>
    <col min="20" max="20" width="12.5703125" customWidth="1"/>
    <col min="21" max="21" width="14.85546875" customWidth="1"/>
    <col min="22" max="22" width="13.5703125" customWidth="1"/>
    <col min="23" max="23" width="14.140625" customWidth="1"/>
    <col min="24" max="24" width="13.5703125" customWidth="1"/>
    <col min="25" max="25" width="13.140625" customWidth="1"/>
    <col min="26" max="26" width="12.42578125" customWidth="1"/>
    <col min="27" max="27" width="22.5703125" customWidth="1"/>
    <col min="28" max="28" width="15.85546875" customWidth="1"/>
    <col min="29" max="29" width="16.5703125" customWidth="1"/>
    <col min="30" max="30" width="16" customWidth="1"/>
  </cols>
  <sheetData>
    <row r="1" spans="1:30" ht="75" x14ac:dyDescent="0.25">
      <c r="A1" s="3" t="s">
        <v>156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157</v>
      </c>
      <c r="L1" s="3" t="s">
        <v>153</v>
      </c>
      <c r="M1" s="3" t="s">
        <v>154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5" t="s">
        <v>148</v>
      </c>
      <c r="V1" s="5" t="s">
        <v>149</v>
      </c>
      <c r="W1" s="5" t="s">
        <v>150</v>
      </c>
      <c r="X1" s="13" t="s">
        <v>155</v>
      </c>
      <c r="Y1" s="5" t="s">
        <v>151</v>
      </c>
      <c r="Z1" s="5" t="s">
        <v>152</v>
      </c>
      <c r="AA1" s="3" t="s">
        <v>16</v>
      </c>
      <c r="AB1" s="3" t="s">
        <v>17</v>
      </c>
      <c r="AC1" s="3" t="s">
        <v>18</v>
      </c>
      <c r="AD1" s="3" t="s">
        <v>19</v>
      </c>
    </row>
    <row r="2" spans="1:30" x14ac:dyDescent="0.25">
      <c r="A2" s="1" t="s">
        <v>124</v>
      </c>
      <c r="B2" s="1" t="str">
        <f>VLOOKUP($A2,'Long list'!$A:$AD,2,FALSE)</f>
        <v>North East</v>
      </c>
      <c r="C2" s="1" t="str">
        <f>VLOOKUP($A2,'Long list'!$A:$AD,3,FALSE)</f>
        <v>Upper tier</v>
      </c>
      <c r="D2" s="14">
        <f>VLOOKUP($A2,'Long list'!$A:$AD,4,FALSE)</f>
        <v>521346</v>
      </c>
      <c r="E2" s="14">
        <f>VLOOKUP($A2,'Long list'!$A:$AD,5,FALSE)</f>
        <v>30830618</v>
      </c>
      <c r="F2" s="15">
        <f>VLOOKUP($A2,'Long list'!$A:$AD,6,FALSE)</f>
        <v>59.136577244286904</v>
      </c>
      <c r="G2" s="1" t="str">
        <f>VLOOKUP($A2,'Long list'!$A:$AD,7,FALSE)</f>
        <v/>
      </c>
      <c r="H2" s="1" t="str">
        <f>VLOOKUP($A2,'Long list'!$A:$AD,8,FALSE)</f>
        <v/>
      </c>
      <c r="I2" s="1" t="str">
        <f>VLOOKUP($A2,'Long list'!$A:$AD,9,FALSE)</f>
        <v/>
      </c>
      <c r="J2" s="1" t="str">
        <f>VLOOKUP($A2,'Long list'!$A:$AD,10,FALSE)</f>
        <v>Yes</v>
      </c>
      <c r="K2" s="2">
        <f>VLOOKUP($A2,'Long list'!$A:$AD,11,FALSE)</f>
        <v>193409522</v>
      </c>
      <c r="L2" s="2">
        <f>VLOOKUP($A2,'Long list'!$A:$AD,26,FALSE)</f>
        <v>370.98111810582606</v>
      </c>
      <c r="M2" s="1" t="str">
        <f>VLOOKUP($A2,'Long list'!$A:$AD,27,FALSE)</f>
        <v>Medium</v>
      </c>
      <c r="N2" s="1"/>
      <c r="O2" s="1"/>
      <c r="P2" s="1" t="s">
        <v>26</v>
      </c>
      <c r="Q2" s="1" t="s">
        <v>26</v>
      </c>
      <c r="R2" s="1" t="str">
        <f>VLOOKUP($A2,'Long list'!$A:$AD,16,FALSE)</f>
        <v>High</v>
      </c>
      <c r="S2" s="1" t="str">
        <f>VLOOKUP($A2,'Long list'!$A:$AD,17,FALSE)</f>
        <v xml:space="preserve">Largely Rural (rural including hub towns 50-79%) </v>
      </c>
      <c r="T2" s="1">
        <f>VLOOKUP($A2,'Long list'!$A:$AD,18,FALSE)</f>
        <v>1</v>
      </c>
      <c r="U2" s="1" t="str">
        <f>VLOOKUP($A2,'Long list'!$A:$AD,19,FALSE)</f>
        <v>Yes</v>
      </c>
      <c r="V2" s="1" t="str">
        <f>VLOOKUP($A2,'Long list'!$A:$AD,20,FALSE)</f>
        <v>Yes</v>
      </c>
      <c r="W2" s="1" t="str">
        <f>VLOOKUP($A2,'Long list'!$A:$AD,21,FALSE)</f>
        <v>Yes</v>
      </c>
      <c r="X2" s="16">
        <f>VLOOKUP($A2,'Long list'!$A:$AD,22,FALSE)</f>
        <v>25.54929733130929</v>
      </c>
      <c r="Y2" s="16">
        <f>VLOOKUP($A2,'Long list'!$A:$AD,23,FALSE)</f>
        <v>45.841621072981084</v>
      </c>
      <c r="Z2" s="16">
        <f>VLOOKUP($A2,'Long list'!$A:$AD,24,FALSE)</f>
        <v>28.609081595709618</v>
      </c>
      <c r="AA2" s="1" t="str">
        <f>VLOOKUP($A2,'Long list'!$A:$AD,25,FALSE)</f>
        <v>Yes</v>
      </c>
      <c r="AB2" s="1"/>
      <c r="AC2" s="2">
        <f>VLOOKUP($A2,'Long list'!$A:$AD,29,FALSE)</f>
        <v>2803077</v>
      </c>
      <c r="AD2" s="2">
        <f>VLOOKUP($A2,'Long list'!$A:$AD,30,FALSE)</f>
        <v>3512301</v>
      </c>
    </row>
    <row r="3" spans="1:30" x14ac:dyDescent="0.25">
      <c r="A3" s="1" t="s">
        <v>125</v>
      </c>
      <c r="B3" s="1" t="str">
        <f>VLOOKUP($A3,'Long list'!$A:$AD,2,FALSE)</f>
        <v>North East</v>
      </c>
      <c r="C3" s="1" t="str">
        <f>VLOOKUP($A3,'Long list'!$A:$AD,3,FALSE)</f>
        <v>Upper tier</v>
      </c>
      <c r="D3" s="14">
        <f>VLOOKUP($A3,'Long list'!$A:$AD,4,FALSE)</f>
        <v>196154</v>
      </c>
      <c r="E3" s="14">
        <f>VLOOKUP($A3,'Long list'!$A:$AD,5,FALSE)</f>
        <v>11634466</v>
      </c>
      <c r="F3" s="15">
        <f>VLOOKUP($A3,'Long list'!$A:$AD,6,FALSE)</f>
        <v>59.312917401633413</v>
      </c>
      <c r="G3" s="1" t="str">
        <f>VLOOKUP($A3,'Long list'!$A:$AD,7,FALSE)</f>
        <v/>
      </c>
      <c r="H3" s="1" t="str">
        <f>VLOOKUP($A3,'Long list'!$A:$AD,8,FALSE)</f>
        <v/>
      </c>
      <c r="I3" s="1" t="str">
        <f>VLOOKUP($A3,'Long list'!$A:$AD,9,FALSE)</f>
        <v/>
      </c>
      <c r="J3" s="1" t="str">
        <f>VLOOKUP($A3,'Long list'!$A:$AD,10,FALSE)</f>
        <v>Yes</v>
      </c>
      <c r="K3" s="2">
        <f>VLOOKUP($A3,'Long list'!$A:$AD,11,FALSE)</f>
        <v>71893465</v>
      </c>
      <c r="L3" s="2">
        <f>VLOOKUP($A3,'Long list'!$A:$AD,26,FALSE)</f>
        <v>366.51541645849687</v>
      </c>
      <c r="M3" s="1" t="str">
        <f>VLOOKUP($A3,'Long list'!$A:$AD,27,FALSE)</f>
        <v>Medium</v>
      </c>
      <c r="N3" s="1"/>
      <c r="O3" s="1"/>
      <c r="P3" s="1"/>
      <c r="Q3" s="1"/>
      <c r="R3" s="1" t="str">
        <f>VLOOKUP($A3,'Long list'!$A:$AD,16,FALSE)</f>
        <v>High</v>
      </c>
      <c r="S3" s="1" t="str">
        <f>VLOOKUP($A3,'Long list'!$A:$AD,17,FALSE)</f>
        <v>Urban with Major Conurbation</v>
      </c>
      <c r="T3" s="1">
        <f>VLOOKUP($A3,'Long list'!$A:$AD,18,FALSE)</f>
        <v>1</v>
      </c>
      <c r="U3" s="1" t="str">
        <f>VLOOKUP($A3,'Long list'!$A:$AD,19,FALSE)</f>
        <v>Yes</v>
      </c>
      <c r="V3" s="1" t="str">
        <f>VLOOKUP($A3,'Long list'!$A:$AD,20,FALSE)</f>
        <v>Yes</v>
      </c>
      <c r="W3" s="1" t="str">
        <f>VLOOKUP($A3,'Long list'!$A:$AD,21,FALSE)</f>
        <v>Yes</v>
      </c>
      <c r="X3" s="16">
        <f>VLOOKUP($A3,'Long list'!$A:$AD,22,FALSE)</f>
        <v>54.722770030360856</v>
      </c>
      <c r="Y3" s="16">
        <f>VLOOKUP($A3,'Long list'!$A:$AD,23,FALSE)</f>
        <v>30.240960939391488</v>
      </c>
      <c r="Z3" s="16">
        <f>VLOOKUP($A3,'Long list'!$A:$AD,24,FALSE)</f>
        <v>15.036269030247663</v>
      </c>
      <c r="AA3" s="1" t="str">
        <f>VLOOKUP($A3,'Long list'!$A:$AD,25,FALSE)</f>
        <v>Yes</v>
      </c>
      <c r="AB3" s="1"/>
      <c r="AC3" s="2">
        <f>VLOOKUP($A3,'Long list'!$A:$AD,29,FALSE)</f>
        <v>1169621</v>
      </c>
      <c r="AD3" s="2"/>
    </row>
    <row r="4" spans="1:30" x14ac:dyDescent="0.25">
      <c r="A4" s="1" t="s">
        <v>123</v>
      </c>
      <c r="B4" s="1" t="str">
        <f>VLOOKUP($A4,'Long list'!$A:$AD,2,FALSE)</f>
        <v>North East</v>
      </c>
      <c r="C4" s="1" t="str">
        <f>VLOOKUP($A4,'Long list'!$A:$AD,3,FALSE)</f>
        <v>Combined</v>
      </c>
      <c r="D4" s="14">
        <f>VLOOKUP($A4,'Long list'!$A:$AD,4,FALSE)</f>
        <v>828973</v>
      </c>
      <c r="E4" s="14">
        <f>VLOOKUP($A4,'Long list'!$A:$AD,5,FALSE)</f>
        <v>47085061</v>
      </c>
      <c r="F4" s="15">
        <f>VLOOKUP($A4,'Long list'!$A:$AD,6,FALSE)</f>
        <v>56.799269698771852</v>
      </c>
      <c r="G4" s="1" t="str">
        <f>VLOOKUP($A4,'Long list'!$A:$AD,7,FALSE)</f>
        <v/>
      </c>
      <c r="H4" s="1" t="str">
        <f>VLOOKUP($A4,'Long list'!$A:$AD,8,FALSE)</f>
        <v/>
      </c>
      <c r="I4" s="1" t="str">
        <f>VLOOKUP($A4,'Long list'!$A:$AD,9,FALSE)</f>
        <v/>
      </c>
      <c r="J4" s="1" t="str">
        <f>VLOOKUP($A4,'Long list'!$A:$AD,10,FALSE)</f>
        <v>Yes</v>
      </c>
      <c r="K4" s="2">
        <f>VLOOKUP($A4,'Long list'!$A:$AD,11,FALSE)</f>
        <v>368937934.43000001</v>
      </c>
      <c r="L4" s="2">
        <f>VLOOKUP($A4,'Long list'!$A:$AD,26,FALSE)</f>
        <v>445.05422303259576</v>
      </c>
      <c r="M4" s="1" t="str">
        <f>VLOOKUP($A4,'Long list'!$A:$AD,27,FALSE)</f>
        <v>Medium</v>
      </c>
      <c r="N4" s="1"/>
      <c r="O4" s="1"/>
      <c r="P4" s="1" t="s">
        <v>26</v>
      </c>
      <c r="Q4" s="1"/>
      <c r="R4" s="1" t="str">
        <f>VLOOKUP($A4,'Long list'!$A:$AD,16,FALSE)</f>
        <v>High</v>
      </c>
      <c r="S4" s="1" t="str">
        <f>VLOOKUP($A4,'Long list'!$A:$AD,17,FALSE)</f>
        <v>Urban with Major Conurbation</v>
      </c>
      <c r="T4" s="1">
        <f>VLOOKUP($A4,'Long list'!$A:$AD,18,FALSE)</f>
        <v>2</v>
      </c>
      <c r="U4" s="1" t="str">
        <f>VLOOKUP($A4,'Long list'!$A:$AD,19,FALSE)</f>
        <v>Yes</v>
      </c>
      <c r="V4" s="1" t="str">
        <f>VLOOKUP($A4,'Long list'!$A:$AD,20,FALSE)</f>
        <v>Yes</v>
      </c>
      <c r="W4" s="1" t="str">
        <f>VLOOKUP($A4,'Long list'!$A:$AD,21,FALSE)</f>
        <v>Yes</v>
      </c>
      <c r="X4" s="16">
        <f>VLOOKUP($A4,'Long list'!$A:$AD,22,FALSE)</f>
        <v>31.954453491834325</v>
      </c>
      <c r="Y4" s="16">
        <f>VLOOKUP($A4,'Long list'!$A:$AD,23,FALSE)</f>
        <v>44.303700641904534</v>
      </c>
      <c r="Z4" s="16">
        <f>VLOOKUP($A4,'Long list'!$A:$AD,24,FALSE)</f>
        <v>23.741845866261144</v>
      </c>
      <c r="AA4" s="1" t="str">
        <f>VLOOKUP($A4,'Long list'!$A:$AD,25,FALSE)</f>
        <v>Yes</v>
      </c>
      <c r="AB4" s="1"/>
      <c r="AC4" s="2">
        <f>VLOOKUP($A4,'Long list'!$A:$AD,29,FALSE)</f>
        <v>4128607</v>
      </c>
      <c r="AD4" s="2">
        <f>VLOOKUP($A4,'Long list'!$A:$AD,30,FALSE)</f>
        <v>3043546</v>
      </c>
    </row>
    <row r="5" spans="1:30" x14ac:dyDescent="0.25">
      <c r="A5" s="1" t="s">
        <v>67</v>
      </c>
      <c r="B5" s="1" t="str">
        <f>VLOOKUP($A5,'Long list'!$A:$AD,2,FALSE)</f>
        <v>South East</v>
      </c>
      <c r="C5" s="1" t="str">
        <f>VLOOKUP($A5,'Long list'!$A:$AD,3,FALSE)</f>
        <v>Lower</v>
      </c>
      <c r="D5" s="14">
        <f>VLOOKUP($A5,'Long list'!$A:$AD,4,FALSE)</f>
        <v>64626</v>
      </c>
      <c r="E5" s="14">
        <f>VLOOKUP($A5,'Long list'!$A:$AD,5,FALSE)</f>
        <v>1000000</v>
      </c>
      <c r="F5" s="15">
        <f>VLOOKUP($A5,'Long list'!$A:$AD,6,FALSE)</f>
        <v>15.473648376814285</v>
      </c>
      <c r="G5" s="1" t="str">
        <f>VLOOKUP($A5,'Long list'!$A:$AD,7,FALSE)</f>
        <v>Yes</v>
      </c>
      <c r="H5" s="1" t="str">
        <f>VLOOKUP($A5,'Long list'!$A:$AD,8,FALSE)</f>
        <v/>
      </c>
      <c r="I5" s="1" t="str">
        <f>VLOOKUP($A5,'Long list'!$A:$AD,9,FALSE)</f>
        <v>Yes</v>
      </c>
      <c r="J5" s="1" t="str">
        <f>VLOOKUP($A5,'Long list'!$A:$AD,10,FALSE)</f>
        <v/>
      </c>
      <c r="K5" s="2">
        <f>VLOOKUP($A5,'Long list'!$A:$AD,11,FALSE)</f>
        <v>19767842.77</v>
      </c>
      <c r="L5" s="2">
        <f>VLOOKUP($A5,'Long list'!$A:$AD,26,FALSE)</f>
        <v>305.88064819113049</v>
      </c>
      <c r="M5" s="1" t="str">
        <f>VLOOKUP($A5,'Long list'!$A:$AD,27,FALSE)</f>
        <v>Medium</v>
      </c>
      <c r="N5" s="1"/>
      <c r="O5" s="1"/>
      <c r="P5" s="1" t="s">
        <v>26</v>
      </c>
      <c r="Q5" s="1"/>
      <c r="R5" s="1" t="str">
        <f>VLOOKUP($A5,'Long list'!$A:$AD,16,FALSE)</f>
        <v>None</v>
      </c>
      <c r="S5" s="1" t="str">
        <f>VLOOKUP($A5,'Long list'!$A:$AD,17,FALSE)</f>
        <v>Urban with City and Town</v>
      </c>
      <c r="T5" s="1">
        <f>VLOOKUP($A5,'Long list'!$A:$AD,18,FALSE)</f>
        <v>3</v>
      </c>
      <c r="U5" s="1" t="str">
        <f>VLOOKUP($A5,'Long list'!$A:$AD,19,FALSE)</f>
        <v>Yes</v>
      </c>
      <c r="V5" s="1" t="str">
        <f>VLOOKUP($A5,'Long list'!$A:$AD,20,FALSE)</f>
        <v>Yes</v>
      </c>
      <c r="W5" s="1" t="str">
        <f>VLOOKUP($A5,'Long list'!$A:$AD,21,FALSE)</f>
        <v>Yes</v>
      </c>
      <c r="X5" s="16">
        <f>VLOOKUP($A5,'Long list'!$A:$AD,22,FALSE)</f>
        <v>83.333333333333343</v>
      </c>
      <c r="Y5" s="16">
        <f>VLOOKUP($A5,'Long list'!$A:$AD,23,FALSE)</f>
        <v>16.666666666666668</v>
      </c>
      <c r="Z5" s="16">
        <f>VLOOKUP($A5,'Long list'!$A:$AD,24,FALSE)</f>
        <v>0</v>
      </c>
      <c r="AA5" s="1" t="str">
        <f>VLOOKUP($A5,'Long list'!$A:$AD,25,FALSE)</f>
        <v>Yes</v>
      </c>
      <c r="AB5" s="1"/>
      <c r="AC5" s="2"/>
      <c r="AD5" s="2"/>
    </row>
    <row r="6" spans="1:30" x14ac:dyDescent="0.25">
      <c r="A6" s="1" t="s">
        <v>29</v>
      </c>
      <c r="B6" s="1" t="str">
        <f>VLOOKUP($A6,'Long list'!$A:$AD,2,FALSE)</f>
        <v>South East</v>
      </c>
      <c r="C6" s="1" t="str">
        <f>VLOOKUP($A6,'Long list'!$A:$AD,3,FALSE)</f>
        <v>Lower</v>
      </c>
      <c r="D6" s="14">
        <f>VLOOKUP($A6,'Long list'!$A:$AD,4,FALSE)</f>
        <v>176712</v>
      </c>
      <c r="E6" s="14">
        <f>VLOOKUP($A6,'Long list'!$A:$AD,5,FALSE)</f>
        <v>1199253</v>
      </c>
      <c r="F6" s="15">
        <f>VLOOKUP($A6,'Long list'!$A:$AD,6,FALSE)</f>
        <v>6.7864830911313323</v>
      </c>
      <c r="G6" s="1" t="str">
        <f>VLOOKUP($A6,'Long list'!$A:$AD,7,FALSE)</f>
        <v/>
      </c>
      <c r="H6" s="1" t="str">
        <f>VLOOKUP($A6,'Long list'!$A:$AD,8,FALSE)</f>
        <v>Yes</v>
      </c>
      <c r="I6" s="1" t="str">
        <f>VLOOKUP($A6,'Long list'!$A:$AD,9,FALSE)</f>
        <v/>
      </c>
      <c r="J6" s="1" t="str">
        <f>VLOOKUP($A6,'Long list'!$A:$AD,10,FALSE)</f>
        <v/>
      </c>
      <c r="K6" s="2">
        <f>VLOOKUP($A6,'Long list'!$A:$AD,11,FALSE)</f>
        <v>31627586</v>
      </c>
      <c r="L6" s="2">
        <f>VLOOKUP($A6,'Long list'!$A:$AD,26,FALSE)</f>
        <v>178.97814523065779</v>
      </c>
      <c r="M6" s="1" t="str">
        <f>VLOOKUP($A6,'Long list'!$A:$AD,27,FALSE)</f>
        <v>Medium</v>
      </c>
      <c r="N6" s="1"/>
      <c r="O6" s="1"/>
      <c r="P6" s="1"/>
      <c r="Q6" s="1"/>
      <c r="R6" s="1" t="str">
        <f>VLOOKUP($A6,'Long list'!$A:$AD,16,FALSE)</f>
        <v>High</v>
      </c>
      <c r="S6" s="1" t="str">
        <f>VLOOKUP($A6,'Long list'!$A:$AD,17,FALSE)</f>
        <v>Urban with Significant Rural (rural including hub towns 26-49%)</v>
      </c>
      <c r="T6" s="1">
        <f>VLOOKUP($A6,'Long list'!$A:$AD,18,FALSE)</f>
        <v>4</v>
      </c>
      <c r="U6" s="1" t="str">
        <f>VLOOKUP($A6,'Long list'!$A:$AD,19,FALSE)</f>
        <v>Yes</v>
      </c>
      <c r="V6" s="1" t="str">
        <f>VLOOKUP($A6,'Long list'!$A:$AD,20,FALSE)</f>
        <v>No</v>
      </c>
      <c r="W6" s="1" t="str">
        <f>VLOOKUP($A6,'Long list'!$A:$AD,21,FALSE)</f>
        <v>No</v>
      </c>
      <c r="X6" s="16">
        <f>VLOOKUP($A6,'Long list'!$A:$AD,22,FALSE)</f>
        <v>99.999999999999986</v>
      </c>
      <c r="Y6" s="16">
        <f>VLOOKUP($A6,'Long list'!$A:$AD,23,FALSE)</f>
        <v>0</v>
      </c>
      <c r="Z6" s="16">
        <f>VLOOKUP($A6,'Long list'!$A:$AD,24,FALSE)</f>
        <v>0</v>
      </c>
      <c r="AA6" s="1" t="str">
        <f>VLOOKUP($A6,'Long list'!$A:$AD,25,FALSE)</f>
        <v>Yes</v>
      </c>
      <c r="AB6" s="1"/>
      <c r="AC6" s="2"/>
      <c r="AD6" s="2">
        <f>VLOOKUP($A6,'Long list'!$A:$AD,30,FALSE)</f>
        <v>539728</v>
      </c>
    </row>
    <row r="7" spans="1:30" x14ac:dyDescent="0.25">
      <c r="A7" s="1" t="s">
        <v>72</v>
      </c>
      <c r="B7" s="1" t="str">
        <f>VLOOKUP($A7,'Long list'!$A:$AD,2,FALSE)</f>
        <v>East Midlands</v>
      </c>
      <c r="C7" s="1" t="str">
        <f>VLOOKUP($A7,'Long list'!$A:$AD,3,FALSE)</f>
        <v>Lower</v>
      </c>
      <c r="D7" s="14">
        <f>VLOOKUP($A7,'Long list'!$A:$AD,4,FALSE)</f>
        <v>103271</v>
      </c>
      <c r="E7" s="14">
        <f>VLOOKUP($A7,'Long list'!$A:$AD,5,FALSE)</f>
        <v>2115168</v>
      </c>
      <c r="F7" s="15">
        <f>VLOOKUP($A7,'Long list'!$A:$AD,6,FALSE)</f>
        <v>20.481722845716611</v>
      </c>
      <c r="G7" s="1" t="str">
        <f>VLOOKUP($A7,'Long list'!$A:$AD,7,FALSE)</f>
        <v/>
      </c>
      <c r="H7" s="1" t="str">
        <f>VLOOKUP($A7,'Long list'!$A:$AD,8,FALSE)</f>
        <v/>
      </c>
      <c r="I7" s="1" t="str">
        <f>VLOOKUP($A7,'Long list'!$A:$AD,9,FALSE)</f>
        <v>Yes</v>
      </c>
      <c r="J7" s="1" t="str">
        <f>VLOOKUP($A7,'Long list'!$A:$AD,10,FALSE)</f>
        <v/>
      </c>
      <c r="K7" s="2">
        <f>VLOOKUP($A7,'Long list'!$A:$AD,11,FALSE)</f>
        <v>22550000</v>
      </c>
      <c r="L7" s="2">
        <f>VLOOKUP($A7,'Long list'!$A:$AD,26,FALSE)</f>
        <v>218.35752534593448</v>
      </c>
      <c r="M7" s="1" t="str">
        <f>VLOOKUP($A7,'Long list'!$A:$AD,27,FALSE)</f>
        <v>Medium</v>
      </c>
      <c r="N7" s="1"/>
      <c r="O7" s="1"/>
      <c r="P7" s="1"/>
      <c r="Q7" s="1"/>
      <c r="R7" s="1" t="str">
        <f>VLOOKUP($A7,'Long list'!$A:$AD,16,FALSE)</f>
        <v>High</v>
      </c>
      <c r="S7" s="1" t="str">
        <f>VLOOKUP($A7,'Long list'!$A:$AD,17,FALSE)</f>
        <v>Urban with City and Town</v>
      </c>
      <c r="T7" s="1">
        <f>VLOOKUP($A7,'Long list'!$A:$AD,18,FALSE)</f>
        <v>5</v>
      </c>
      <c r="U7" s="1" t="str">
        <f>VLOOKUP($A7,'Long list'!$A:$AD,19,FALSE)</f>
        <v>Yes</v>
      </c>
      <c r="V7" s="1" t="str">
        <f>VLOOKUP($A7,'Long list'!$A:$AD,20,FALSE)</f>
        <v>Yes</v>
      </c>
      <c r="W7" s="1" t="str">
        <f>VLOOKUP($A7,'Long list'!$A:$AD,21,FALSE)</f>
        <v>Yes</v>
      </c>
      <c r="X7" s="16">
        <f>VLOOKUP($A7,'Long list'!$A:$AD,22,FALSE)</f>
        <v>74</v>
      </c>
      <c r="Y7" s="16">
        <f>VLOOKUP($A7,'Long list'!$A:$AD,23,FALSE)</f>
        <v>23</v>
      </c>
      <c r="Z7" s="16">
        <f>VLOOKUP($A7,'Long list'!$A:$AD,24,FALSE)</f>
        <v>3</v>
      </c>
      <c r="AA7" s="1" t="str">
        <f>VLOOKUP($A7,'Long list'!$A:$AD,25,FALSE)</f>
        <v>Yes</v>
      </c>
      <c r="AB7" s="1"/>
      <c r="AC7" s="2"/>
      <c r="AD7" s="2"/>
    </row>
    <row r="8" spans="1:30" x14ac:dyDescent="0.25">
      <c r="A8" s="1" t="s">
        <v>75</v>
      </c>
      <c r="B8" s="1" t="str">
        <f>VLOOKUP($A8,'Long list'!$A:$AD,2,FALSE)</f>
        <v>East Midlands</v>
      </c>
      <c r="C8" s="1" t="str">
        <f>VLOOKUP($A8,'Long list'!$A:$AD,3,FALSE)</f>
        <v>Lower</v>
      </c>
      <c r="D8" s="14">
        <f>VLOOKUP($A8,'Long list'!$A:$AD,4,FALSE)</f>
        <v>102315</v>
      </c>
      <c r="E8" s="14">
        <f>VLOOKUP($A8,'Long list'!$A:$AD,5,FALSE)</f>
        <v>2568204</v>
      </c>
      <c r="F8" s="15">
        <f>VLOOKUP($A8,'Long list'!$A:$AD,6,FALSE)</f>
        <v>25.100952939451695</v>
      </c>
      <c r="G8" s="1" t="str">
        <f>VLOOKUP($A8,'Long list'!$A:$AD,7,FALSE)</f>
        <v/>
      </c>
      <c r="H8" s="1" t="str">
        <f>VLOOKUP($A8,'Long list'!$A:$AD,8,FALSE)</f>
        <v/>
      </c>
      <c r="I8" s="1" t="str">
        <f>VLOOKUP($A8,'Long list'!$A:$AD,9,FALSE)</f>
        <v>Yes</v>
      </c>
      <c r="J8" s="1" t="str">
        <f>VLOOKUP($A8,'Long list'!$A:$AD,10,FALSE)</f>
        <v/>
      </c>
      <c r="K8" s="2">
        <f>VLOOKUP($A8,'Long list'!$A:$AD,11,FALSE)</f>
        <v>35523284.424999997</v>
      </c>
      <c r="L8" s="2">
        <f>VLOOKUP($A8,'Long list'!$A:$AD,26,FALSE)</f>
        <v>347.19527366466303</v>
      </c>
      <c r="M8" s="1" t="str">
        <f>VLOOKUP($A8,'Long list'!$A:$AD,27,FALSE)</f>
        <v>Medium</v>
      </c>
      <c r="N8" s="1"/>
      <c r="O8" s="1" t="s">
        <v>26</v>
      </c>
      <c r="P8" s="1"/>
      <c r="Q8" s="1" t="s">
        <v>26</v>
      </c>
      <c r="R8" s="1" t="str">
        <f>VLOOKUP($A8,'Long list'!$A:$AD,16,FALSE)</f>
        <v>None</v>
      </c>
      <c r="S8" s="1" t="str">
        <f>VLOOKUP($A8,'Long list'!$A:$AD,17,FALSE)</f>
        <v>Urban with City and Town</v>
      </c>
      <c r="T8" s="1">
        <f>VLOOKUP($A8,'Long list'!$A:$AD,18,FALSE)</f>
        <v>3</v>
      </c>
      <c r="U8" s="1" t="str">
        <f>VLOOKUP($A8,'Long list'!$A:$AD,19,FALSE)</f>
        <v>Yes</v>
      </c>
      <c r="V8" s="1" t="str">
        <f>VLOOKUP($A8,'Long list'!$A:$AD,20,FALSE)</f>
        <v>Yes</v>
      </c>
      <c r="W8" s="1" t="str">
        <f>VLOOKUP($A8,'Long list'!$A:$AD,21,FALSE)</f>
        <v>Yes</v>
      </c>
      <c r="X8" s="16">
        <f>VLOOKUP($A8,'Long list'!$A:$AD,22,FALSE)</f>
        <v>70.046439495565551</v>
      </c>
      <c r="Y8" s="16">
        <f>VLOOKUP($A8,'Long list'!$A:$AD,23,FALSE)</f>
        <v>26.023828035001451</v>
      </c>
      <c r="Z8" s="16">
        <f>VLOOKUP($A8,'Long list'!$A:$AD,24,FALSE)</f>
        <v>3.9297324694329983</v>
      </c>
      <c r="AA8" s="1" t="str">
        <f>VLOOKUP($A8,'Long list'!$A:$AD,25,FALSE)</f>
        <v>Yes</v>
      </c>
      <c r="AB8" s="1" t="str">
        <f>VLOOKUP($A8,'Long list'!$A:$AD,28,FALSE)</f>
        <v>Towns Fund</v>
      </c>
      <c r="AC8" s="2"/>
      <c r="AD8" s="2"/>
    </row>
    <row r="9" spans="1:30" x14ac:dyDescent="0.25">
      <c r="A9" s="1" t="s">
        <v>82</v>
      </c>
      <c r="B9" s="1" t="str">
        <f>VLOOKUP($A9,'Long list'!$A:$AD,2,FALSE)</f>
        <v>East Midlands</v>
      </c>
      <c r="C9" s="1" t="str">
        <f>VLOOKUP($A9,'Long list'!$A:$AD,3,FALSE)</f>
        <v>Lower</v>
      </c>
      <c r="D9" s="14">
        <f>VLOOKUP($A9,'Long list'!$A:$AD,4,FALSE)</f>
        <v>103672</v>
      </c>
      <c r="E9" s="14">
        <f>VLOOKUP($A9,'Long list'!$A:$AD,5,FALSE)</f>
        <v>2693257</v>
      </c>
      <c r="F9" s="15">
        <f>VLOOKUP($A9,'Long list'!$A:$AD,6,FALSE)</f>
        <v>25.978634539702139</v>
      </c>
      <c r="G9" s="1" t="str">
        <f>VLOOKUP($A9,'Long list'!$A:$AD,7,FALSE)</f>
        <v/>
      </c>
      <c r="H9" s="1" t="str">
        <f>VLOOKUP($A9,'Long list'!$A:$AD,8,FALSE)</f>
        <v/>
      </c>
      <c r="I9" s="1" t="str">
        <f>VLOOKUP($A9,'Long list'!$A:$AD,9,FALSE)</f>
        <v>Yes</v>
      </c>
      <c r="J9" s="1" t="str">
        <f>VLOOKUP($A9,'Long list'!$A:$AD,10,FALSE)</f>
        <v/>
      </c>
      <c r="K9" s="2">
        <f>VLOOKUP($A9,'Long list'!$A:$AD,11,FALSE)</f>
        <v>337711801.44200003</v>
      </c>
      <c r="L9" s="2">
        <f>VLOOKUP($A9,'Long list'!$A:$AD,26,FALSE)</f>
        <v>3257.5025218188134</v>
      </c>
      <c r="M9" s="1" t="str">
        <f>VLOOKUP($A9,'Long list'!$A:$AD,27,FALSE)</f>
        <v>High</v>
      </c>
      <c r="N9" s="1"/>
      <c r="O9" s="1"/>
      <c r="P9" s="1"/>
      <c r="Q9" s="1" t="s">
        <v>26</v>
      </c>
      <c r="R9" s="1" t="str">
        <f>VLOOKUP($A9,'Long list'!$A:$AD,16,FALSE)</f>
        <v>Medium</v>
      </c>
      <c r="S9" s="1" t="str">
        <f>VLOOKUP($A9,'Long list'!$A:$AD,17,FALSE)</f>
        <v>Urban with City and Town</v>
      </c>
      <c r="T9" s="1">
        <f>VLOOKUP($A9,'Long list'!$A:$AD,18,FALSE)</f>
        <v>2</v>
      </c>
      <c r="U9" s="1" t="str">
        <f>VLOOKUP($A9,'Long list'!$A:$AD,19,FALSE)</f>
        <v>Yes</v>
      </c>
      <c r="V9" s="1" t="str">
        <f>VLOOKUP($A9,'Long list'!$A:$AD,20,FALSE)</f>
        <v>Yes</v>
      </c>
      <c r="W9" s="1" t="str">
        <f>VLOOKUP($A9,'Long list'!$A:$AD,21,FALSE)</f>
        <v>Yes</v>
      </c>
      <c r="X9" s="16">
        <f>VLOOKUP($A9,'Long list'!$A:$AD,22,FALSE)</f>
        <v>47.789418273989689</v>
      </c>
      <c r="Y9" s="16">
        <f>VLOOKUP($A9,'Long list'!$A:$AD,23,FALSE)</f>
        <v>34.33024551847253</v>
      </c>
      <c r="Z9" s="16">
        <f>VLOOKUP($A9,'Long list'!$A:$AD,24,FALSE)</f>
        <v>17.880336207537777</v>
      </c>
      <c r="AA9" s="1" t="str">
        <f>VLOOKUP($A9,'Long list'!$A:$AD,25,FALSE)</f>
        <v>Yes</v>
      </c>
      <c r="AB9" s="1"/>
      <c r="AC9" s="2"/>
      <c r="AD9" s="2"/>
    </row>
    <row r="10" spans="1:30" x14ac:dyDescent="0.25">
      <c r="A10" s="1" t="s">
        <v>89</v>
      </c>
      <c r="B10" s="1" t="str">
        <f>VLOOKUP($A10,'Long list'!$A:$AD,2,FALSE)</f>
        <v>Yorkshire and Humber</v>
      </c>
      <c r="C10" s="1" t="str">
        <f>VLOOKUP($A10,'Long list'!$A:$AD,3,FALSE)</f>
        <v>Combined</v>
      </c>
      <c r="D10" s="14">
        <f>VLOOKUP($A10,'Long list'!$A:$AD,4,FALSE)</f>
        <v>1374182</v>
      </c>
      <c r="E10" s="14">
        <f>VLOOKUP($A10,'Long list'!$A:$AD,5,FALSE)</f>
        <v>38906130</v>
      </c>
      <c r="F10" s="15">
        <f>VLOOKUP($A10,'Long list'!$A:$AD,6,FALSE)</f>
        <v>28.312210464116106</v>
      </c>
      <c r="G10" s="1" t="str">
        <f>VLOOKUP($A10,'Long list'!$A:$AD,7,FALSE)</f>
        <v/>
      </c>
      <c r="H10" s="1" t="str">
        <f>VLOOKUP($A10,'Long list'!$A:$AD,8,FALSE)</f>
        <v/>
      </c>
      <c r="I10" s="1" t="str">
        <f>VLOOKUP($A10,'Long list'!$A:$AD,9,FALSE)</f>
        <v>Yes</v>
      </c>
      <c r="J10" s="1" t="str">
        <f>VLOOKUP($A10,'Long list'!$A:$AD,10,FALSE)</f>
        <v/>
      </c>
      <c r="K10" s="2">
        <f>VLOOKUP($A10,'Long list'!$A:$AD,11,FALSE)</f>
        <v>3104890170.4220791</v>
      </c>
      <c r="L10" s="2">
        <f>VLOOKUP($A10,'Long list'!$A:$AD,26,FALSE)</f>
        <v>2259.4461071547139</v>
      </c>
      <c r="M10" s="1" t="str">
        <f>VLOOKUP($A10,'Long list'!$A:$AD,27,FALSE)</f>
        <v>High</v>
      </c>
      <c r="N10" s="1" t="str">
        <f>VLOOKUP($A10,'Long list'!$A:$AD,12,FALSE)</f>
        <v>Yes</v>
      </c>
      <c r="O10" s="1"/>
      <c r="P10" s="1"/>
      <c r="Q10" s="1" t="s">
        <v>26</v>
      </c>
      <c r="R10" s="1" t="str">
        <f>VLOOKUP($A10,'Long list'!$A:$AD,16,FALSE)</f>
        <v>High</v>
      </c>
      <c r="S10" s="1" t="str">
        <f>VLOOKUP($A10,'Long list'!$A:$AD,17,FALSE)</f>
        <v>Urban with Minor Conurbation</v>
      </c>
      <c r="T10" s="1">
        <f>VLOOKUP($A10,'Long list'!$A:$AD,18,FALSE)</f>
        <v>1</v>
      </c>
      <c r="U10" s="1" t="str">
        <f>VLOOKUP($A10,'Long list'!$A:$AD,19,FALSE)</f>
        <v>Yes</v>
      </c>
      <c r="V10" s="1" t="str">
        <f>VLOOKUP($A10,'Long list'!$A:$AD,20,FALSE)</f>
        <v>Yes</v>
      </c>
      <c r="W10" s="1" t="str">
        <f>VLOOKUP($A10,'Long list'!$A:$AD,21,FALSE)</f>
        <v>Yes</v>
      </c>
      <c r="X10" s="16">
        <f>VLOOKUP($A10,'Long list'!$A:$AD,22,FALSE)</f>
        <v>86.455886008377689</v>
      </c>
      <c r="Y10" s="16">
        <f>VLOOKUP($A10,'Long list'!$A:$AD,23,FALSE)</f>
        <v>13.544113991622291</v>
      </c>
      <c r="Z10" s="16">
        <f>VLOOKUP($A10,'Long list'!$A:$AD,24,FALSE)</f>
        <v>0</v>
      </c>
      <c r="AA10" s="1" t="str">
        <f>VLOOKUP($A10,'Long list'!$A:$AD,25,FALSE)</f>
        <v>Yes</v>
      </c>
      <c r="AB10" s="1" t="str">
        <f>VLOOKUP($A10,'Long list'!$A:$AD,28,FALSE)</f>
        <v>Towns Fund</v>
      </c>
      <c r="AC10" s="2">
        <f>VLOOKUP($A10,'Long list'!$A:$AD,29,FALSE)</f>
        <v>7256309</v>
      </c>
      <c r="AD10" s="2">
        <f>VLOOKUP($A10,'Long list'!$A:$AD,30,FALSE)</f>
        <v>1434307</v>
      </c>
    </row>
    <row r="11" spans="1:30" x14ac:dyDescent="0.25">
      <c r="A11" s="1" t="s">
        <v>101</v>
      </c>
      <c r="B11" s="1" t="str">
        <f>VLOOKUP($A11,'Long list'!$A:$AD,2,FALSE)</f>
        <v>Yorkshire and The Humber</v>
      </c>
      <c r="C11" s="1" t="str">
        <f>VLOOKUP($A11,'Long list'!$A:$AD,3,FALSE)</f>
        <v>Upper tier</v>
      </c>
      <c r="D11" s="14">
        <f>VLOOKUP($A11,'Long list'!$A:$AD,4,FALSE)</f>
        <v>343143</v>
      </c>
      <c r="E11" s="14">
        <f>VLOOKUP($A11,'Long list'!$A:$AD,5,FALSE)</f>
        <v>10419619</v>
      </c>
      <c r="F11" s="15">
        <f>VLOOKUP($A11,'Long list'!$A:$AD,6,FALSE)</f>
        <v>30.365238399151373</v>
      </c>
      <c r="G11" s="1" t="str">
        <f>VLOOKUP($A11,'Long list'!$A:$AD,7,FALSE)</f>
        <v/>
      </c>
      <c r="H11" s="1" t="str">
        <f>VLOOKUP($A11,'Long list'!$A:$AD,8,FALSE)</f>
        <v/>
      </c>
      <c r="I11" s="1" t="str">
        <f>VLOOKUP($A11,'Long list'!$A:$AD,9,FALSE)</f>
        <v/>
      </c>
      <c r="J11" s="1" t="str">
        <f>VLOOKUP($A11,'Long list'!$A:$AD,10,FALSE)</f>
        <v>Yes</v>
      </c>
      <c r="K11" s="2">
        <f>VLOOKUP($A11,'Long list'!$A:$AD,11,FALSE)</f>
        <v>88023137</v>
      </c>
      <c r="L11" s="2">
        <f>VLOOKUP($A11,'Long list'!$A:$AD,26,FALSE)</f>
        <v>256.52027580338228</v>
      </c>
      <c r="M11" s="1" t="str">
        <f>VLOOKUP($A11,'Long list'!$A:$AD,27,FALSE)</f>
        <v>Medium</v>
      </c>
      <c r="N11" s="1"/>
      <c r="O11" s="1"/>
      <c r="P11" s="1" t="s">
        <v>26</v>
      </c>
      <c r="Q11" s="1"/>
      <c r="R11" s="1" t="str">
        <f>VLOOKUP($A11,'Long list'!$A:$AD,16,FALSE)</f>
        <v>Medium</v>
      </c>
      <c r="S11" s="1" t="str">
        <f>VLOOKUP($A11,'Long list'!$A:$AD,17,FALSE)</f>
        <v xml:space="preserve">Largely Rural (rural including hub towns 50-79%) </v>
      </c>
      <c r="T11" s="1">
        <f>VLOOKUP($A11,'Long list'!$A:$AD,18,FALSE)</f>
        <v>4</v>
      </c>
      <c r="U11" s="1" t="str">
        <f>VLOOKUP($A11,'Long list'!$A:$AD,19,FALSE)</f>
        <v>Yes</v>
      </c>
      <c r="V11" s="1" t="str">
        <f>VLOOKUP($A11,'Long list'!$A:$AD,20,FALSE)</f>
        <v>Yes</v>
      </c>
      <c r="W11" s="1" t="str">
        <f>VLOOKUP($A11,'Long list'!$A:$AD,21,FALSE)</f>
        <v>Yes</v>
      </c>
      <c r="X11" s="16">
        <f>VLOOKUP($A11,'Long list'!$A:$AD,22,FALSE)</f>
        <v>42.951131118411062</v>
      </c>
      <c r="Y11" s="16">
        <f>VLOOKUP($A11,'Long list'!$A:$AD,23,FALSE)</f>
        <v>29.263682564179579</v>
      </c>
      <c r="Z11" s="16">
        <f>VLOOKUP($A11,'Long list'!$A:$AD,24,FALSE)</f>
        <v>27.785186317409355</v>
      </c>
      <c r="AA11" s="1" t="str">
        <f>VLOOKUP($A11,'Long list'!$A:$AD,25,FALSE)</f>
        <v>Yes</v>
      </c>
      <c r="AB11" s="1"/>
      <c r="AC11" s="2">
        <f>VLOOKUP($A11,'Long list'!$A:$AD,29,FALSE)</f>
        <v>1523637</v>
      </c>
      <c r="AD11" s="2">
        <f>VLOOKUP($A11,'Long list'!$A:$AD,30,FALSE)</f>
        <v>1801827</v>
      </c>
    </row>
    <row r="12" spans="1:30" x14ac:dyDescent="0.25">
      <c r="A12" s="1" t="s">
        <v>104</v>
      </c>
      <c r="B12" s="1" t="str">
        <f>VLOOKUP($A12,'Long list'!$A:$AD,2,FALSE)</f>
        <v>Yorkshire and The Humber</v>
      </c>
      <c r="C12" s="1" t="str">
        <f>VLOOKUP($A12,'Long list'!$A:$AD,3,FALSE)</f>
        <v>Upper tier</v>
      </c>
      <c r="D12" s="14">
        <f>VLOOKUP($A12,'Long list'!$A:$AD,4,FALSE)</f>
        <v>157197</v>
      </c>
      <c r="E12" s="14">
        <f>VLOOKUP($A12,'Long list'!$A:$AD,5,FALSE)</f>
        <v>5282105</v>
      </c>
      <c r="F12" s="15">
        <f>VLOOKUP($A12,'Long list'!$A:$AD,6,FALSE)</f>
        <v>33.601818100854345</v>
      </c>
      <c r="G12" s="1" t="str">
        <f>VLOOKUP($A12,'Long list'!$A:$AD,7,FALSE)</f>
        <v/>
      </c>
      <c r="H12" s="1" t="str">
        <f>VLOOKUP($A12,'Long list'!$A:$AD,8,FALSE)</f>
        <v/>
      </c>
      <c r="I12" s="1" t="str">
        <f>VLOOKUP($A12,'Long list'!$A:$AD,9,FALSE)</f>
        <v/>
      </c>
      <c r="J12" s="1" t="str">
        <f>VLOOKUP($A12,'Long list'!$A:$AD,10,FALSE)</f>
        <v>Yes</v>
      </c>
      <c r="K12" s="2">
        <f>VLOOKUP($A12,'Long list'!$A:$AD,11,FALSE)</f>
        <v>135774686.99000001</v>
      </c>
      <c r="L12" s="2">
        <f>VLOOKUP($A12,'Long list'!$A:$AD,26,FALSE)</f>
        <v>863.72314350782779</v>
      </c>
      <c r="M12" s="1" t="str">
        <f>VLOOKUP($A12,'Long list'!$A:$AD,27,FALSE)</f>
        <v>Upper</v>
      </c>
      <c r="N12" s="1"/>
      <c r="O12" s="1"/>
      <c r="P12" s="1" t="s">
        <v>26</v>
      </c>
      <c r="Q12" s="1"/>
      <c r="R12" s="1" t="str">
        <f>VLOOKUP($A12,'Long list'!$A:$AD,16,FALSE)</f>
        <v>Medium</v>
      </c>
      <c r="S12" s="1" t="str">
        <f>VLOOKUP($A12,'Long list'!$A:$AD,17,FALSE)</f>
        <v>Urban with City and Town</v>
      </c>
      <c r="T12" s="1">
        <f>VLOOKUP($A12,'Long list'!$A:$AD,18,FALSE)</f>
        <v>1</v>
      </c>
      <c r="U12" s="1" t="str">
        <f>VLOOKUP($A12,'Long list'!$A:$AD,19,FALSE)</f>
        <v>Yes</v>
      </c>
      <c r="V12" s="1" t="str">
        <f>VLOOKUP($A12,'Long list'!$A:$AD,20,FALSE)</f>
        <v>Yes</v>
      </c>
      <c r="W12" s="1" t="str">
        <f>VLOOKUP($A12,'Long list'!$A:$AD,21,FALSE)</f>
        <v>Yes</v>
      </c>
      <c r="X12" s="16">
        <f>VLOOKUP($A12,'Long list'!$A:$AD,22,FALSE)</f>
        <v>38.422581182719377</v>
      </c>
      <c r="Y12" s="16">
        <f>VLOOKUP($A12,'Long list'!$A:$AD,23,FALSE)</f>
        <v>43.296559652024314</v>
      </c>
      <c r="Z12" s="16">
        <f>VLOOKUP($A12,'Long list'!$A:$AD,24,FALSE)</f>
        <v>18.280859165256306</v>
      </c>
      <c r="AA12" s="1" t="str">
        <f>VLOOKUP($A12,'Long list'!$A:$AD,25,FALSE)</f>
        <v>Yes</v>
      </c>
      <c r="AB12" s="1"/>
      <c r="AC12" s="2">
        <f>VLOOKUP($A12,'Long list'!$A:$AD,29,FALSE)</f>
        <v>962714</v>
      </c>
      <c r="AD12" s="2"/>
    </row>
    <row r="13" spans="1:30" x14ac:dyDescent="0.25">
      <c r="A13" s="1" t="s">
        <v>136</v>
      </c>
      <c r="B13" s="1" t="s">
        <v>69</v>
      </c>
      <c r="C13" s="1" t="s">
        <v>70</v>
      </c>
      <c r="D13" s="14">
        <f>[1]Sheet2!$H$152</f>
        <v>309836</v>
      </c>
      <c r="E13" s="14">
        <f>[1]Sheet2!$C$152</f>
        <v>5794257</v>
      </c>
      <c r="F13" s="15">
        <f>E13/D13</f>
        <v>18.701045069004248</v>
      </c>
      <c r="G13" s="1"/>
      <c r="H13" s="1"/>
      <c r="I13" s="1" t="s">
        <v>26</v>
      </c>
      <c r="J13" s="1"/>
      <c r="K13" s="2">
        <f>[1]Sheet2!$J$152</f>
        <v>1800000</v>
      </c>
      <c r="L13" s="2">
        <f>K13/D13</f>
        <v>5.8095250390529181</v>
      </c>
      <c r="M13" s="1" t="s">
        <v>34</v>
      </c>
      <c r="N13" s="1"/>
      <c r="O13" s="1"/>
      <c r="P13" s="1"/>
      <c r="Q13" s="1"/>
      <c r="R13" s="1" t="s">
        <v>24</v>
      </c>
      <c r="S13" s="1" t="s">
        <v>137</v>
      </c>
      <c r="T13" s="1">
        <v>1</v>
      </c>
      <c r="U13" s="1"/>
      <c r="V13" s="1"/>
      <c r="W13" s="1"/>
      <c r="X13" s="16"/>
      <c r="Y13" s="16"/>
      <c r="Z13" s="16"/>
      <c r="AA13" s="1" t="s">
        <v>26</v>
      </c>
      <c r="AB13" s="1"/>
      <c r="AC13" s="2"/>
      <c r="AD13" s="2"/>
    </row>
    <row r="14" spans="1:30" x14ac:dyDescent="0.25">
      <c r="A14" s="1" t="s">
        <v>138</v>
      </c>
      <c r="B14" s="1" t="s">
        <v>69</v>
      </c>
      <c r="C14" s="1" t="s">
        <v>70</v>
      </c>
      <c r="D14" s="14">
        <f>[1]Sheet2!$H$153</f>
        <v>195232</v>
      </c>
      <c r="E14" s="14">
        <f>[1]Sheet2!$C$153</f>
        <v>2259008</v>
      </c>
      <c r="F14" s="15">
        <f>E14/D14</f>
        <v>11.57089001802983</v>
      </c>
      <c r="G14" s="1"/>
      <c r="H14" s="1"/>
      <c r="I14" s="1" t="s">
        <v>26</v>
      </c>
      <c r="J14" s="1"/>
      <c r="K14" s="2">
        <f>[1]Sheet2!$J$153</f>
        <v>30913348</v>
      </c>
      <c r="L14" s="2">
        <f t="shared" ref="L14:L15" si="0">K14/D14</f>
        <v>158.34160383543681</v>
      </c>
      <c r="M14" s="1" t="s">
        <v>28</v>
      </c>
      <c r="N14" s="1"/>
      <c r="O14" s="1"/>
      <c r="P14" s="1"/>
      <c r="Q14" s="1"/>
      <c r="R14" s="1" t="s">
        <v>24</v>
      </c>
      <c r="S14" s="1" t="s">
        <v>137</v>
      </c>
      <c r="T14" s="1">
        <v>5</v>
      </c>
      <c r="U14" s="1"/>
      <c r="V14" s="1"/>
      <c r="W14" s="1"/>
      <c r="X14" s="16"/>
      <c r="Y14" s="16"/>
      <c r="Z14" s="16"/>
      <c r="AA14" s="1" t="s">
        <v>26</v>
      </c>
      <c r="AB14" s="1"/>
      <c r="AC14" s="2"/>
      <c r="AD14" s="2"/>
    </row>
    <row r="15" spans="1:30" x14ac:dyDescent="0.25">
      <c r="A15" s="1" t="s">
        <v>139</v>
      </c>
      <c r="B15" s="1" t="s">
        <v>69</v>
      </c>
      <c r="C15" s="1" t="s">
        <v>70</v>
      </c>
      <c r="D15" s="14">
        <f>[1]Sheet2!$H$137</f>
        <v>259956</v>
      </c>
      <c r="E15" s="14">
        <f>[1]Sheet2!$C$137</f>
        <v>5151461</v>
      </c>
      <c r="F15" s="15">
        <f>E15/D15</f>
        <v>19.816665127944731</v>
      </c>
      <c r="G15" s="1"/>
      <c r="H15" s="1"/>
      <c r="I15" s="1" t="s">
        <v>26</v>
      </c>
      <c r="J15" s="1"/>
      <c r="K15" s="2">
        <f>[1]Sheet2!$J$137</f>
        <v>22209596</v>
      </c>
      <c r="L15" s="2">
        <f t="shared" si="0"/>
        <v>85.435981473787876</v>
      </c>
      <c r="M15" s="1" t="s">
        <v>34</v>
      </c>
      <c r="N15" s="1"/>
      <c r="O15" s="1"/>
      <c r="P15" s="1"/>
      <c r="Q15" s="1"/>
      <c r="R15" s="1" t="s">
        <v>34</v>
      </c>
      <c r="S15" s="1" t="s">
        <v>137</v>
      </c>
      <c r="T15" s="1">
        <v>1</v>
      </c>
      <c r="U15" s="1"/>
      <c r="V15" s="1"/>
      <c r="W15" s="1"/>
      <c r="X15" s="16"/>
      <c r="Y15" s="16"/>
      <c r="Z15" s="16"/>
      <c r="AA15" s="1" t="s">
        <v>26</v>
      </c>
      <c r="AB15" s="1"/>
      <c r="AC15" s="2"/>
      <c r="AD15" s="2"/>
    </row>
    <row r="16" spans="1:30" x14ac:dyDescent="0.25">
      <c r="A16" s="1" t="s">
        <v>35</v>
      </c>
      <c r="B16" s="1" t="str">
        <f>VLOOKUP($A16,'Long list'!$A:$AD,2,FALSE)</f>
        <v>East of England</v>
      </c>
      <c r="C16" s="1" t="str">
        <f>VLOOKUP($A16,'Long list'!$A:$AD,3,FALSE)</f>
        <v>Upper tier</v>
      </c>
      <c r="D16" s="14">
        <f>VLOOKUP($A16,'Long list'!$A:$AD,4,FALSE)</f>
        <v>180601</v>
      </c>
      <c r="E16" s="14">
        <f>VLOOKUP($A16,'Long list'!$A:$AD,5,FALSE)</f>
        <v>1338755</v>
      </c>
      <c r="F16" s="15">
        <f>VLOOKUP($A16,'Long list'!$A:$AD,6,FALSE)</f>
        <v>7.4127773378884942</v>
      </c>
      <c r="G16" s="1" t="str">
        <f>VLOOKUP($A16,'Long list'!$A:$AD,7,FALSE)</f>
        <v/>
      </c>
      <c r="H16" s="1" t="str">
        <f>VLOOKUP($A16,'Long list'!$A:$AD,8,FALSE)</f>
        <v>Yes</v>
      </c>
      <c r="I16" s="1" t="str">
        <f>VLOOKUP($A16,'Long list'!$A:$AD,9,FALSE)</f>
        <v/>
      </c>
      <c r="J16" s="1" t="str">
        <f>VLOOKUP($A16,'Long list'!$A:$AD,10,FALSE)</f>
        <v/>
      </c>
      <c r="K16" s="2">
        <f>VLOOKUP($A16,'Long list'!$A:$AD,11,FALSE)</f>
        <v>77052389</v>
      </c>
      <c r="L16" s="2">
        <f>VLOOKUP($A16,'Long list'!$A:$AD,26,FALSE)</f>
        <v>426.64430983217147</v>
      </c>
      <c r="M16" s="1" t="str">
        <f>VLOOKUP($A16,'Long list'!$A:$AD,27,FALSE)</f>
        <v>Medium</v>
      </c>
      <c r="N16" s="1"/>
      <c r="O16" s="1"/>
      <c r="P16" s="1" t="s">
        <v>26</v>
      </c>
      <c r="Q16" s="1"/>
      <c r="R16" s="1" t="str">
        <f>VLOOKUP($A16,'Long list'!$A:$AD,16,FALSE)</f>
        <v>High</v>
      </c>
      <c r="S16" s="1" t="str">
        <f>VLOOKUP($A16,'Long list'!$A:$AD,17,FALSE)</f>
        <v>Urban with City and Town</v>
      </c>
      <c r="T16" s="1">
        <f>VLOOKUP($A16,'Long list'!$A:$AD,18,FALSE)</f>
        <v>2</v>
      </c>
      <c r="U16" s="1" t="str">
        <f>VLOOKUP($A16,'Long list'!$A:$AD,19,FALSE)</f>
        <v>Yes</v>
      </c>
      <c r="V16" s="1" t="str">
        <f>VLOOKUP($A16,'Long list'!$A:$AD,20,FALSE)</f>
        <v>Yes</v>
      </c>
      <c r="W16" s="1" t="str">
        <f>VLOOKUP($A16,'Long list'!$A:$AD,21,FALSE)</f>
        <v>Yes</v>
      </c>
      <c r="X16" s="16">
        <f>VLOOKUP($A16,'Long list'!$A:$AD,22,FALSE)</f>
        <v>47.740695472060757</v>
      </c>
      <c r="Y16" s="16">
        <f>VLOOKUP($A16,'Long list'!$A:$AD,23,FALSE)</f>
        <v>28.796327064644554</v>
      </c>
      <c r="Z16" s="16">
        <f>VLOOKUP($A16,'Long list'!$A:$AD,24,FALSE)</f>
        <v>23.462977463294692</v>
      </c>
      <c r="AA16" s="1" t="str">
        <f>VLOOKUP($A16,'Long list'!$A:$AD,25,FALSE)</f>
        <v>Yes</v>
      </c>
      <c r="AB16" s="1"/>
      <c r="AC16" s="2">
        <f>VLOOKUP($A16,'Long list'!$A:$AD,29,FALSE)</f>
        <v>999755</v>
      </c>
      <c r="AD16" s="2"/>
    </row>
    <row r="17" spans="1:30" x14ac:dyDescent="0.25">
      <c r="A17" s="1" t="s">
        <v>45</v>
      </c>
      <c r="B17" s="1" t="str">
        <f>VLOOKUP($A17,'Long list'!$A:$AD,2,FALSE)</f>
        <v>East of England</v>
      </c>
      <c r="C17" s="1" t="str">
        <f>VLOOKUP($A17,'Long list'!$A:$AD,3,FALSE)</f>
        <v>Lower</v>
      </c>
      <c r="D17" s="14">
        <f>VLOOKUP($A17,'Long list'!$A:$AD,4,FALSE)</f>
        <v>102451</v>
      </c>
      <c r="E17" s="14">
        <f>VLOOKUP($A17,'Long list'!$A:$AD,5,FALSE)</f>
        <v>1000000</v>
      </c>
      <c r="F17" s="15">
        <f>VLOOKUP($A17,'Long list'!$A:$AD,6,FALSE)</f>
        <v>9.7607636821504915</v>
      </c>
      <c r="G17" s="1" t="str">
        <f>VLOOKUP($A17,'Long list'!$A:$AD,7,FALSE)</f>
        <v>Yes</v>
      </c>
      <c r="H17" s="1" t="str">
        <f>VLOOKUP($A17,'Long list'!$A:$AD,8,FALSE)</f>
        <v>Yes</v>
      </c>
      <c r="I17" s="1" t="str">
        <f>VLOOKUP($A17,'Long list'!$A:$AD,9,FALSE)</f>
        <v/>
      </c>
      <c r="J17" s="1" t="str">
        <f>VLOOKUP($A17,'Long list'!$A:$AD,10,FALSE)</f>
        <v/>
      </c>
      <c r="K17" s="2">
        <f>VLOOKUP($A17,'Long list'!$A:$AD,11,FALSE)</f>
        <v>11672423</v>
      </c>
      <c r="L17" s="2">
        <f>VLOOKUP($A17,'Long list'!$A:$AD,26,FALSE)</f>
        <v>113.93176250109809</v>
      </c>
      <c r="M17" s="1" t="str">
        <f>VLOOKUP($A17,'Long list'!$A:$AD,27,FALSE)</f>
        <v>Medium</v>
      </c>
      <c r="N17" s="1"/>
      <c r="O17" s="1"/>
      <c r="P17" s="1"/>
      <c r="Q17" s="1"/>
      <c r="R17" s="1" t="str">
        <f>VLOOKUP($A17,'Long list'!$A:$AD,16,FALSE)</f>
        <v>Medium</v>
      </c>
      <c r="S17" s="1" t="str">
        <f>VLOOKUP($A17,'Long list'!$A:$AD,17,FALSE)</f>
        <v>Urban with Major Conurbation</v>
      </c>
      <c r="T17" s="1">
        <f>VLOOKUP($A17,'Long list'!$A:$AD,18,FALSE)</f>
        <v>4</v>
      </c>
      <c r="U17" s="1" t="str">
        <f>VLOOKUP($A17,'Long list'!$A:$AD,19,FALSE)</f>
        <v>Yes</v>
      </c>
      <c r="V17" s="1" t="str">
        <f>VLOOKUP($A17,'Long list'!$A:$AD,20,FALSE)</f>
        <v>Yes</v>
      </c>
      <c r="W17" s="1" t="str">
        <f>VLOOKUP($A17,'Long list'!$A:$AD,21,FALSE)</f>
        <v>Yes</v>
      </c>
      <c r="X17" s="16">
        <f>VLOOKUP($A17,'Long list'!$A:$AD,22,FALSE)</f>
        <v>4</v>
      </c>
      <c r="Y17" s="16">
        <f>VLOOKUP($A17,'Long list'!$A:$AD,23,FALSE)</f>
        <v>71</v>
      </c>
      <c r="Z17" s="16">
        <f>VLOOKUP($A17,'Long list'!$A:$AD,24,FALSE)</f>
        <v>25</v>
      </c>
      <c r="AA17" s="1" t="str">
        <f>VLOOKUP($A17,'Long list'!$A:$AD,25,FALSE)</f>
        <v>Yes</v>
      </c>
      <c r="AB17" s="1"/>
      <c r="AC17" s="2"/>
      <c r="AD17" s="2"/>
    </row>
    <row r="18" spans="1:30" x14ac:dyDescent="0.25">
      <c r="A18" s="1" t="s">
        <v>49</v>
      </c>
      <c r="B18" s="1" t="str">
        <f>VLOOKUP($A18,'Long list'!$A:$AD,2,FALSE)</f>
        <v>East of England</v>
      </c>
      <c r="C18" s="1" t="str">
        <f>VLOOKUP($A18,'Long list'!$A:$AD,3,FALSE)</f>
        <v>Lower</v>
      </c>
      <c r="D18" s="14">
        <f>VLOOKUP($A18,'Long list'!$A:$AD,4,FALSE)</f>
        <v>91948</v>
      </c>
      <c r="E18" s="14">
        <f>VLOOKUP($A18,'Long list'!$A:$AD,5,FALSE)</f>
        <v>1000000</v>
      </c>
      <c r="F18" s="15">
        <f>VLOOKUP($A18,'Long list'!$A:$AD,6,FALSE)</f>
        <v>10.875712359159525</v>
      </c>
      <c r="G18" s="1" t="str">
        <f>VLOOKUP($A18,'Long list'!$A:$AD,7,FALSE)</f>
        <v>Yes</v>
      </c>
      <c r="H18" s="1" t="str">
        <f>VLOOKUP($A18,'Long list'!$A:$AD,8,FALSE)</f>
        <v/>
      </c>
      <c r="I18" s="1" t="str">
        <f>VLOOKUP($A18,'Long list'!$A:$AD,9,FALSE)</f>
        <v>Yes</v>
      </c>
      <c r="J18" s="1" t="str">
        <f>VLOOKUP($A18,'Long list'!$A:$AD,10,FALSE)</f>
        <v/>
      </c>
      <c r="K18" s="2">
        <f>VLOOKUP($A18,'Long list'!$A:$AD,11,FALSE)</f>
        <v>7233896</v>
      </c>
      <c r="L18" s="2">
        <f>VLOOKUP($A18,'Long list'!$A:$AD,26,FALSE)</f>
        <v>78.673772132074646</v>
      </c>
      <c r="M18" s="1" t="str">
        <f>VLOOKUP($A18,'Long list'!$A:$AD,27,FALSE)</f>
        <v>Low</v>
      </c>
      <c r="N18" s="1"/>
      <c r="O18" s="1"/>
      <c r="P18" s="1" t="s">
        <v>140</v>
      </c>
      <c r="Q18" s="1"/>
      <c r="R18" s="1" t="str">
        <f>VLOOKUP($A18,'Long list'!$A:$AD,16,FALSE)</f>
        <v>None</v>
      </c>
      <c r="S18" s="1" t="str">
        <f>VLOOKUP($A18,'Long list'!$A:$AD,17,FALSE)</f>
        <v xml:space="preserve">Mainly Rural (rural including hub towns &gt;=80%) </v>
      </c>
      <c r="T18" s="1">
        <f>VLOOKUP($A18,'Long list'!$A:$AD,18,FALSE)</f>
        <v>5</v>
      </c>
      <c r="U18" s="1" t="str">
        <f>VLOOKUP($A18,'Long list'!$A:$AD,19,FALSE)</f>
        <v>Yes</v>
      </c>
      <c r="V18" s="1" t="str">
        <f>VLOOKUP($A18,'Long list'!$A:$AD,20,FALSE)</f>
        <v>Yes</v>
      </c>
      <c r="W18" s="1" t="str">
        <f>VLOOKUP($A18,'Long list'!$A:$AD,21,FALSE)</f>
        <v>Yes</v>
      </c>
      <c r="X18" s="16">
        <f>VLOOKUP($A18,'Long list'!$A:$AD,22,FALSE)</f>
        <v>58.424734156308908</v>
      </c>
      <c r="Y18" s="16">
        <f>VLOOKUP($A18,'Long list'!$A:$AD,23,FALSE)</f>
        <v>9.8519118045765666</v>
      </c>
      <c r="Z18" s="16">
        <f>VLOOKUP($A18,'Long list'!$A:$AD,24,FALSE)</f>
        <v>31.723354039114525</v>
      </c>
      <c r="AA18" s="1" t="str">
        <f>VLOOKUP($A18,'Long list'!$A:$AD,25,FALSE)</f>
        <v>Yes</v>
      </c>
      <c r="AB18" s="1"/>
      <c r="AC18" s="2"/>
      <c r="AD18" s="2">
        <f>VLOOKUP($A18,'Long list'!$A:$AD,30,FALSE)</f>
        <v>813487</v>
      </c>
    </row>
    <row r="19" spans="1:30" x14ac:dyDescent="0.25">
      <c r="A19" s="1" t="s">
        <v>92</v>
      </c>
      <c r="B19" s="1" t="str">
        <f>VLOOKUP($A19,'Long list'!$A:$AD,2,FALSE)</f>
        <v>North West</v>
      </c>
      <c r="C19" s="1" t="str">
        <f>VLOOKUP($A19,'Long list'!$A:$AD,3,FALSE)</f>
        <v>Combined</v>
      </c>
      <c r="D19" s="14">
        <f>VLOOKUP($A19,'Long list'!$A:$AD,4,FALSE)</f>
        <v>1551722</v>
      </c>
      <c r="E19" s="14">
        <f>VLOOKUP($A19,'Long list'!$A:$AD,5,FALSE)</f>
        <v>44380307</v>
      </c>
      <c r="F19" s="15">
        <f>VLOOKUP($A19,'Long list'!$A:$AD,6,FALSE)</f>
        <v>28.600681694272556</v>
      </c>
      <c r="G19" s="1" t="str">
        <f>VLOOKUP($A19,'Long list'!$A:$AD,7,FALSE)</f>
        <v/>
      </c>
      <c r="H19" s="1" t="str">
        <f>VLOOKUP($A19,'Long list'!$A:$AD,8,FALSE)</f>
        <v/>
      </c>
      <c r="I19" s="1" t="str">
        <f>VLOOKUP($A19,'Long list'!$A:$AD,9,FALSE)</f>
        <v>Yes</v>
      </c>
      <c r="J19" s="1" t="str">
        <f>VLOOKUP($A19,'Long list'!$A:$AD,10,FALSE)</f>
        <v/>
      </c>
      <c r="K19" s="2">
        <f>VLOOKUP($A19,'Long list'!$A:$AD,11,FALSE)</f>
        <v>1022477127.7</v>
      </c>
      <c r="L19" s="2">
        <f>VLOOKUP($A19,'Long list'!$A:$AD,26,FALSE)</f>
        <v>658.93061237773259</v>
      </c>
      <c r="M19" s="1" t="str">
        <f>VLOOKUP($A19,'Long list'!$A:$AD,27,FALSE)</f>
        <v>Upper</v>
      </c>
      <c r="N19" s="1">
        <f>VLOOKUP($A19,'Long list'!$A:$AD,12,FALSE)</f>
        <v>0</v>
      </c>
      <c r="O19" s="1"/>
      <c r="P19" s="1"/>
      <c r="Q19" s="1" t="s">
        <v>26</v>
      </c>
      <c r="R19" s="1" t="str">
        <f>VLOOKUP($A19,'Long list'!$A:$AD,16,FALSE)</f>
        <v>High</v>
      </c>
      <c r="S19" s="1" t="str">
        <f>VLOOKUP($A19,'Long list'!$A:$AD,17,FALSE)</f>
        <v>Urban with Major Conurbation</v>
      </c>
      <c r="T19" s="1">
        <f>VLOOKUP($A19,'Long list'!$A:$AD,18,FALSE)</f>
        <v>1</v>
      </c>
      <c r="U19" s="1" t="str">
        <f>VLOOKUP($A19,'Long list'!$A:$AD,19,FALSE)</f>
        <v>Yes</v>
      </c>
      <c r="V19" s="1" t="str">
        <f>VLOOKUP($A19,'Long list'!$A:$AD,20,FALSE)</f>
        <v>Yes</v>
      </c>
      <c r="W19" s="1" t="str">
        <f>VLOOKUP($A19,'Long list'!$A:$AD,21,FALSE)</f>
        <v>Yes</v>
      </c>
      <c r="X19" s="16">
        <f>VLOOKUP($A19,'Long list'!$A:$AD,22,FALSE)</f>
        <v>27.866969886399552</v>
      </c>
      <c r="Y19" s="16">
        <f>VLOOKUP($A19,'Long list'!$A:$AD,23,FALSE)</f>
        <v>41.052526781130879</v>
      </c>
      <c r="Z19" s="16">
        <f>VLOOKUP($A19,'Long list'!$A:$AD,24,FALSE)</f>
        <v>26</v>
      </c>
      <c r="AA19" s="1" t="str">
        <f>VLOOKUP($A19,'Long list'!$A:$AD,25,FALSE)</f>
        <v>Yes</v>
      </c>
      <c r="AB19" s="1"/>
      <c r="AC19" s="2">
        <f>VLOOKUP($A19,'Long list'!$A:$AD,29,FALSE)</f>
        <v>8375194</v>
      </c>
      <c r="AD19" s="2"/>
    </row>
    <row r="20" spans="1:30" x14ac:dyDescent="0.25">
      <c r="A20" s="1" t="s">
        <v>108</v>
      </c>
      <c r="B20" s="1" t="str">
        <f>VLOOKUP($A20,'Long list'!$A:$AD,2,FALSE)</f>
        <v>North West</v>
      </c>
      <c r="C20" s="1" t="str">
        <f>VLOOKUP($A20,'Long list'!$A:$AD,3,FALSE)</f>
        <v>Lower</v>
      </c>
      <c r="D20" s="14">
        <f>VLOOKUP($A20,'Long list'!$A:$AD,4,FALSE)</f>
        <v>112457</v>
      </c>
      <c r="E20" s="14">
        <f>VLOOKUP($A20,'Long list'!$A:$AD,5,FALSE)</f>
        <v>3929132</v>
      </c>
      <c r="F20" s="15">
        <f>VLOOKUP($A20,'Long list'!$A:$AD,6,FALSE)</f>
        <v>34.938972229385456</v>
      </c>
      <c r="G20" s="1" t="str">
        <f>VLOOKUP($A20,'Long list'!$A:$AD,7,FALSE)</f>
        <v/>
      </c>
      <c r="H20" s="1" t="str">
        <f>VLOOKUP($A20,'Long list'!$A:$AD,8,FALSE)</f>
        <v/>
      </c>
      <c r="I20" s="1" t="str">
        <f>VLOOKUP($A20,'Long list'!$A:$AD,9,FALSE)</f>
        <v/>
      </c>
      <c r="J20" s="1" t="str">
        <f>VLOOKUP($A20,'Long list'!$A:$AD,10,FALSE)</f>
        <v>Yes</v>
      </c>
      <c r="K20" s="2">
        <f>VLOOKUP($A20,'Long list'!$A:$AD,11,FALSE)</f>
        <v>10820712</v>
      </c>
      <c r="L20" s="2">
        <f>VLOOKUP($A20,'Long list'!$A:$AD,26,FALSE)</f>
        <v>96.220884426936522</v>
      </c>
      <c r="M20" s="1" t="str">
        <f>VLOOKUP($A20,'Long list'!$A:$AD,27,FALSE)</f>
        <v>Low</v>
      </c>
      <c r="N20" s="1"/>
      <c r="O20" s="1"/>
      <c r="P20" s="1" t="s">
        <v>26</v>
      </c>
      <c r="Q20" s="1"/>
      <c r="R20" s="1" t="str">
        <f>VLOOKUP($A20,'Long list'!$A:$AD,16,FALSE)</f>
        <v>None</v>
      </c>
      <c r="S20" s="1" t="str">
        <f>VLOOKUP($A20,'Long list'!$A:$AD,17,FALSE)</f>
        <v xml:space="preserve">Largely Rural (rural including hub towns 50-79%) </v>
      </c>
      <c r="T20" s="1">
        <f>VLOOKUP($A20,'Long list'!$A:$AD,18,FALSE)</f>
        <v>2</v>
      </c>
      <c r="U20" s="1" t="str">
        <f>VLOOKUP($A20,'Long list'!$A:$AD,19,FALSE)</f>
        <v>Yes</v>
      </c>
      <c r="V20" s="1" t="str">
        <f>VLOOKUP($A20,'Long list'!$A:$AD,20,FALSE)</f>
        <v>Yes</v>
      </c>
      <c r="W20" s="1" t="str">
        <f>VLOOKUP($A20,'Long list'!$A:$AD,21,FALSE)</f>
        <v>Yes</v>
      </c>
      <c r="X20" s="16">
        <f>VLOOKUP($A20,'Long list'!$A:$AD,22,FALSE)</f>
        <v>89.726401420749866</v>
      </c>
      <c r="Y20" s="16">
        <f>VLOOKUP($A20,'Long list'!$A:$AD,23,FALSE)</f>
        <v>9.0147827774864311</v>
      </c>
      <c r="Z20" s="16">
        <f>VLOOKUP($A20,'Long list'!$A:$AD,24,FALSE)</f>
        <v>1.2588158017637017</v>
      </c>
      <c r="AA20" s="1" t="str">
        <f>VLOOKUP($A20,'Long list'!$A:$AD,25,FALSE)</f>
        <v>Yes</v>
      </c>
      <c r="AB20" s="1"/>
      <c r="AC20" s="2"/>
      <c r="AD20" s="2">
        <f>VLOOKUP($A20,'Long list'!$A:$AD,30,FALSE)</f>
        <v>400000</v>
      </c>
    </row>
    <row r="21" spans="1:30" x14ac:dyDescent="0.25">
      <c r="A21" s="1" t="s">
        <v>113</v>
      </c>
      <c r="B21" s="1" t="str">
        <f>VLOOKUP($A21,'Long list'!$A:$AD,2,FALSE)</f>
        <v>North West</v>
      </c>
      <c r="C21" s="1" t="str">
        <f>VLOOKUP($A21,'Long list'!$A:$AD,3,FALSE)</f>
        <v>Upper tier</v>
      </c>
      <c r="D21" s="14">
        <f>VLOOKUP($A21,'Long list'!$A:$AD,4,FALSE)</f>
        <v>154922</v>
      </c>
      <c r="E21" s="14">
        <f>VLOOKUP($A21,'Long list'!$A:$AD,5,FALSE)</f>
        <v>5933293</v>
      </c>
      <c r="F21" s="15">
        <f>VLOOKUP($A21,'Long list'!$A:$AD,6,FALSE)</f>
        <v>38.298582512490157</v>
      </c>
      <c r="G21" s="1" t="str">
        <f>VLOOKUP($A21,'Long list'!$A:$AD,7,FALSE)</f>
        <v/>
      </c>
      <c r="H21" s="1"/>
      <c r="I21" s="1" t="str">
        <f>VLOOKUP($A21,'Long list'!$A:$AD,9,FALSE)</f>
        <v/>
      </c>
      <c r="J21" s="1" t="str">
        <f>VLOOKUP($A21,'Long list'!$A:$AD,10,FALSE)</f>
        <v>Yes</v>
      </c>
      <c r="K21" s="2">
        <f>VLOOKUP($A21,'Long list'!$A:$AD,11,FALSE)</f>
        <v>77850000</v>
      </c>
      <c r="L21" s="2">
        <f>VLOOKUP($A21,'Long list'!$A:$AD,26,FALSE)</f>
        <v>502.51094098965933</v>
      </c>
      <c r="M21" s="1" t="str">
        <f>VLOOKUP($A21,'Long list'!$A:$AD,27,FALSE)</f>
        <v>Upper</v>
      </c>
      <c r="N21" s="1" t="str">
        <f>VLOOKUP($A21,'Long list'!$A:$AD,12,FALSE)</f>
        <v>Yes</v>
      </c>
      <c r="O21" s="1"/>
      <c r="P21" s="1"/>
      <c r="Q21" s="1"/>
      <c r="R21" s="1" t="str">
        <f>VLOOKUP($A21,'Long list'!$A:$AD,16,FALSE)</f>
        <v>Low</v>
      </c>
      <c r="S21" s="1" t="str">
        <f>VLOOKUP($A21,'Long list'!$A:$AD,17,FALSE)</f>
        <v>Urban with City and Town</v>
      </c>
      <c r="T21" s="1">
        <f>VLOOKUP($A21,'Long list'!$A:$AD,18,FALSE)</f>
        <v>1</v>
      </c>
      <c r="U21" s="1" t="str">
        <f>VLOOKUP($A21,'Long list'!$A:$AD,19,FALSE)</f>
        <v>Yes</v>
      </c>
      <c r="V21" s="1" t="str">
        <f>VLOOKUP($A21,'Long list'!$A:$AD,20,FALSE)</f>
        <v>Yes</v>
      </c>
      <c r="W21" s="1" t="str">
        <f>VLOOKUP($A21,'Long list'!$A:$AD,21,FALSE)</f>
        <v>Yes</v>
      </c>
      <c r="X21" s="16">
        <f>VLOOKUP($A21,'Long list'!$A:$AD,22,FALSE)</f>
        <v>36.061443443912559</v>
      </c>
      <c r="Y21" s="16">
        <f>VLOOKUP($A21,'Long list'!$A:$AD,23,FALSE)</f>
        <v>47.033659157098384</v>
      </c>
      <c r="Z21" s="16">
        <f>VLOOKUP($A21,'Long list'!$A:$AD,24,FALSE)</f>
        <v>16.904897398989053</v>
      </c>
      <c r="AA21" s="1" t="str">
        <f>VLOOKUP($A21,'Long list'!$A:$AD,25,FALSE)</f>
        <v>Yes</v>
      </c>
      <c r="AB21" s="1"/>
      <c r="AC21" s="2">
        <f>VLOOKUP($A21,'Long list'!$A:$AD,29,FALSE)</f>
        <v>851021</v>
      </c>
      <c r="AD21" s="2"/>
    </row>
    <row r="22" spans="1:30" x14ac:dyDescent="0.25">
      <c r="A22" s="1" t="s">
        <v>97</v>
      </c>
      <c r="B22" s="1" t="str">
        <f>VLOOKUP($A22,'Long list'!$A:$AD,2,FALSE)</f>
        <v>West Midlands</v>
      </c>
      <c r="C22" s="1" t="str">
        <f>VLOOKUP($A22,'Long list'!$A:$AD,3,FALSE)</f>
        <v>Lower</v>
      </c>
      <c r="D22" s="14">
        <f>VLOOKUP($A22,'Long list'!$A:$AD,4,FALSE)</f>
        <v>78838</v>
      </c>
      <c r="E22" s="14">
        <f>VLOOKUP($A22,'Long list'!$A:$AD,5,FALSE)</f>
        <v>2328244</v>
      </c>
      <c r="F22" s="15">
        <f>VLOOKUP($A22,'Long list'!$A:$AD,6,FALSE)</f>
        <v>29.532002333899896</v>
      </c>
      <c r="G22" s="1" t="str">
        <f>VLOOKUP($A22,'Long list'!$A:$AD,7,FALSE)</f>
        <v/>
      </c>
      <c r="H22" s="1" t="str">
        <f>VLOOKUP($A22,'Long list'!$A:$AD,8,FALSE)</f>
        <v/>
      </c>
      <c r="I22" s="1" t="str">
        <f>VLOOKUP($A22,'Long list'!$A:$AD,9,FALSE)</f>
        <v>Yes</v>
      </c>
      <c r="J22" s="1" t="str">
        <f>VLOOKUP($A22,'Long list'!$A:$AD,10,FALSE)</f>
        <v/>
      </c>
      <c r="K22" s="2">
        <f>VLOOKUP($A22,'Long list'!$A:$AD,11,FALSE)</f>
        <v>26458445</v>
      </c>
      <c r="L22" s="2">
        <f>VLOOKUP($A22,'Long list'!$A:$AD,26,FALSE)</f>
        <v>335.60522844313658</v>
      </c>
      <c r="M22" s="1" t="str">
        <f>VLOOKUP($A22,'Long list'!$A:$AD,27,FALSE)</f>
        <v>Medium</v>
      </c>
      <c r="N22" s="1"/>
      <c r="O22" s="1"/>
      <c r="P22" s="1"/>
      <c r="Q22" s="1" t="s">
        <v>26</v>
      </c>
      <c r="R22" s="1" t="str">
        <f>VLOOKUP($A22,'Long list'!$A:$AD,16,FALSE)</f>
        <v>None</v>
      </c>
      <c r="S22" s="1" t="str">
        <f>VLOOKUP($A22,'Long list'!$A:$AD,17,FALSE)</f>
        <v>Urban with City and Town</v>
      </c>
      <c r="T22" s="1">
        <f>VLOOKUP($A22,'Long list'!$A:$AD,18,FALSE)</f>
        <v>2</v>
      </c>
      <c r="U22" s="1" t="str">
        <f>VLOOKUP($A22,'Long list'!$A:$AD,19,FALSE)</f>
        <v>Yes</v>
      </c>
      <c r="V22" s="1" t="str">
        <f>VLOOKUP($A22,'Long list'!$A:$AD,20,FALSE)</f>
        <v>Yes</v>
      </c>
      <c r="W22" s="1" t="str">
        <f>VLOOKUP($A22,'Long list'!$A:$AD,21,FALSE)</f>
        <v>Yes</v>
      </c>
      <c r="X22" s="16">
        <f>VLOOKUP($A22,'Long list'!$A:$AD,22,FALSE)</f>
        <v>61.535828579505093</v>
      </c>
      <c r="Y22" s="16">
        <f>VLOOKUP($A22,'Long list'!$A:$AD,23,FALSE)</f>
        <v>14.994190643526778</v>
      </c>
      <c r="Z22" s="16">
        <f>VLOOKUP($A22,'Long list'!$A:$AD,24,FALSE)</f>
        <v>23.469980776968125</v>
      </c>
      <c r="AA22" s="1" t="str">
        <f>VLOOKUP($A22,'Long list'!$A:$AD,25,FALSE)</f>
        <v>Yes</v>
      </c>
      <c r="AB22" s="1"/>
      <c r="AC22" s="2"/>
      <c r="AD22" s="2"/>
    </row>
    <row r="23" spans="1:30" x14ac:dyDescent="0.25">
      <c r="A23" s="1" t="s">
        <v>86</v>
      </c>
      <c r="B23" s="1" t="str">
        <f>VLOOKUP($A23,'Long list'!$A:$AD,2,FALSE)</f>
        <v>West Midlands</v>
      </c>
      <c r="C23" s="1" t="str">
        <f>VLOOKUP($A23,'Long list'!$A:$AD,3,FALSE)</f>
        <v>Combined</v>
      </c>
      <c r="D23" s="14">
        <f>VLOOKUP($A23,'Long list'!$A:$AD,4,FALSE)</f>
        <v>2916132</v>
      </c>
      <c r="E23" s="14">
        <f>VLOOKUP($A23,'Long list'!$A:$AD,5,FALSE)</f>
        <v>88408357</v>
      </c>
      <c r="F23" s="15">
        <f>VLOOKUP($A23,'Long list'!$A:$AD,6,FALSE)</f>
        <v>30.316994223855435</v>
      </c>
      <c r="G23" s="1" t="str">
        <f>VLOOKUP($A23,'Long list'!$A:$AD,7,FALSE)</f>
        <v/>
      </c>
      <c r="H23" s="1" t="str">
        <f>VLOOKUP($A23,'Long list'!$A:$AD,8,FALSE)</f>
        <v/>
      </c>
      <c r="I23" s="1" t="str">
        <f>VLOOKUP($A23,'Long list'!$A:$AD,9,FALSE)</f>
        <v/>
      </c>
      <c r="J23" s="1" t="str">
        <f>VLOOKUP($A23,'Long list'!$A:$AD,10,FALSE)</f>
        <v>Yes</v>
      </c>
      <c r="K23" s="2">
        <f>VLOOKUP($A23,'Long list'!$A:$AD,11,FALSE)</f>
        <v>934050167.62</v>
      </c>
      <c r="L23" s="2">
        <f>VLOOKUP($A23,'Long list'!$A:$AD,26,FALSE)</f>
        <v>320.30448814388376</v>
      </c>
      <c r="M23" s="1" t="str">
        <f>VLOOKUP($A23,'Long list'!$A:$AD,27,FALSE)</f>
        <v>Medium</v>
      </c>
      <c r="N23" s="1"/>
      <c r="O23" s="1"/>
      <c r="P23" s="1"/>
      <c r="Q23" s="1" t="s">
        <v>26</v>
      </c>
      <c r="R23" s="1" t="str">
        <f>VLOOKUP($A23,'Long list'!$A:$AD,16,FALSE)</f>
        <v>Medium</v>
      </c>
      <c r="S23" s="1" t="str">
        <f>VLOOKUP($A23,'Long list'!$A:$AD,17,FALSE)</f>
        <v>Urban with Major Conurbation</v>
      </c>
      <c r="T23" s="1">
        <f>VLOOKUP($A23,'Long list'!$A:$AD,18,FALSE)</f>
        <v>1</v>
      </c>
      <c r="U23" s="1" t="str">
        <f>VLOOKUP($A23,'Long list'!$A:$AD,19,FALSE)</f>
        <v>Yes</v>
      </c>
      <c r="V23" s="1" t="str">
        <f>VLOOKUP($A23,'Long list'!$A:$AD,20,FALSE)</f>
        <v>Yes</v>
      </c>
      <c r="W23" s="1" t="str">
        <f>VLOOKUP($A23,'Long list'!$A:$AD,21,FALSE)</f>
        <v>Yes</v>
      </c>
      <c r="X23" s="16">
        <f>VLOOKUP($A23,'Long list'!$A:$AD,22,FALSE)</f>
        <v>29</v>
      </c>
      <c r="Y23" s="16">
        <f>VLOOKUP($A23,'Long list'!$A:$AD,23,FALSE)</f>
        <v>52</v>
      </c>
      <c r="Z23" s="16">
        <f>VLOOKUP($A23,'Long list'!$A:$AD,24,FALSE)</f>
        <v>19</v>
      </c>
      <c r="AA23" s="1" t="str">
        <f>VLOOKUP($A23,'Long list'!$A:$AD,25,FALSE)</f>
        <v>Yes</v>
      </c>
      <c r="AB23" s="1"/>
      <c r="AC23" s="2">
        <f>VLOOKUP($A23,'Long list'!$A:$AD,29,FALSE)</f>
        <v>16767132</v>
      </c>
      <c r="AD23" s="2"/>
    </row>
    <row r="24" spans="1:30" x14ac:dyDescent="0.25">
      <c r="A24" s="1" t="s">
        <v>116</v>
      </c>
      <c r="B24" s="1" t="str">
        <f>VLOOKUP($A24,'Long list'!$A:$AD,2,FALSE)</f>
        <v>West Midlands</v>
      </c>
      <c r="C24" s="1" t="str">
        <f>VLOOKUP($A24,'Long list'!$A:$AD,3,FALSE)</f>
        <v>Lower</v>
      </c>
      <c r="D24" s="14">
        <f>VLOOKUP($A24,'Long list'!$A:$AD,4,FALSE)</f>
        <v>123025</v>
      </c>
      <c r="E24" s="14">
        <f>VLOOKUP($A24,'Long list'!$A:$AD,5,FALSE)</f>
        <v>4836174</v>
      </c>
      <c r="F24" s="15">
        <f>VLOOKUP($A24,'Long list'!$A:$AD,6,FALSE)</f>
        <v>39.310497866287342</v>
      </c>
      <c r="G24" s="1" t="str">
        <f>VLOOKUP($A24,'Long list'!$A:$AD,7,FALSE)</f>
        <v/>
      </c>
      <c r="H24" s="1" t="str">
        <f>VLOOKUP($A24,'Long list'!$A:$AD,8,FALSE)</f>
        <v/>
      </c>
      <c r="I24" s="1" t="str">
        <f>VLOOKUP($A24,'Long list'!$A:$AD,9,FALSE)</f>
        <v/>
      </c>
      <c r="J24" s="1" t="str">
        <f>VLOOKUP($A24,'Long list'!$A:$AD,10,FALSE)</f>
        <v>Yes</v>
      </c>
      <c r="K24" s="2">
        <f>VLOOKUP($A24,'Long list'!$A:$AD,11,FALSE)</f>
        <v>66355941</v>
      </c>
      <c r="L24" s="2">
        <f>VLOOKUP($A24,'Long list'!$A:$AD,26,FALSE)</f>
        <v>539.36956716114616</v>
      </c>
      <c r="M24" s="1" t="str">
        <f>VLOOKUP($A24,'Long list'!$A:$AD,27,FALSE)</f>
        <v>Upper</v>
      </c>
      <c r="N24" s="1"/>
      <c r="O24" s="1"/>
      <c r="P24" s="1"/>
      <c r="Q24" s="1" t="s">
        <v>26</v>
      </c>
      <c r="R24" s="1" t="str">
        <f>VLOOKUP($A24,'Long list'!$A:$AD,16,FALSE)</f>
        <v>High</v>
      </c>
      <c r="S24" s="1" t="str">
        <f>VLOOKUP($A24,'Long list'!$A:$AD,17,FALSE)</f>
        <v>Urban with City and Town</v>
      </c>
      <c r="T24" s="1">
        <f>VLOOKUP($A24,'Long list'!$A:$AD,18,FALSE)</f>
        <v>3</v>
      </c>
      <c r="U24" s="1" t="str">
        <f>VLOOKUP($A24,'Long list'!$A:$AD,19,FALSE)</f>
        <v>Yes</v>
      </c>
      <c r="V24" s="1" t="str">
        <f>VLOOKUP($A24,'Long list'!$A:$AD,20,FALSE)</f>
        <v>Yes</v>
      </c>
      <c r="W24" s="1" t="str">
        <f>VLOOKUP($A24,'Long list'!$A:$AD,21,FALSE)</f>
        <v>Yes</v>
      </c>
      <c r="X24" s="16">
        <f>VLOOKUP($A24,'Long list'!$A:$AD,22,FALSE)</f>
        <v>59.055872581183955</v>
      </c>
      <c r="Y24" s="16">
        <f>VLOOKUP($A24,'Long list'!$A:$AD,23,FALSE)</f>
        <v>38.920766550265057</v>
      </c>
      <c r="Z24" s="16">
        <f>VLOOKUP($A24,'Long list'!$A:$AD,24,FALSE)</f>
        <v>2.0233608685509994</v>
      </c>
      <c r="AA24" s="1" t="str">
        <f>VLOOKUP($A24,'Long list'!$A:$AD,25,FALSE)</f>
        <v>Yes</v>
      </c>
      <c r="AB24" s="1" t="str">
        <f>VLOOKUP($A24,'Long list'!$A:$AD,28,FALSE)</f>
        <v>Towns Fund</v>
      </c>
      <c r="AC24" s="2"/>
      <c r="AD24" s="2"/>
    </row>
    <row r="25" spans="1:30" x14ac:dyDescent="0.25">
      <c r="A25" s="1" t="s">
        <v>141</v>
      </c>
      <c r="B25" s="1" t="s">
        <v>80</v>
      </c>
      <c r="C25" s="1" t="s">
        <v>30</v>
      </c>
      <c r="D25" s="14">
        <v>526470</v>
      </c>
      <c r="E25" s="17">
        <v>10257056</v>
      </c>
      <c r="F25" s="15">
        <f>E25/D25</f>
        <v>19.482697969494939</v>
      </c>
      <c r="G25" s="1"/>
      <c r="H25" s="1"/>
      <c r="I25" s="1" t="s">
        <v>26</v>
      </c>
      <c r="J25" s="1"/>
      <c r="K25" s="2">
        <v>17181420</v>
      </c>
      <c r="L25" s="2">
        <f>K25/D25</f>
        <v>32.63513590517978</v>
      </c>
      <c r="M25" s="1" t="s">
        <v>34</v>
      </c>
      <c r="N25" s="1"/>
      <c r="O25" s="1" t="s">
        <v>142</v>
      </c>
      <c r="P25" s="1" t="s">
        <v>26</v>
      </c>
      <c r="Q25" s="1"/>
      <c r="R25" s="1" t="s">
        <v>24</v>
      </c>
      <c r="S25" s="1" t="s">
        <v>81</v>
      </c>
      <c r="T25" s="1">
        <v>4</v>
      </c>
      <c r="U25" s="1"/>
      <c r="V25" s="1"/>
      <c r="W25" s="1"/>
      <c r="X25" s="16"/>
      <c r="Y25" s="16"/>
      <c r="Z25" s="16"/>
      <c r="AA25" s="1" t="s">
        <v>26</v>
      </c>
      <c r="AB25" s="1"/>
      <c r="AC25" s="2">
        <v>2141036</v>
      </c>
      <c r="AD25" s="2"/>
    </row>
    <row r="26" spans="1:30" x14ac:dyDescent="0.25">
      <c r="A26" s="1" t="s">
        <v>143</v>
      </c>
      <c r="B26" s="1" t="s">
        <v>80</v>
      </c>
      <c r="C26" s="1" t="s">
        <v>30</v>
      </c>
      <c r="D26" s="14">
        <v>238060</v>
      </c>
      <c r="E26" s="17">
        <v>7814362</v>
      </c>
      <c r="F26" s="15">
        <f t="shared" ref="F26:F27" si="1">E26/D26</f>
        <v>32.825178526421908</v>
      </c>
      <c r="G26" s="1"/>
      <c r="H26" s="1"/>
      <c r="I26" s="1"/>
      <c r="J26" s="1" t="s">
        <v>26</v>
      </c>
      <c r="K26" s="2">
        <v>63393924.060000002</v>
      </c>
      <c r="L26" s="2">
        <f t="shared" ref="L26:L27" si="2">K26/D26</f>
        <v>266.29389254809712</v>
      </c>
      <c r="M26" s="1" t="s">
        <v>28</v>
      </c>
      <c r="N26" s="1"/>
      <c r="O26" s="1" t="s">
        <v>26</v>
      </c>
      <c r="P26" s="1" t="s">
        <v>26</v>
      </c>
      <c r="Q26" s="1"/>
      <c r="R26" s="1" t="s">
        <v>31</v>
      </c>
      <c r="S26" s="1" t="s">
        <v>39</v>
      </c>
      <c r="T26" s="1">
        <v>4</v>
      </c>
      <c r="U26" s="1"/>
      <c r="V26" s="1"/>
      <c r="W26" s="1"/>
      <c r="X26" s="16"/>
      <c r="Y26" s="16"/>
      <c r="Z26" s="16"/>
      <c r="AA26" s="1" t="s">
        <v>26</v>
      </c>
      <c r="AB26" s="1"/>
      <c r="AC26" s="2">
        <v>1631153</v>
      </c>
      <c r="AD26" s="2"/>
    </row>
    <row r="27" spans="1:30" x14ac:dyDescent="0.25">
      <c r="A27" s="1" t="s">
        <v>144</v>
      </c>
      <c r="B27" s="1" t="s">
        <v>80</v>
      </c>
      <c r="C27" s="1" t="s">
        <v>30</v>
      </c>
      <c r="D27" s="14">
        <v>134220</v>
      </c>
      <c r="E27" s="14">
        <v>5129854</v>
      </c>
      <c r="F27" s="15">
        <f t="shared" si="1"/>
        <v>38.219743704365968</v>
      </c>
      <c r="G27" s="1"/>
      <c r="H27" s="1"/>
      <c r="I27" s="1"/>
      <c r="J27" s="1" t="s">
        <v>26</v>
      </c>
      <c r="K27" s="2">
        <v>49520984.659999996</v>
      </c>
      <c r="L27" s="2">
        <f t="shared" si="2"/>
        <v>368.95384190135593</v>
      </c>
      <c r="M27" s="1" t="s">
        <v>28</v>
      </c>
      <c r="N27" s="1"/>
      <c r="O27" s="1"/>
      <c r="P27" s="1" t="s">
        <v>26</v>
      </c>
      <c r="Q27" s="1"/>
      <c r="R27" s="1" t="s">
        <v>34</v>
      </c>
      <c r="S27" s="1" t="s">
        <v>39</v>
      </c>
      <c r="T27" s="1">
        <v>2</v>
      </c>
      <c r="U27" s="1"/>
      <c r="V27" s="1"/>
      <c r="W27" s="1"/>
      <c r="X27" s="16"/>
      <c r="Y27" s="16"/>
      <c r="Z27" s="16"/>
      <c r="AA27" s="1" t="s">
        <v>26</v>
      </c>
      <c r="AB27" s="1"/>
      <c r="AC27" s="2">
        <v>2395402</v>
      </c>
      <c r="AD27" s="2"/>
    </row>
    <row r="28" spans="1:30" x14ac:dyDescent="0.25">
      <c r="A28" s="1" t="s">
        <v>128</v>
      </c>
      <c r="B28" s="1" t="str">
        <f>VLOOKUP($A28,'Long list'!$A:$AD,2,FALSE)</f>
        <v>Wales</v>
      </c>
      <c r="C28" s="1" t="str">
        <f>VLOOKUP($A28,'Long list'!$A:$AD,3,FALSE)</f>
        <v>Combined</v>
      </c>
      <c r="D28" s="14">
        <f>VLOOKUP($A28,'Long list'!$A:$AD,4,FALSE)</f>
        <v>1522472</v>
      </c>
      <c r="E28" s="14">
        <f>VLOOKUP($A28,'Long list'!$A:$AD,5,FALSE)</f>
        <v>230432572</v>
      </c>
      <c r="F28" s="15">
        <f>VLOOKUP($A28,'Long list'!$A:$AD,6,FALSE)</f>
        <v>151.35422654735194</v>
      </c>
      <c r="G28" s="1" t="str">
        <f>VLOOKUP($A28,'Long list'!$A:$AD,7,FALSE)</f>
        <v/>
      </c>
      <c r="H28" s="1" t="str">
        <f>VLOOKUP($A28,'Long list'!$A:$AD,8,FALSE)</f>
        <v/>
      </c>
      <c r="I28" s="1" t="str">
        <f>VLOOKUP($A28,'Long list'!$A:$AD,9,FALSE)</f>
        <v/>
      </c>
      <c r="J28" s="1" t="str">
        <f>VLOOKUP($A28,'Long list'!$A:$AD,10,FALSE)</f>
        <v>Yes</v>
      </c>
      <c r="K28" s="2">
        <f>VLOOKUP($A28,'Long list'!$A:$AD,11,FALSE)</f>
        <v>135146606.14899999</v>
      </c>
      <c r="L28" s="2">
        <f>VLOOKUP($A28,'Long list'!$A:$AD,26,FALSE)</f>
        <v>88.767876288693643</v>
      </c>
      <c r="M28" s="1" t="str">
        <f>VLOOKUP($A28,'Long list'!$A:$AD,27,FALSE)</f>
        <v>Low</v>
      </c>
      <c r="N28" s="1"/>
      <c r="O28" s="1"/>
      <c r="P28" s="1"/>
      <c r="Q28" s="1" t="s">
        <v>26</v>
      </c>
      <c r="R28" s="1" t="str">
        <f>VLOOKUP($A28,'Long list'!$A:$AD,16,FALSE)</f>
        <v>High</v>
      </c>
      <c r="S28" s="1" t="str">
        <f>VLOOKUP($A28,'Long list'!$A:$AD,17,FALSE)</f>
        <v>Urban with Minor Conurbation</v>
      </c>
      <c r="T28" s="1">
        <f>VLOOKUP($A28,'Long list'!$A:$AD,18,FALSE)</f>
        <v>1</v>
      </c>
      <c r="U28" s="1" t="str">
        <f>VLOOKUP($A28,'Long list'!$A:$AD,19,FALSE)</f>
        <v>Yes</v>
      </c>
      <c r="V28" s="1" t="str">
        <f>VLOOKUP($A28,'Long list'!$A:$AD,20,FALSE)</f>
        <v>Yes</v>
      </c>
      <c r="W28" s="1" t="str">
        <f>VLOOKUP($A28,'Long list'!$A:$AD,21,FALSE)</f>
        <v>Yes</v>
      </c>
      <c r="X28" s="16">
        <f>VLOOKUP($A28,'Long list'!$A:$AD,22,FALSE)</f>
        <v>45.935520677119911</v>
      </c>
      <c r="Y28" s="16">
        <f>VLOOKUP($A28,'Long list'!$A:$AD,23,FALSE)</f>
        <v>22.232303988960169</v>
      </c>
      <c r="Z28" s="16">
        <f>VLOOKUP($A28,'Long list'!$A:$AD,24,FALSE)</f>
        <v>31.832175333919924</v>
      </c>
      <c r="AA28" s="1" t="str">
        <f>VLOOKUP($A28,'Long list'!$A:$AD,25,FALSE)</f>
        <v>Yes</v>
      </c>
      <c r="AB28" s="1"/>
      <c r="AC28" s="2">
        <f>VLOOKUP($A28,'Long list'!$A:$AD,29,FALSE)</f>
        <v>48100003</v>
      </c>
      <c r="AD28" s="2"/>
    </row>
    <row r="29" spans="1:30" x14ac:dyDescent="0.25">
      <c r="A29" s="1" t="s">
        <v>130</v>
      </c>
      <c r="B29" s="1" t="str">
        <f>VLOOKUP($A29,'Long list'!$A:$AD,2,FALSE)</f>
        <v>Wales</v>
      </c>
      <c r="C29" s="1" t="str">
        <f>VLOOKUP($A29,'Long list'!$A:$AD,3,FALSE)</f>
        <v>Combined</v>
      </c>
      <c r="D29" s="14">
        <f>VLOOKUP($A29,'Long list'!$A:$AD,4,FALSE)</f>
        <v>687098</v>
      </c>
      <c r="E29" s="14">
        <f>VLOOKUP($A29,'Long list'!$A:$AD,5,FALSE)</f>
        <v>104622271</v>
      </c>
      <c r="F29" s="15">
        <f>VLOOKUP($A29,'Long list'!$A:$AD,6,FALSE)</f>
        <v>152.26688332668704</v>
      </c>
      <c r="G29" s="1" t="str">
        <f>VLOOKUP($A29,'Long list'!$A:$AD,7,FALSE)</f>
        <v/>
      </c>
      <c r="H29" s="1" t="str">
        <f>VLOOKUP($A29,'Long list'!$A:$AD,8,FALSE)</f>
        <v/>
      </c>
      <c r="I29" s="1" t="str">
        <f>VLOOKUP($A29,'Long list'!$A:$AD,9,FALSE)</f>
        <v/>
      </c>
      <c r="J29" s="1" t="str">
        <f>VLOOKUP($A29,'Long list'!$A:$AD,10,FALSE)</f>
        <v>Yes</v>
      </c>
      <c r="K29" s="2">
        <f>VLOOKUP($A29,'Long list'!$A:$AD,11,FALSE)</f>
        <v>481070023</v>
      </c>
      <c r="L29" s="2">
        <f>VLOOKUP($A29,'Long list'!$A:$AD,26,FALSE)</f>
        <v>700.14761067562415</v>
      </c>
      <c r="M29" s="1" t="str">
        <f>VLOOKUP($A29,'Long list'!$A:$AD,27,FALSE)</f>
        <v>Upper</v>
      </c>
      <c r="N29" s="1"/>
      <c r="O29" s="1" t="s">
        <v>26</v>
      </c>
      <c r="P29" s="1"/>
      <c r="Q29" s="1"/>
      <c r="R29" s="1" t="str">
        <f>VLOOKUP($A29,'Long list'!$A:$AD,16,FALSE)</f>
        <v>High</v>
      </c>
      <c r="S29" s="1" t="str">
        <f>VLOOKUP($A29,'Long list'!$A:$AD,17,FALSE)</f>
        <v xml:space="preserve">Mainly Rural (rural including hub towns &gt;=80%) </v>
      </c>
      <c r="T29" s="1">
        <f>VLOOKUP($A29,'Long list'!$A:$AD,18,FALSE)</f>
        <v>2</v>
      </c>
      <c r="U29" s="1" t="str">
        <f>VLOOKUP($A29,'Long list'!$A:$AD,19,FALSE)</f>
        <v>Yes</v>
      </c>
      <c r="V29" s="1" t="str">
        <f>VLOOKUP($A29,'Long list'!$A:$AD,20,FALSE)</f>
        <v>Yes</v>
      </c>
      <c r="W29" s="1" t="str">
        <f>VLOOKUP($A29,'Long list'!$A:$AD,21,FALSE)</f>
        <v>Yes</v>
      </c>
      <c r="X29" s="16">
        <f>VLOOKUP($A29,'Long list'!$A:$AD,22,FALSE)</f>
        <v>40</v>
      </c>
      <c r="Y29" s="16">
        <f>VLOOKUP($A29,'Long list'!$A:$AD,23,FALSE)</f>
        <v>20</v>
      </c>
      <c r="Z29" s="16">
        <f>VLOOKUP($A29,'Long list'!$A:$AD,24,FALSE)</f>
        <v>23</v>
      </c>
      <c r="AA29" s="1" t="str">
        <f>VLOOKUP($A29,'Long list'!$A:$AD,25,FALSE)</f>
        <v>Yes</v>
      </c>
      <c r="AB29" s="1"/>
      <c r="AC29" s="2">
        <f>VLOOKUP($A29,'Long list'!$A:$AD,29,FALSE)</f>
        <v>21838629</v>
      </c>
      <c r="AD29" s="2"/>
    </row>
    <row r="30" spans="1:30" x14ac:dyDescent="0.25">
      <c r="A30" s="1" t="s">
        <v>131</v>
      </c>
      <c r="B30" s="1" t="str">
        <f>VLOOKUP($A30,'Long list'!$A:$AD,2,FALSE)</f>
        <v>Wales</v>
      </c>
      <c r="C30" s="1" t="str">
        <f>VLOOKUP($A30,'Long list'!$A:$AD,3,FALSE)</f>
        <v>Combined</v>
      </c>
      <c r="D30" s="14">
        <f>VLOOKUP($A30,'Long list'!$A:$AD,4,FALSE)</f>
        <v>691625</v>
      </c>
      <c r="E30" s="14">
        <f>VLOOKUP($A30,'Long list'!$A:$AD,5,FALSE)</f>
        <v>113985415</v>
      </c>
      <c r="F30" s="15">
        <f>VLOOKUP($A30,'Long list'!$A:$AD,6,FALSE)</f>
        <v>164.80811856135912</v>
      </c>
      <c r="G30" s="1" t="str">
        <f>VLOOKUP($A30,'Long list'!$A:$AD,7,FALSE)</f>
        <v/>
      </c>
      <c r="H30" s="1" t="str">
        <f>VLOOKUP($A30,'Long list'!$A:$AD,8,FALSE)</f>
        <v/>
      </c>
      <c r="I30" s="1" t="str">
        <f>VLOOKUP($A30,'Long list'!$A:$AD,9,FALSE)</f>
        <v/>
      </c>
      <c r="J30" s="1" t="str">
        <f>VLOOKUP($A30,'Long list'!$A:$AD,10,FALSE)</f>
        <v>Yes</v>
      </c>
      <c r="K30" s="2">
        <f>VLOOKUP($A30,'Long list'!$A:$AD,11,FALSE)</f>
        <v>210029263.19999999</v>
      </c>
      <c r="L30" s="2">
        <f>VLOOKUP($A30,'Long list'!$A:$AD,26,FALSE)</f>
        <v>303.67505975058737</v>
      </c>
      <c r="M30" s="1" t="str">
        <f>VLOOKUP($A30,'Long list'!$A:$AD,27,FALSE)</f>
        <v>Medium</v>
      </c>
      <c r="N30" s="1"/>
      <c r="O30" s="1" t="s">
        <v>26</v>
      </c>
      <c r="P30" s="1"/>
      <c r="Q30" s="1" t="s">
        <v>26</v>
      </c>
      <c r="R30" s="1" t="str">
        <f>VLOOKUP($A30,'Long list'!$A:$AD,16,FALSE)</f>
        <v>High</v>
      </c>
      <c r="S30" s="1" t="str">
        <f>VLOOKUP($A30,'Long list'!$A:$AD,17,FALSE)</f>
        <v>Urban with Significant Rural</v>
      </c>
      <c r="T30" s="1">
        <f>VLOOKUP($A30,'Long list'!$A:$AD,18,FALSE)</f>
        <v>1</v>
      </c>
      <c r="U30" s="1" t="str">
        <f>VLOOKUP($A30,'Long list'!$A:$AD,19,FALSE)</f>
        <v>Yes</v>
      </c>
      <c r="V30" s="1" t="str">
        <f>VLOOKUP($A30,'Long list'!$A:$AD,20,FALSE)</f>
        <v>Yes</v>
      </c>
      <c r="W30" s="1" t="str">
        <f>VLOOKUP($A30,'Long list'!$A:$AD,21,FALSE)</f>
        <v>Yes</v>
      </c>
      <c r="X30" s="16">
        <f>VLOOKUP($A30,'Long list'!$A:$AD,22,FALSE)</f>
        <v>37.893314478833481</v>
      </c>
      <c r="Y30" s="16">
        <f>VLOOKUP($A30,'Long list'!$A:$AD,23,FALSE)</f>
        <v>34.786734696585007</v>
      </c>
      <c r="Z30" s="16">
        <f>VLOOKUP($A30,'Long list'!$A:$AD,24,FALSE)</f>
        <v>27.319950824581515</v>
      </c>
      <c r="AA30" s="1" t="str">
        <f>VLOOKUP($A30,'Long list'!$A:$AD,25,FALSE)</f>
        <v>Yes</v>
      </c>
      <c r="AB30" s="1"/>
      <c r="AC30" s="2">
        <f>VLOOKUP($A30,'Long list'!$A:$AD,29,FALSE)</f>
        <v>23793072</v>
      </c>
      <c r="AD30" s="2"/>
    </row>
    <row r="31" spans="1:30" x14ac:dyDescent="0.25">
      <c r="A31" s="1" t="s">
        <v>59</v>
      </c>
      <c r="B31" s="1" t="str">
        <f>VLOOKUP($A31,'Long list'!$A:$AD,2,FALSE)</f>
        <v>South West</v>
      </c>
      <c r="C31" s="1" t="str">
        <f>VLOOKUP($A31,'Long list'!$A:$AD,3,FALSE)</f>
        <v>Lower</v>
      </c>
      <c r="D31" s="14">
        <f>VLOOKUP($A31,'Long list'!$A:$AD,4,FALSE)</f>
        <v>89213</v>
      </c>
      <c r="E31" s="14">
        <f>VLOOKUP($A31,'Long list'!$A:$AD,5,FALSE)</f>
        <v>1062367</v>
      </c>
      <c r="F31" s="15">
        <f>VLOOKUP($A31,'Long list'!$A:$AD,6,FALSE)</f>
        <v>11.908208444957573</v>
      </c>
      <c r="G31" s="1" t="str">
        <f>VLOOKUP($A31,'Long list'!$A:$AD,7,FALSE)</f>
        <v/>
      </c>
      <c r="H31" s="1" t="str">
        <f>VLOOKUP($A31,'Long list'!$A:$AD,8,FALSE)</f>
        <v/>
      </c>
      <c r="I31" s="1" t="str">
        <f>VLOOKUP($A31,'Long list'!$A:$AD,9,FALSE)</f>
        <v>Yes</v>
      </c>
      <c r="J31" s="1" t="str">
        <f>VLOOKUP($A31,'Long list'!$A:$AD,10,FALSE)</f>
        <v/>
      </c>
      <c r="K31" s="2">
        <f>VLOOKUP($A31,'Long list'!$A:$AD,11,FALSE)</f>
        <v>503347</v>
      </c>
      <c r="L31" s="2">
        <f>VLOOKUP($A31,'Long list'!$A:$AD,26,FALSE)</f>
        <v>5.6420813110196946</v>
      </c>
      <c r="M31" s="1" t="str">
        <f>VLOOKUP($A31,'Long list'!$A:$AD,27,FALSE)</f>
        <v>Low</v>
      </c>
      <c r="N31" s="1"/>
      <c r="O31" s="1"/>
      <c r="P31" s="1"/>
      <c r="Q31" s="1">
        <f>VLOOKUP($A31,'Long list'!$A:$AD,15,FALSE)</f>
        <v>0</v>
      </c>
      <c r="R31" s="1" t="str">
        <f>VLOOKUP($A31,'Long list'!$A:$AD,16,FALSE)</f>
        <v>None</v>
      </c>
      <c r="S31" s="1" t="str">
        <f>VLOOKUP($A31,'Long list'!$A:$AD,17,FALSE)</f>
        <v xml:space="preserve">Mainly Rural (rural including hub towns &gt;=80%) </v>
      </c>
      <c r="T31" s="1">
        <f>VLOOKUP($A31,'Long list'!$A:$AD,18,FALSE)</f>
        <v>4</v>
      </c>
      <c r="U31" s="1">
        <f>VLOOKUP($A31,'Long list'!$A:$AD,19,FALSE)</f>
        <v>0</v>
      </c>
      <c r="V31" s="1">
        <f>VLOOKUP($A31,'Long list'!$A:$AD,20,FALSE)</f>
        <v>0</v>
      </c>
      <c r="W31" s="1">
        <f>VLOOKUP($A31,'Long list'!$A:$AD,21,FALSE)</f>
        <v>0</v>
      </c>
      <c r="X31" s="16">
        <f>VLOOKUP($A31,'Long list'!$A:$AD,22,FALSE)</f>
        <v>17.082753469962434</v>
      </c>
      <c r="Y31" s="16">
        <f>VLOOKUP($A31,'Long list'!$A:$AD,23,FALSE)</f>
        <v>82.917246530037559</v>
      </c>
      <c r="Z31" s="16">
        <f>VLOOKUP($A31,'Long list'!$A:$AD,24,FALSE)</f>
        <v>0</v>
      </c>
      <c r="AA31" s="1" t="str">
        <f>VLOOKUP($A31,'Long list'!$A:$AD,25,FALSE)</f>
        <v>Yes</v>
      </c>
      <c r="AB31" s="1"/>
      <c r="AC31" s="2"/>
      <c r="AD31" s="2">
        <f>VLOOKUP($A31,'Long list'!$A:$AD,30,FALSE)</f>
        <v>843317</v>
      </c>
    </row>
    <row r="32" spans="1:30" x14ac:dyDescent="0.25">
      <c r="A32" s="1" t="s">
        <v>66</v>
      </c>
      <c r="B32" s="1" t="str">
        <f>VLOOKUP($A32,'Long list'!$A:$AD,2,FALSE)</f>
        <v>South West</v>
      </c>
      <c r="C32" s="1" t="str">
        <f>VLOOKUP($A32,'Long list'!$A:$AD,3,FALSE)</f>
        <v>Lower</v>
      </c>
      <c r="D32" s="14">
        <f>VLOOKUP($A32,'Long list'!$A:$AD,4,FALSE)</f>
        <v>68475</v>
      </c>
      <c r="E32" s="14">
        <f>VLOOKUP($A32,'Long list'!$A:$AD,5,FALSE)</f>
        <v>1000000</v>
      </c>
      <c r="F32" s="15">
        <f>VLOOKUP($A32,'Long list'!$A:$AD,6,FALSE)</f>
        <v>14.603870025556773</v>
      </c>
      <c r="G32" s="1" t="str">
        <f>VLOOKUP($A32,'Long list'!$A:$AD,7,FALSE)</f>
        <v>Yes</v>
      </c>
      <c r="H32" s="1" t="str">
        <f>VLOOKUP($A32,'Long list'!$A:$AD,8,FALSE)</f>
        <v/>
      </c>
      <c r="I32" s="1" t="str">
        <f>VLOOKUP($A32,'Long list'!$A:$AD,9,FALSE)</f>
        <v>Yes</v>
      </c>
      <c r="J32" s="1" t="str">
        <f>VLOOKUP($A32,'Long list'!$A:$AD,10,FALSE)</f>
        <v/>
      </c>
      <c r="K32" s="2">
        <f>VLOOKUP($A32,'Long list'!$A:$AD,11,FALSE)</f>
        <v>17205360</v>
      </c>
      <c r="L32" s="2">
        <f>VLOOKUP($A32,'Long list'!$A:$AD,26,FALSE)</f>
        <v>251.26484118291347</v>
      </c>
      <c r="M32" s="1" t="str">
        <f>VLOOKUP($A32,'Long list'!$A:$AD,27,FALSE)</f>
        <v>Medium</v>
      </c>
      <c r="N32" s="1" t="str">
        <f>VLOOKUP($A32,'Long list'!$A:$AD,12,FALSE)</f>
        <v>Yes</v>
      </c>
      <c r="O32" s="1"/>
      <c r="P32" s="1"/>
      <c r="Q32" s="1">
        <f>VLOOKUP($A32,'Long list'!$A:$AD,15,FALSE)</f>
        <v>0</v>
      </c>
      <c r="R32" s="1" t="str">
        <f>VLOOKUP($A32,'Long list'!$A:$AD,16,FALSE)</f>
        <v>None</v>
      </c>
      <c r="S32" s="1" t="str">
        <f>VLOOKUP($A32,'Long list'!$A:$AD,17,FALSE)</f>
        <v xml:space="preserve">Mainly Rural (rural including hub towns &gt;=80%) </v>
      </c>
      <c r="T32" s="1">
        <f>VLOOKUP($A32,'Long list'!$A:$AD,18,FALSE)</f>
        <v>3</v>
      </c>
      <c r="U32" s="1" t="str">
        <f>VLOOKUP($A32,'Long list'!$A:$AD,19,FALSE)</f>
        <v>Yes</v>
      </c>
      <c r="V32" s="1" t="str">
        <f>VLOOKUP($A32,'Long list'!$A:$AD,20,FALSE)</f>
        <v>Yes</v>
      </c>
      <c r="W32" s="1" t="str">
        <f>VLOOKUP($A32,'Long list'!$A:$AD,21,FALSE)</f>
        <v>Yes</v>
      </c>
      <c r="X32" s="16">
        <f>VLOOKUP($A32,'Long list'!$A:$AD,22,FALSE)</f>
        <v>21.087532543202112</v>
      </c>
      <c r="Y32" s="16">
        <f>VLOOKUP($A32,'Long list'!$A:$AD,23,FALSE)</f>
        <v>65.039699238385026</v>
      </c>
      <c r="Z32" s="16">
        <f>VLOOKUP($A32,'Long list'!$A:$AD,24,FALSE)</f>
        <v>13.872768218412864</v>
      </c>
      <c r="AA32" s="1" t="str">
        <f>VLOOKUP($A32,'Long list'!$A:$AD,25,FALSE)</f>
        <v>Yes</v>
      </c>
      <c r="AB32" s="1"/>
      <c r="AC32" s="2"/>
      <c r="AD32" s="2">
        <f>VLOOKUP($A32,'Long list'!$A:$AD,30,FALSE)</f>
        <v>995347</v>
      </c>
    </row>
    <row r="33" spans="1:30" x14ac:dyDescent="0.25">
      <c r="A33" s="1" t="s">
        <v>133</v>
      </c>
      <c r="B33" s="1" t="str">
        <f>VLOOKUP($A33,'Long list'!$A:$AD,2,FALSE)</f>
        <v>South West</v>
      </c>
      <c r="C33" s="1" t="str">
        <f>VLOOKUP($A33,'Long list'!$A:$AD,3,FALSE)</f>
        <v>Upper tier</v>
      </c>
      <c r="D33" s="14">
        <f>VLOOKUP($A33,'Long list'!$A:$AD,4,FALSE)</f>
        <v>574281</v>
      </c>
      <c r="E33" s="14">
        <f>VLOOKUP($A33,'Long list'!$A:$AD,5,FALSE)</f>
        <v>129549117</v>
      </c>
      <c r="F33" s="15">
        <f>VLOOKUP($A33,'Long list'!$A:$AD,6,FALSE)</f>
        <v>225.58489136851122</v>
      </c>
      <c r="G33" s="1" t="str">
        <f>VLOOKUP($A33,'Long list'!$A:$AD,7,FALSE)</f>
        <v/>
      </c>
      <c r="H33" s="1" t="str">
        <f>VLOOKUP($A33,'Long list'!$A:$AD,8,FALSE)</f>
        <v/>
      </c>
      <c r="I33" s="1" t="str">
        <f>VLOOKUP($A33,'Long list'!$A:$AD,9,FALSE)</f>
        <v/>
      </c>
      <c r="J33" s="1" t="str">
        <f>VLOOKUP($A33,'Long list'!$A:$AD,10,FALSE)</f>
        <v>Yes</v>
      </c>
      <c r="K33" s="2">
        <f>VLOOKUP($A33,'Long list'!$A:$AD,11,FALSE)</f>
        <v>559833214.16199994</v>
      </c>
      <c r="L33" s="2">
        <f>VLOOKUP($A33,'Long list'!$A:$AD,26,FALSE)</f>
        <v>974.84195744243664</v>
      </c>
      <c r="M33" s="1" t="str">
        <f>VLOOKUP($A33,'Long list'!$A:$AD,27,FALSE)</f>
        <v>Upper</v>
      </c>
      <c r="N33" s="1"/>
      <c r="O33" s="1"/>
      <c r="P33" s="1"/>
      <c r="Q33" s="1" t="s">
        <v>26</v>
      </c>
      <c r="R33" s="1" t="str">
        <f>VLOOKUP($A33,'Long list'!$A:$AD,16,FALSE)</f>
        <v>High</v>
      </c>
      <c r="S33" s="1" t="str">
        <f>VLOOKUP($A33,'Long list'!$A:$AD,17,FALSE)</f>
        <v xml:space="preserve">Mainly Rural (rural including hub towns &gt;=80%) </v>
      </c>
      <c r="T33" s="1">
        <f>VLOOKUP($A33,'Long list'!$A:$AD,18,FALSE)</f>
        <v>2</v>
      </c>
      <c r="U33" s="1" t="str">
        <f>VLOOKUP($A33,'Long list'!$A:$AD,19,FALSE)</f>
        <v>Yes</v>
      </c>
      <c r="V33" s="1" t="str">
        <f>VLOOKUP($A33,'Long list'!$A:$AD,20,FALSE)</f>
        <v>Yes</v>
      </c>
      <c r="W33" s="1" t="str">
        <f>VLOOKUP($A33,'Long list'!$A:$AD,21,FALSE)</f>
        <v>Yes</v>
      </c>
      <c r="X33" s="16">
        <f>VLOOKUP($A33,'Long list'!$A:$AD,22,FALSE)</f>
        <v>56.681709151522547</v>
      </c>
      <c r="Y33" s="16">
        <f>VLOOKUP($A33,'Long list'!$A:$AD,23,FALSE)</f>
        <v>31.121681505874704</v>
      </c>
      <c r="Z33" s="16">
        <f>VLOOKUP($A33,'Long list'!$A:$AD,24,FALSE)</f>
        <v>12.196609342602757</v>
      </c>
      <c r="AA33" s="1" t="str">
        <f>VLOOKUP($A33,'Long list'!$A:$AD,25,FALSE)</f>
        <v>Yes</v>
      </c>
      <c r="AB33" s="1" t="str">
        <f>VLOOKUP($A33,'Long list'!$A:$AD,28,FALSE)</f>
        <v xml:space="preserve">Towns Fund  </v>
      </c>
      <c r="AC33" s="2">
        <f>VLOOKUP($A33,'Long list'!$A:$AD,29,FALSE)</f>
        <v>2452414</v>
      </c>
      <c r="AD33" s="2">
        <f>VLOOKUP($A33,'Long list'!$A:$AD,30,FALSE)</f>
        <v>5567556</v>
      </c>
    </row>
    <row r="34" spans="1:30" x14ac:dyDescent="0.25">
      <c r="A34" s="1" t="s">
        <v>135</v>
      </c>
      <c r="B34" s="1" t="str">
        <f>VLOOKUP($A34,'Long list'!$A:$AD,2,FALSE)</f>
        <v>South East</v>
      </c>
      <c r="C34" s="1" t="str">
        <f>VLOOKUP($A34,'Long list'!$A:$AD,3,FALSE)</f>
        <v>Lower</v>
      </c>
      <c r="D34" s="14">
        <f>VLOOKUP($A34,'Long list'!$A:$AD,4,FALSE)</f>
        <v>90959</v>
      </c>
      <c r="E34" s="14">
        <f>VLOOKUP($A34,'Long list'!$A:$AD,5,FALSE)</f>
        <v>1000000</v>
      </c>
      <c r="F34" s="15">
        <f>VLOOKUP($A34,'Long list'!$A:$AD,6,FALSE)</f>
        <v>10.993964313591839</v>
      </c>
      <c r="G34" s="1" t="str">
        <f>VLOOKUP($A34,'Long list'!$A:$AD,7,FALSE)</f>
        <v>Yes</v>
      </c>
      <c r="H34" s="1" t="str">
        <f>VLOOKUP($A34,'Long list'!$A:$AD,8,FALSE)</f>
        <v/>
      </c>
      <c r="I34" s="1" t="str">
        <f>VLOOKUP($A34,'Long list'!$A:$AD,9,FALSE)</f>
        <v>Yes</v>
      </c>
      <c r="J34" s="1" t="str">
        <f>VLOOKUP($A34,'Long list'!$A:$AD,10,FALSE)</f>
        <v/>
      </c>
      <c r="K34" s="2">
        <f>VLOOKUP($A34,'Long list'!$A:$AD,11,FALSE)</f>
        <v>39240655</v>
      </c>
      <c r="L34" s="2">
        <f>VLOOKUP($A34,'Long list'!$A:$AD,26,FALSE)</f>
        <v>431.41036071196913</v>
      </c>
      <c r="M34" s="1" t="str">
        <f>VLOOKUP($A34,'Long list'!$A:$AD,27,FALSE)</f>
        <v>Medium</v>
      </c>
      <c r="N34" s="1"/>
      <c r="O34" s="1"/>
      <c r="P34" s="1"/>
      <c r="Q34" s="1" t="s">
        <v>26</v>
      </c>
      <c r="R34" s="1" t="str">
        <f>VLOOKUP($A34,'Long list'!$A:$AD,16,FALSE)</f>
        <v>Medium</v>
      </c>
      <c r="S34" s="1" t="str">
        <f>VLOOKUP($A34,'Long list'!$A:$AD,17,FALSE)</f>
        <v>Urban with City and Town</v>
      </c>
      <c r="T34" s="1">
        <f>VLOOKUP($A34,'Long list'!$A:$AD,18,FALSE)</f>
        <v>1</v>
      </c>
      <c r="U34" s="1" t="str">
        <f>VLOOKUP($A34,'Long list'!$A:$AD,19,FALSE)</f>
        <v>Yes</v>
      </c>
      <c r="V34" s="1" t="str">
        <f>VLOOKUP($A34,'Long list'!$A:$AD,20,FALSE)</f>
        <v>Yes</v>
      </c>
      <c r="W34" s="1" t="str">
        <f>VLOOKUP($A34,'Long list'!$A:$AD,21,FALSE)</f>
        <v>Yes</v>
      </c>
      <c r="X34" s="16">
        <f>VLOOKUP($A34,'Long list'!$A:$AD,22,FALSE)</f>
        <v>81.239675372593339</v>
      </c>
      <c r="Y34" s="16">
        <f>VLOOKUP($A34,'Long list'!$A:$AD,23,FALSE)</f>
        <v>8.9893222172990264</v>
      </c>
      <c r="Z34" s="16">
        <f>VLOOKUP($A34,'Long list'!$A:$AD,24,FALSE)</f>
        <v>9.7710024101076378</v>
      </c>
      <c r="AA34" s="1" t="str">
        <f>VLOOKUP($A34,'Long list'!$A:$AD,25,FALSE)</f>
        <v>Yes</v>
      </c>
      <c r="AB34" s="1">
        <f>VLOOKUP($A34,'Long list'!$A:$AD,28,FALSE)</f>
        <v>0</v>
      </c>
      <c r="AC34" s="2"/>
      <c r="AD34" s="2"/>
    </row>
    <row r="35" spans="1:30" x14ac:dyDescent="0.25">
      <c r="A35" s="1" t="s">
        <v>145</v>
      </c>
      <c r="B35" s="1" t="str">
        <f>VLOOKUP($A35,'Long list'!$A:$AD,2,FALSE)</f>
        <v>Scotland</v>
      </c>
      <c r="C35" s="1" t="str">
        <f>VLOOKUP($A35,'Long list'!$A:$AD,3,FALSE)</f>
        <v>Combined</v>
      </c>
      <c r="D35" s="14">
        <f>VLOOKUP($A35,'Long list'!$A:$AD,4,FALSE)</f>
        <v>1849070</v>
      </c>
      <c r="E35" s="14">
        <f>VLOOKUP($A35,'Long list'!$A:$AD,5,FALSE)</f>
        <v>61116874</v>
      </c>
      <c r="F35" s="15">
        <f>VLOOKUP($A35,'Long list'!$A:$AD,6,FALSE)</f>
        <v>33.05276382181313</v>
      </c>
      <c r="G35" s="1" t="str">
        <f>VLOOKUP($A35,'Long list'!$A:$AD,7,FALSE)</f>
        <v/>
      </c>
      <c r="H35" s="1" t="str">
        <f>VLOOKUP($A35,'Long list'!$A:$AD,8,FALSE)</f>
        <v/>
      </c>
      <c r="I35" s="1" t="str">
        <f>VLOOKUP($A35,'Long list'!$A:$AD,9,FALSE)</f>
        <v/>
      </c>
      <c r="J35" s="1" t="str">
        <f>VLOOKUP($A35,'Long list'!$A:$AD,10,FALSE)</f>
        <v>Yes</v>
      </c>
      <c r="K35" s="2">
        <f>VLOOKUP($A35,'Long list'!$A:$AD,11,FALSE)</f>
        <v>141854404.59999999</v>
      </c>
      <c r="L35" s="2">
        <f>VLOOKUP($A35,'Long list'!$A:$AD,26,FALSE)</f>
        <v>76.716622193859607</v>
      </c>
      <c r="M35" s="1" t="str">
        <f>VLOOKUP($A35,'Long list'!$A:$AD,27,FALSE)</f>
        <v>Low</v>
      </c>
      <c r="N35" s="1"/>
      <c r="O35" s="1"/>
      <c r="P35" s="1"/>
      <c r="Q35" s="1" t="s">
        <v>26</v>
      </c>
      <c r="R35" s="1" t="str">
        <f>VLOOKUP($A35,'Long list'!$A:$AD,16,FALSE)</f>
        <v>High</v>
      </c>
      <c r="S35" s="1" t="str">
        <f>VLOOKUP($A35,'Long list'!$A:$AD,17,FALSE)</f>
        <v>Urban with Major Conurbation</v>
      </c>
      <c r="T35" s="1">
        <f>VLOOKUP($A35,'Long list'!$A:$AD,18,FALSE)</f>
        <v>1</v>
      </c>
      <c r="U35" s="1" t="str">
        <f>VLOOKUP($A35,'Long list'!$A:$AD,19,FALSE)</f>
        <v>Yes</v>
      </c>
      <c r="V35" s="1" t="str">
        <f>VLOOKUP($A35,'Long list'!$A:$AD,20,FALSE)</f>
        <v>Yes</v>
      </c>
      <c r="W35" s="1" t="str">
        <f>VLOOKUP($A35,'Long list'!$A:$AD,21,FALSE)</f>
        <v>Yes</v>
      </c>
      <c r="X35" s="16">
        <f>VLOOKUP($A35,'Long list'!$A:$AD,22,FALSE)</f>
        <v>40.565845238215843</v>
      </c>
      <c r="Y35" s="16">
        <f>VLOOKUP($A35,'Long list'!$A:$AD,23,FALSE)</f>
        <v>23.756362789427129</v>
      </c>
      <c r="Z35" s="16">
        <f>VLOOKUP($A35,'Long list'!$A:$AD,24,FALSE)</f>
        <v>35.677791972357028</v>
      </c>
      <c r="AA35" s="1" t="str">
        <f>VLOOKUP($A35,'Long list'!$A:$AD,25,FALSE)</f>
        <v>Yes</v>
      </c>
      <c r="AB35" s="1"/>
      <c r="AC35" s="2">
        <f>VLOOKUP($A35,'Long list'!$A:$AD,29,FALSE)</f>
        <v>12757406</v>
      </c>
      <c r="AD35" s="2"/>
    </row>
    <row r="36" spans="1:30" x14ac:dyDescent="0.25">
      <c r="A36" s="1" t="s">
        <v>146</v>
      </c>
      <c r="B36" s="1" t="str">
        <f>VLOOKUP($A36,'Long list'!$A:$AD,2,FALSE)</f>
        <v>Wales</v>
      </c>
      <c r="C36" s="1" t="str">
        <f>VLOOKUP($A36,'Long list'!$A:$AD,3,FALSE)</f>
        <v>Combined</v>
      </c>
      <c r="D36" s="14">
        <f>VLOOKUP($A36,'Long list'!$A:$AD,4,FALSE)</f>
        <v>204215</v>
      </c>
      <c r="E36" s="14">
        <f>VLOOKUP($A36,'Long list'!$A:$AD,5,FALSE)</f>
        <v>35081942</v>
      </c>
      <c r="F36" s="15">
        <f>VLOOKUP($A36,'Long list'!$A:$AD,6,FALSE)</f>
        <v>171.78925152412899</v>
      </c>
      <c r="G36" s="1" t="str">
        <f>VLOOKUP($A36,'Long list'!$A:$AD,7,FALSE)</f>
        <v/>
      </c>
      <c r="H36" s="1" t="str">
        <f>VLOOKUP($A36,'Long list'!$A:$AD,8,FALSE)</f>
        <v/>
      </c>
      <c r="I36" s="1" t="str">
        <f>VLOOKUP($A36,'Long list'!$A:$AD,9,FALSE)</f>
        <v/>
      </c>
      <c r="J36" s="1" t="str">
        <f>VLOOKUP($A36,'Long list'!$A:$AD,10,FALSE)</f>
        <v>Yes</v>
      </c>
      <c r="K36" s="2">
        <f>VLOOKUP($A36,'Long list'!$A:$AD,11,FALSE)</f>
        <v>101799205</v>
      </c>
      <c r="L36" s="2">
        <f>VLOOKUP($A36,'Long list'!$A:$AD,26,FALSE)</f>
        <v>498.49034106211593</v>
      </c>
      <c r="M36" s="1" t="str">
        <f>VLOOKUP($A36,'Long list'!$A:$AD,27,FALSE)</f>
        <v>Medium</v>
      </c>
      <c r="N36" s="1"/>
      <c r="O36" s="1"/>
      <c r="P36" s="1"/>
      <c r="Q36" s="1" t="s">
        <v>26</v>
      </c>
      <c r="R36" s="1" t="str">
        <f>VLOOKUP($A36,'Long list'!$A:$AD,16,FALSE)</f>
        <v>High</v>
      </c>
      <c r="S36" s="1" t="str">
        <f>VLOOKUP($A36,'Long list'!$A:$AD,17,FALSE)</f>
        <v xml:space="preserve">Mainly Rural (rural including hub towns &gt;=80%) </v>
      </c>
      <c r="T36" s="1">
        <f>VLOOKUP($A36,'Long list'!$A:$AD,18,FALSE)</f>
        <v>2</v>
      </c>
      <c r="U36" s="1" t="str">
        <f>VLOOKUP($A36,'Long list'!$A:$AD,19,FALSE)</f>
        <v>Yes</v>
      </c>
      <c r="V36" s="1" t="str">
        <f>VLOOKUP($A36,'Long list'!$A:$AD,20,FALSE)</f>
        <v>Yes</v>
      </c>
      <c r="W36" s="1" t="str">
        <f>VLOOKUP($A36,'Long list'!$A:$AD,21,FALSE)</f>
        <v>Yes</v>
      </c>
      <c r="X36" s="16">
        <f>VLOOKUP($A36,'Long list'!$A:$AD,22,FALSE)</f>
        <v>42</v>
      </c>
      <c r="Y36" s="16">
        <f>VLOOKUP($A36,'Long list'!$A:$AD,23,FALSE)</f>
        <v>35</v>
      </c>
      <c r="Z36" s="16">
        <f>VLOOKUP($A36,'Long list'!$A:$AD,24,FALSE)</f>
        <v>13</v>
      </c>
      <c r="AA36" s="1" t="str">
        <f>VLOOKUP($A36,'Long list'!$A:$AD,25,FALSE)</f>
        <v>Yes</v>
      </c>
      <c r="AB36" s="1"/>
      <c r="AC36" s="2">
        <f>VLOOKUP($A36,'Long list'!$A:$AD,29,FALSE)</f>
        <v>7322930</v>
      </c>
      <c r="AD36" s="2"/>
    </row>
    <row r="37" spans="1:30" x14ac:dyDescent="0.25">
      <c r="A37" s="1" t="s">
        <v>121</v>
      </c>
      <c r="B37" s="1" t="str">
        <f>VLOOKUP($A37,'Long list'!$A:$AD,2,FALSE)</f>
        <v>Northern Ireland</v>
      </c>
      <c r="C37" s="1" t="str">
        <f>VLOOKUP($A37,'Long list'!$A:$AD,3,FALSE)</f>
        <v>Combined</v>
      </c>
      <c r="D37" s="14">
        <f>VLOOKUP($A37,'Long list'!$A:$AD,4,FALSE)</f>
        <v>1904563</v>
      </c>
      <c r="E37" s="14">
        <f>VLOOKUP($A37,'Long list'!$A:$AD,5,FALSE)</f>
        <v>104947606</v>
      </c>
      <c r="F37" s="15">
        <f>VLOOKUP($A37,'Long list'!$A:$AD,6,FALSE)</f>
        <v>55.103247306599989</v>
      </c>
      <c r="G37" s="1" t="str">
        <f>VLOOKUP($A37,'Long list'!$A:$AD,7,FALSE)</f>
        <v/>
      </c>
      <c r="H37" s="1" t="str">
        <f>VLOOKUP($A37,'Long list'!$A:$AD,8,FALSE)</f>
        <v/>
      </c>
      <c r="I37" s="1" t="str">
        <f>VLOOKUP($A37,'Long list'!$A:$AD,9,FALSE)</f>
        <v/>
      </c>
      <c r="J37" s="1" t="str">
        <f>VLOOKUP($A37,'Long list'!$A:$AD,10,FALSE)</f>
        <v>Yes</v>
      </c>
      <c r="K37" s="2">
        <f>VLOOKUP($A37,'Long list'!$A:$AD,11,FALSE)</f>
        <v>313036218.49000001</v>
      </c>
      <c r="L37" s="2">
        <f>VLOOKUP($A37,'Long list'!$A:$AD,26,FALSE)</f>
        <v>164.36117812327552</v>
      </c>
      <c r="M37" s="1" t="str">
        <f>VLOOKUP($A37,'Long list'!$A:$AD,27,FALSE)</f>
        <v>Medium</v>
      </c>
      <c r="N37" s="1"/>
      <c r="O37" s="1"/>
      <c r="P37" s="1"/>
      <c r="Q37" s="1" t="s">
        <v>26</v>
      </c>
      <c r="R37" s="1" t="str">
        <f>VLOOKUP($A37,'Long list'!$A:$AD,16,FALSE)</f>
        <v>High</v>
      </c>
      <c r="S37" s="1" t="str">
        <f>VLOOKUP($A37,'Long list'!$A:$AD,17,FALSE)</f>
        <v>Urban with significant rural</v>
      </c>
      <c r="T37" s="1">
        <f>VLOOKUP($A37,'Long list'!$A:$AD,18,FALSE)</f>
        <v>1</v>
      </c>
      <c r="U37" s="1" t="str">
        <f>VLOOKUP($A37,'Long list'!$A:$AD,19,FALSE)</f>
        <v>Yes</v>
      </c>
      <c r="V37" s="1" t="str">
        <f>VLOOKUP($A37,'Long list'!$A:$AD,20,FALSE)</f>
        <v>Yes</v>
      </c>
      <c r="W37" s="1" t="str">
        <f>VLOOKUP($A37,'Long list'!$A:$AD,21,FALSE)</f>
        <v>Yes</v>
      </c>
      <c r="X37" s="16">
        <f>VLOOKUP($A37,'Long list'!$A:$AD,22,FALSE)</f>
        <v>15</v>
      </c>
      <c r="Y37" s="16">
        <f>VLOOKUP($A37,'Long list'!$A:$AD,23,FALSE)</f>
        <v>48</v>
      </c>
      <c r="Z37" s="16">
        <f>VLOOKUP($A37,'Long list'!$A:$AD,24,FALSE)</f>
        <v>37</v>
      </c>
      <c r="AA37" s="1" t="str">
        <f>VLOOKUP($A37,'Long list'!$A:$AD,25,FALSE)</f>
        <v>XX</v>
      </c>
      <c r="AB37" s="1"/>
      <c r="AC37" s="2">
        <f>VLOOKUP($A37,'Long list'!$A:$AD,29,FALSE)</f>
        <v>21906539</v>
      </c>
      <c r="AD37" s="2"/>
    </row>
  </sheetData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7c43cbf-c32a-46ff-80bc-5d29a91acf8f">
      <Terms xmlns="http://schemas.microsoft.com/office/infopath/2007/PartnerControls"/>
    </lcf76f155ced4ddcb4097134ff3c332f>
    <xx xmlns="77c43cbf-c32a-46ff-80bc-5d29a91acf8f" xsi:nil="true"/>
    <TaxCatchAll xmlns="83a87e31-bf32-46ab-8e70-9fa18461fa4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811B5CB9130479AAD38368DF61B8F" ma:contentTypeVersion="21" ma:contentTypeDescription="Create a new document." ma:contentTypeScope="" ma:versionID="b9360a005adda2a805768c6c00e60d62">
  <xsd:schema xmlns:xsd="http://www.w3.org/2001/XMLSchema" xmlns:xs="http://www.w3.org/2001/XMLSchema" xmlns:p="http://schemas.microsoft.com/office/2006/metadata/properties" xmlns:ns1="http://schemas.microsoft.com/sharepoint/v3" xmlns:ns2="77c43cbf-c32a-46ff-80bc-5d29a91acf8f" xmlns:ns3="229f6fec-b5d2-42a2-824d-4bd7d785663f" xmlns:ns4="83a87e31-bf32-46ab-8e70-9fa18461fa4d" targetNamespace="http://schemas.microsoft.com/office/2006/metadata/properties" ma:root="true" ma:fieldsID="92db42da2001cb1217ffb31aa82e9ddb" ns1:_="" ns2:_="" ns3:_="" ns4:_="">
    <xsd:import namespace="http://schemas.microsoft.com/sharepoint/v3"/>
    <xsd:import namespace="77c43cbf-c32a-46ff-80bc-5d29a91acf8f"/>
    <xsd:import namespace="229f6fec-b5d2-42a2-824d-4bd7d785663f"/>
    <xsd:import namespace="83a87e31-bf32-46ab-8e70-9fa18461f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xx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43cbf-c32a-46ff-80bc-5d29a91acf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xx" ma:index="20" nillable="true" ma:displayName="xx" ma:format="Thumbnail" ma:internalName="xx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f6fec-b5d2-42a2-824d-4bd7d785663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87e31-bf32-46ab-8e70-9fa18461fa4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8fb900a-126f-4f47-b12d-28315e1078f2}" ma:internalName="TaxCatchAll" ma:showField="CatchAllData" ma:web="229f6fec-b5d2-42a2-824d-4bd7d78566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3DB28A-C888-477C-A56E-2DC445EAD6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D3A06E-BDC2-494A-82F7-6E0399E3A7B0}">
  <ds:schemaRefs>
    <ds:schemaRef ds:uri="77c43cbf-c32a-46ff-80bc-5d29a91acf8f"/>
    <ds:schemaRef ds:uri="229f6fec-b5d2-42a2-824d-4bd7d785663f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83a87e31-bf32-46ab-8e70-9fa18461fa4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A800C7C-763A-48C7-AE59-627A5ACAAD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c43cbf-c32a-46ff-80bc-5d29a91acf8f"/>
    <ds:schemaRef ds:uri="229f6fec-b5d2-42a2-824d-4bd7d785663f"/>
    <ds:schemaRef ds:uri="83a87e31-bf32-46ab-8e70-9fa18461f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bd41ebe-fca6-4f2c-aecb-bf3a17e72416}" enabled="1" method="Privileged" siteId="{bf346810-9c7d-43de-a872-24a2ef3995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Long list</vt:lpstr>
      <vt:lpstr>Short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Kearney</dc:creator>
  <cp:keywords/>
  <dc:description/>
  <cp:lastModifiedBy>John Norman</cp:lastModifiedBy>
  <cp:revision/>
  <dcterms:created xsi:type="dcterms:W3CDTF">2023-08-11T10:16:27Z</dcterms:created>
  <dcterms:modified xsi:type="dcterms:W3CDTF">2025-04-01T14:02:23Z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0x010100850811B5CB9130479AAD38368DF61B8F</vt:lpwstr>
  </property>
  <property fmtid="{D5CDD505-2E9C-101B-9397-08002B2CF9AE}" pid="3" name="MediaServiceImageTags">
    <vt:lpwstr/>
  </property>
</Properties>
</file>