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jessica_hannington_education_gov_uk/Documents/Documents/Content Improvement/Management accounts/Final/"/>
    </mc:Choice>
  </mc:AlternateContent>
  <xr:revisionPtr revIDLastSave="0" documentId="8_{0100C7FA-5A57-43B4-80B5-9360E587398B}" xr6:coauthVersionLast="47" xr6:coauthVersionMax="47" xr10:uidLastSave="{00000000-0000-0000-0000-000000000000}"/>
  <bookViews>
    <workbookView xWindow="-120" yWindow="-120" windowWidth="38640" windowHeight="21120" activeTab="2" xr2:uid="{0E52B1B0-9CD0-4F8A-88C8-C36EC314DDC7}"/>
  </bookViews>
  <sheets>
    <sheet name="I&amp;E" sheetId="30" r:id="rId1"/>
    <sheet name="Bal Sheet" sheetId="8" r:id="rId2"/>
    <sheet name="Cash" sheetId="11" r:id="rId3"/>
  </sheets>
  <definedNames>
    <definedName name="_xlnm.Print_Area" localSheetId="1">'Bal Sheet'!$B$1:$H$52</definedName>
    <definedName name="_xlnm.Print_Area" localSheetId="0">'I&amp;E'!$B$1:$L$67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0" l="1"/>
  <c r="I10" i="30"/>
  <c r="I9" i="30"/>
  <c r="D28" i="8" l="1"/>
  <c r="C41" i="11"/>
  <c r="D41" i="11"/>
  <c r="E41" i="11"/>
  <c r="B41" i="11"/>
  <c r="C38" i="11"/>
  <c r="D38" i="11"/>
  <c r="E38" i="11"/>
  <c r="F38" i="11"/>
  <c r="B38" i="11"/>
  <c r="F33" i="11"/>
  <c r="C33" i="11"/>
  <c r="D33" i="11"/>
  <c r="E33" i="11"/>
  <c r="B33" i="11"/>
  <c r="I41" i="11"/>
  <c r="J41" i="11"/>
  <c r="K41" i="11"/>
  <c r="N41" i="11"/>
  <c r="O41" i="11"/>
  <c r="P41" i="11"/>
  <c r="Q41" i="11"/>
  <c r="R41" i="11"/>
  <c r="H41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G38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G33" i="11"/>
  <c r="O17" i="11"/>
  <c r="P17" i="11"/>
  <c r="Q17" i="11"/>
  <c r="R17" i="11"/>
  <c r="S17" i="11"/>
  <c r="O18" i="11"/>
  <c r="P18" i="11"/>
  <c r="Q18" i="11"/>
  <c r="R18" i="11"/>
  <c r="S18" i="11"/>
  <c r="O19" i="11"/>
  <c r="P19" i="11"/>
  <c r="Q19" i="11"/>
  <c r="R19" i="11"/>
  <c r="S19" i="11"/>
  <c r="N18" i="11"/>
  <c r="N19" i="11"/>
  <c r="N17" i="11"/>
  <c r="C47" i="11"/>
  <c r="D47" i="11" s="1"/>
  <c r="I14" i="30"/>
  <c r="E14" i="30"/>
  <c r="E47" i="11" l="1"/>
  <c r="F47" i="11" l="1"/>
  <c r="G47" i="11" l="1"/>
  <c r="H47" i="11" s="1"/>
  <c r="I47" i="11" l="1"/>
  <c r="J47" i="11" s="1"/>
  <c r="K47" i="11" s="1"/>
  <c r="L47" i="11" l="1"/>
  <c r="C7" i="11" l="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B7" i="11"/>
  <c r="O6" i="11"/>
  <c r="P6" i="11"/>
  <c r="Q6" i="11"/>
  <c r="R6" i="11"/>
  <c r="S6" i="11"/>
  <c r="N6" i="11"/>
  <c r="I61" i="30"/>
  <c r="I60" i="30"/>
  <c r="I59" i="30"/>
  <c r="E59" i="30"/>
  <c r="G49" i="8"/>
  <c r="F49" i="8"/>
  <c r="D49" i="8"/>
  <c r="C49" i="8"/>
  <c r="C52" i="8" s="1"/>
  <c r="D44" i="8"/>
  <c r="F44" i="8"/>
  <c r="G44" i="8"/>
  <c r="C44" i="8"/>
  <c r="H43" i="8"/>
  <c r="E43" i="8"/>
  <c r="H38" i="8"/>
  <c r="E38" i="8"/>
  <c r="D32" i="8"/>
  <c r="F32" i="8"/>
  <c r="G32" i="8"/>
  <c r="H29" i="8"/>
  <c r="E29" i="8"/>
  <c r="C32" i="8"/>
  <c r="H24" i="8"/>
  <c r="E24" i="8"/>
  <c r="H27" i="8"/>
  <c r="E27" i="8"/>
  <c r="H30" i="8"/>
  <c r="E30" i="8"/>
  <c r="H26" i="8"/>
  <c r="E26" i="8"/>
  <c r="H28" i="8"/>
  <c r="E28" i="8"/>
  <c r="H25" i="8"/>
  <c r="E25" i="8"/>
  <c r="H23" i="8"/>
  <c r="E23" i="8"/>
  <c r="E61" i="30"/>
  <c r="E62" i="30"/>
  <c r="H62" i="30"/>
  <c r="G62" i="30"/>
  <c r="E60" i="30"/>
  <c r="I12" i="30"/>
  <c r="I15" i="30"/>
  <c r="I16" i="30"/>
  <c r="I17" i="30"/>
  <c r="I18" i="30"/>
  <c r="I19" i="30"/>
  <c r="I20" i="30"/>
  <c r="I21" i="30"/>
  <c r="I22" i="30"/>
  <c r="E18" i="30"/>
  <c r="E19" i="30"/>
  <c r="E20" i="30"/>
  <c r="E21" i="30"/>
  <c r="E22" i="30"/>
  <c r="E23" i="30"/>
  <c r="E24" i="30"/>
  <c r="E10" i="30"/>
  <c r="E11" i="30"/>
  <c r="E12" i="30"/>
  <c r="E13" i="30"/>
  <c r="E15" i="30"/>
  <c r="E16" i="30"/>
  <c r="E17" i="30"/>
  <c r="L54" i="30"/>
  <c r="K54" i="30"/>
  <c r="H54" i="30"/>
  <c r="G54" i="30"/>
  <c r="D54" i="30"/>
  <c r="C54" i="30"/>
  <c r="I51" i="30"/>
  <c r="E51" i="30"/>
  <c r="I50" i="30"/>
  <c r="E50" i="30"/>
  <c r="I48" i="30"/>
  <c r="E48" i="30"/>
  <c r="I47" i="30"/>
  <c r="E47" i="30"/>
  <c r="I46" i="30"/>
  <c r="E46" i="30"/>
  <c r="I45" i="30"/>
  <c r="E45" i="30"/>
  <c r="I44" i="30"/>
  <c r="E44" i="30"/>
  <c r="I43" i="30"/>
  <c r="E43" i="30"/>
  <c r="L40" i="30"/>
  <c r="K40" i="30"/>
  <c r="I40" i="30"/>
  <c r="H40" i="30"/>
  <c r="G40" i="30"/>
  <c r="E40" i="30"/>
  <c r="D40" i="30"/>
  <c r="C40" i="30"/>
  <c r="L27" i="30"/>
  <c r="C40" i="8" s="1"/>
  <c r="K27" i="30"/>
  <c r="G27" i="30"/>
  <c r="G40" i="8" s="1"/>
  <c r="D27" i="30"/>
  <c r="C27" i="30"/>
  <c r="I25" i="30"/>
  <c r="E25" i="30"/>
  <c r="I24" i="30"/>
  <c r="I23" i="30"/>
  <c r="E9" i="30"/>
  <c r="I13" i="30" l="1"/>
  <c r="I27" i="30" s="1"/>
  <c r="H27" i="30"/>
  <c r="F40" i="8" s="1"/>
  <c r="I62" i="30"/>
  <c r="E32" i="8"/>
  <c r="H32" i="8"/>
  <c r="G56" i="30"/>
  <c r="D56" i="30"/>
  <c r="D63" i="30" s="1"/>
  <c r="L56" i="30"/>
  <c r="L63" i="30" s="1"/>
  <c r="C56" i="30"/>
  <c r="C63" i="30" s="1"/>
  <c r="K56" i="30"/>
  <c r="K63" i="30" s="1"/>
  <c r="E54" i="30"/>
  <c r="E27" i="30"/>
  <c r="I54" i="30"/>
  <c r="G63" i="30" l="1"/>
  <c r="K57" i="30"/>
  <c r="H56" i="30"/>
  <c r="H63" i="30" s="1"/>
  <c r="E56" i="30"/>
  <c r="E63" i="30" s="1"/>
  <c r="G57" i="30"/>
  <c r="C57" i="30"/>
  <c r="L57" i="30"/>
  <c r="D57" i="30"/>
  <c r="I56" i="30"/>
  <c r="I63" i="30" s="1"/>
  <c r="H57" i="30" l="1"/>
  <c r="L65" i="30"/>
  <c r="K65" i="30"/>
  <c r="D65" i="30"/>
  <c r="C65" i="30"/>
  <c r="I65" i="30"/>
  <c r="I67" i="30" s="1"/>
  <c r="E65" i="30"/>
  <c r="E67" i="30" s="1"/>
  <c r="C67" i="30" l="1"/>
  <c r="D51" i="8" s="1"/>
  <c r="D52" i="8" s="1"/>
  <c r="D67" i="30"/>
  <c r="K67" i="30"/>
  <c r="L67" i="30"/>
  <c r="F51" i="8"/>
  <c r="F52" i="8" s="1"/>
  <c r="H65" i="30"/>
  <c r="G65" i="30"/>
  <c r="G51" i="8"/>
  <c r="G52" i="8" s="1"/>
  <c r="G67" i="30" l="1"/>
  <c r="H67" i="30"/>
  <c r="B42" i="11"/>
  <c r="E27" i="11"/>
  <c r="D27" i="11"/>
  <c r="C27" i="11"/>
  <c r="B27" i="11"/>
  <c r="E20" i="11"/>
  <c r="D20" i="11"/>
  <c r="C20" i="11"/>
  <c r="B20" i="11"/>
  <c r="E14" i="11"/>
  <c r="D14" i="11"/>
  <c r="C14" i="11"/>
  <c r="B14" i="11"/>
  <c r="B29" i="11" l="1"/>
  <c r="B43" i="11" s="1"/>
  <c r="C29" i="11"/>
  <c r="D29" i="11"/>
  <c r="E29" i="11"/>
  <c r="B45" i="11" l="1"/>
  <c r="C42" i="11"/>
  <c r="C43" i="11" s="1"/>
  <c r="B48" i="11"/>
  <c r="F27" i="11"/>
  <c r="F20" i="11"/>
  <c r="F14" i="11"/>
  <c r="C45" i="11" l="1"/>
  <c r="D42" i="11"/>
  <c r="D43" i="11" s="1"/>
  <c r="C48" i="11"/>
  <c r="F29" i="11"/>
  <c r="F41" i="11" s="1"/>
  <c r="D45" i="11" l="1"/>
  <c r="E42" i="11"/>
  <c r="E43" i="11" s="1"/>
  <c r="D48" i="11"/>
  <c r="R27" i="11"/>
  <c r="R20" i="11"/>
  <c r="R14" i="11"/>
  <c r="K9" i="11"/>
  <c r="H9" i="11"/>
  <c r="E45" i="11" l="1"/>
  <c r="E48" i="11"/>
  <c r="F42" i="11"/>
  <c r="F43" i="11" s="1"/>
  <c r="R29" i="11"/>
  <c r="S27" i="11"/>
  <c r="Q27" i="11"/>
  <c r="P27" i="11"/>
  <c r="O27" i="11"/>
  <c r="N27" i="11"/>
  <c r="M27" i="11"/>
  <c r="L27" i="11"/>
  <c r="K27" i="11"/>
  <c r="J27" i="11"/>
  <c r="I27" i="11"/>
  <c r="H27" i="11"/>
  <c r="G27" i="11"/>
  <c r="S20" i="11"/>
  <c r="Q20" i="11"/>
  <c r="P20" i="11"/>
  <c r="O20" i="11"/>
  <c r="N20" i="11"/>
  <c r="M20" i="11"/>
  <c r="L20" i="11"/>
  <c r="K20" i="11"/>
  <c r="J20" i="11"/>
  <c r="I20" i="11"/>
  <c r="H20" i="11"/>
  <c r="G20" i="11"/>
  <c r="S14" i="11"/>
  <c r="Q14" i="11"/>
  <c r="P14" i="11"/>
  <c r="O14" i="11"/>
  <c r="N14" i="11"/>
  <c r="M14" i="11"/>
  <c r="L14" i="11"/>
  <c r="K14" i="11"/>
  <c r="J14" i="11"/>
  <c r="I14" i="11"/>
  <c r="H14" i="11"/>
  <c r="G14" i="11"/>
  <c r="F45" i="11" l="1"/>
  <c r="L29" i="11"/>
  <c r="L41" i="11" s="1"/>
  <c r="F48" i="11"/>
  <c r="P29" i="11"/>
  <c r="Q29" i="11"/>
  <c r="N29" i="11"/>
  <c r="M29" i="11"/>
  <c r="M41" i="11" s="1"/>
  <c r="I29" i="11"/>
  <c r="J29" i="11"/>
  <c r="H29" i="11"/>
  <c r="S29" i="11"/>
  <c r="S41" i="11" s="1"/>
  <c r="G29" i="11"/>
  <c r="G41" i="11" s="1"/>
  <c r="K29" i="11"/>
  <c r="O29" i="11"/>
  <c r="G42" i="11" l="1"/>
  <c r="G43" i="11" s="1"/>
  <c r="G45" i="11" l="1"/>
  <c r="G48" i="11"/>
  <c r="H42" i="11"/>
  <c r="H43" i="11" s="1"/>
  <c r="H48" i="11" l="1"/>
  <c r="H45" i="11"/>
  <c r="I42" i="11"/>
  <c r="I43" i="11" s="1"/>
  <c r="H49" i="8"/>
  <c r="F12" i="8"/>
  <c r="F39" i="8"/>
  <c r="H44" i="8"/>
  <c r="H37" i="8"/>
  <c r="F20" i="8"/>
  <c r="H19" i="8"/>
  <c r="H17" i="8"/>
  <c r="H16" i="8"/>
  <c r="H15" i="8"/>
  <c r="H10" i="8"/>
  <c r="H9" i="8"/>
  <c r="I45" i="11" l="1"/>
  <c r="F33" i="8"/>
  <c r="F35" i="8" s="1"/>
  <c r="F46" i="8" s="1"/>
  <c r="F34" i="8"/>
  <c r="I48" i="11"/>
  <c r="J42" i="11"/>
  <c r="J43" i="11" s="1"/>
  <c r="G39" i="8"/>
  <c r="D39" i="8"/>
  <c r="E44" i="8"/>
  <c r="H50" i="8"/>
  <c r="E50" i="8"/>
  <c r="E37" i="8"/>
  <c r="G20" i="8"/>
  <c r="D20" i="8"/>
  <c r="J48" i="11" l="1"/>
  <c r="J45" i="11"/>
  <c r="D34" i="8"/>
  <c r="D33" i="8"/>
  <c r="G34" i="8"/>
  <c r="G33" i="8"/>
  <c r="K42" i="11"/>
  <c r="K43" i="11" s="1"/>
  <c r="H20" i="8"/>
  <c r="H33" i="8" s="1"/>
  <c r="E39" i="8"/>
  <c r="H39" i="8"/>
  <c r="C20" i="8"/>
  <c r="C34" i="8" s="1"/>
  <c r="K48" i="11" l="1"/>
  <c r="K45" i="11"/>
  <c r="L42" i="11"/>
  <c r="L43" i="11" s="1"/>
  <c r="C39" i="8"/>
  <c r="E19" i="8"/>
  <c r="E17" i="8"/>
  <c r="E16" i="8"/>
  <c r="E15" i="8"/>
  <c r="G12" i="8"/>
  <c r="G35" i="8" s="1"/>
  <c r="G46" i="8" s="1"/>
  <c r="D12" i="8"/>
  <c r="D35" i="8" s="1"/>
  <c r="D46" i="8" s="1"/>
  <c r="C12" i="8"/>
  <c r="H12" i="8"/>
  <c r="E10" i="8"/>
  <c r="E9" i="8"/>
  <c r="L48" i="11" l="1"/>
  <c r="L45" i="11"/>
  <c r="M42" i="11"/>
  <c r="M43" i="11" s="1"/>
  <c r="H35" i="8"/>
  <c r="H46" i="8" s="1"/>
  <c r="E20" i="8"/>
  <c r="E33" i="8" s="1"/>
  <c r="E12" i="8"/>
  <c r="C33" i="8"/>
  <c r="C35" i="8" s="1"/>
  <c r="C46" i="8" s="1"/>
  <c r="M48" i="11" l="1"/>
  <c r="M45" i="11"/>
  <c r="N42" i="11"/>
  <c r="N43" i="11" s="1"/>
  <c r="N47" i="11" s="1"/>
  <c r="E35" i="8"/>
  <c r="E46" i="8" s="1"/>
  <c r="N45" i="11" l="1"/>
  <c r="O42" i="11"/>
  <c r="O43" i="11" s="1"/>
  <c r="O47" i="11" s="1"/>
  <c r="O45" i="11" l="1"/>
  <c r="E51" i="8"/>
  <c r="E52" i="8" s="1"/>
  <c r="P42" i="11"/>
  <c r="P43" i="11" s="1"/>
  <c r="P47" i="11" s="1"/>
  <c r="P45" i="11" l="1"/>
  <c r="Q42" i="11"/>
  <c r="Q43" i="11" s="1"/>
  <c r="Q47" i="11" s="1"/>
  <c r="Q45" i="11" l="1"/>
  <c r="S42" i="11"/>
  <c r="S43" i="11" s="1"/>
  <c r="S47" i="11" s="1"/>
  <c r="R42" i="11"/>
  <c r="R43" i="11" s="1"/>
  <c r="R47" i="11" s="1"/>
  <c r="R45" i="11" l="1"/>
  <c r="S45" i="11"/>
  <c r="H51" i="8"/>
  <c r="H52" i="8" s="1"/>
</calcChain>
</file>

<file path=xl/sharedStrings.xml><?xml version="1.0" encoding="utf-8"?>
<sst xmlns="http://schemas.openxmlformats.org/spreadsheetml/2006/main" count="241" uniqueCount="173">
  <si>
    <t>INCOME &amp; EXPENDITURE ACCOUNT FOR THE 6 MONTHS TO 31st JANUARY 202X</t>
  </si>
  <si>
    <t>Cumulative YTD</t>
  </si>
  <si>
    <t>Full Year</t>
  </si>
  <si>
    <t>Prior Year</t>
  </si>
  <si>
    <t>Actual</t>
  </si>
  <si>
    <t>Budget</t>
  </si>
  <si>
    <t>Variance</t>
  </si>
  <si>
    <t>Forecast</t>
  </si>
  <si>
    <t>YTD</t>
  </si>
  <si>
    <t>£000s</t>
  </si>
  <si>
    <t>CFFR group</t>
  </si>
  <si>
    <t>INCOME</t>
  </si>
  <si>
    <t>14-16 Income   (funding)</t>
  </si>
  <si>
    <t>14-16 income</t>
  </si>
  <si>
    <t>16-19 Income   (funding)</t>
  </si>
  <si>
    <t>16-19 income (incl. Element 2)</t>
  </si>
  <si>
    <t>Local Authority High Needs - Element 3</t>
  </si>
  <si>
    <t>Apprenticeships Income    (funding)</t>
  </si>
  <si>
    <t>Apprenticeships</t>
  </si>
  <si>
    <t>Adult Education and Training Income (funding)</t>
  </si>
  <si>
    <t>Adult Skills Fund (ASF)</t>
  </si>
  <si>
    <t>Devolved ASF</t>
  </si>
  <si>
    <t>Advanced Learner Loans</t>
  </si>
  <si>
    <t>HE Income  (funding)</t>
  </si>
  <si>
    <t xml:space="preserve">OFS </t>
  </si>
  <si>
    <t>HE Loans</t>
  </si>
  <si>
    <t xml:space="preserve">Other income from provision of education </t>
  </si>
  <si>
    <t>Other Funding body grants</t>
  </si>
  <si>
    <t>Other income from provision of education (fees)</t>
  </si>
  <si>
    <t>Full Cost Fees</t>
  </si>
  <si>
    <t>Apprenticeship Fees</t>
  </si>
  <si>
    <t>Other Tuition Fee Income</t>
  </si>
  <si>
    <t>Commercial income</t>
  </si>
  <si>
    <t>Catering</t>
  </si>
  <si>
    <t>Nursery</t>
  </si>
  <si>
    <t>Other commercial income</t>
  </si>
  <si>
    <t>Other income</t>
  </si>
  <si>
    <t>Other Income</t>
  </si>
  <si>
    <t>TOTAL OPERATING INCOME</t>
  </si>
  <si>
    <t>of which is from sub-contracting</t>
  </si>
  <si>
    <t>PAY</t>
  </si>
  <si>
    <t>Teaching staff</t>
  </si>
  <si>
    <t>Teaching - sessional</t>
  </si>
  <si>
    <t>Contracted tuition services</t>
  </si>
  <si>
    <t>Teaching and other support staff</t>
  </si>
  <si>
    <t>Administration staff</t>
  </si>
  <si>
    <t>Operational &amp; maintenance staff</t>
  </si>
  <si>
    <t>Commercial staff costs</t>
  </si>
  <si>
    <t>Catering Staff</t>
  </si>
  <si>
    <t>Nursery Staff</t>
  </si>
  <si>
    <t>TOTAL PAY</t>
  </si>
  <si>
    <t>Teaching costs</t>
  </si>
  <si>
    <t>NON PAY</t>
  </si>
  <si>
    <t>Teaching and other support costs</t>
  </si>
  <si>
    <t>Administration costs</t>
  </si>
  <si>
    <t>Operational &amp; maintenance costs</t>
  </si>
  <si>
    <t>Examination costs</t>
  </si>
  <si>
    <t>Rent and lease costs</t>
  </si>
  <si>
    <t>Commercial costs</t>
  </si>
  <si>
    <t>Catering costs</t>
  </si>
  <si>
    <t>Subcontracting out costs</t>
  </si>
  <si>
    <t>Nursery costs</t>
  </si>
  <si>
    <t>Other operating expenditure costs</t>
  </si>
  <si>
    <t>Subcontracting costs</t>
  </si>
  <si>
    <t>Other operating expenditure</t>
  </si>
  <si>
    <t>TOTAL NON PAY</t>
  </si>
  <si>
    <t>Education-specific EBITDA</t>
  </si>
  <si>
    <t>EBITDA as % of Income</t>
  </si>
  <si>
    <t>Release of DCGs</t>
  </si>
  <si>
    <t>Depreciation and amortisation</t>
  </si>
  <si>
    <t>Interest and investment income</t>
  </si>
  <si>
    <t>Interest and other finance costs</t>
  </si>
  <si>
    <t>Operating Surplus/(deficit) after ITDA</t>
  </si>
  <si>
    <t>Surplus/(deficit) after ITDA</t>
  </si>
  <si>
    <t>FRS102 adj. - current service costs (non-cash)</t>
  </si>
  <si>
    <t>TCI</t>
  </si>
  <si>
    <t>BALANCE SHEET AS AT 31st JANUARY 202X</t>
  </si>
  <si>
    <t>Opening</t>
  </si>
  <si>
    <t>Balance</t>
  </si>
  <si>
    <t>as at</t>
  </si>
  <si>
    <t>Movement</t>
  </si>
  <si>
    <t>Budget v Forecast</t>
  </si>
  <si>
    <t>1 Aug</t>
  </si>
  <si>
    <t>January 202X</t>
  </si>
  <si>
    <t>ytd</t>
  </si>
  <si>
    <t>31 July 202X</t>
  </si>
  <si>
    <t>Full year</t>
  </si>
  <si>
    <t>Fixed Assets</t>
  </si>
  <si>
    <t xml:space="preserve">Land &amp; Buildings </t>
  </si>
  <si>
    <t xml:space="preserve">Equipment   </t>
  </si>
  <si>
    <t>Total Fixed Assets</t>
  </si>
  <si>
    <t>Current Assets</t>
  </si>
  <si>
    <t>Stock</t>
  </si>
  <si>
    <t>Trade Receivables</t>
  </si>
  <si>
    <t>Other Receivables &amp; Prepayments</t>
  </si>
  <si>
    <t>Cash and cash equivalents</t>
  </si>
  <si>
    <t>Total Current Assets</t>
  </si>
  <si>
    <t>Creditors due within one year</t>
  </si>
  <si>
    <t>Commercial Loans</t>
  </si>
  <si>
    <t>Capital Grant Liability</t>
  </si>
  <si>
    <t>Trade Payables</t>
  </si>
  <si>
    <t>Other Payments on Account</t>
  </si>
  <si>
    <t>Deferred Income</t>
  </si>
  <si>
    <t>Accruals</t>
  </si>
  <si>
    <t>Holiday and Sabbatical Pay Accrual</t>
  </si>
  <si>
    <t>Other Taxation and Social Security</t>
  </si>
  <si>
    <t>Total Creditors due within one year</t>
  </si>
  <si>
    <t>Net Current Assets/(Liabilities)</t>
  </si>
  <si>
    <t>Adjusted current ratio</t>
  </si>
  <si>
    <t>Total assets less current liabilities</t>
  </si>
  <si>
    <t>Creditors: Amounts falling due after one year</t>
  </si>
  <si>
    <t>Commercial loans</t>
  </si>
  <si>
    <t>Capital Grants</t>
  </si>
  <si>
    <t>Total Creditors: Amounts falling due after one year</t>
  </si>
  <si>
    <t>Total borrowing as % of income</t>
  </si>
  <si>
    <t>Provisions</t>
  </si>
  <si>
    <t>Local Government Pension Scheme Provision</t>
  </si>
  <si>
    <t>Total Provisions</t>
  </si>
  <si>
    <t>Total Net Assets</t>
  </si>
  <si>
    <t>Reserves</t>
  </si>
  <si>
    <t>Pension Reserve</t>
  </si>
  <si>
    <t>Revaluation Reserve</t>
  </si>
  <si>
    <t>Income and Expenditure Reserve</t>
  </si>
  <si>
    <t>Total Reserves</t>
  </si>
  <si>
    <t>WEATHERBURY COLLEGE - 12 month rolling cashflow forecast</t>
  </si>
  <si>
    <t>All amounts £'000s</t>
  </si>
  <si>
    <t>Aug</t>
  </si>
  <si>
    <t>Sep</t>
  </si>
  <si>
    <t>Oct</t>
  </si>
  <si>
    <t>Nov</t>
  </si>
  <si>
    <t>Dec</t>
  </si>
  <si>
    <t>Jan 202X</t>
  </si>
  <si>
    <t>Feb</t>
  </si>
  <si>
    <t>Mar</t>
  </si>
  <si>
    <t>Apr</t>
  </si>
  <si>
    <t>May</t>
  </si>
  <si>
    <t>Jun</t>
  </si>
  <si>
    <t>Jul</t>
  </si>
  <si>
    <t>Jan</t>
  </si>
  <si>
    <t>Operating Receipts</t>
  </si>
  <si>
    <t>16-19 Allocation</t>
  </si>
  <si>
    <t>Student Loans (HE &amp; ALL)</t>
  </si>
  <si>
    <t>OfS</t>
  </si>
  <si>
    <t>Other funding body grants</t>
  </si>
  <si>
    <t>Other fees &amp; contracts</t>
  </si>
  <si>
    <t>Other income generating activities</t>
  </si>
  <si>
    <t>Total Operating Receipts</t>
  </si>
  <si>
    <t>Payroll</t>
  </si>
  <si>
    <t>Salaries</t>
  </si>
  <si>
    <t>Pension (TPS &amp; LGPS)</t>
  </si>
  <si>
    <t>HMRC</t>
  </si>
  <si>
    <t>Total Payroll</t>
  </si>
  <si>
    <t>Operating payments</t>
  </si>
  <si>
    <t>Supplier payments</t>
  </si>
  <si>
    <t>Sub Contractor</t>
  </si>
  <si>
    <t>HMRC VAT</t>
  </si>
  <si>
    <t>Prior year funding adjust</t>
  </si>
  <si>
    <t>Total operating payments</t>
  </si>
  <si>
    <t>Cash movement on operating activities</t>
  </si>
  <si>
    <t>Annual Capex</t>
  </si>
  <si>
    <t>Payments</t>
  </si>
  <si>
    <t>Net expenditure on Capex</t>
  </si>
  <si>
    <t>Financing</t>
  </si>
  <si>
    <t>Interest received</t>
  </si>
  <si>
    <t>Bank Loan repayments</t>
  </si>
  <si>
    <t>Total Financing</t>
  </si>
  <si>
    <t>Net cash movement for period</t>
  </si>
  <si>
    <t>Opening Balance</t>
  </si>
  <si>
    <t>Closing Balance</t>
  </si>
  <si>
    <t>Cash Days - Closing balance</t>
  </si>
  <si>
    <t>Budget closing balance</t>
  </si>
  <si>
    <t>Actual closing balance</t>
  </si>
  <si>
    <t>Restricted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</si>
</sst>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#;\(#,###\)"/>
    <numFmt numFmtId="167" formatCode="#,##0;\(#,##0\)"/>
    <numFmt numFmtId="168" formatCode="_-* #,##0_-;* \(#,##0\)_-;_-* &quot;-&quot;??_-;_-@_-"/>
    <numFmt numFmtId="169" formatCode="&quot;Forecast&quot;;&quot;Act/For&quot;;&quot;Actual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20"/>
      <name val="Times New Roman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1" fillId="0" borderId="0">
      <alignment wrapText="1"/>
    </xf>
    <xf numFmtId="168" fontId="1" fillId="8" borderId="24"/>
    <xf numFmtId="168" fontId="1" fillId="5" borderId="24"/>
    <xf numFmtId="168" fontId="1" fillId="8" borderId="24"/>
    <xf numFmtId="168" fontId="2" fillId="9" borderId="24"/>
    <xf numFmtId="0" fontId="15" fillId="0" borderId="0" applyFill="0"/>
    <xf numFmtId="168" fontId="16" fillId="10" borderId="0" applyBorder="0" applyAlignment="0"/>
    <xf numFmtId="169" fontId="16" fillId="10" borderId="0"/>
    <xf numFmtId="15" fontId="16" fillId="10" borderId="0"/>
  </cellStyleXfs>
  <cellXfs count="283">
    <xf numFmtId="0" fontId="0" fillId="0" borderId="0" xfId="0"/>
    <xf numFmtId="0" fontId="7" fillId="0" borderId="0" xfId="0" applyFont="1"/>
    <xf numFmtId="0" fontId="7" fillId="0" borderId="15" xfId="0" applyFont="1" applyBorder="1"/>
    <xf numFmtId="0" fontId="7" fillId="0" borderId="2" xfId="0" applyFont="1" applyBorder="1"/>
    <xf numFmtId="0" fontId="5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7" fillId="0" borderId="0" xfId="3" applyFont="1"/>
    <xf numFmtId="3" fontId="9" fillId="0" borderId="9" xfId="0" applyNumberFormat="1" applyFont="1" applyBorder="1"/>
    <xf numFmtId="0" fontId="9" fillId="0" borderId="0" xfId="0" applyFont="1"/>
    <xf numFmtId="3" fontId="5" fillId="0" borderId="12" xfId="0" applyNumberFormat="1" applyFont="1" applyBorder="1"/>
    <xf numFmtId="3" fontId="9" fillId="0" borderId="12" xfId="0" applyNumberFormat="1" applyFont="1" applyBorder="1"/>
    <xf numFmtId="3" fontId="7" fillId="0" borderId="12" xfId="0" applyNumberFormat="1" applyFont="1" applyBorder="1"/>
    <xf numFmtId="165" fontId="7" fillId="0" borderId="2" xfId="1" applyNumberFormat="1" applyFont="1" applyBorder="1"/>
    <xf numFmtId="165" fontId="7" fillId="0" borderId="0" xfId="1" applyNumberFormat="1" applyFont="1" applyBorder="1"/>
    <xf numFmtId="165" fontId="7" fillId="0" borderId="0" xfId="1" applyNumberFormat="1" applyFont="1" applyFill="1" applyBorder="1"/>
    <xf numFmtId="165" fontId="5" fillId="0" borderId="0" xfId="1" applyNumberFormat="1" applyFont="1" applyFill="1" applyBorder="1"/>
    <xf numFmtId="0" fontId="5" fillId="4" borderId="0" xfId="0" applyFont="1" applyFill="1" applyAlignment="1">
      <alignment horizontal="left" indent="1"/>
    </xf>
    <xf numFmtId="165" fontId="5" fillId="4" borderId="12" xfId="1" applyNumberFormat="1" applyFont="1" applyFill="1" applyBorder="1"/>
    <xf numFmtId="165" fontId="5" fillId="4" borderId="0" xfId="1" applyNumberFormat="1" applyFont="1" applyFill="1" applyBorder="1"/>
    <xf numFmtId="0" fontId="7" fillId="4" borderId="7" xfId="0" applyFont="1" applyFill="1" applyBorder="1" applyAlignment="1">
      <alignment horizontal="left" indent="1"/>
    </xf>
    <xf numFmtId="0" fontId="0" fillId="4" borderId="0" xfId="0" applyFill="1"/>
    <xf numFmtId="166" fontId="5" fillId="0" borderId="13" xfId="0" applyNumberFormat="1" applyFont="1" applyBorder="1"/>
    <xf numFmtId="166" fontId="7" fillId="0" borderId="13" xfId="0" applyNumberFormat="1" applyFont="1" applyBorder="1"/>
    <xf numFmtId="3" fontId="5" fillId="6" borderId="12" xfId="0" applyNumberFormat="1" applyFont="1" applyFill="1" applyBorder="1" applyAlignment="1">
      <alignment horizontal="center"/>
    </xf>
    <xf numFmtId="0" fontId="5" fillId="0" borderId="0" xfId="0" applyFont="1"/>
    <xf numFmtId="0" fontId="9" fillId="0" borderId="12" xfId="0" applyFont="1" applyBorder="1"/>
    <xf numFmtId="3" fontId="5" fillId="6" borderId="13" xfId="0" applyNumberFormat="1" applyFont="1" applyFill="1" applyBorder="1"/>
    <xf numFmtId="0" fontId="0" fillId="0" borderId="21" xfId="0" applyBorder="1"/>
    <xf numFmtId="167" fontId="10" fillId="0" borderId="0" xfId="0" applyNumberFormat="1" applyFont="1"/>
    <xf numFmtId="0" fontId="8" fillId="6" borderId="20" xfId="0" applyFont="1" applyFill="1" applyBorder="1"/>
    <xf numFmtId="0" fontId="8" fillId="6" borderId="6" xfId="0" applyFont="1" applyFill="1" applyBorder="1"/>
    <xf numFmtId="165" fontId="7" fillId="0" borderId="2" xfId="1" applyNumberFormat="1" applyFont="1" applyBorder="1" applyAlignment="1">
      <alignment horizontal="right"/>
    </xf>
    <xf numFmtId="165" fontId="7" fillId="0" borderId="2" xfId="1" applyNumberFormat="1" applyFont="1" applyBorder="1" applyAlignment="1"/>
    <xf numFmtId="167" fontId="7" fillId="0" borderId="13" xfId="1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0" fontId="17" fillId="4" borderId="7" xfId="0" applyFont="1" applyFill="1" applyBorder="1" applyAlignment="1">
      <alignment horizontal="left" indent="1"/>
    </xf>
    <xf numFmtId="165" fontId="18" fillId="0" borderId="0" xfId="1" applyNumberFormat="1" applyFont="1" applyFill="1" applyBorder="1"/>
    <xf numFmtId="165" fontId="17" fillId="0" borderId="0" xfId="1" applyNumberFormat="1" applyFont="1" applyFill="1" applyBorder="1"/>
    <xf numFmtId="165" fontId="7" fillId="0" borderId="15" xfId="1" applyNumberFormat="1" applyFont="1" applyBorder="1"/>
    <xf numFmtId="165" fontId="7" fillId="0" borderId="13" xfId="1" applyNumberFormat="1" applyFont="1" applyBorder="1" applyAlignment="1"/>
    <xf numFmtId="0" fontId="7" fillId="0" borderId="12" xfId="0" applyFont="1" applyBorder="1"/>
    <xf numFmtId="0" fontId="5" fillId="0" borderId="12" xfId="0" applyFont="1" applyBorder="1"/>
    <xf numFmtId="0" fontId="7" fillId="0" borderId="12" xfId="3" applyFont="1" applyBorder="1"/>
    <xf numFmtId="0" fontId="5" fillId="4" borderId="12" xfId="0" applyFont="1" applyFill="1" applyBorder="1" applyAlignment="1">
      <alignment horizontal="left" indent="1"/>
    </xf>
    <xf numFmtId="165" fontId="5" fillId="4" borderId="2" xfId="1" applyNumberFormat="1" applyFont="1" applyFill="1" applyBorder="1"/>
    <xf numFmtId="165" fontId="7" fillId="0" borderId="0" xfId="1" applyNumberFormat="1" applyFont="1" applyBorder="1" applyAlignment="1"/>
    <xf numFmtId="0" fontId="7" fillId="0" borderId="2" xfId="0" applyFont="1" applyBorder="1" applyAlignment="1">
      <alignment horizontal="left" indent="1"/>
    </xf>
    <xf numFmtId="0" fontId="5" fillId="4" borderId="2" xfId="0" applyFont="1" applyFill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8" fillId="6" borderId="12" xfId="0" applyFont="1" applyFill="1" applyBorder="1"/>
    <xf numFmtId="0" fontId="7" fillId="0" borderId="1" xfId="0" applyFont="1" applyBorder="1"/>
    <xf numFmtId="0" fontId="7" fillId="0" borderId="3" xfId="0" applyFont="1" applyBorder="1"/>
    <xf numFmtId="165" fontId="7" fillId="4" borderId="1" xfId="1" applyNumberFormat="1" applyFont="1" applyFill="1" applyBorder="1"/>
    <xf numFmtId="165" fontId="7" fillId="4" borderId="9" xfId="1" applyNumberFormat="1" applyFont="1" applyFill="1" applyBorder="1"/>
    <xf numFmtId="165" fontId="17" fillId="4" borderId="3" xfId="1" applyNumberFormat="1" applyFont="1" applyFill="1" applyBorder="1"/>
    <xf numFmtId="165" fontId="17" fillId="4" borderId="14" xfId="1" applyNumberFormat="1" applyFont="1" applyFill="1" applyBorder="1"/>
    <xf numFmtId="165" fontId="7" fillId="0" borderId="12" xfId="1" applyNumberFormat="1" applyFont="1" applyBorder="1" applyAlignment="1">
      <alignment horizontal="right"/>
    </xf>
    <xf numFmtId="167" fontId="7" fillId="0" borderId="0" xfId="1" applyNumberFormat="1" applyFont="1" applyBorder="1" applyAlignment="1">
      <alignment horizontal="right"/>
    </xf>
    <xf numFmtId="165" fontId="7" fillId="0" borderId="0" xfId="1" applyNumberFormat="1" applyFont="1" applyBorder="1" applyAlignment="1">
      <alignment horizontal="right"/>
    </xf>
    <xf numFmtId="165" fontId="17" fillId="4" borderId="16" xfId="1" applyNumberFormat="1" applyFont="1" applyFill="1" applyBorder="1"/>
    <xf numFmtId="167" fontId="5" fillId="4" borderId="13" xfId="1" applyNumberFormat="1" applyFont="1" applyFill="1" applyBorder="1"/>
    <xf numFmtId="165" fontId="7" fillId="4" borderId="3" xfId="1" applyNumberFormat="1" applyFont="1" applyFill="1" applyBorder="1"/>
    <xf numFmtId="0" fontId="17" fillId="4" borderId="0" xfId="0" applyFont="1" applyFill="1" applyAlignment="1">
      <alignment horizontal="left" indent="1"/>
    </xf>
    <xf numFmtId="165" fontId="17" fillId="4" borderId="13" xfId="1" applyNumberFormat="1" applyFont="1" applyFill="1" applyBorder="1"/>
    <xf numFmtId="165" fontId="17" fillId="4" borderId="2" xfId="1" applyNumberFormat="1" applyFont="1" applyFill="1" applyBorder="1"/>
    <xf numFmtId="165" fontId="17" fillId="4" borderId="0" xfId="1" applyNumberFormat="1" applyFont="1" applyFill="1" applyBorder="1"/>
    <xf numFmtId="43" fontId="7" fillId="0" borderId="1" xfId="1" applyFont="1" applyBorder="1"/>
    <xf numFmtId="43" fontId="7" fillId="0" borderId="2" xfId="1" applyFont="1" applyBorder="1"/>
    <xf numFmtId="43" fontId="7" fillId="0" borderId="0" xfId="1" applyFont="1" applyBorder="1"/>
    <xf numFmtId="43" fontId="7" fillId="0" borderId="13" xfId="1" applyFont="1" applyBorder="1" applyAlignment="1">
      <alignment horizontal="right"/>
    </xf>
    <xf numFmtId="43" fontId="7" fillId="0" borderId="2" xfId="1" applyFont="1" applyBorder="1" applyAlignment="1">
      <alignment horizontal="right"/>
    </xf>
    <xf numFmtId="43" fontId="7" fillId="0" borderId="13" xfId="1" applyFont="1" applyBorder="1"/>
    <xf numFmtId="43" fontId="7" fillId="0" borderId="13" xfId="1" applyFont="1" applyFill="1" applyBorder="1"/>
    <xf numFmtId="165" fontId="8" fillId="6" borderId="0" xfId="1" applyNumberFormat="1" applyFont="1" applyFill="1" applyBorder="1"/>
    <xf numFmtId="165" fontId="8" fillId="6" borderId="7" xfId="1" applyNumberFormat="1" applyFont="1" applyFill="1" applyBorder="1"/>
    <xf numFmtId="165" fontId="8" fillId="6" borderId="13" xfId="1" applyNumberFormat="1" applyFont="1" applyFill="1" applyBorder="1"/>
    <xf numFmtId="165" fontId="6" fillId="0" borderId="0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0" borderId="1" xfId="1" applyNumberFormat="1" applyFont="1" applyBorder="1"/>
    <xf numFmtId="165" fontId="8" fillId="0" borderId="12" xfId="1" applyNumberFormat="1" applyFont="1" applyBorder="1"/>
    <xf numFmtId="165" fontId="8" fillId="0" borderId="0" xfId="1" applyNumberFormat="1" applyFont="1" applyBorder="1"/>
    <xf numFmtId="165" fontId="7" fillId="0" borderId="13" xfId="1" applyNumberFormat="1" applyFont="1" applyBorder="1" applyAlignment="1">
      <alignment horizontal="right"/>
    </xf>
    <xf numFmtId="165" fontId="8" fillId="0" borderId="12" xfId="1" applyNumberFormat="1" applyFont="1" applyBorder="1" applyAlignment="1">
      <alignment horizontal="right"/>
    </xf>
    <xf numFmtId="165" fontId="7" fillId="0" borderId="3" xfId="1" applyNumberFormat="1" applyFont="1" applyBorder="1" applyAlignment="1">
      <alignment horizontal="right"/>
    </xf>
    <xf numFmtId="165" fontId="5" fillId="4" borderId="13" xfId="1" applyNumberFormat="1" applyFont="1" applyFill="1" applyBorder="1"/>
    <xf numFmtId="165" fontId="11" fillId="6" borderId="9" xfId="1" applyNumberFormat="1" applyFont="1" applyFill="1" applyBorder="1"/>
    <xf numFmtId="165" fontId="11" fillId="6" borderId="19" xfId="1" applyNumberFormat="1" applyFont="1" applyFill="1" applyBorder="1"/>
    <xf numFmtId="165" fontId="11" fillId="6" borderId="21" xfId="1" applyNumberFormat="1" applyFont="1" applyFill="1" applyBorder="1"/>
    <xf numFmtId="165" fontId="0" fillId="0" borderId="0" xfId="1" applyNumberFormat="1" applyFont="1" applyBorder="1"/>
    <xf numFmtId="165" fontId="5" fillId="6" borderId="2" xfId="1" applyNumberFormat="1" applyFont="1" applyFill="1" applyBorder="1" applyAlignment="1">
      <alignment horizontal="right"/>
    </xf>
    <xf numFmtId="165" fontId="5" fillId="6" borderId="12" xfId="1" applyNumberFormat="1" applyFont="1" applyFill="1" applyBorder="1" applyAlignment="1">
      <alignment horizontal="right"/>
    </xf>
    <xf numFmtId="165" fontId="5" fillId="6" borderId="3" xfId="1" applyNumberFormat="1" applyFont="1" applyFill="1" applyBorder="1" applyAlignment="1">
      <alignment horizontal="right"/>
    </xf>
    <xf numFmtId="165" fontId="5" fillId="6" borderId="14" xfId="1" applyNumberFormat="1" applyFont="1" applyFill="1" applyBorder="1" applyAlignment="1">
      <alignment horizontal="right"/>
    </xf>
    <xf numFmtId="165" fontId="5" fillId="6" borderId="11" xfId="1" applyNumberFormat="1" applyFont="1" applyFill="1" applyBorder="1" applyAlignment="1">
      <alignment horizontal="right"/>
    </xf>
    <xf numFmtId="165" fontId="5" fillId="6" borderId="13" xfId="1" applyNumberFormat="1" applyFont="1" applyFill="1" applyBorder="1" applyAlignment="1">
      <alignment horizontal="right"/>
    </xf>
    <xf numFmtId="165" fontId="5" fillId="6" borderId="16" xfId="1" applyNumberFormat="1" applyFont="1" applyFill="1" applyBorder="1" applyAlignment="1">
      <alignment horizontal="right"/>
    </xf>
    <xf numFmtId="165" fontId="5" fillId="6" borderId="1" xfId="1" applyNumberFormat="1" applyFont="1" applyFill="1" applyBorder="1" applyAlignment="1">
      <alignment horizontal="right"/>
    </xf>
    <xf numFmtId="166" fontId="7" fillId="0" borderId="2" xfId="1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0" fontId="7" fillId="4" borderId="9" xfId="3" applyFont="1" applyFill="1" applyBorder="1"/>
    <xf numFmtId="165" fontId="7" fillId="4" borderId="10" xfId="1" applyNumberFormat="1" applyFont="1" applyFill="1" applyBorder="1" applyAlignment="1">
      <alignment horizontal="right"/>
    </xf>
    <xf numFmtId="165" fontId="7" fillId="4" borderId="11" xfId="1" applyNumberFormat="1" applyFont="1" applyFill="1" applyBorder="1" applyAlignment="1">
      <alignment horizontal="right"/>
    </xf>
    <xf numFmtId="0" fontId="17" fillId="4" borderId="12" xfId="0" applyFont="1" applyFill="1" applyBorder="1" applyAlignment="1">
      <alignment horizontal="left" indent="1"/>
    </xf>
    <xf numFmtId="0" fontId="17" fillId="4" borderId="14" xfId="0" applyFont="1" applyFill="1" applyBorder="1" applyAlignment="1">
      <alignment horizontal="left" indent="1"/>
    </xf>
    <xf numFmtId="165" fontId="17" fillId="4" borderId="15" xfId="1" applyNumberFormat="1" applyFont="1" applyFill="1" applyBorder="1"/>
    <xf numFmtId="165" fontId="7" fillId="4" borderId="9" xfId="1" applyNumberFormat="1" applyFont="1" applyFill="1" applyBorder="1" applyAlignment="1">
      <alignment horizontal="right"/>
    </xf>
    <xf numFmtId="165" fontId="17" fillId="4" borderId="12" xfId="1" applyNumberFormat="1" applyFont="1" applyFill="1" applyBorder="1"/>
    <xf numFmtId="165" fontId="7" fillId="4" borderId="1" xfId="1" applyNumberFormat="1" applyFont="1" applyFill="1" applyBorder="1" applyAlignment="1">
      <alignment horizontal="right"/>
    </xf>
    <xf numFmtId="167" fontId="5" fillId="4" borderId="2" xfId="1" applyNumberFormat="1" applyFont="1" applyFill="1" applyBorder="1"/>
    <xf numFmtId="166" fontId="7" fillId="0" borderId="13" xfId="1" applyNumberFormat="1" applyFont="1" applyBorder="1" applyAlignment="1">
      <alignment horizontal="right"/>
    </xf>
    <xf numFmtId="166" fontId="11" fillId="6" borderId="19" xfId="1" applyNumberFormat="1" applyFont="1" applyFill="1" applyBorder="1"/>
    <xf numFmtId="167" fontId="7" fillId="0" borderId="15" xfId="1" applyNumberFormat="1" applyFont="1" applyBorder="1"/>
    <xf numFmtId="43" fontId="7" fillId="0" borderId="2" xfId="1" applyFont="1" applyFill="1" applyBorder="1" applyAlignment="1">
      <alignment horizontal="right"/>
    </xf>
    <xf numFmtId="165" fontId="7" fillId="4" borderId="10" xfId="1" applyNumberFormat="1" applyFont="1" applyFill="1" applyBorder="1"/>
    <xf numFmtId="165" fontId="7" fillId="4" borderId="15" xfId="1" applyNumberFormat="1" applyFont="1" applyFill="1" applyBorder="1"/>
    <xf numFmtId="0" fontId="7" fillId="4" borderId="1" xfId="0" applyFont="1" applyFill="1" applyBorder="1" applyAlignment="1">
      <alignment horizontal="left" indent="1"/>
    </xf>
    <xf numFmtId="0" fontId="7" fillId="4" borderId="3" xfId="0" applyFont="1" applyFill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7" fillId="0" borderId="3" xfId="0" applyFont="1" applyBorder="1" applyAlignment="1">
      <alignment horizontal="left" indent="1"/>
    </xf>
    <xf numFmtId="165" fontId="7" fillId="0" borderId="1" xfId="1" applyNumberFormat="1" applyFont="1" applyBorder="1" applyAlignment="1"/>
    <xf numFmtId="165" fontId="7" fillId="0" borderId="11" xfId="1" applyNumberFormat="1" applyFont="1" applyBorder="1" applyAlignment="1"/>
    <xf numFmtId="165" fontId="7" fillId="0" borderId="16" xfId="1" applyNumberFormat="1" applyFont="1" applyBorder="1" applyAlignment="1">
      <alignment horizontal="right"/>
    </xf>
    <xf numFmtId="166" fontId="7" fillId="0" borderId="16" xfId="1" applyNumberFormat="1" applyFont="1" applyBorder="1" applyAlignment="1">
      <alignment horizontal="right"/>
    </xf>
    <xf numFmtId="165" fontId="7" fillId="0" borderId="11" xfId="1" applyNumberFormat="1" applyFont="1" applyBorder="1" applyAlignment="1">
      <alignment horizontal="right"/>
    </xf>
    <xf numFmtId="165" fontId="7" fillId="4" borderId="16" xfId="1" applyNumberFormat="1" applyFont="1" applyFill="1" applyBorder="1"/>
    <xf numFmtId="0" fontId="0" fillId="4" borderId="9" xfId="0" applyFill="1" applyBorder="1"/>
    <xf numFmtId="0" fontId="7" fillId="4" borderId="14" xfId="0" applyFont="1" applyFill="1" applyBorder="1" applyAlignment="1">
      <alignment horizontal="left" indent="1"/>
    </xf>
    <xf numFmtId="165" fontId="7" fillId="4" borderId="14" xfId="1" applyNumberFormat="1" applyFont="1" applyFill="1" applyBorder="1"/>
    <xf numFmtId="167" fontId="7" fillId="4" borderId="16" xfId="1" applyNumberFormat="1" applyFont="1" applyFill="1" applyBorder="1"/>
    <xf numFmtId="167" fontId="7" fillId="4" borderId="11" xfId="1" applyNumberFormat="1" applyFont="1" applyFill="1" applyBorder="1"/>
    <xf numFmtId="166" fontId="7" fillId="4" borderId="11" xfId="1" applyNumberFormat="1" applyFont="1" applyFill="1" applyBorder="1"/>
    <xf numFmtId="166" fontId="5" fillId="4" borderId="13" xfId="1" applyNumberFormat="1" applyFont="1" applyFill="1" applyBorder="1"/>
    <xf numFmtId="165" fontId="7" fillId="4" borderId="11" xfId="1" applyNumberFormat="1" applyFont="1" applyFill="1" applyBorder="1"/>
    <xf numFmtId="166" fontId="11" fillId="6" borderId="10" xfId="1" applyNumberFormat="1" applyFont="1" applyFill="1" applyBorder="1"/>
    <xf numFmtId="166" fontId="7" fillId="0" borderId="13" xfId="1" applyNumberFormat="1" applyFont="1" applyFill="1" applyBorder="1"/>
    <xf numFmtId="166" fontId="7" fillId="0" borderId="12" xfId="1" applyNumberFormat="1" applyFont="1" applyFill="1" applyBorder="1"/>
    <xf numFmtId="166" fontId="7" fillId="0" borderId="1" xfId="1" applyNumberFormat="1" applyFont="1" applyFill="1" applyBorder="1"/>
    <xf numFmtId="166" fontId="7" fillId="0" borderId="2" xfId="1" applyNumberFormat="1" applyFont="1" applyFill="1" applyBorder="1"/>
    <xf numFmtId="43" fontId="7" fillId="0" borderId="3" xfId="1" applyFont="1" applyBorder="1"/>
    <xf numFmtId="166" fontId="7" fillId="0" borderId="9" xfId="1" applyNumberFormat="1" applyFont="1" applyFill="1" applyBorder="1"/>
    <xf numFmtId="43" fontId="7" fillId="0" borderId="11" xfId="1" applyFont="1" applyFill="1" applyBorder="1"/>
    <xf numFmtId="166" fontId="7" fillId="0" borderId="11" xfId="1" applyNumberFormat="1" applyFont="1" applyFill="1" applyBorder="1"/>
    <xf numFmtId="166" fontId="9" fillId="0" borderId="13" xfId="1" applyNumberFormat="1" applyFont="1" applyBorder="1"/>
    <xf numFmtId="165" fontId="7" fillId="0" borderId="3" xfId="1" applyNumberFormat="1" applyFont="1" applyBorder="1"/>
    <xf numFmtId="166" fontId="11" fillId="6" borderId="21" xfId="1" applyNumberFormat="1" applyFont="1" applyFill="1" applyBorder="1"/>
    <xf numFmtId="166" fontId="7" fillId="0" borderId="1" xfId="1" applyNumberFormat="1" applyFont="1" applyBorder="1"/>
    <xf numFmtId="166" fontId="7" fillId="0" borderId="2" xfId="1" applyNumberFormat="1" applyFont="1" applyBorder="1"/>
    <xf numFmtId="166" fontId="7" fillId="0" borderId="3" xfId="1" applyNumberFormat="1" applyFont="1" applyBorder="1"/>
    <xf numFmtId="166" fontId="7" fillId="0" borderId="0" xfId="1" applyNumberFormat="1" applyFont="1" applyBorder="1"/>
    <xf numFmtId="166" fontId="11" fillId="6" borderId="23" xfId="1" applyNumberFormat="1" applyFont="1" applyFill="1" applyBorder="1"/>
    <xf numFmtId="164" fontId="14" fillId="0" borderId="0" xfId="2" applyNumberFormat="1" applyFont="1" applyFill="1" applyBorder="1"/>
    <xf numFmtId="165" fontId="5" fillId="6" borderId="9" xfId="1" applyNumberFormat="1" applyFont="1" applyFill="1" applyBorder="1" applyAlignment="1">
      <alignment horizontal="right"/>
    </xf>
    <xf numFmtId="165" fontId="0" fillId="0" borderId="15" xfId="1" applyNumberFormat="1" applyFont="1" applyBorder="1"/>
    <xf numFmtId="167" fontId="0" fillId="0" borderId="16" xfId="1" applyNumberFormat="1" applyFont="1" applyBorder="1"/>
    <xf numFmtId="164" fontId="3" fillId="0" borderId="0" xfId="2" applyNumberFormat="1" applyFont="1" applyFill="1" applyBorder="1"/>
    <xf numFmtId="165" fontId="0" fillId="0" borderId="14" xfId="1" applyNumberFormat="1" applyFont="1" applyBorder="1"/>
    <xf numFmtId="165" fontId="0" fillId="0" borderId="16" xfId="1" applyNumberFormat="1" applyFont="1" applyBorder="1"/>
    <xf numFmtId="166" fontId="0" fillId="0" borderId="14" xfId="1" applyNumberFormat="1" applyFont="1" applyBorder="1"/>
    <xf numFmtId="164" fontId="3" fillId="3" borderId="22" xfId="2" applyNumberFormat="1" applyFont="1" applyFill="1" applyBorder="1"/>
    <xf numFmtId="164" fontId="3" fillId="3" borderId="19" xfId="2" applyNumberFormat="1" applyFont="1" applyFill="1" applyBorder="1"/>
    <xf numFmtId="164" fontId="14" fillId="3" borderId="22" xfId="2" applyNumberFormat="1" applyFont="1" applyFill="1" applyBorder="1"/>
    <xf numFmtId="164" fontId="3" fillId="3" borderId="21" xfId="2" applyNumberFormat="1" applyFont="1" applyFill="1" applyBorder="1"/>
    <xf numFmtId="0" fontId="5" fillId="0" borderId="21" xfId="0" applyFont="1" applyBorder="1" applyAlignment="1">
      <alignment horizontal="left" indent="1"/>
    </xf>
    <xf numFmtId="0" fontId="14" fillId="0" borderId="21" xfId="0" applyFont="1" applyBorder="1" applyAlignment="1">
      <alignment horizontal="left" indent="1"/>
    </xf>
    <xf numFmtId="0" fontId="7" fillId="0" borderId="1" xfId="0" applyFont="1" applyBorder="1" applyAlignment="1">
      <alignment horizontal="left" indent="1"/>
    </xf>
    <xf numFmtId="167" fontId="11" fillId="6" borderId="21" xfId="1" applyNumberFormat="1" applyFont="1" applyFill="1" applyBorder="1"/>
    <xf numFmtId="3" fontId="5" fillId="6" borderId="0" xfId="0" applyNumberFormat="1" applyFont="1" applyFill="1"/>
    <xf numFmtId="3" fontId="5" fillId="6" borderId="0" xfId="0" applyNumberFormat="1" applyFont="1" applyFill="1" applyAlignment="1">
      <alignment horizontal="center"/>
    </xf>
    <xf numFmtId="166" fontId="5" fillId="0" borderId="0" xfId="0" applyNumberFormat="1" applyFont="1"/>
    <xf numFmtId="166" fontId="7" fillId="0" borderId="0" xfId="0" applyNumberFormat="1" applyFont="1"/>
    <xf numFmtId="3" fontId="5" fillId="6" borderId="10" xfId="0" applyNumberFormat="1" applyFont="1" applyFill="1" applyBorder="1" applyAlignment="1">
      <alignment horizontal="right"/>
    </xf>
    <xf numFmtId="3" fontId="5" fillId="6" borderId="11" xfId="0" applyNumberFormat="1" applyFont="1" applyFill="1" applyBorder="1" applyAlignment="1">
      <alignment horizontal="right"/>
    </xf>
    <xf numFmtId="3" fontId="5" fillId="6" borderId="0" xfId="0" applyNumberFormat="1" applyFont="1" applyFill="1" applyAlignment="1">
      <alignment horizontal="right"/>
    </xf>
    <xf numFmtId="3" fontId="5" fillId="6" borderId="13" xfId="0" applyNumberFormat="1" applyFont="1" applyFill="1" applyBorder="1" applyAlignment="1">
      <alignment horizontal="right"/>
    </xf>
    <xf numFmtId="49" fontId="5" fillId="6" borderId="0" xfId="0" applyNumberFormat="1" applyFont="1" applyFill="1" applyAlignment="1">
      <alignment horizontal="right"/>
    </xf>
    <xf numFmtId="3" fontId="5" fillId="6" borderId="0" xfId="0" quotePrefix="1" applyNumberFormat="1" applyFont="1" applyFill="1" applyAlignment="1">
      <alignment horizontal="right"/>
    </xf>
    <xf numFmtId="3" fontId="9" fillId="0" borderId="1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9" fillId="0" borderId="14" xfId="0" applyNumberFormat="1" applyFont="1" applyBorder="1" applyAlignment="1">
      <alignment horizontal="right"/>
    </xf>
    <xf numFmtId="3" fontId="5" fillId="6" borderId="15" xfId="0" applyNumberFormat="1" applyFont="1" applyFill="1" applyBorder="1" applyAlignment="1">
      <alignment horizontal="right"/>
    </xf>
    <xf numFmtId="3" fontId="5" fillId="6" borderId="16" xfId="0" applyNumberFormat="1" applyFont="1" applyFill="1" applyBorder="1" applyAlignment="1">
      <alignment horizontal="right"/>
    </xf>
    <xf numFmtId="3" fontId="5" fillId="6" borderId="1" xfId="0" applyNumberFormat="1" applyFont="1" applyFill="1" applyBorder="1" applyAlignment="1">
      <alignment horizontal="right"/>
    </xf>
    <xf numFmtId="3" fontId="5" fillId="6" borderId="2" xfId="0" applyNumberFormat="1" applyFont="1" applyFill="1" applyBorder="1" applyAlignment="1">
      <alignment horizontal="right"/>
    </xf>
    <xf numFmtId="49" fontId="5" fillId="6" borderId="2" xfId="0" quotePrefix="1" applyNumberFormat="1" applyFont="1" applyFill="1" applyBorder="1" applyAlignment="1">
      <alignment horizontal="right"/>
    </xf>
    <xf numFmtId="3" fontId="5" fillId="6" borderId="2" xfId="0" quotePrefix="1" applyNumberFormat="1" applyFont="1" applyFill="1" applyBorder="1" applyAlignment="1">
      <alignment horizontal="right"/>
    </xf>
    <xf numFmtId="166" fontId="5" fillId="0" borderId="1" xfId="0" applyNumberFormat="1" applyFont="1" applyBorder="1"/>
    <xf numFmtId="166" fontId="7" fillId="0" borderId="2" xfId="0" applyNumberFormat="1" applyFont="1" applyBorder="1"/>
    <xf numFmtId="166" fontId="7" fillId="0" borderId="3" xfId="0" applyNumberFormat="1" applyFont="1" applyBorder="1"/>
    <xf numFmtId="3" fontId="5" fillId="0" borderId="1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166" fontId="5" fillId="0" borderId="10" xfId="0" applyNumberFormat="1" applyFont="1" applyBorder="1"/>
    <xf numFmtId="166" fontId="5" fillId="0" borderId="11" xfId="0" applyNumberFormat="1" applyFont="1" applyBorder="1"/>
    <xf numFmtId="166" fontId="7" fillId="0" borderId="15" xfId="0" applyNumberFormat="1" applyFont="1" applyBorder="1"/>
    <xf numFmtId="166" fontId="7" fillId="0" borderId="16" xfId="0" applyNumberFormat="1" applyFont="1" applyBorder="1"/>
    <xf numFmtId="3" fontId="5" fillId="0" borderId="9" xfId="0" applyNumberFormat="1" applyFont="1" applyBorder="1"/>
    <xf numFmtId="3" fontId="7" fillId="0" borderId="12" xfId="0" applyNumberFormat="1" applyFont="1" applyBorder="1" applyAlignment="1">
      <alignment horizontal="left"/>
    </xf>
    <xf numFmtId="3" fontId="7" fillId="0" borderId="14" xfId="0" applyNumberFormat="1" applyFont="1" applyBorder="1" applyAlignment="1">
      <alignment horizontal="left"/>
    </xf>
    <xf numFmtId="166" fontId="7" fillId="0" borderId="10" xfId="0" applyNumberFormat="1" applyFont="1" applyBorder="1"/>
    <xf numFmtId="166" fontId="7" fillId="0" borderId="11" xfId="0" applyNumberFormat="1" applyFont="1" applyBorder="1"/>
    <xf numFmtId="167" fontId="7" fillId="0" borderId="16" xfId="1" applyNumberFormat="1" applyFont="1" applyBorder="1"/>
    <xf numFmtId="166" fontId="7" fillId="0" borderId="1" xfId="0" applyNumberFormat="1" applyFont="1" applyBorder="1"/>
    <xf numFmtId="167" fontId="7" fillId="0" borderId="3" xfId="1" applyNumberFormat="1" applyFont="1" applyBorder="1"/>
    <xf numFmtId="2" fontId="7" fillId="7" borderId="21" xfId="2" applyNumberFormat="1" applyFont="1" applyFill="1" applyBorder="1"/>
    <xf numFmtId="3" fontId="5" fillId="0" borderId="21" xfId="0" applyNumberFormat="1" applyFont="1" applyBorder="1" applyAlignment="1">
      <alignment horizontal="left"/>
    </xf>
    <xf numFmtId="166" fontId="5" fillId="0" borderId="21" xfId="0" applyNumberFormat="1" applyFont="1" applyBorder="1"/>
    <xf numFmtId="3" fontId="5" fillId="0" borderId="21" xfId="0" applyNumberFormat="1" applyFont="1" applyBorder="1"/>
    <xf numFmtId="167" fontId="5" fillId="0" borderId="21" xfId="1" applyNumberFormat="1" applyFont="1" applyBorder="1" applyAlignment="1"/>
    <xf numFmtId="43" fontId="5" fillId="0" borderId="21" xfId="1" applyFont="1" applyBorder="1" applyAlignment="1"/>
    <xf numFmtId="3" fontId="7" fillId="7" borderId="21" xfId="0" applyNumberFormat="1" applyFont="1" applyFill="1" applyBorder="1"/>
    <xf numFmtId="3" fontId="5" fillId="0" borderId="1" xfId="0" applyNumberFormat="1" applyFont="1" applyBorder="1" applyAlignment="1">
      <alignment wrapText="1"/>
    </xf>
    <xf numFmtId="167" fontId="7" fillId="0" borderId="2" xfId="0" applyNumberFormat="1" applyFont="1" applyBorder="1"/>
    <xf numFmtId="3" fontId="5" fillId="0" borderId="21" xfId="0" applyNumberFormat="1" applyFont="1" applyBorder="1" applyAlignment="1">
      <alignment vertical="center" wrapText="1"/>
    </xf>
    <xf numFmtId="167" fontId="5" fillId="0" borderId="21" xfId="0" applyNumberFormat="1" applyFont="1" applyBorder="1" applyAlignment="1">
      <alignment vertical="center"/>
    </xf>
    <xf numFmtId="43" fontId="5" fillId="0" borderId="21" xfId="1" applyFont="1" applyBorder="1" applyAlignment="1">
      <alignment vertical="center"/>
    </xf>
    <xf numFmtId="164" fontId="7" fillId="7" borderId="21" xfId="0" applyNumberFormat="1" applyFont="1" applyFill="1" applyBorder="1"/>
    <xf numFmtId="167" fontId="5" fillId="0" borderId="21" xfId="0" applyNumberFormat="1" applyFont="1" applyBorder="1"/>
    <xf numFmtId="43" fontId="5" fillId="0" borderId="21" xfId="1" applyFont="1" applyBorder="1"/>
    <xf numFmtId="166" fontId="5" fillId="0" borderId="12" xfId="0" applyNumberFormat="1" applyFont="1" applyBorder="1"/>
    <xf numFmtId="3" fontId="7" fillId="0" borderId="1" xfId="0" applyNumberFormat="1" applyFont="1" applyBorder="1"/>
    <xf numFmtId="165" fontId="10" fillId="0" borderId="0" xfId="1" applyNumberFormat="1" applyFont="1" applyFill="1" applyBorder="1"/>
    <xf numFmtId="165" fontId="10" fillId="0" borderId="13" xfId="1" applyNumberFormat="1" applyFont="1" applyFill="1" applyBorder="1"/>
    <xf numFmtId="165" fontId="10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wrapText="1"/>
    </xf>
    <xf numFmtId="0" fontId="10" fillId="6" borderId="1" xfId="0" applyFont="1" applyFill="1" applyBorder="1"/>
    <xf numFmtId="0" fontId="10" fillId="6" borderId="10" xfId="0" applyFont="1" applyFill="1" applyBorder="1"/>
    <xf numFmtId="0" fontId="10" fillId="6" borderId="2" xfId="0" applyFont="1" applyFill="1" applyBorder="1"/>
    <xf numFmtId="0" fontId="10" fillId="6" borderId="0" xfId="0" applyFont="1" applyFill="1" applyAlignment="1">
      <alignment horizontal="right"/>
    </xf>
    <xf numFmtId="0" fontId="10" fillId="6" borderId="20" xfId="0" applyFont="1" applyFill="1" applyBorder="1" applyAlignment="1">
      <alignment horizontal="right"/>
    </xf>
    <xf numFmtId="0" fontId="10" fillId="6" borderId="7" xfId="0" applyFont="1" applyFill="1" applyBorder="1" applyAlignment="1">
      <alignment horizontal="right"/>
    </xf>
    <xf numFmtId="0" fontId="10" fillId="6" borderId="18" xfId="0" applyFont="1" applyFill="1" applyBorder="1"/>
    <xf numFmtId="0" fontId="10" fillId="6" borderId="4" xfId="0" applyFont="1" applyFill="1" applyBorder="1" applyAlignment="1">
      <alignment horizontal="right"/>
    </xf>
    <xf numFmtId="0" fontId="10" fillId="6" borderId="5" xfId="0" applyFont="1" applyFill="1" applyBorder="1" applyAlignment="1">
      <alignment horizontal="right"/>
    </xf>
    <xf numFmtId="0" fontId="10" fillId="6" borderId="17" xfId="0" applyFont="1" applyFill="1" applyBorder="1" applyAlignment="1">
      <alignment horizontal="right"/>
    </xf>
    <xf numFmtId="0" fontId="10" fillId="6" borderId="3" xfId="0" applyFont="1" applyFill="1" applyBorder="1"/>
    <xf numFmtId="17" fontId="10" fillId="6" borderId="15" xfId="0" applyNumberFormat="1" applyFont="1" applyFill="1" applyBorder="1" applyAlignment="1">
      <alignment horizontal="right"/>
    </xf>
    <xf numFmtId="17" fontId="10" fillId="6" borderId="15" xfId="0" quotePrefix="1" applyNumberFormat="1" applyFont="1" applyFill="1" applyBorder="1" applyAlignment="1">
      <alignment horizontal="right"/>
    </xf>
    <xf numFmtId="17" fontId="10" fillId="6" borderId="16" xfId="0" applyNumberFormat="1" applyFont="1" applyFill="1" applyBorder="1" applyAlignment="1">
      <alignment horizontal="right"/>
    </xf>
    <xf numFmtId="0" fontId="20" fillId="0" borderId="2" xfId="0" applyFont="1" applyBorder="1"/>
    <xf numFmtId="0" fontId="20" fillId="0" borderId="0" xfId="0" applyFont="1"/>
    <xf numFmtId="165" fontId="10" fillId="0" borderId="0" xfId="1" applyNumberFormat="1" applyFont="1" applyBorder="1"/>
    <xf numFmtId="165" fontId="10" fillId="0" borderId="13" xfId="1" applyNumberFormat="1" applyFont="1" applyBorder="1"/>
    <xf numFmtId="0" fontId="10" fillId="0" borderId="2" xfId="0" applyFont="1" applyBorder="1"/>
    <xf numFmtId="0" fontId="10" fillId="0" borderId="2" xfId="0" applyFont="1" applyBorder="1" applyAlignment="1">
      <alignment wrapText="1"/>
    </xf>
    <xf numFmtId="0" fontId="20" fillId="0" borderId="21" xfId="0" applyFont="1" applyBorder="1"/>
    <xf numFmtId="165" fontId="20" fillId="0" borderId="8" xfId="1" applyNumberFormat="1" applyFont="1" applyBorder="1"/>
    <xf numFmtId="165" fontId="20" fillId="0" borderId="19" xfId="1" applyNumberFormat="1" applyFont="1" applyBorder="1"/>
    <xf numFmtId="165" fontId="20" fillId="0" borderId="23" xfId="1" applyNumberFormat="1" applyFont="1" applyBorder="1"/>
    <xf numFmtId="165" fontId="20" fillId="0" borderId="22" xfId="1" applyNumberFormat="1" applyFont="1" applyBorder="1"/>
    <xf numFmtId="0" fontId="20" fillId="0" borderId="2" xfId="0" applyFont="1" applyBorder="1" applyAlignment="1">
      <alignment wrapText="1"/>
    </xf>
    <xf numFmtId="167" fontId="20" fillId="0" borderId="0" xfId="1" applyNumberFormat="1" applyFont="1" applyBorder="1"/>
    <xf numFmtId="167" fontId="20" fillId="0" borderId="13" xfId="1" applyNumberFormat="1" applyFont="1" applyBorder="1"/>
    <xf numFmtId="167" fontId="20" fillId="0" borderId="23" xfId="1" applyNumberFormat="1" applyFont="1" applyBorder="1"/>
    <xf numFmtId="43" fontId="20" fillId="0" borderId="23" xfId="1" applyFont="1" applyBorder="1"/>
    <xf numFmtId="43" fontId="20" fillId="0" borderId="22" xfId="1" applyFont="1" applyBorder="1"/>
    <xf numFmtId="167" fontId="20" fillId="0" borderId="22" xfId="1" applyNumberFormat="1" applyFont="1" applyBorder="1"/>
    <xf numFmtId="167" fontId="10" fillId="0" borderId="0" xfId="1" applyNumberFormat="1" applyFont="1" applyFill="1" applyBorder="1"/>
    <xf numFmtId="167" fontId="10" fillId="0" borderId="13" xfId="0" applyNumberFormat="1" applyFont="1" applyBorder="1"/>
    <xf numFmtId="0" fontId="20" fillId="0" borderId="3" xfId="0" applyFont="1" applyBorder="1"/>
    <xf numFmtId="167" fontId="20" fillId="0" borderId="15" xfId="0" applyNumberFormat="1" applyFont="1" applyBorder="1"/>
    <xf numFmtId="0" fontId="20" fillId="0" borderId="15" xfId="0" applyFont="1" applyBorder="1"/>
    <xf numFmtId="0" fontId="20" fillId="0" borderId="16" xfId="0" applyFont="1" applyBorder="1"/>
    <xf numFmtId="165" fontId="5" fillId="6" borderId="19" xfId="1" applyNumberFormat="1" applyFont="1" applyFill="1" applyBorder="1" applyAlignment="1">
      <alignment horizontal="center"/>
    </xf>
    <xf numFmtId="165" fontId="5" fillId="6" borderId="23" xfId="1" applyNumberFormat="1" applyFont="1" applyFill="1" applyBorder="1" applyAlignment="1">
      <alignment horizontal="center"/>
    </xf>
    <xf numFmtId="165" fontId="5" fillId="6" borderId="22" xfId="1" applyNumberFormat="1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13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3" fillId="6" borderId="10" xfId="0" applyNumberFormat="1" applyFont="1" applyFill="1" applyBorder="1" applyAlignment="1">
      <alignment horizontal="center"/>
    </xf>
    <xf numFmtId="3" fontId="13" fillId="6" borderId="11" xfId="0" applyNumberFormat="1" applyFont="1" applyFill="1" applyBorder="1" applyAlignment="1">
      <alignment horizontal="center"/>
    </xf>
    <xf numFmtId="3" fontId="13" fillId="6" borderId="12" xfId="0" applyNumberFormat="1" applyFont="1" applyFill="1" applyBorder="1" applyAlignment="1">
      <alignment horizontal="center"/>
    </xf>
    <xf numFmtId="3" fontId="13" fillId="6" borderId="0" xfId="0" applyNumberFormat="1" applyFont="1" applyFill="1" applyAlignment="1">
      <alignment horizontal="center"/>
    </xf>
    <xf numFmtId="3" fontId="13" fillId="6" borderId="13" xfId="0" applyNumberFormat="1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</cellXfs>
  <cellStyles count="14">
    <cellStyle name="£calculation" xfId="6" xr:uid="{A560F778-D900-4F95-BEA5-2EC5D1E2A5D9}"/>
    <cellStyle name="£calculation total" xfId="9" xr:uid="{F49E1F45-8DAC-44DE-9418-80877C3A335C}"/>
    <cellStyle name="Actual_vs_Forecast" xfId="12" xr:uid="{899E05C1-7F8C-49F4-8190-4F6C984D869F}"/>
    <cellStyle name="Bad 2" xfId="4" xr:uid="{8174CEAB-B2B2-484F-8AC8-66B5D29CC3B7}"/>
    <cellStyle name="Comma" xfId="1" builtinId="3"/>
    <cellStyle name="date_Modelheader" xfId="13" xr:uid="{36A5F675-04C1-451D-91A6-DC88B127720C}"/>
    <cellStyle name="Description" xfId="5" xr:uid="{B5B52D8E-1B57-4194-9315-B27E7F407BD4}"/>
    <cellStyle name="Flag" xfId="8" xr:uid="{CAA17917-A45D-4331-AC3C-01A283BF7F4E}"/>
    <cellStyle name="Forecast Input" xfId="7" xr:uid="{4015393B-398B-427B-8098-BFC4753A7D65}"/>
    <cellStyle name="Modelheader" xfId="11" xr:uid="{87833C1E-2D7B-421E-8AE2-4207F1259156}"/>
    <cellStyle name="Normal" xfId="0" builtinId="0"/>
    <cellStyle name="Normal_Fin Stats Feb 09" xfId="3" xr:uid="{6EF7DF5A-76D1-49FF-89A5-B3C0C657CD09}"/>
    <cellStyle name="Per cent" xfId="2" builtinId="5"/>
    <cellStyle name="Ref" xfId="10" xr:uid="{D14B1615-CBCC-446A-8B37-374F64547F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C0AD-952F-46E3-B644-1618791823DC}">
  <sheetPr>
    <pageSetUpPr fitToPage="1"/>
  </sheetPr>
  <dimension ref="A1:L67"/>
  <sheetViews>
    <sheetView zoomScale="80" zoomScaleNormal="80" workbookViewId="0">
      <pane xSplit="2" ySplit="7" topLeftCell="C8" activePane="bottomRight" state="frozen"/>
      <selection pane="topRight" activeCell="A3" sqref="A3:D18"/>
      <selection pane="bottomLeft" activeCell="A3" sqref="A3:D18"/>
      <selection pane="bottomRight"/>
    </sheetView>
  </sheetViews>
  <sheetFormatPr defaultRowHeight="15" outlineLevelCol="1" x14ac:dyDescent="0.25"/>
  <cols>
    <col min="1" max="1" width="46" hidden="1" customWidth="1" outlineLevel="1"/>
    <col min="2" max="2" width="47.7109375" customWidth="1" collapsed="1"/>
    <col min="3" max="3" width="14" customWidth="1"/>
    <col min="4" max="4" width="13.7109375" customWidth="1"/>
    <col min="5" max="5" width="12" customWidth="1"/>
    <col min="6" max="6" width="4.85546875" customWidth="1"/>
    <col min="7" max="7" width="12.140625" customWidth="1"/>
    <col min="8" max="8" width="14" customWidth="1"/>
    <col min="9" max="9" width="13.28515625" customWidth="1"/>
    <col min="10" max="10" width="5.140625" customWidth="1"/>
    <col min="11" max="12" width="13.28515625" customWidth="1"/>
  </cols>
  <sheetData>
    <row r="1" spans="1:12" ht="20.25" x14ac:dyDescent="0.3">
      <c r="A1" s="30"/>
      <c r="B1" s="268"/>
      <c r="C1" s="269"/>
      <c r="D1" s="269"/>
      <c r="E1" s="269"/>
      <c r="F1" s="269"/>
      <c r="G1" s="269"/>
      <c r="H1" s="269"/>
      <c r="I1" s="269"/>
      <c r="J1" s="269"/>
      <c r="K1" s="269"/>
      <c r="L1" s="270"/>
    </row>
    <row r="2" spans="1:12" ht="20.25" x14ac:dyDescent="0.3">
      <c r="A2" s="30"/>
      <c r="B2" s="271" t="s">
        <v>0</v>
      </c>
      <c r="C2" s="272"/>
      <c r="D2" s="272"/>
      <c r="E2" s="272"/>
      <c r="F2" s="272"/>
      <c r="G2" s="272"/>
      <c r="H2" s="272"/>
      <c r="I2" s="272"/>
      <c r="J2" s="272"/>
      <c r="K2" s="272"/>
      <c r="L2" s="273"/>
    </row>
    <row r="3" spans="1:12" ht="16.5" thickBot="1" x14ac:dyDescent="0.3">
      <c r="A3" s="29"/>
      <c r="B3" s="50"/>
      <c r="C3" s="74"/>
      <c r="D3" s="74"/>
      <c r="E3" s="74"/>
      <c r="F3" s="75"/>
      <c r="G3" s="74"/>
      <c r="H3" s="74"/>
      <c r="I3" s="74"/>
      <c r="J3" s="75"/>
      <c r="K3" s="74"/>
      <c r="L3" s="76"/>
    </row>
    <row r="4" spans="1:12" ht="16.5" thickBot="1" x14ac:dyDescent="0.3">
      <c r="A4" s="1"/>
      <c r="B4" s="51"/>
      <c r="C4" s="265" t="s">
        <v>1</v>
      </c>
      <c r="D4" s="266"/>
      <c r="E4" s="267"/>
      <c r="F4" s="77"/>
      <c r="G4" s="265" t="s">
        <v>2</v>
      </c>
      <c r="H4" s="266"/>
      <c r="I4" s="267"/>
      <c r="J4" s="78"/>
      <c r="K4" s="265" t="s">
        <v>3</v>
      </c>
      <c r="L4" s="267"/>
    </row>
    <row r="5" spans="1:12" ht="15.75" x14ac:dyDescent="0.25">
      <c r="A5" s="1"/>
      <c r="B5" s="3"/>
      <c r="C5" s="90" t="s">
        <v>4</v>
      </c>
      <c r="D5" s="97" t="s">
        <v>5</v>
      </c>
      <c r="E5" s="95" t="s">
        <v>6</v>
      </c>
      <c r="F5" s="78"/>
      <c r="G5" s="153" t="s">
        <v>7</v>
      </c>
      <c r="H5" s="97" t="s">
        <v>5</v>
      </c>
      <c r="I5" s="94" t="s">
        <v>6</v>
      </c>
      <c r="J5" s="78"/>
      <c r="K5" s="97" t="s">
        <v>8</v>
      </c>
      <c r="L5" s="94" t="s">
        <v>2</v>
      </c>
    </row>
    <row r="6" spans="1:12" ht="15.75" x14ac:dyDescent="0.25">
      <c r="A6" s="1"/>
      <c r="B6" s="3"/>
      <c r="C6" s="90"/>
      <c r="D6" s="90"/>
      <c r="E6" s="95"/>
      <c r="F6" s="78"/>
      <c r="G6" s="91"/>
      <c r="H6" s="90"/>
      <c r="I6" s="95"/>
      <c r="J6" s="78"/>
      <c r="K6" s="90"/>
      <c r="L6" s="95"/>
    </row>
    <row r="7" spans="1:12" ht="16.5" thickBot="1" x14ac:dyDescent="0.3">
      <c r="A7" s="2"/>
      <c r="B7" s="52"/>
      <c r="C7" s="92" t="s">
        <v>9</v>
      </c>
      <c r="D7" s="92" t="s">
        <v>9</v>
      </c>
      <c r="E7" s="96" t="s">
        <v>9</v>
      </c>
      <c r="F7" s="78"/>
      <c r="G7" s="93" t="s">
        <v>9</v>
      </c>
      <c r="H7" s="92" t="s">
        <v>9</v>
      </c>
      <c r="I7" s="96" t="s">
        <v>9</v>
      </c>
      <c r="J7" s="78"/>
      <c r="K7" s="92" t="s">
        <v>9</v>
      </c>
      <c r="L7" s="96" t="s">
        <v>9</v>
      </c>
    </row>
    <row r="8" spans="1:12" ht="15.75" x14ac:dyDescent="0.25">
      <c r="A8" s="24" t="s">
        <v>10</v>
      </c>
      <c r="B8" s="41" t="s">
        <v>11</v>
      </c>
      <c r="C8" s="12"/>
      <c r="D8" s="12"/>
      <c r="E8" s="12"/>
      <c r="F8" s="80"/>
      <c r="G8" s="12"/>
      <c r="H8" s="12"/>
      <c r="I8" s="12"/>
      <c r="J8" s="81"/>
      <c r="K8" s="12"/>
      <c r="L8" s="31"/>
    </row>
    <row r="9" spans="1:12" ht="15.75" x14ac:dyDescent="0.25">
      <c r="A9" s="1" t="s">
        <v>12</v>
      </c>
      <c r="B9" s="40" t="s">
        <v>13</v>
      </c>
      <c r="C9" s="31">
        <v>5</v>
      </c>
      <c r="D9" s="31">
        <v>20</v>
      </c>
      <c r="E9" s="98">
        <f>C9-D9</f>
        <v>-15</v>
      </c>
      <c r="F9" s="83"/>
      <c r="G9" s="31">
        <v>13</v>
      </c>
      <c r="H9" s="31">
        <v>39</v>
      </c>
      <c r="I9" s="98">
        <f>G9-H9</f>
        <v>-26</v>
      </c>
      <c r="J9" s="59"/>
      <c r="K9" s="31">
        <v>31</v>
      </c>
      <c r="L9" s="31">
        <v>66</v>
      </c>
    </row>
    <row r="10" spans="1:12" ht="15.75" x14ac:dyDescent="0.25">
      <c r="A10" s="1" t="s">
        <v>14</v>
      </c>
      <c r="B10" s="40" t="s">
        <v>15</v>
      </c>
      <c r="C10" s="31">
        <v>6511</v>
      </c>
      <c r="D10" s="31">
        <v>6511</v>
      </c>
      <c r="E10" s="71">
        <f t="shared" ref="E10:E24" si="0">C10-D10</f>
        <v>0</v>
      </c>
      <c r="F10" s="57"/>
      <c r="G10" s="31">
        <v>13022</v>
      </c>
      <c r="H10" s="31">
        <v>13022</v>
      </c>
      <c r="I10" s="71">
        <f t="shared" ref="I10:I11" si="1">G10-H10</f>
        <v>0</v>
      </c>
      <c r="J10" s="59"/>
      <c r="K10" s="31">
        <v>6389</v>
      </c>
      <c r="L10" s="31">
        <v>12778</v>
      </c>
    </row>
    <row r="11" spans="1:12" ht="15.75" x14ac:dyDescent="0.25">
      <c r="A11" s="1" t="s">
        <v>14</v>
      </c>
      <c r="B11" s="25" t="s">
        <v>16</v>
      </c>
      <c r="C11" s="31">
        <v>221</v>
      </c>
      <c r="D11" s="31">
        <v>221</v>
      </c>
      <c r="E11" s="71">
        <f t="shared" si="0"/>
        <v>0</v>
      </c>
      <c r="F11" s="57"/>
      <c r="G11" s="31">
        <v>442</v>
      </c>
      <c r="H11" s="31">
        <v>442</v>
      </c>
      <c r="I11" s="71">
        <f t="shared" si="1"/>
        <v>0</v>
      </c>
      <c r="J11" s="59"/>
      <c r="K11" s="31">
        <v>195</v>
      </c>
      <c r="L11" s="31">
        <v>390</v>
      </c>
    </row>
    <row r="12" spans="1:12" ht="15.75" x14ac:dyDescent="0.25">
      <c r="A12" s="1" t="s">
        <v>17</v>
      </c>
      <c r="B12" s="40" t="s">
        <v>18</v>
      </c>
      <c r="C12" s="31">
        <v>428</v>
      </c>
      <c r="D12" s="31">
        <v>457</v>
      </c>
      <c r="E12" s="98">
        <f t="shared" si="0"/>
        <v>-29</v>
      </c>
      <c r="F12" s="57"/>
      <c r="G12" s="31">
        <v>855</v>
      </c>
      <c r="H12" s="31">
        <v>911</v>
      </c>
      <c r="I12" s="98">
        <f t="shared" ref="I12:I22" si="2">G12-H12</f>
        <v>-56</v>
      </c>
      <c r="J12" s="59"/>
      <c r="K12" s="31">
        <v>702</v>
      </c>
      <c r="L12" s="31">
        <v>1448</v>
      </c>
    </row>
    <row r="13" spans="1:12" ht="15.75" x14ac:dyDescent="0.25">
      <c r="A13" s="1" t="s">
        <v>19</v>
      </c>
      <c r="B13" s="40" t="s">
        <v>20</v>
      </c>
      <c r="C13" s="31">
        <v>490</v>
      </c>
      <c r="D13" s="31">
        <v>505</v>
      </c>
      <c r="E13" s="98">
        <f t="shared" si="0"/>
        <v>-15</v>
      </c>
      <c r="F13" s="57"/>
      <c r="G13" s="31">
        <v>1435</v>
      </c>
      <c r="H13" s="31">
        <v>1487</v>
      </c>
      <c r="I13" s="98">
        <f t="shared" si="2"/>
        <v>-52</v>
      </c>
      <c r="J13" s="59"/>
      <c r="K13" s="31">
        <v>1348</v>
      </c>
      <c r="L13" s="31">
        <v>2995</v>
      </c>
    </row>
    <row r="14" spans="1:12" ht="15.75" x14ac:dyDescent="0.25">
      <c r="A14" s="1" t="s">
        <v>19</v>
      </c>
      <c r="B14" s="40" t="s">
        <v>21</v>
      </c>
      <c r="C14" s="31">
        <v>780</v>
      </c>
      <c r="D14" s="31">
        <v>840</v>
      </c>
      <c r="E14" s="98">
        <f t="shared" si="0"/>
        <v>-60</v>
      </c>
      <c r="F14" s="57"/>
      <c r="G14" s="31">
        <v>1413</v>
      </c>
      <c r="H14" s="31">
        <v>1500</v>
      </c>
      <c r="I14" s="98">
        <f t="shared" si="2"/>
        <v>-87</v>
      </c>
      <c r="J14" s="59"/>
      <c r="K14" s="31">
        <v>0</v>
      </c>
      <c r="L14" s="31">
        <v>0</v>
      </c>
    </row>
    <row r="15" spans="1:12" ht="15.75" x14ac:dyDescent="0.25">
      <c r="A15" s="1" t="s">
        <v>19</v>
      </c>
      <c r="B15" s="40" t="s">
        <v>22</v>
      </c>
      <c r="C15" s="31">
        <v>171</v>
      </c>
      <c r="D15" s="31">
        <v>173</v>
      </c>
      <c r="E15" s="98">
        <f t="shared" si="0"/>
        <v>-2</v>
      </c>
      <c r="F15" s="57"/>
      <c r="G15" s="31">
        <v>344</v>
      </c>
      <c r="H15" s="31">
        <v>347</v>
      </c>
      <c r="I15" s="98">
        <f t="shared" si="2"/>
        <v>-3</v>
      </c>
      <c r="J15" s="59"/>
      <c r="K15" s="31">
        <v>175</v>
      </c>
      <c r="L15" s="31">
        <v>355</v>
      </c>
    </row>
    <row r="16" spans="1:12" ht="15.75" x14ac:dyDescent="0.25">
      <c r="A16" s="8" t="s">
        <v>23</v>
      </c>
      <c r="B16" s="25" t="s">
        <v>24</v>
      </c>
      <c r="C16" s="31">
        <v>112</v>
      </c>
      <c r="D16" s="31">
        <v>112</v>
      </c>
      <c r="E16" s="71">
        <f t="shared" si="0"/>
        <v>0</v>
      </c>
      <c r="F16" s="57"/>
      <c r="G16" s="31">
        <v>225</v>
      </c>
      <c r="H16" s="31">
        <v>225</v>
      </c>
      <c r="I16" s="71">
        <f t="shared" si="2"/>
        <v>0</v>
      </c>
      <c r="J16" s="59"/>
      <c r="K16" s="31">
        <v>125</v>
      </c>
      <c r="L16" s="31">
        <v>250</v>
      </c>
    </row>
    <row r="17" spans="1:12" ht="15.75" x14ac:dyDescent="0.25">
      <c r="A17" s="8" t="s">
        <v>23</v>
      </c>
      <c r="B17" s="40" t="s">
        <v>25</v>
      </c>
      <c r="C17" s="31">
        <v>952</v>
      </c>
      <c r="D17" s="31">
        <v>997</v>
      </c>
      <c r="E17" s="98">
        <f t="shared" si="0"/>
        <v>-45</v>
      </c>
      <c r="F17" s="57"/>
      <c r="G17" s="31">
        <v>1901</v>
      </c>
      <c r="H17" s="31">
        <v>1993</v>
      </c>
      <c r="I17" s="98">
        <f t="shared" si="2"/>
        <v>-92</v>
      </c>
      <c r="J17" s="59"/>
      <c r="K17" s="31">
        <v>1107</v>
      </c>
      <c r="L17" s="31">
        <v>2215</v>
      </c>
    </row>
    <row r="18" spans="1:12" ht="15.75" x14ac:dyDescent="0.25">
      <c r="A18" s="1" t="s">
        <v>26</v>
      </c>
      <c r="B18" s="40" t="s">
        <v>27</v>
      </c>
      <c r="C18" s="31">
        <v>99</v>
      </c>
      <c r="D18" s="31">
        <v>99</v>
      </c>
      <c r="E18" s="71">
        <f t="shared" si="0"/>
        <v>0</v>
      </c>
      <c r="F18" s="57"/>
      <c r="G18" s="31">
        <v>198</v>
      </c>
      <c r="H18" s="31">
        <v>198</v>
      </c>
      <c r="I18" s="71">
        <f t="shared" si="2"/>
        <v>0</v>
      </c>
      <c r="J18" s="59"/>
      <c r="K18" s="31">
        <v>82</v>
      </c>
      <c r="L18" s="31">
        <v>163</v>
      </c>
    </row>
    <row r="19" spans="1:12" ht="15.75" x14ac:dyDescent="0.25">
      <c r="A19" s="1" t="s">
        <v>28</v>
      </c>
      <c r="B19" s="40" t="s">
        <v>29</v>
      </c>
      <c r="C19" s="31">
        <v>88</v>
      </c>
      <c r="D19" s="31">
        <v>108</v>
      </c>
      <c r="E19" s="98">
        <f t="shared" si="0"/>
        <v>-20</v>
      </c>
      <c r="F19" s="57"/>
      <c r="G19" s="31">
        <v>244</v>
      </c>
      <c r="H19" s="31">
        <v>270</v>
      </c>
      <c r="I19" s="98">
        <f t="shared" si="2"/>
        <v>-26</v>
      </c>
      <c r="J19" s="59"/>
      <c r="K19" s="31">
        <v>138</v>
      </c>
      <c r="L19" s="31">
        <v>320</v>
      </c>
    </row>
    <row r="20" spans="1:12" ht="15.75" x14ac:dyDescent="0.25">
      <c r="A20" s="1" t="s">
        <v>28</v>
      </c>
      <c r="B20" s="40" t="s">
        <v>30</v>
      </c>
      <c r="C20" s="31">
        <v>49</v>
      </c>
      <c r="D20" s="31">
        <v>60</v>
      </c>
      <c r="E20" s="98">
        <f t="shared" si="0"/>
        <v>-11</v>
      </c>
      <c r="F20" s="57"/>
      <c r="G20" s="31">
        <v>101</v>
      </c>
      <c r="H20" s="31">
        <v>120</v>
      </c>
      <c r="I20" s="98">
        <f t="shared" si="2"/>
        <v>-19</v>
      </c>
      <c r="J20" s="59"/>
      <c r="K20" s="31">
        <v>89</v>
      </c>
      <c r="L20" s="31">
        <v>184</v>
      </c>
    </row>
    <row r="21" spans="1:12" ht="15.75" x14ac:dyDescent="0.25">
      <c r="A21" s="1" t="s">
        <v>28</v>
      </c>
      <c r="B21" s="40" t="s">
        <v>31</v>
      </c>
      <c r="C21" s="31">
        <v>69</v>
      </c>
      <c r="D21" s="31">
        <v>78</v>
      </c>
      <c r="E21" s="98">
        <f t="shared" si="0"/>
        <v>-9</v>
      </c>
      <c r="F21" s="57"/>
      <c r="G21" s="31">
        <v>160</v>
      </c>
      <c r="H21" s="31">
        <v>173</v>
      </c>
      <c r="I21" s="98">
        <f t="shared" si="2"/>
        <v>-13</v>
      </c>
      <c r="J21" s="59"/>
      <c r="K21" s="31">
        <v>85</v>
      </c>
      <c r="L21" s="31">
        <v>179</v>
      </c>
    </row>
    <row r="22" spans="1:12" ht="15.75" x14ac:dyDescent="0.25">
      <c r="A22" s="1" t="s">
        <v>32</v>
      </c>
      <c r="B22" s="40" t="s">
        <v>33</v>
      </c>
      <c r="C22" s="31">
        <v>72</v>
      </c>
      <c r="D22" s="31">
        <v>70</v>
      </c>
      <c r="E22" s="98">
        <f t="shared" si="0"/>
        <v>2</v>
      </c>
      <c r="F22" s="57"/>
      <c r="G22" s="31">
        <v>145</v>
      </c>
      <c r="H22" s="31">
        <v>140</v>
      </c>
      <c r="I22" s="98">
        <f t="shared" si="2"/>
        <v>5</v>
      </c>
      <c r="J22" s="59"/>
      <c r="K22" s="31">
        <v>86</v>
      </c>
      <c r="L22" s="31">
        <v>173</v>
      </c>
    </row>
    <row r="23" spans="1:12" ht="15.75" x14ac:dyDescent="0.25">
      <c r="A23" s="1" t="s">
        <v>32</v>
      </c>
      <c r="B23" s="40" t="s">
        <v>34</v>
      </c>
      <c r="C23" s="31">
        <v>70</v>
      </c>
      <c r="D23" s="31">
        <v>67</v>
      </c>
      <c r="E23" s="98">
        <f t="shared" si="0"/>
        <v>3</v>
      </c>
      <c r="F23" s="57"/>
      <c r="G23" s="31">
        <v>130</v>
      </c>
      <c r="H23" s="31">
        <v>115</v>
      </c>
      <c r="I23" s="98">
        <f>G23-H23</f>
        <v>15</v>
      </c>
      <c r="J23" s="59"/>
      <c r="K23" s="31">
        <v>79</v>
      </c>
      <c r="L23" s="31">
        <v>142</v>
      </c>
    </row>
    <row r="24" spans="1:12" ht="15.75" x14ac:dyDescent="0.25">
      <c r="A24" s="1" t="s">
        <v>32</v>
      </c>
      <c r="B24" s="40" t="s">
        <v>35</v>
      </c>
      <c r="C24" s="31">
        <v>30</v>
      </c>
      <c r="D24" s="31">
        <v>31</v>
      </c>
      <c r="E24" s="98">
        <f t="shared" si="0"/>
        <v>-1</v>
      </c>
      <c r="F24" s="57"/>
      <c r="G24" s="31">
        <v>42</v>
      </c>
      <c r="H24" s="31">
        <v>44</v>
      </c>
      <c r="I24" s="98">
        <f>G24-H24</f>
        <v>-2</v>
      </c>
      <c r="J24" s="59"/>
      <c r="K24" s="31">
        <v>21</v>
      </c>
      <c r="L24" s="31">
        <v>32</v>
      </c>
    </row>
    <row r="25" spans="1:12" ht="16.5" thickBot="1" x14ac:dyDescent="0.3">
      <c r="A25" s="6" t="s">
        <v>36</v>
      </c>
      <c r="B25" s="42" t="s">
        <v>37</v>
      </c>
      <c r="C25" s="31">
        <v>0</v>
      </c>
      <c r="D25" s="31">
        <v>0</v>
      </c>
      <c r="E25" s="71">
        <f t="shared" ref="E25" si="3">C25-D25</f>
        <v>0</v>
      </c>
      <c r="F25" s="57"/>
      <c r="G25" s="100">
        <v>0</v>
      </c>
      <c r="H25" s="100">
        <v>0</v>
      </c>
      <c r="I25" s="114">
        <f t="shared" ref="I25" si="4">G25-H25</f>
        <v>0</v>
      </c>
      <c r="J25" s="59"/>
      <c r="K25" s="31">
        <v>57</v>
      </c>
      <c r="L25" s="31">
        <v>113</v>
      </c>
    </row>
    <row r="26" spans="1:12" ht="15.75" x14ac:dyDescent="0.25">
      <c r="A26" s="6"/>
      <c r="B26" s="101"/>
      <c r="C26" s="109"/>
      <c r="D26" s="102"/>
      <c r="E26" s="109"/>
      <c r="F26" s="59"/>
      <c r="G26" s="107"/>
      <c r="H26" s="109"/>
      <c r="I26" s="103"/>
      <c r="J26" s="59"/>
      <c r="K26" s="109"/>
      <c r="L26" s="103"/>
    </row>
    <row r="27" spans="1:12" ht="15.75" x14ac:dyDescent="0.25">
      <c r="A27" s="16"/>
      <c r="B27" s="43" t="s">
        <v>38</v>
      </c>
      <c r="C27" s="44">
        <f>SUM(C9:C25)</f>
        <v>10147</v>
      </c>
      <c r="D27" s="18">
        <f>SUM(D9:D25)</f>
        <v>10349</v>
      </c>
      <c r="E27" s="110">
        <f>SUM(E9:E25)</f>
        <v>-202</v>
      </c>
      <c r="F27" s="15"/>
      <c r="G27" s="17">
        <f>SUM(G9:G25)</f>
        <v>20670</v>
      </c>
      <c r="H27" s="44">
        <f>SUM(H9:H25)</f>
        <v>21026</v>
      </c>
      <c r="I27" s="61">
        <f>SUM(I9:I25)</f>
        <v>-356</v>
      </c>
      <c r="J27" s="15"/>
      <c r="K27" s="44">
        <f>SUM(K9:K25)</f>
        <v>10709</v>
      </c>
      <c r="L27" s="85">
        <f>SUM(L9:L25)</f>
        <v>21803</v>
      </c>
    </row>
    <row r="28" spans="1:12" x14ac:dyDescent="0.25">
      <c r="A28" s="35"/>
      <c r="B28" s="104" t="s">
        <v>39</v>
      </c>
      <c r="C28" s="65">
        <v>84</v>
      </c>
      <c r="D28" s="66"/>
      <c r="E28" s="65"/>
      <c r="F28" s="36"/>
      <c r="G28" s="108">
        <v>300</v>
      </c>
      <c r="H28" s="65"/>
      <c r="I28" s="64"/>
      <c r="J28" s="37"/>
      <c r="K28" s="65">
        <v>99</v>
      </c>
      <c r="L28" s="64">
        <v>305</v>
      </c>
    </row>
    <row r="29" spans="1:12" ht="15.75" thickBot="1" x14ac:dyDescent="0.3">
      <c r="A29" s="63"/>
      <c r="B29" s="105"/>
      <c r="C29" s="55"/>
      <c r="D29" s="106"/>
      <c r="E29" s="55"/>
      <c r="F29" s="36"/>
      <c r="G29" s="56"/>
      <c r="H29" s="55"/>
      <c r="I29" s="60"/>
      <c r="J29" s="37"/>
      <c r="K29" s="55"/>
      <c r="L29" s="60"/>
    </row>
    <row r="30" spans="1:12" ht="15.75" x14ac:dyDescent="0.25">
      <c r="A30" s="4"/>
      <c r="B30" s="48" t="s">
        <v>40</v>
      </c>
      <c r="C30" s="39"/>
      <c r="D30" s="32"/>
      <c r="E30" s="45"/>
      <c r="F30" s="12"/>
      <c r="G30" s="82"/>
      <c r="H30" s="82"/>
      <c r="I30" s="82"/>
      <c r="J30" s="12"/>
      <c r="K30" s="12"/>
      <c r="L30" s="12"/>
    </row>
    <row r="31" spans="1:12" ht="15.75" x14ac:dyDescent="0.25">
      <c r="A31" s="5" t="s">
        <v>41</v>
      </c>
      <c r="B31" s="46" t="s">
        <v>41</v>
      </c>
      <c r="C31" s="82">
        <v>3248</v>
      </c>
      <c r="D31" s="82">
        <v>3295</v>
      </c>
      <c r="E31" s="111">
        <v>47</v>
      </c>
      <c r="F31" s="12"/>
      <c r="G31" s="82">
        <v>6490</v>
      </c>
      <c r="H31" s="82">
        <v>6591</v>
      </c>
      <c r="I31" s="111">
        <v>101</v>
      </c>
      <c r="J31" s="12"/>
      <c r="K31" s="82">
        <v>2975</v>
      </c>
      <c r="L31" s="82">
        <v>5971</v>
      </c>
    </row>
    <row r="32" spans="1:12" ht="15.75" x14ac:dyDescent="0.25">
      <c r="A32" s="5" t="s">
        <v>42</v>
      </c>
      <c r="B32" s="46" t="s">
        <v>42</v>
      </c>
      <c r="C32" s="82">
        <v>703</v>
      </c>
      <c r="D32" s="82">
        <v>670</v>
      </c>
      <c r="E32" s="111">
        <v>-33</v>
      </c>
      <c r="F32" s="12"/>
      <c r="G32" s="82">
        <v>1305</v>
      </c>
      <c r="H32" s="82">
        <v>1273</v>
      </c>
      <c r="I32" s="111">
        <v>-32</v>
      </c>
      <c r="J32" s="12"/>
      <c r="K32" s="82">
        <v>699</v>
      </c>
      <c r="L32" s="82">
        <v>1274</v>
      </c>
    </row>
    <row r="33" spans="1:12" ht="15.75" x14ac:dyDescent="0.25">
      <c r="A33" s="5" t="s">
        <v>43</v>
      </c>
      <c r="B33" s="46" t="s">
        <v>43</v>
      </c>
      <c r="C33" s="82">
        <v>42</v>
      </c>
      <c r="D33" s="82">
        <v>50</v>
      </c>
      <c r="E33" s="111">
        <v>8</v>
      </c>
      <c r="F33" s="12"/>
      <c r="G33" s="82">
        <v>99</v>
      </c>
      <c r="H33" s="82">
        <v>118</v>
      </c>
      <c r="I33" s="111">
        <v>19</v>
      </c>
      <c r="J33" s="12"/>
      <c r="K33" s="82">
        <v>55</v>
      </c>
      <c r="L33" s="82">
        <v>132</v>
      </c>
    </row>
    <row r="34" spans="1:12" ht="15.75" x14ac:dyDescent="0.25">
      <c r="A34" s="5" t="s">
        <v>44</v>
      </c>
      <c r="B34" s="46" t="s">
        <v>44</v>
      </c>
      <c r="C34" s="82">
        <v>1220</v>
      </c>
      <c r="D34" s="82">
        <v>1140</v>
      </c>
      <c r="E34" s="111">
        <v>-80</v>
      </c>
      <c r="F34" s="12"/>
      <c r="G34" s="82">
        <v>2440.4249390456284</v>
      </c>
      <c r="H34" s="82">
        <v>2279.6115843270868</v>
      </c>
      <c r="I34" s="111">
        <v>-160.81335471854163</v>
      </c>
      <c r="J34" s="12"/>
      <c r="K34" s="82">
        <v>1247.6210379658655</v>
      </c>
      <c r="L34" s="82">
        <v>2269.1243611584327</v>
      </c>
    </row>
    <row r="35" spans="1:12" ht="15.75" x14ac:dyDescent="0.25">
      <c r="A35" s="5" t="s">
        <v>45</v>
      </c>
      <c r="B35" s="46" t="s">
        <v>45</v>
      </c>
      <c r="C35" s="82">
        <v>1651</v>
      </c>
      <c r="D35" s="82">
        <v>1795</v>
      </c>
      <c r="E35" s="111">
        <v>144</v>
      </c>
      <c r="F35" s="12"/>
      <c r="G35" s="82">
        <v>3302.5750609543716</v>
      </c>
      <c r="H35" s="82">
        <v>3589.3884156729132</v>
      </c>
      <c r="I35" s="111">
        <v>286.81335471854163</v>
      </c>
      <c r="J35" s="12"/>
      <c r="K35" s="82">
        <v>1688.3789620341345</v>
      </c>
      <c r="L35" s="82">
        <v>3572.8756388415673</v>
      </c>
    </row>
    <row r="36" spans="1:12" ht="15.75" x14ac:dyDescent="0.25">
      <c r="A36" s="5" t="s">
        <v>46</v>
      </c>
      <c r="B36" s="46" t="s">
        <v>46</v>
      </c>
      <c r="C36" s="82">
        <v>59</v>
      </c>
      <c r="D36" s="82">
        <v>60</v>
      </c>
      <c r="E36" s="111">
        <v>1</v>
      </c>
      <c r="F36" s="12"/>
      <c r="G36" s="82">
        <v>76</v>
      </c>
      <c r="H36" s="82">
        <v>81</v>
      </c>
      <c r="I36" s="111">
        <v>5</v>
      </c>
      <c r="J36" s="12"/>
      <c r="K36" s="82">
        <v>41</v>
      </c>
      <c r="L36" s="82">
        <v>56</v>
      </c>
    </row>
    <row r="37" spans="1:12" ht="15.75" x14ac:dyDescent="0.25">
      <c r="A37" s="5" t="s">
        <v>47</v>
      </c>
      <c r="B37" s="46" t="s">
        <v>48</v>
      </c>
      <c r="C37" s="82">
        <v>48</v>
      </c>
      <c r="D37" s="82">
        <v>46</v>
      </c>
      <c r="E37" s="111">
        <v>-2</v>
      </c>
      <c r="F37" s="12"/>
      <c r="G37" s="82">
        <v>92</v>
      </c>
      <c r="H37" s="82">
        <v>92</v>
      </c>
      <c r="I37" s="70">
        <v>0</v>
      </c>
      <c r="J37" s="12"/>
      <c r="K37" s="82">
        <v>45</v>
      </c>
      <c r="L37" s="82">
        <v>90</v>
      </c>
    </row>
    <row r="38" spans="1:12" ht="16.5" thickBot="1" x14ac:dyDescent="0.3">
      <c r="A38" s="5" t="s">
        <v>47</v>
      </c>
      <c r="B38" s="46" t="s">
        <v>49</v>
      </c>
      <c r="C38" s="82">
        <v>45</v>
      </c>
      <c r="D38" s="82">
        <v>44</v>
      </c>
      <c r="E38" s="111">
        <v>-1</v>
      </c>
      <c r="F38" s="12"/>
      <c r="G38" s="31">
        <v>91</v>
      </c>
      <c r="H38" s="31">
        <v>88</v>
      </c>
      <c r="I38" s="98">
        <v>-3</v>
      </c>
      <c r="J38" s="12"/>
      <c r="K38" s="31">
        <v>43</v>
      </c>
      <c r="L38" s="31">
        <v>86</v>
      </c>
    </row>
    <row r="39" spans="1:12" ht="15.75" x14ac:dyDescent="0.25">
      <c r="A39" s="16"/>
      <c r="B39" s="117"/>
      <c r="C39" s="53"/>
      <c r="D39" s="115"/>
      <c r="E39" s="53"/>
      <c r="F39" s="14"/>
      <c r="G39" s="53"/>
      <c r="H39" s="115"/>
      <c r="I39" s="53"/>
      <c r="J39" s="14"/>
      <c r="K39" s="53"/>
      <c r="L39" s="53"/>
    </row>
    <row r="40" spans="1:12" ht="15.75" x14ac:dyDescent="0.25">
      <c r="A40" s="19"/>
      <c r="B40" s="47" t="s">
        <v>50</v>
      </c>
      <c r="C40" s="44">
        <f>SUM(C31:C38)</f>
        <v>7016</v>
      </c>
      <c r="D40" s="18">
        <f>SUM(D31:D38)</f>
        <v>7100</v>
      </c>
      <c r="E40" s="44">
        <f>SUM(E31:E38)</f>
        <v>84</v>
      </c>
      <c r="F40" s="15"/>
      <c r="G40" s="44">
        <f>SUM(G31:G38)</f>
        <v>13896</v>
      </c>
      <c r="H40" s="18">
        <f>SUM(H31:H38)</f>
        <v>14112</v>
      </c>
      <c r="I40" s="44">
        <f>SUM(I31:I38)</f>
        <v>216</v>
      </c>
      <c r="J40" s="15"/>
      <c r="K40" s="44">
        <f>SUM(K31:K38)</f>
        <v>6794</v>
      </c>
      <c r="L40" s="44">
        <f>SUM(L31:L38)</f>
        <v>13451</v>
      </c>
    </row>
    <row r="41" spans="1:12" ht="16.5" thickBot="1" x14ac:dyDescent="0.3">
      <c r="A41" s="4"/>
      <c r="B41" s="118"/>
      <c r="C41" s="62"/>
      <c r="D41" s="116"/>
      <c r="E41" s="62"/>
      <c r="F41" s="14"/>
      <c r="G41" s="62"/>
      <c r="H41" s="116"/>
      <c r="I41" s="62"/>
      <c r="J41" s="14"/>
      <c r="K41" s="62"/>
      <c r="L41" s="62"/>
    </row>
    <row r="42" spans="1:12" ht="15.75" x14ac:dyDescent="0.25">
      <c r="A42" s="5" t="s">
        <v>51</v>
      </c>
      <c r="B42" s="119" t="s">
        <v>52</v>
      </c>
      <c r="C42" s="121"/>
      <c r="D42" s="121"/>
      <c r="E42" s="122"/>
      <c r="F42" s="12"/>
      <c r="G42" s="99"/>
      <c r="H42" s="125"/>
      <c r="I42" s="125"/>
      <c r="J42" s="12"/>
      <c r="K42" s="99"/>
      <c r="L42" s="125"/>
    </row>
    <row r="43" spans="1:12" ht="15.75" x14ac:dyDescent="0.25">
      <c r="A43" s="5" t="s">
        <v>53</v>
      </c>
      <c r="B43" s="46" t="s">
        <v>51</v>
      </c>
      <c r="C43" s="31">
        <v>477</v>
      </c>
      <c r="D43" s="82">
        <v>492</v>
      </c>
      <c r="E43" s="111">
        <f t="shared" ref="E43:E51" si="5">D43-C43</f>
        <v>15</v>
      </c>
      <c r="F43" s="12"/>
      <c r="G43" s="31">
        <v>765</v>
      </c>
      <c r="H43" s="82">
        <v>798</v>
      </c>
      <c r="I43" s="111">
        <f t="shared" ref="I43:I51" si="6">H43-G43</f>
        <v>33</v>
      </c>
      <c r="J43" s="12"/>
      <c r="K43" s="31">
        <v>510</v>
      </c>
      <c r="L43" s="82">
        <v>851</v>
      </c>
    </row>
    <row r="44" spans="1:12" ht="15.75" x14ac:dyDescent="0.25">
      <c r="A44" s="5" t="s">
        <v>54</v>
      </c>
      <c r="B44" s="46" t="s">
        <v>53</v>
      </c>
      <c r="C44" s="31">
        <v>194</v>
      </c>
      <c r="D44" s="82">
        <v>190</v>
      </c>
      <c r="E44" s="111">
        <f t="shared" si="5"/>
        <v>-4</v>
      </c>
      <c r="F44" s="12"/>
      <c r="G44" s="31">
        <v>361</v>
      </c>
      <c r="H44" s="82">
        <v>347</v>
      </c>
      <c r="I44" s="111">
        <f t="shared" si="6"/>
        <v>-14</v>
      </c>
      <c r="J44" s="12"/>
      <c r="K44" s="31">
        <v>181</v>
      </c>
      <c r="L44" s="82">
        <v>359</v>
      </c>
    </row>
    <row r="45" spans="1:12" ht="15.75" x14ac:dyDescent="0.25">
      <c r="A45" s="5" t="s">
        <v>55</v>
      </c>
      <c r="B45" s="46" t="s">
        <v>54</v>
      </c>
      <c r="C45" s="31">
        <v>223</v>
      </c>
      <c r="D45" s="82">
        <v>243</v>
      </c>
      <c r="E45" s="111">
        <f t="shared" si="5"/>
        <v>20</v>
      </c>
      <c r="F45" s="12"/>
      <c r="G45" s="31">
        <v>496</v>
      </c>
      <c r="H45" s="82">
        <v>487</v>
      </c>
      <c r="I45" s="111">
        <f t="shared" si="6"/>
        <v>-9</v>
      </c>
      <c r="J45" s="12"/>
      <c r="K45" s="31">
        <v>280</v>
      </c>
      <c r="L45" s="82">
        <v>625</v>
      </c>
    </row>
    <row r="46" spans="1:12" ht="15.75" x14ac:dyDescent="0.25">
      <c r="A46" s="5" t="s">
        <v>56</v>
      </c>
      <c r="B46" s="46" t="s">
        <v>55</v>
      </c>
      <c r="C46" s="31">
        <v>817</v>
      </c>
      <c r="D46" s="82">
        <v>795</v>
      </c>
      <c r="E46" s="111">
        <f t="shared" si="5"/>
        <v>-22</v>
      </c>
      <c r="F46" s="12"/>
      <c r="G46" s="31">
        <v>1606</v>
      </c>
      <c r="H46" s="82">
        <v>1576</v>
      </c>
      <c r="I46" s="111">
        <f t="shared" si="6"/>
        <v>-30</v>
      </c>
      <c r="J46" s="12"/>
      <c r="K46" s="31">
        <v>832</v>
      </c>
      <c r="L46" s="82">
        <v>1691</v>
      </c>
    </row>
    <row r="47" spans="1:12" ht="15.75" x14ac:dyDescent="0.25">
      <c r="A47" s="5" t="s">
        <v>57</v>
      </c>
      <c r="B47" s="46" t="s">
        <v>56</v>
      </c>
      <c r="C47" s="31">
        <v>242</v>
      </c>
      <c r="D47" s="82">
        <v>220</v>
      </c>
      <c r="E47" s="111">
        <f t="shared" si="5"/>
        <v>-22</v>
      </c>
      <c r="F47" s="12"/>
      <c r="G47" s="31">
        <v>355</v>
      </c>
      <c r="H47" s="82">
        <v>340</v>
      </c>
      <c r="I47" s="111">
        <f t="shared" si="6"/>
        <v>-15</v>
      </c>
      <c r="J47" s="12"/>
      <c r="K47" s="31">
        <v>257</v>
      </c>
      <c r="L47" s="82">
        <v>424</v>
      </c>
    </row>
    <row r="48" spans="1:12" ht="15.75" x14ac:dyDescent="0.25">
      <c r="A48" s="5" t="s">
        <v>58</v>
      </c>
      <c r="B48" s="46" t="s">
        <v>57</v>
      </c>
      <c r="C48" s="31">
        <v>901</v>
      </c>
      <c r="D48" s="82">
        <v>886</v>
      </c>
      <c r="E48" s="111">
        <f t="shared" si="5"/>
        <v>-15</v>
      </c>
      <c r="F48" s="12"/>
      <c r="G48" s="31">
        <v>1788</v>
      </c>
      <c r="H48" s="82">
        <v>1755</v>
      </c>
      <c r="I48" s="111">
        <f t="shared" si="6"/>
        <v>-33</v>
      </c>
      <c r="J48" s="12"/>
      <c r="K48" s="31">
        <v>862</v>
      </c>
      <c r="L48" s="82">
        <v>1745</v>
      </c>
    </row>
    <row r="49" spans="1:12" ht="15.75" x14ac:dyDescent="0.25">
      <c r="A49" s="5" t="s">
        <v>58</v>
      </c>
      <c r="B49" s="46" t="s">
        <v>59</v>
      </c>
      <c r="C49" s="31">
        <v>39</v>
      </c>
      <c r="D49" s="82">
        <v>35</v>
      </c>
      <c r="E49" s="111">
        <v>-4</v>
      </c>
      <c r="F49" s="12"/>
      <c r="G49" s="31">
        <v>74</v>
      </c>
      <c r="H49" s="82">
        <v>65</v>
      </c>
      <c r="I49" s="111">
        <v>-9</v>
      </c>
      <c r="J49" s="12"/>
      <c r="K49" s="31">
        <v>47</v>
      </c>
      <c r="L49" s="82">
        <v>89</v>
      </c>
    </row>
    <row r="50" spans="1:12" ht="15.75" x14ac:dyDescent="0.25">
      <c r="A50" s="5" t="s">
        <v>60</v>
      </c>
      <c r="B50" s="46" t="s">
        <v>61</v>
      </c>
      <c r="C50" s="31">
        <v>15</v>
      </c>
      <c r="D50" s="82">
        <v>14</v>
      </c>
      <c r="E50" s="111">
        <f t="shared" si="5"/>
        <v>-1</v>
      </c>
      <c r="F50" s="12"/>
      <c r="G50" s="31">
        <v>29</v>
      </c>
      <c r="H50" s="82">
        <v>27</v>
      </c>
      <c r="I50" s="111">
        <f t="shared" si="6"/>
        <v>-2</v>
      </c>
      <c r="J50" s="12"/>
      <c r="K50" s="31">
        <v>74</v>
      </c>
      <c r="L50" s="82">
        <v>240</v>
      </c>
    </row>
    <row r="51" spans="1:12" ht="15.75" x14ac:dyDescent="0.25">
      <c r="A51" s="5" t="s">
        <v>62</v>
      </c>
      <c r="B51" s="46" t="s">
        <v>63</v>
      </c>
      <c r="C51" s="31">
        <v>65</v>
      </c>
      <c r="D51" s="82">
        <v>80</v>
      </c>
      <c r="E51" s="111">
        <f t="shared" si="5"/>
        <v>15</v>
      </c>
      <c r="F51" s="12"/>
      <c r="G51" s="31">
        <v>240</v>
      </c>
      <c r="H51" s="82">
        <v>240</v>
      </c>
      <c r="I51" s="70">
        <f t="shared" si="6"/>
        <v>0</v>
      </c>
      <c r="J51" s="12"/>
      <c r="K51" s="31">
        <v>23</v>
      </c>
      <c r="L51" s="82">
        <v>45</v>
      </c>
    </row>
    <row r="52" spans="1:12" ht="16.5" thickBot="1" x14ac:dyDescent="0.3">
      <c r="A52" s="20"/>
      <c r="B52" s="120" t="s">
        <v>64</v>
      </c>
      <c r="C52" s="84">
        <v>195</v>
      </c>
      <c r="D52" s="123">
        <v>185</v>
      </c>
      <c r="E52" s="124">
        <v>-10</v>
      </c>
      <c r="F52" s="12"/>
      <c r="G52" s="84">
        <v>405</v>
      </c>
      <c r="H52" s="123">
        <v>374</v>
      </c>
      <c r="I52" s="124">
        <v>-31</v>
      </c>
      <c r="J52" s="12"/>
      <c r="K52" s="84">
        <v>222</v>
      </c>
      <c r="L52" s="123">
        <v>390</v>
      </c>
    </row>
    <row r="53" spans="1:12" ht="15.75" x14ac:dyDescent="0.25">
      <c r="A53" s="16"/>
      <c r="B53" s="127"/>
      <c r="C53" s="54"/>
      <c r="D53" s="53"/>
      <c r="E53" s="131"/>
      <c r="F53" s="14"/>
      <c r="G53" s="54"/>
      <c r="H53" s="53"/>
      <c r="I53" s="132"/>
      <c r="J53" s="14"/>
      <c r="K53" s="53"/>
      <c r="L53" s="134"/>
    </row>
    <row r="54" spans="1:12" ht="15.75" x14ac:dyDescent="0.25">
      <c r="B54" s="43" t="s">
        <v>65</v>
      </c>
      <c r="C54" s="17">
        <f t="shared" ref="C54:E54" si="7">SUM(C43:C52)</f>
        <v>3168</v>
      </c>
      <c r="D54" s="44">
        <f t="shared" si="7"/>
        <v>3140</v>
      </c>
      <c r="E54" s="61">
        <f t="shared" si="7"/>
        <v>-28</v>
      </c>
      <c r="F54" s="15"/>
      <c r="G54" s="17">
        <f>SUM(G43:G52)</f>
        <v>6119</v>
      </c>
      <c r="H54" s="44">
        <f>SUM(H43:H52)</f>
        <v>6009</v>
      </c>
      <c r="I54" s="133">
        <f>SUM(I43:I52)</f>
        <v>-110</v>
      </c>
      <c r="J54" s="15"/>
      <c r="K54" s="44">
        <f t="shared" ref="K54:L54" si="8">SUM(K43:K52)</f>
        <v>3288</v>
      </c>
      <c r="L54" s="85">
        <f t="shared" si="8"/>
        <v>6459</v>
      </c>
    </row>
    <row r="55" spans="1:12" ht="16.5" thickBot="1" x14ac:dyDescent="0.3">
      <c r="B55" s="128"/>
      <c r="C55" s="129"/>
      <c r="D55" s="62"/>
      <c r="E55" s="130"/>
      <c r="F55" s="13"/>
      <c r="G55" s="129"/>
      <c r="H55" s="62"/>
      <c r="I55" s="130"/>
      <c r="J55" s="38"/>
      <c r="K55" s="62"/>
      <c r="L55" s="126"/>
    </row>
    <row r="56" spans="1:12" ht="16.5" thickBot="1" x14ac:dyDescent="0.3">
      <c r="A56" s="4"/>
      <c r="B56" s="164" t="s">
        <v>66</v>
      </c>
      <c r="C56" s="135">
        <f>C27-C40-C54</f>
        <v>-37</v>
      </c>
      <c r="D56" s="86">
        <f>D27-D40-D54</f>
        <v>109</v>
      </c>
      <c r="E56" s="167">
        <f>E27+E40+E54</f>
        <v>-146</v>
      </c>
      <c r="F56" s="13"/>
      <c r="G56" s="87">
        <f>G27-G40-G54</f>
        <v>655</v>
      </c>
      <c r="H56" s="87">
        <f>H27-H40-H54</f>
        <v>905</v>
      </c>
      <c r="I56" s="167">
        <f>I27+I40+I54</f>
        <v>-250</v>
      </c>
      <c r="J56" s="13"/>
      <c r="K56" s="87">
        <f>K27-K40-K54</f>
        <v>627</v>
      </c>
      <c r="L56" s="88">
        <f>L27-L40-L54</f>
        <v>1893</v>
      </c>
    </row>
    <row r="57" spans="1:12" ht="15.75" thickBot="1" x14ac:dyDescent="0.3">
      <c r="B57" s="165" t="s">
        <v>67</v>
      </c>
      <c r="C57" s="161">
        <f>C56/C27</f>
        <v>-3.6463979501330443E-3</v>
      </c>
      <c r="D57" s="163">
        <f>D56/D27</f>
        <v>1.0532418591168229E-2</v>
      </c>
      <c r="E57" s="162"/>
      <c r="F57" s="152"/>
      <c r="G57" s="161">
        <f>G56/G27</f>
        <v>3.1688437348814706E-2</v>
      </c>
      <c r="H57" s="163">
        <f>H56/H27</f>
        <v>4.3041948064301339E-2</v>
      </c>
      <c r="I57" s="162"/>
      <c r="J57" s="156"/>
      <c r="K57" s="163">
        <f>K56/K27</f>
        <v>5.8548884116163977E-2</v>
      </c>
      <c r="L57" s="160">
        <f>L56/L27</f>
        <v>8.6822914277851673E-2</v>
      </c>
    </row>
    <row r="58" spans="1:12" ht="15.75" thickBot="1" x14ac:dyDescent="0.3">
      <c r="B58" s="27"/>
      <c r="C58" s="159"/>
      <c r="D58" s="154"/>
      <c r="E58" s="155"/>
      <c r="F58" s="89"/>
      <c r="G58" s="157"/>
      <c r="H58" s="154"/>
      <c r="I58" s="155"/>
      <c r="J58" s="89"/>
      <c r="K58" s="157"/>
      <c r="L58" s="158"/>
    </row>
    <row r="59" spans="1:12" ht="15.75" x14ac:dyDescent="0.25">
      <c r="B59" s="166" t="s">
        <v>68</v>
      </c>
      <c r="C59" s="141">
        <v>-51</v>
      </c>
      <c r="D59" s="138">
        <v>-51</v>
      </c>
      <c r="E59" s="142">
        <f t="shared" ref="E59" si="9">C59-D59</f>
        <v>0</v>
      </c>
      <c r="F59" s="15"/>
      <c r="G59" s="141">
        <v>-102</v>
      </c>
      <c r="H59" s="138">
        <v>-102</v>
      </c>
      <c r="I59" s="142">
        <f t="shared" ref="I59" si="10">G59-H59</f>
        <v>0</v>
      </c>
      <c r="J59" s="14"/>
      <c r="K59" s="138">
        <v>-51</v>
      </c>
      <c r="L59" s="143">
        <v>-102</v>
      </c>
    </row>
    <row r="60" spans="1:12" ht="15.75" x14ac:dyDescent="0.25">
      <c r="B60" s="46" t="s">
        <v>69</v>
      </c>
      <c r="C60" s="137">
        <v>360</v>
      </c>
      <c r="D60" s="139">
        <v>360</v>
      </c>
      <c r="E60" s="73">
        <f t="shared" ref="E60:E62" si="11">D60-C60</f>
        <v>0</v>
      </c>
      <c r="F60" s="15"/>
      <c r="G60" s="137">
        <v>715</v>
      </c>
      <c r="H60" s="139">
        <v>720</v>
      </c>
      <c r="I60" s="136">
        <f t="shared" ref="I60:I62" si="12">H60-G60</f>
        <v>5</v>
      </c>
      <c r="J60" s="14"/>
      <c r="K60" s="139">
        <v>365</v>
      </c>
      <c r="L60" s="144">
        <v>729</v>
      </c>
    </row>
    <row r="61" spans="1:12" ht="15.75" x14ac:dyDescent="0.25">
      <c r="B61" s="46" t="s">
        <v>70</v>
      </c>
      <c r="C61" s="137">
        <v>-7</v>
      </c>
      <c r="D61" s="139">
        <v>-9</v>
      </c>
      <c r="E61" s="136">
        <f t="shared" si="11"/>
        <v>-2</v>
      </c>
      <c r="F61" s="15"/>
      <c r="G61" s="137">
        <v>-12</v>
      </c>
      <c r="H61" s="139">
        <v>-15</v>
      </c>
      <c r="I61" s="136">
        <f t="shared" si="12"/>
        <v>-3</v>
      </c>
      <c r="J61" s="14"/>
      <c r="K61" s="139">
        <v>-12</v>
      </c>
      <c r="L61" s="144">
        <v>-22</v>
      </c>
    </row>
    <row r="62" spans="1:12" ht="16.5" thickBot="1" x14ac:dyDescent="0.3">
      <c r="B62" s="46" t="s">
        <v>71</v>
      </c>
      <c r="C62" s="137">
        <v>236</v>
      </c>
      <c r="D62" s="139">
        <v>234</v>
      </c>
      <c r="E62" s="136">
        <f t="shared" si="11"/>
        <v>-2</v>
      </c>
      <c r="F62" s="15"/>
      <c r="G62" s="137">
        <f>455-139</f>
        <v>316</v>
      </c>
      <c r="H62" s="139">
        <f>461-139</f>
        <v>322</v>
      </c>
      <c r="I62" s="136">
        <f t="shared" si="12"/>
        <v>6</v>
      </c>
      <c r="J62" s="14"/>
      <c r="K62" s="139">
        <v>233</v>
      </c>
      <c r="L62" s="144">
        <v>461</v>
      </c>
    </row>
    <row r="63" spans="1:12" ht="16.5" thickBot="1" x14ac:dyDescent="0.3">
      <c r="B63" s="164" t="s">
        <v>72</v>
      </c>
      <c r="C63" s="112">
        <f>C56-C59-C60-C61-C62</f>
        <v>-575</v>
      </c>
      <c r="D63" s="112">
        <f>D56-D59-D60-D61-D62</f>
        <v>-425</v>
      </c>
      <c r="E63" s="146">
        <f>E56+SUM(E59:E62)</f>
        <v>-150</v>
      </c>
      <c r="F63" s="13"/>
      <c r="G63" s="112">
        <f>G56-G59-G60-G61-G62</f>
        <v>-262</v>
      </c>
      <c r="H63" s="112">
        <f>H56-H59-H60-H61-H62</f>
        <v>-20</v>
      </c>
      <c r="I63" s="146">
        <f>I56+SUM(I59:I62)</f>
        <v>-242</v>
      </c>
      <c r="J63" s="13"/>
      <c r="K63" s="87">
        <f>K56-K59-K60-K61-K62</f>
        <v>92</v>
      </c>
      <c r="L63" s="88">
        <f>L56-L59-L60-L61-L62</f>
        <v>827</v>
      </c>
    </row>
    <row r="64" spans="1:12" ht="15.75" x14ac:dyDescent="0.25">
      <c r="B64" s="166"/>
      <c r="C64" s="79"/>
      <c r="D64" s="13"/>
      <c r="E64" s="79"/>
      <c r="F64" s="13"/>
      <c r="G64" s="147"/>
      <c r="H64" s="147"/>
      <c r="I64" s="147"/>
      <c r="J64" s="13"/>
      <c r="K64" s="79"/>
      <c r="L64" s="79"/>
    </row>
    <row r="65" spans="2:12" ht="15.75" x14ac:dyDescent="0.25">
      <c r="B65" s="46" t="s">
        <v>73</v>
      </c>
      <c r="C65" s="148">
        <f>C63</f>
        <v>-575</v>
      </c>
      <c r="D65" s="150">
        <f t="shared" ref="D65:L65" si="13">D63</f>
        <v>-425</v>
      </c>
      <c r="E65" s="148">
        <f t="shared" si="13"/>
        <v>-150</v>
      </c>
      <c r="F65" s="13"/>
      <c r="G65" s="148">
        <f t="shared" si="13"/>
        <v>-262</v>
      </c>
      <c r="H65" s="148">
        <f t="shared" si="13"/>
        <v>-20</v>
      </c>
      <c r="I65" s="148">
        <f t="shared" si="13"/>
        <v>-242</v>
      </c>
      <c r="J65" s="13"/>
      <c r="K65" s="12">
        <f t="shared" si="13"/>
        <v>92</v>
      </c>
      <c r="L65" s="12">
        <f t="shared" si="13"/>
        <v>827</v>
      </c>
    </row>
    <row r="66" spans="2:12" ht="16.5" thickBot="1" x14ac:dyDescent="0.3">
      <c r="B66" s="120" t="s">
        <v>74</v>
      </c>
      <c r="C66" s="140">
        <v>0</v>
      </c>
      <c r="D66" s="69">
        <v>0</v>
      </c>
      <c r="E66" s="140">
        <v>0</v>
      </c>
      <c r="F66" s="13"/>
      <c r="G66" s="149">
        <v>789</v>
      </c>
      <c r="H66" s="149">
        <v>789</v>
      </c>
      <c r="I66" s="140">
        <v>0</v>
      </c>
      <c r="J66" s="13"/>
      <c r="K66" s="145">
        <v>0</v>
      </c>
      <c r="L66" s="145">
        <v>650</v>
      </c>
    </row>
    <row r="67" spans="2:12" ht="16.5" thickBot="1" x14ac:dyDescent="0.3">
      <c r="B67" s="49" t="s">
        <v>75</v>
      </c>
      <c r="C67" s="151">
        <f>C65-C66</f>
        <v>-575</v>
      </c>
      <c r="D67" s="112">
        <f t="shared" ref="D67:E67" si="14">D65-D66</f>
        <v>-425</v>
      </c>
      <c r="E67" s="146">
        <f t="shared" si="14"/>
        <v>-150</v>
      </c>
      <c r="F67" s="38"/>
      <c r="G67" s="112">
        <f>G65-G66</f>
        <v>-1051</v>
      </c>
      <c r="H67" s="112">
        <f t="shared" ref="H67" si="15">H65-H66</f>
        <v>-809</v>
      </c>
      <c r="I67" s="146">
        <f t="shared" ref="I67" si="16">I65-I66</f>
        <v>-242</v>
      </c>
      <c r="J67" s="38"/>
      <c r="K67" s="87">
        <f>K65-K66</f>
        <v>92</v>
      </c>
      <c r="L67" s="88">
        <f t="shared" ref="L67" si="17">L65-L66</f>
        <v>177</v>
      </c>
    </row>
  </sheetData>
  <mergeCells count="5">
    <mergeCell ref="C4:E4"/>
    <mergeCell ref="G4:I4"/>
    <mergeCell ref="K4:L4"/>
    <mergeCell ref="B1:L1"/>
    <mergeCell ref="B2:L2"/>
  </mergeCells>
  <pageMargins left="0.23" right="0.12" top="0.13" bottom="0.13" header="0.13" footer="0.13"/>
  <pageSetup paperSize="9" scale="62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6087-696F-4168-9ED9-38AAE2B4C367}">
  <sheetPr>
    <pageSetUpPr fitToPage="1"/>
  </sheetPr>
  <dimension ref="A1:H52"/>
  <sheetViews>
    <sheetView zoomScale="80" zoomScaleNormal="80" workbookViewId="0">
      <pane xSplit="2" ySplit="7" topLeftCell="C8" activePane="bottomRight" state="frozen"/>
      <selection pane="topRight" activeCell="B21" sqref="B21:B22"/>
      <selection pane="bottomLeft" activeCell="B21" sqref="B21:B22"/>
      <selection pane="bottomRight"/>
    </sheetView>
  </sheetViews>
  <sheetFormatPr defaultRowHeight="15" x14ac:dyDescent="0.25"/>
  <cols>
    <col min="1" max="1" width="1.42578125" customWidth="1"/>
    <col min="2" max="2" width="52.7109375" bestFit="1" customWidth="1"/>
    <col min="3" max="7" width="18" customWidth="1"/>
    <col min="8" max="8" width="21.7109375" bestFit="1" customWidth="1"/>
  </cols>
  <sheetData>
    <row r="1" spans="1:8" ht="25.9" customHeight="1" x14ac:dyDescent="0.3">
      <c r="B1" s="274"/>
      <c r="C1" s="275"/>
      <c r="D1" s="275"/>
      <c r="E1" s="275"/>
      <c r="F1" s="275"/>
      <c r="G1" s="275"/>
      <c r="H1" s="276"/>
    </row>
    <row r="2" spans="1:8" ht="24.75" customHeight="1" x14ac:dyDescent="0.3">
      <c r="B2" s="277" t="s">
        <v>76</v>
      </c>
      <c r="C2" s="278"/>
      <c r="D2" s="278"/>
      <c r="E2" s="278"/>
      <c r="F2" s="278"/>
      <c r="G2" s="278"/>
      <c r="H2" s="279"/>
    </row>
    <row r="3" spans="1:8" ht="23.65" customHeight="1" thickBot="1" x14ac:dyDescent="0.3">
      <c r="B3" s="23"/>
      <c r="C3" s="169"/>
      <c r="D3" s="169"/>
      <c r="E3" s="169"/>
      <c r="F3" s="168"/>
      <c r="G3" s="168"/>
      <c r="H3" s="26"/>
    </row>
    <row r="4" spans="1:8" ht="15.75" x14ac:dyDescent="0.25">
      <c r="B4" s="7"/>
      <c r="C4" s="183" t="s">
        <v>77</v>
      </c>
      <c r="D4" s="172" t="s">
        <v>4</v>
      </c>
      <c r="E4" s="183"/>
      <c r="F4" s="172"/>
      <c r="G4" s="183"/>
      <c r="H4" s="173" t="s">
        <v>6</v>
      </c>
    </row>
    <row r="5" spans="1:8" ht="15.75" x14ac:dyDescent="0.25">
      <c r="B5" s="10"/>
      <c r="C5" s="184" t="s">
        <v>78</v>
      </c>
      <c r="D5" s="174" t="s">
        <v>79</v>
      </c>
      <c r="E5" s="184" t="s">
        <v>80</v>
      </c>
      <c r="F5" s="174" t="s">
        <v>5</v>
      </c>
      <c r="G5" s="184" t="s">
        <v>7</v>
      </c>
      <c r="H5" s="175" t="s">
        <v>81</v>
      </c>
    </row>
    <row r="6" spans="1:8" ht="14.25" customHeight="1" x14ac:dyDescent="0.25">
      <c r="A6" s="179"/>
      <c r="B6" s="178"/>
      <c r="C6" s="185" t="s">
        <v>82</v>
      </c>
      <c r="D6" s="176" t="s">
        <v>83</v>
      </c>
      <c r="E6" s="184" t="s">
        <v>84</v>
      </c>
      <c r="F6" s="177" t="s">
        <v>85</v>
      </c>
      <c r="G6" s="186" t="s">
        <v>85</v>
      </c>
      <c r="H6" s="175" t="s">
        <v>86</v>
      </c>
    </row>
    <row r="7" spans="1:8" ht="16.5" thickBot="1" x14ac:dyDescent="0.3">
      <c r="A7" s="179"/>
      <c r="B7" s="180"/>
      <c r="C7" s="184" t="s">
        <v>9</v>
      </c>
      <c r="D7" s="181" t="s">
        <v>9</v>
      </c>
      <c r="E7" s="184" t="s">
        <v>9</v>
      </c>
      <c r="F7" s="181" t="s">
        <v>9</v>
      </c>
      <c r="G7" s="184" t="s">
        <v>9</v>
      </c>
      <c r="H7" s="182" t="s">
        <v>9</v>
      </c>
    </row>
    <row r="8" spans="1:8" ht="15.75" x14ac:dyDescent="0.25">
      <c r="B8" s="190" t="s">
        <v>87</v>
      </c>
      <c r="C8" s="187"/>
      <c r="D8" s="193"/>
      <c r="E8" s="187"/>
      <c r="F8" s="193"/>
      <c r="G8" s="187"/>
      <c r="H8" s="194"/>
    </row>
    <row r="9" spans="1:8" ht="15.75" x14ac:dyDescent="0.25">
      <c r="B9" s="191" t="s">
        <v>88</v>
      </c>
      <c r="C9" s="188">
        <v>17849</v>
      </c>
      <c r="D9" s="171">
        <v>17776</v>
      </c>
      <c r="E9" s="188">
        <f>D9-C9</f>
        <v>-73</v>
      </c>
      <c r="F9" s="171">
        <v>17702</v>
      </c>
      <c r="G9" s="188">
        <v>17702</v>
      </c>
      <c r="H9" s="70">
        <f>G9-F9</f>
        <v>0</v>
      </c>
    </row>
    <row r="10" spans="1:8" ht="15.75" x14ac:dyDescent="0.25">
      <c r="B10" s="191" t="s">
        <v>89</v>
      </c>
      <c r="C10" s="188">
        <v>690</v>
      </c>
      <c r="D10" s="171">
        <v>724</v>
      </c>
      <c r="E10" s="188">
        <f>D10-C10</f>
        <v>34</v>
      </c>
      <c r="F10" s="171">
        <v>818</v>
      </c>
      <c r="G10" s="188">
        <v>813</v>
      </c>
      <c r="H10" s="22">
        <f>G10-F10</f>
        <v>-5</v>
      </c>
    </row>
    <row r="11" spans="1:8" ht="16.5" thickBot="1" x14ac:dyDescent="0.3">
      <c r="B11" s="192"/>
      <c r="C11" s="189"/>
      <c r="D11" s="195"/>
      <c r="E11" s="189"/>
      <c r="F11" s="195"/>
      <c r="G11" s="189"/>
      <c r="H11" s="196"/>
    </row>
    <row r="12" spans="1:8" ht="16.5" thickBot="1" x14ac:dyDescent="0.3">
      <c r="B12" s="206" t="s">
        <v>90</v>
      </c>
      <c r="C12" s="207">
        <f t="shared" ref="C12:H12" si="0">SUM(C9:C11)</f>
        <v>18539</v>
      </c>
      <c r="D12" s="207">
        <f t="shared" si="0"/>
        <v>18500</v>
      </c>
      <c r="E12" s="207">
        <f t="shared" si="0"/>
        <v>-39</v>
      </c>
      <c r="F12" s="207">
        <f t="shared" si="0"/>
        <v>18520</v>
      </c>
      <c r="G12" s="207">
        <f t="shared" si="0"/>
        <v>18515</v>
      </c>
      <c r="H12" s="207">
        <f t="shared" si="0"/>
        <v>-5</v>
      </c>
    </row>
    <row r="13" spans="1:8" ht="16.5" thickBot="1" x14ac:dyDescent="0.3">
      <c r="B13" s="11"/>
      <c r="C13" s="170"/>
      <c r="D13" s="170"/>
      <c r="E13" s="170"/>
      <c r="F13" s="170"/>
      <c r="G13" s="170"/>
      <c r="H13" s="21"/>
    </row>
    <row r="14" spans="1:8" ht="15.75" x14ac:dyDescent="0.25">
      <c r="B14" s="197" t="s">
        <v>91</v>
      </c>
      <c r="C14" s="203"/>
      <c r="D14" s="200"/>
      <c r="E14" s="203"/>
      <c r="F14" s="200"/>
      <c r="G14" s="203"/>
      <c r="H14" s="201"/>
    </row>
    <row r="15" spans="1:8" ht="15.75" x14ac:dyDescent="0.25">
      <c r="B15" s="198" t="s">
        <v>92</v>
      </c>
      <c r="C15" s="34">
        <v>35</v>
      </c>
      <c r="D15" s="58">
        <v>32</v>
      </c>
      <c r="E15" s="34">
        <f t="shared" ref="E15:E19" si="1">D15-C15</f>
        <v>-3</v>
      </c>
      <c r="F15" s="58">
        <v>35</v>
      </c>
      <c r="G15" s="34">
        <v>35</v>
      </c>
      <c r="H15" s="70">
        <f t="shared" ref="H15:H19" si="2">G15-F15</f>
        <v>0</v>
      </c>
    </row>
    <row r="16" spans="1:8" ht="15.75" x14ac:dyDescent="0.25">
      <c r="B16" s="198" t="s">
        <v>93</v>
      </c>
      <c r="C16" s="34">
        <v>836</v>
      </c>
      <c r="D16" s="58">
        <v>655</v>
      </c>
      <c r="E16" s="34">
        <f t="shared" si="1"/>
        <v>-181</v>
      </c>
      <c r="F16" s="58">
        <v>800</v>
      </c>
      <c r="G16" s="34">
        <v>750</v>
      </c>
      <c r="H16" s="33">
        <f t="shared" si="2"/>
        <v>-50</v>
      </c>
    </row>
    <row r="17" spans="2:8" ht="15.75" x14ac:dyDescent="0.25">
      <c r="B17" s="198" t="s">
        <v>94</v>
      </c>
      <c r="C17" s="34">
        <v>264</v>
      </c>
      <c r="D17" s="58">
        <v>302</v>
      </c>
      <c r="E17" s="34">
        <f t="shared" si="1"/>
        <v>38</v>
      </c>
      <c r="F17" s="58">
        <v>228</v>
      </c>
      <c r="G17" s="34">
        <v>240</v>
      </c>
      <c r="H17" s="33">
        <f t="shared" si="2"/>
        <v>12</v>
      </c>
    </row>
    <row r="18" spans="2:8" ht="15.75" x14ac:dyDescent="0.25">
      <c r="B18" s="198" t="s">
        <v>172</v>
      </c>
      <c r="C18" s="71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</row>
    <row r="19" spans="2:8" ht="16.5" thickBot="1" x14ac:dyDescent="0.3">
      <c r="B19" s="199" t="s">
        <v>95</v>
      </c>
      <c r="C19" s="204">
        <v>2780</v>
      </c>
      <c r="D19" s="113">
        <v>2090</v>
      </c>
      <c r="E19" s="204">
        <f t="shared" si="1"/>
        <v>-690</v>
      </c>
      <c r="F19" s="113">
        <v>2281</v>
      </c>
      <c r="G19" s="204">
        <v>2082</v>
      </c>
      <c r="H19" s="202">
        <f t="shared" si="2"/>
        <v>-199</v>
      </c>
    </row>
    <row r="20" spans="2:8" ht="16.5" thickBot="1" x14ac:dyDescent="0.3">
      <c r="B20" s="208" t="s">
        <v>96</v>
      </c>
      <c r="C20" s="207">
        <f t="shared" ref="C20:H20" si="3">SUM(C15:C19)</f>
        <v>3915</v>
      </c>
      <c r="D20" s="207">
        <f t="shared" si="3"/>
        <v>3079</v>
      </c>
      <c r="E20" s="207">
        <f t="shared" si="3"/>
        <v>-836</v>
      </c>
      <c r="F20" s="207">
        <f t="shared" si="3"/>
        <v>3344</v>
      </c>
      <c r="G20" s="207">
        <f t="shared" si="3"/>
        <v>3107</v>
      </c>
      <c r="H20" s="207">
        <f t="shared" si="3"/>
        <v>-237</v>
      </c>
    </row>
    <row r="21" spans="2:8" ht="15.75" x14ac:dyDescent="0.25">
      <c r="B21" s="11"/>
      <c r="C21" s="188"/>
      <c r="D21" s="171"/>
      <c r="E21" s="188"/>
      <c r="F21" s="171"/>
      <c r="G21" s="188"/>
      <c r="H21" s="22"/>
    </row>
    <row r="22" spans="2:8" ht="15.75" x14ac:dyDescent="0.25">
      <c r="B22" s="9" t="s">
        <v>97</v>
      </c>
      <c r="C22" s="188"/>
      <c r="D22" s="171"/>
      <c r="E22" s="188"/>
      <c r="F22" s="171"/>
      <c r="G22" s="188"/>
      <c r="H22" s="22"/>
    </row>
    <row r="23" spans="2:8" ht="15.75" x14ac:dyDescent="0.25">
      <c r="B23" s="198" t="s">
        <v>98</v>
      </c>
      <c r="C23" s="34">
        <v>396</v>
      </c>
      <c r="D23" s="58">
        <v>396</v>
      </c>
      <c r="E23" s="71">
        <f t="shared" ref="E23" si="4">D23-C23</f>
        <v>0</v>
      </c>
      <c r="F23" s="58">
        <v>396</v>
      </c>
      <c r="G23" s="34">
        <v>396</v>
      </c>
      <c r="H23" s="70">
        <f t="shared" ref="H23" si="5">G23-F23</f>
        <v>0</v>
      </c>
    </row>
    <row r="24" spans="2:8" ht="15.75" x14ac:dyDescent="0.25">
      <c r="B24" s="198" t="s">
        <v>99</v>
      </c>
      <c r="C24" s="34">
        <v>102</v>
      </c>
      <c r="D24" s="58">
        <v>102</v>
      </c>
      <c r="E24" s="71">
        <f t="shared" ref="E24" si="6">D24-C24</f>
        <v>0</v>
      </c>
      <c r="F24" s="58">
        <v>102</v>
      </c>
      <c r="G24" s="34">
        <v>102</v>
      </c>
      <c r="H24" s="70">
        <f t="shared" ref="H24" si="7">G24-F24</f>
        <v>0</v>
      </c>
    </row>
    <row r="25" spans="2:8" ht="15.75" x14ac:dyDescent="0.25">
      <c r="B25" s="198" t="s">
        <v>100</v>
      </c>
      <c r="C25" s="34">
        <v>520</v>
      </c>
      <c r="D25" s="58">
        <v>576</v>
      </c>
      <c r="E25" s="34">
        <f t="shared" ref="E25:E26" si="8">D25-C25</f>
        <v>56</v>
      </c>
      <c r="F25" s="58">
        <v>436</v>
      </c>
      <c r="G25" s="34">
        <v>436</v>
      </c>
      <c r="H25" s="70">
        <f t="shared" ref="H25:H26" si="9">G25-F25</f>
        <v>0</v>
      </c>
    </row>
    <row r="26" spans="2:8" ht="15.75" x14ac:dyDescent="0.25">
      <c r="B26" s="198" t="s">
        <v>101</v>
      </c>
      <c r="C26" s="34">
        <v>729</v>
      </c>
      <c r="D26" s="58">
        <v>756</v>
      </c>
      <c r="E26" s="34">
        <f t="shared" si="8"/>
        <v>27</v>
      </c>
      <c r="F26" s="58">
        <v>729</v>
      </c>
      <c r="G26" s="34">
        <v>729</v>
      </c>
      <c r="H26" s="70">
        <f t="shared" si="9"/>
        <v>0</v>
      </c>
    </row>
    <row r="27" spans="2:8" ht="15.75" x14ac:dyDescent="0.25">
      <c r="B27" s="198" t="s">
        <v>102</v>
      </c>
      <c r="C27" s="34">
        <v>340</v>
      </c>
      <c r="D27" s="58">
        <v>354</v>
      </c>
      <c r="E27" s="34">
        <f t="shared" ref="E27" si="10">D27-C27</f>
        <v>14</v>
      </c>
      <c r="F27" s="58">
        <v>375</v>
      </c>
      <c r="G27" s="34">
        <v>375</v>
      </c>
      <c r="H27" s="70">
        <f t="shared" ref="H27" si="11">G27-F27</f>
        <v>0</v>
      </c>
    </row>
    <row r="28" spans="2:8" ht="15.75" x14ac:dyDescent="0.25">
      <c r="B28" s="198" t="s">
        <v>103</v>
      </c>
      <c r="C28" s="34">
        <v>1565</v>
      </c>
      <c r="D28" s="58">
        <f>1401</f>
        <v>1401</v>
      </c>
      <c r="E28" s="34">
        <f t="shared" ref="E28:E29" si="12">D28-C28</f>
        <v>-164</v>
      </c>
      <c r="F28" s="58">
        <v>1565</v>
      </c>
      <c r="G28" s="34">
        <v>1565</v>
      </c>
      <c r="H28" s="70">
        <f t="shared" ref="H28:H29" si="13">G28-F28</f>
        <v>0</v>
      </c>
    </row>
    <row r="29" spans="2:8" ht="15.75" x14ac:dyDescent="0.25">
      <c r="B29" s="198" t="s">
        <v>104</v>
      </c>
      <c r="C29" s="34">
        <v>278</v>
      </c>
      <c r="D29" s="58">
        <v>278</v>
      </c>
      <c r="E29" s="71">
        <f t="shared" si="12"/>
        <v>0</v>
      </c>
      <c r="F29" s="58">
        <v>255</v>
      </c>
      <c r="G29" s="34">
        <v>255</v>
      </c>
      <c r="H29" s="70">
        <f t="shared" si="13"/>
        <v>0</v>
      </c>
    </row>
    <row r="30" spans="2:8" ht="15.75" x14ac:dyDescent="0.25">
      <c r="B30" s="198" t="s">
        <v>105</v>
      </c>
      <c r="C30" s="34">
        <v>241</v>
      </c>
      <c r="D30" s="58">
        <v>257</v>
      </c>
      <c r="E30" s="34">
        <f t="shared" ref="E30" si="14">D30-C30</f>
        <v>16</v>
      </c>
      <c r="F30" s="58">
        <v>241</v>
      </c>
      <c r="G30" s="34">
        <v>241</v>
      </c>
      <c r="H30" s="70">
        <f t="shared" ref="H30" si="15">G30-F30</f>
        <v>0</v>
      </c>
    </row>
    <row r="31" spans="2:8" ht="16.5" thickBot="1" x14ac:dyDescent="0.3">
      <c r="B31" s="11"/>
      <c r="C31" s="188">
        <v>0</v>
      </c>
      <c r="D31" s="171">
        <v>0</v>
      </c>
      <c r="E31" s="188">
        <v>0</v>
      </c>
      <c r="F31" s="171">
        <v>0</v>
      </c>
      <c r="G31" s="188">
        <v>0</v>
      </c>
      <c r="H31" s="72"/>
    </row>
    <row r="32" spans="2:8" ht="16.5" thickBot="1" x14ac:dyDescent="0.3">
      <c r="B32" s="208" t="s">
        <v>106</v>
      </c>
      <c r="C32" s="209">
        <f t="shared" ref="C32:H32" si="16">SUM(C23:C30)</f>
        <v>4171</v>
      </c>
      <c r="D32" s="209">
        <f t="shared" si="16"/>
        <v>4120</v>
      </c>
      <c r="E32" s="209">
        <f t="shared" si="16"/>
        <v>-51</v>
      </c>
      <c r="F32" s="209">
        <f t="shared" si="16"/>
        <v>4099</v>
      </c>
      <c r="G32" s="209">
        <f t="shared" si="16"/>
        <v>4099</v>
      </c>
      <c r="H32" s="210">
        <f t="shared" si="16"/>
        <v>0</v>
      </c>
    </row>
    <row r="33" spans="2:8" ht="16.5" thickBot="1" x14ac:dyDescent="0.3">
      <c r="B33" s="208" t="s">
        <v>107</v>
      </c>
      <c r="C33" s="209">
        <f t="shared" ref="C33:H33" si="17">C20-C32</f>
        <v>-256</v>
      </c>
      <c r="D33" s="209">
        <f t="shared" si="17"/>
        <v>-1041</v>
      </c>
      <c r="E33" s="209">
        <f t="shared" si="17"/>
        <v>-785</v>
      </c>
      <c r="F33" s="209">
        <f t="shared" si="17"/>
        <v>-755</v>
      </c>
      <c r="G33" s="209">
        <f t="shared" si="17"/>
        <v>-992</v>
      </c>
      <c r="H33" s="209">
        <f t="shared" si="17"/>
        <v>-237</v>
      </c>
    </row>
    <row r="34" spans="2:8" ht="16.5" thickBot="1" x14ac:dyDescent="0.3">
      <c r="B34" s="211" t="s">
        <v>108</v>
      </c>
      <c r="C34" s="205">
        <f>C20/(C32-C24-C29)</f>
        <v>1.0327090477446583</v>
      </c>
      <c r="D34" s="205">
        <f>D20/(D32-D24-D29)</f>
        <v>0.82326203208556148</v>
      </c>
      <c r="E34" s="205"/>
      <c r="F34" s="205">
        <f>F20/(F32-F24-F29)</f>
        <v>0.89363976483164087</v>
      </c>
      <c r="G34" s="205">
        <f>G20/(G32-G24-G29)</f>
        <v>0.830304649919829</v>
      </c>
      <c r="H34" s="205"/>
    </row>
    <row r="35" spans="2:8" ht="16.5" thickBot="1" x14ac:dyDescent="0.3">
      <c r="B35" s="208" t="s">
        <v>109</v>
      </c>
      <c r="C35" s="207">
        <f t="shared" ref="C35:H35" si="18">C12+C33</f>
        <v>18283</v>
      </c>
      <c r="D35" s="207">
        <f t="shared" si="18"/>
        <v>17459</v>
      </c>
      <c r="E35" s="207">
        <f t="shared" si="18"/>
        <v>-824</v>
      </c>
      <c r="F35" s="207">
        <f t="shared" si="18"/>
        <v>17765</v>
      </c>
      <c r="G35" s="207">
        <f t="shared" si="18"/>
        <v>17523</v>
      </c>
      <c r="H35" s="207">
        <f t="shared" si="18"/>
        <v>-242</v>
      </c>
    </row>
    <row r="36" spans="2:8" ht="15.75" x14ac:dyDescent="0.25">
      <c r="B36" s="212" t="s">
        <v>110</v>
      </c>
      <c r="C36" s="203"/>
      <c r="D36" s="203"/>
      <c r="E36" s="203"/>
      <c r="F36" s="203"/>
      <c r="G36" s="203"/>
      <c r="H36" s="203"/>
    </row>
    <row r="37" spans="2:8" ht="15.75" x14ac:dyDescent="0.25">
      <c r="B37" s="191" t="s">
        <v>111</v>
      </c>
      <c r="C37" s="213">
        <v>7920</v>
      </c>
      <c r="D37" s="213">
        <v>7722</v>
      </c>
      <c r="E37" s="213">
        <f t="shared" ref="E37" si="19">D37-C37</f>
        <v>-198</v>
      </c>
      <c r="F37" s="213">
        <v>7524</v>
      </c>
      <c r="G37" s="213">
        <v>7524</v>
      </c>
      <c r="H37" s="68">
        <f t="shared" ref="H37" si="20">G37-F37</f>
        <v>0</v>
      </c>
    </row>
    <row r="38" spans="2:8" ht="16.5" thickBot="1" x14ac:dyDescent="0.3">
      <c r="B38" s="191" t="s">
        <v>112</v>
      </c>
      <c r="C38" s="213">
        <v>2539</v>
      </c>
      <c r="D38" s="213">
        <v>2488</v>
      </c>
      <c r="E38" s="213">
        <f t="shared" ref="E38" si="21">D38-C38</f>
        <v>-51</v>
      </c>
      <c r="F38" s="213">
        <v>2437</v>
      </c>
      <c r="G38" s="213">
        <v>2437</v>
      </c>
      <c r="H38" s="68">
        <f t="shared" ref="H38" si="22">G38-F38</f>
        <v>0</v>
      </c>
    </row>
    <row r="39" spans="2:8" ht="32.25" thickBot="1" x14ac:dyDescent="0.3">
      <c r="B39" s="214" t="s">
        <v>113</v>
      </c>
      <c r="C39" s="215">
        <f t="shared" ref="C39:H39" si="23">SUM(C37:C38)</f>
        <v>10459</v>
      </c>
      <c r="D39" s="215">
        <f t="shared" si="23"/>
        <v>10210</v>
      </c>
      <c r="E39" s="215">
        <f t="shared" si="23"/>
        <v>-249</v>
      </c>
      <c r="F39" s="215">
        <f t="shared" si="23"/>
        <v>9961</v>
      </c>
      <c r="G39" s="215">
        <f t="shared" si="23"/>
        <v>9961</v>
      </c>
      <c r="H39" s="216">
        <f t="shared" si="23"/>
        <v>0</v>
      </c>
    </row>
    <row r="40" spans="2:8" ht="16.5" thickBot="1" x14ac:dyDescent="0.3">
      <c r="B40" s="211" t="s">
        <v>114</v>
      </c>
      <c r="C40" s="217">
        <f>(C37+C23)/'I&amp;E'!L27</f>
        <v>0.38141540155024539</v>
      </c>
      <c r="D40" s="217"/>
      <c r="E40" s="217"/>
      <c r="F40" s="217">
        <f>(F37+F23)/'I&amp;E'!H27</f>
        <v>0.37667649576714546</v>
      </c>
      <c r="G40" s="217">
        <f>(G37+G23)/'I&amp;E'!G27</f>
        <v>0.38316400580551524</v>
      </c>
      <c r="H40" s="217"/>
    </row>
    <row r="41" spans="2:8" ht="16.5" thickBot="1" x14ac:dyDescent="0.3">
      <c r="B41" s="11"/>
      <c r="C41" s="171"/>
      <c r="D41" s="171"/>
      <c r="E41" s="171"/>
      <c r="F41" s="171"/>
      <c r="G41" s="171"/>
      <c r="H41" s="22"/>
    </row>
    <row r="42" spans="2:8" ht="15.75" x14ac:dyDescent="0.25">
      <c r="B42" s="190" t="s">
        <v>115</v>
      </c>
      <c r="C42" s="203"/>
      <c r="D42" s="203"/>
      <c r="E42" s="203"/>
      <c r="F42" s="203"/>
      <c r="G42" s="203"/>
      <c r="H42" s="203"/>
    </row>
    <row r="43" spans="2:8" ht="16.5" thickBot="1" x14ac:dyDescent="0.3">
      <c r="B43" s="191" t="s">
        <v>116</v>
      </c>
      <c r="C43" s="213">
        <v>3603</v>
      </c>
      <c r="D43" s="213">
        <v>3603</v>
      </c>
      <c r="E43" s="68">
        <f t="shared" ref="E43" si="24">D43-C43</f>
        <v>0</v>
      </c>
      <c r="F43" s="213">
        <v>4392</v>
      </c>
      <c r="G43" s="213">
        <v>4392</v>
      </c>
      <c r="H43" s="68">
        <f t="shared" ref="H43" si="25">G43-F43</f>
        <v>0</v>
      </c>
    </row>
    <row r="44" spans="2:8" ht="16.5" thickBot="1" x14ac:dyDescent="0.3">
      <c r="B44" s="208" t="s">
        <v>117</v>
      </c>
      <c r="C44" s="218">
        <f t="shared" ref="C44:H44" si="26">SUM(C43:C43)</f>
        <v>3603</v>
      </c>
      <c r="D44" s="218">
        <f t="shared" si="26"/>
        <v>3603</v>
      </c>
      <c r="E44" s="219">
        <f t="shared" si="26"/>
        <v>0</v>
      </c>
      <c r="F44" s="218">
        <f t="shared" si="26"/>
        <v>4392</v>
      </c>
      <c r="G44" s="218">
        <f t="shared" si="26"/>
        <v>4392</v>
      </c>
      <c r="H44" s="219">
        <f t="shared" si="26"/>
        <v>0</v>
      </c>
    </row>
    <row r="45" spans="2:8" ht="16.5" thickBot="1" x14ac:dyDescent="0.3">
      <c r="B45" s="11"/>
      <c r="C45" s="171"/>
      <c r="D45" s="171"/>
      <c r="E45" s="171"/>
      <c r="F45" s="171"/>
      <c r="G45" s="171"/>
      <c r="H45" s="22"/>
    </row>
    <row r="46" spans="2:8" ht="16.5" thickBot="1" x14ac:dyDescent="0.3">
      <c r="B46" s="206" t="s">
        <v>118</v>
      </c>
      <c r="C46" s="207">
        <f t="shared" ref="C46:H46" si="27">C35-C39-C44</f>
        <v>4221</v>
      </c>
      <c r="D46" s="207">
        <f t="shared" si="27"/>
        <v>3646</v>
      </c>
      <c r="E46" s="207">
        <f t="shared" si="27"/>
        <v>-575</v>
      </c>
      <c r="F46" s="207">
        <f t="shared" si="27"/>
        <v>3412</v>
      </c>
      <c r="G46" s="207">
        <f t="shared" si="27"/>
        <v>3170</v>
      </c>
      <c r="H46" s="207">
        <f t="shared" si="27"/>
        <v>-242</v>
      </c>
    </row>
    <row r="47" spans="2:8" ht="15.75" x14ac:dyDescent="0.25">
      <c r="B47" s="11"/>
      <c r="C47" s="171"/>
      <c r="D47" s="171"/>
      <c r="E47" s="171"/>
      <c r="F47" s="171"/>
      <c r="G47" s="171"/>
      <c r="H47" s="22"/>
    </row>
    <row r="48" spans="2:8" ht="16.5" thickBot="1" x14ac:dyDescent="0.3">
      <c r="B48" s="220" t="s">
        <v>119</v>
      </c>
      <c r="C48" s="171"/>
      <c r="D48" s="171"/>
      <c r="E48" s="171"/>
      <c r="F48" s="171"/>
      <c r="G48" s="171"/>
      <c r="H48" s="22"/>
    </row>
    <row r="49" spans="2:8" ht="15.75" x14ac:dyDescent="0.25">
      <c r="B49" s="221" t="s">
        <v>120</v>
      </c>
      <c r="C49" s="203">
        <f>-C43</f>
        <v>-3603</v>
      </c>
      <c r="D49" s="203">
        <f>-D43</f>
        <v>-3603</v>
      </c>
      <c r="E49" s="67">
        <v>0</v>
      </c>
      <c r="F49" s="203">
        <f>-F43</f>
        <v>-4392</v>
      </c>
      <c r="G49" s="203">
        <f>-G43</f>
        <v>-4392</v>
      </c>
      <c r="H49" s="67">
        <f>G49-F49</f>
        <v>0</v>
      </c>
    </row>
    <row r="50" spans="2:8" ht="15.75" x14ac:dyDescent="0.25">
      <c r="B50" s="191" t="s">
        <v>121</v>
      </c>
      <c r="C50" s="188">
        <v>812</v>
      </c>
      <c r="D50" s="188">
        <v>812</v>
      </c>
      <c r="E50" s="68">
        <f>D50-C50</f>
        <v>0</v>
      </c>
      <c r="F50" s="188">
        <v>812</v>
      </c>
      <c r="G50" s="188">
        <v>812</v>
      </c>
      <c r="H50" s="68">
        <f>G50-F50</f>
        <v>0</v>
      </c>
    </row>
    <row r="51" spans="2:8" ht="16.5" thickBot="1" x14ac:dyDescent="0.3">
      <c r="B51" s="192" t="s">
        <v>122</v>
      </c>
      <c r="C51" s="204">
        <v>7012</v>
      </c>
      <c r="D51" s="204">
        <f>C51+'I&amp;E'!C67</f>
        <v>6437</v>
      </c>
      <c r="E51" s="204">
        <f>D51-C51</f>
        <v>-575</v>
      </c>
      <c r="F51" s="204">
        <f>C51+'I&amp;E'!H63</f>
        <v>6992</v>
      </c>
      <c r="G51" s="204">
        <f>C51+'I&amp;E'!G63</f>
        <v>6750</v>
      </c>
      <c r="H51" s="204">
        <f>G51-F51</f>
        <v>-242</v>
      </c>
    </row>
    <row r="52" spans="2:8" ht="16.5" thickBot="1" x14ac:dyDescent="0.3">
      <c r="B52" s="206" t="s">
        <v>123</v>
      </c>
      <c r="C52" s="207">
        <f t="shared" ref="C52:H52" si="28">SUM(C49:C51)</f>
        <v>4221</v>
      </c>
      <c r="D52" s="207">
        <f t="shared" si="28"/>
        <v>3646</v>
      </c>
      <c r="E52" s="207">
        <f t="shared" si="28"/>
        <v>-575</v>
      </c>
      <c r="F52" s="207">
        <f t="shared" si="28"/>
        <v>3412</v>
      </c>
      <c r="G52" s="207">
        <f t="shared" si="28"/>
        <v>3170</v>
      </c>
      <c r="H52" s="207">
        <f t="shared" si="28"/>
        <v>-242</v>
      </c>
    </row>
  </sheetData>
  <mergeCells count="2">
    <mergeCell ref="B1:H1"/>
    <mergeCell ref="B2:H2"/>
  </mergeCells>
  <pageMargins left="0.2" right="0.15" top="0.13" bottom="0.21" header="0.13" footer="0.13"/>
  <pageSetup paperSize="9" scale="64" fitToHeight="0" orientation="portrait" horizontalDpi="4294967293" verticalDpi="4294967293" r:id="rId1"/>
  <ignoredErrors>
    <ignoredError sqref="C32:D32 F32:G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5AE8-16C1-4CC2-A309-BFF79FE26F17}">
  <sheetPr>
    <pageSetUpPr fitToPage="1"/>
  </sheetPr>
  <dimension ref="A1:S48"/>
  <sheetViews>
    <sheetView tabSelected="1" workbookViewId="0">
      <pane xSplit="1" ySplit="4" topLeftCell="G13" activePane="bottomRight" state="frozen"/>
      <selection pane="topRight" activeCell="A3" sqref="A3:D18"/>
      <selection pane="bottomLeft" activeCell="A3" sqref="A3:D18"/>
      <selection pane="bottomRight"/>
    </sheetView>
  </sheetViews>
  <sheetFormatPr defaultRowHeight="15" x14ac:dyDescent="0.25"/>
  <cols>
    <col min="1" max="1" width="38.7109375" customWidth="1"/>
    <col min="2" max="2" width="12.7109375" hidden="1" customWidth="1"/>
    <col min="3" max="3" width="12.42578125" hidden="1" customWidth="1"/>
    <col min="4" max="4" width="12.85546875" hidden="1" customWidth="1"/>
    <col min="5" max="5" width="12" hidden="1" customWidth="1"/>
    <col min="6" max="6" width="12.140625" hidden="1" customWidth="1"/>
    <col min="7" max="7" width="10.7109375" customWidth="1"/>
    <col min="8" max="8" width="11.42578125" customWidth="1"/>
    <col min="9" max="9" width="11.140625" customWidth="1"/>
    <col min="10" max="10" width="12.42578125" customWidth="1"/>
    <col min="11" max="11" width="12.5703125" customWidth="1"/>
    <col min="12" max="12" width="13.85546875" customWidth="1"/>
    <col min="13" max="13" width="12.42578125" customWidth="1"/>
    <col min="14" max="14" width="11.85546875" customWidth="1"/>
    <col min="15" max="15" width="12.140625" customWidth="1"/>
    <col min="16" max="16" width="12.5703125" customWidth="1"/>
    <col min="17" max="18" width="12.7109375" customWidth="1"/>
    <col min="19" max="19" width="11.5703125" customWidth="1"/>
  </cols>
  <sheetData>
    <row r="1" spans="1:19" ht="20.25" x14ac:dyDescent="0.3">
      <c r="A1" s="227"/>
      <c r="B1" s="228"/>
      <c r="C1" s="228"/>
      <c r="D1" s="228"/>
      <c r="E1" s="228"/>
      <c r="F1" s="228"/>
      <c r="G1" s="280" t="s">
        <v>124</v>
      </c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2"/>
    </row>
    <row r="2" spans="1:19" x14ac:dyDescent="0.25">
      <c r="A2" s="229"/>
      <c r="B2" s="230"/>
      <c r="C2" s="230"/>
      <c r="D2" s="230"/>
      <c r="E2" s="230"/>
      <c r="F2" s="230"/>
      <c r="G2" s="231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3"/>
    </row>
    <row r="3" spans="1:19" x14ac:dyDescent="0.25">
      <c r="A3" s="229" t="s">
        <v>125</v>
      </c>
      <c r="B3" s="230" t="s">
        <v>4</v>
      </c>
      <c r="C3" s="230" t="s">
        <v>4</v>
      </c>
      <c r="D3" s="230" t="s">
        <v>4</v>
      </c>
      <c r="E3" s="230" t="s">
        <v>4</v>
      </c>
      <c r="F3" s="230" t="s">
        <v>4</v>
      </c>
      <c r="G3" s="234" t="s">
        <v>4</v>
      </c>
      <c r="H3" s="235" t="s">
        <v>7</v>
      </c>
      <c r="I3" s="235" t="s">
        <v>7</v>
      </c>
      <c r="J3" s="235" t="s">
        <v>7</v>
      </c>
      <c r="K3" s="235" t="s">
        <v>7</v>
      </c>
      <c r="L3" s="235" t="s">
        <v>7</v>
      </c>
      <c r="M3" s="235" t="s">
        <v>7</v>
      </c>
      <c r="N3" s="235" t="s">
        <v>7</v>
      </c>
      <c r="O3" s="235" t="s">
        <v>7</v>
      </c>
      <c r="P3" s="235" t="s">
        <v>7</v>
      </c>
      <c r="Q3" s="235" t="s">
        <v>7</v>
      </c>
      <c r="R3" s="235" t="s">
        <v>7</v>
      </c>
      <c r="S3" s="236" t="s">
        <v>7</v>
      </c>
    </row>
    <row r="4" spans="1:19" ht="15.75" thickBot="1" x14ac:dyDescent="0.3">
      <c r="A4" s="237"/>
      <c r="B4" s="238" t="s">
        <v>126</v>
      </c>
      <c r="C4" s="238" t="s">
        <v>127</v>
      </c>
      <c r="D4" s="238" t="s">
        <v>128</v>
      </c>
      <c r="E4" s="238" t="s">
        <v>129</v>
      </c>
      <c r="F4" s="238" t="s">
        <v>130</v>
      </c>
      <c r="G4" s="239" t="s">
        <v>131</v>
      </c>
      <c r="H4" s="238" t="s">
        <v>132</v>
      </c>
      <c r="I4" s="238" t="s">
        <v>133</v>
      </c>
      <c r="J4" s="238" t="s">
        <v>134</v>
      </c>
      <c r="K4" s="238" t="s">
        <v>135</v>
      </c>
      <c r="L4" s="238" t="s">
        <v>136</v>
      </c>
      <c r="M4" s="238" t="s">
        <v>137</v>
      </c>
      <c r="N4" s="238" t="s">
        <v>126</v>
      </c>
      <c r="O4" s="238" t="s">
        <v>127</v>
      </c>
      <c r="P4" s="238" t="s">
        <v>128</v>
      </c>
      <c r="Q4" s="238" t="s">
        <v>129</v>
      </c>
      <c r="R4" s="238" t="s">
        <v>130</v>
      </c>
      <c r="S4" s="240" t="s">
        <v>138</v>
      </c>
    </row>
    <row r="5" spans="1:19" x14ac:dyDescent="0.25">
      <c r="A5" s="241" t="s">
        <v>139</v>
      </c>
      <c r="B5" s="242"/>
      <c r="C5" s="242"/>
      <c r="D5" s="242"/>
      <c r="E5" s="242"/>
      <c r="F5" s="242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4"/>
    </row>
    <row r="6" spans="1:19" x14ac:dyDescent="0.25">
      <c r="A6" s="245" t="s">
        <v>140</v>
      </c>
      <c r="B6" s="222">
        <v>1085.1666666666667</v>
      </c>
      <c r="C6" s="222">
        <v>1085.1666666666667</v>
      </c>
      <c r="D6" s="222">
        <v>1085.1666666666667</v>
      </c>
      <c r="E6" s="222">
        <v>1085.1666666666667</v>
      </c>
      <c r="F6" s="222">
        <v>1085.1666666666667</v>
      </c>
      <c r="G6" s="222">
        <v>1085.1666666666667</v>
      </c>
      <c r="H6" s="222">
        <v>1085.1666666666667</v>
      </c>
      <c r="I6" s="222">
        <v>1085.1666666666667</v>
      </c>
      <c r="J6" s="222">
        <v>1085.1666666666667</v>
      </c>
      <c r="K6" s="222">
        <v>1085.1666666666667</v>
      </c>
      <c r="L6" s="222">
        <v>1085.1666666666667</v>
      </c>
      <c r="M6" s="222">
        <v>1084</v>
      </c>
      <c r="N6" s="243">
        <f>13400/12</f>
        <v>1116.6666666666667</v>
      </c>
      <c r="O6" s="243">
        <f t="shared" ref="O6:S6" si="0">13400/12</f>
        <v>1116.6666666666667</v>
      </c>
      <c r="P6" s="243">
        <f t="shared" si="0"/>
        <v>1116.6666666666667</v>
      </c>
      <c r="Q6" s="243">
        <f t="shared" si="0"/>
        <v>1116.6666666666667</v>
      </c>
      <c r="R6" s="243">
        <f t="shared" si="0"/>
        <v>1116.6666666666667</v>
      </c>
      <c r="S6" s="244">
        <f t="shared" si="0"/>
        <v>1116.6666666666667</v>
      </c>
    </row>
    <row r="7" spans="1:19" x14ac:dyDescent="0.25">
      <c r="A7" s="245" t="s">
        <v>20</v>
      </c>
      <c r="B7" s="222">
        <f>2987/12</f>
        <v>248.91666666666666</v>
      </c>
      <c r="C7" s="222">
        <f t="shared" ref="C7:S7" si="1">2987/12</f>
        <v>248.91666666666666</v>
      </c>
      <c r="D7" s="222">
        <f t="shared" si="1"/>
        <v>248.91666666666666</v>
      </c>
      <c r="E7" s="222">
        <f t="shared" si="1"/>
        <v>248.91666666666666</v>
      </c>
      <c r="F7" s="222">
        <f t="shared" si="1"/>
        <v>248.91666666666666</v>
      </c>
      <c r="G7" s="222">
        <f t="shared" si="1"/>
        <v>248.91666666666666</v>
      </c>
      <c r="H7" s="222">
        <f t="shared" si="1"/>
        <v>248.91666666666666</v>
      </c>
      <c r="I7" s="222">
        <f t="shared" si="1"/>
        <v>248.91666666666666</v>
      </c>
      <c r="J7" s="222">
        <f t="shared" si="1"/>
        <v>248.91666666666666</v>
      </c>
      <c r="K7" s="222">
        <f t="shared" si="1"/>
        <v>248.91666666666666</v>
      </c>
      <c r="L7" s="222">
        <f t="shared" si="1"/>
        <v>248.91666666666666</v>
      </c>
      <c r="M7" s="222">
        <f t="shared" si="1"/>
        <v>248.91666666666666</v>
      </c>
      <c r="N7" s="222">
        <f t="shared" si="1"/>
        <v>248.91666666666666</v>
      </c>
      <c r="O7" s="222">
        <f t="shared" si="1"/>
        <v>248.91666666666666</v>
      </c>
      <c r="P7" s="222">
        <f t="shared" si="1"/>
        <v>248.91666666666666</v>
      </c>
      <c r="Q7" s="222">
        <f t="shared" si="1"/>
        <v>248.91666666666666</v>
      </c>
      <c r="R7" s="222">
        <f t="shared" si="1"/>
        <v>248.91666666666666</v>
      </c>
      <c r="S7" s="223">
        <f t="shared" si="1"/>
        <v>248.91666666666666</v>
      </c>
    </row>
    <row r="8" spans="1:19" x14ac:dyDescent="0.25">
      <c r="A8" s="245" t="s">
        <v>18</v>
      </c>
      <c r="B8" s="222">
        <v>35</v>
      </c>
      <c r="C8" s="222">
        <v>69.441666666666677</v>
      </c>
      <c r="D8" s="222">
        <v>69.441666666666677</v>
      </c>
      <c r="E8" s="222">
        <v>69.441666666666677</v>
      </c>
      <c r="F8" s="222">
        <v>69.441666666666677</v>
      </c>
      <c r="G8" s="222">
        <v>69.441666666666677</v>
      </c>
      <c r="H8" s="222">
        <v>69.441666666666677</v>
      </c>
      <c r="I8" s="222">
        <v>69.441666666666677</v>
      </c>
      <c r="J8" s="222">
        <v>69.441666666666677</v>
      </c>
      <c r="K8" s="222">
        <v>69.441666666666677</v>
      </c>
      <c r="L8" s="222">
        <v>69.441666666666677</v>
      </c>
      <c r="M8" s="222">
        <v>69.441666666666677</v>
      </c>
      <c r="N8" s="243">
        <v>45</v>
      </c>
      <c r="O8" s="243">
        <v>74</v>
      </c>
      <c r="P8" s="243">
        <v>74</v>
      </c>
      <c r="Q8" s="243">
        <v>74</v>
      </c>
      <c r="R8" s="243">
        <v>74</v>
      </c>
      <c r="S8" s="244">
        <v>74</v>
      </c>
    </row>
    <row r="9" spans="1:19" x14ac:dyDescent="0.25">
      <c r="A9" s="245" t="s">
        <v>141</v>
      </c>
      <c r="B9" s="222">
        <v>10</v>
      </c>
      <c r="C9" s="222">
        <v>30</v>
      </c>
      <c r="D9" s="222">
        <v>529</v>
      </c>
      <c r="E9" s="222">
        <v>31</v>
      </c>
      <c r="F9" s="225">
        <v>31</v>
      </c>
      <c r="G9" s="222">
        <v>31</v>
      </c>
      <c r="H9" s="222">
        <f>31+475</f>
        <v>506</v>
      </c>
      <c r="I9" s="222">
        <v>29</v>
      </c>
      <c r="J9" s="222">
        <v>29</v>
      </c>
      <c r="K9" s="222">
        <f>29+950</f>
        <v>979</v>
      </c>
      <c r="L9" s="222">
        <v>29</v>
      </c>
      <c r="M9" s="222">
        <v>29</v>
      </c>
      <c r="N9" s="243">
        <v>8</v>
      </c>
      <c r="O9" s="243">
        <v>30</v>
      </c>
      <c r="P9" s="243">
        <v>30</v>
      </c>
      <c r="Q9" s="243">
        <v>475</v>
      </c>
      <c r="R9" s="243">
        <v>30</v>
      </c>
      <c r="S9" s="244">
        <v>30</v>
      </c>
    </row>
    <row r="10" spans="1:19" x14ac:dyDescent="0.25">
      <c r="A10" s="245" t="s">
        <v>142</v>
      </c>
      <c r="B10" s="222">
        <v>19</v>
      </c>
      <c r="C10" s="222">
        <v>19</v>
      </c>
      <c r="D10" s="222">
        <v>19</v>
      </c>
      <c r="E10" s="222">
        <v>19</v>
      </c>
      <c r="F10" s="222">
        <v>19</v>
      </c>
      <c r="G10" s="222">
        <v>19</v>
      </c>
      <c r="H10" s="222">
        <v>19</v>
      </c>
      <c r="I10" s="222">
        <v>19</v>
      </c>
      <c r="J10" s="222">
        <v>19</v>
      </c>
      <c r="K10" s="222">
        <v>19</v>
      </c>
      <c r="L10" s="222">
        <v>19</v>
      </c>
      <c r="M10" s="222">
        <v>19</v>
      </c>
      <c r="N10" s="243">
        <v>17</v>
      </c>
      <c r="O10" s="243">
        <v>17</v>
      </c>
      <c r="P10" s="243">
        <v>17</v>
      </c>
      <c r="Q10" s="243">
        <v>17</v>
      </c>
      <c r="R10" s="243">
        <v>17</v>
      </c>
      <c r="S10" s="244">
        <v>17</v>
      </c>
    </row>
    <row r="11" spans="1:19" x14ac:dyDescent="0.25">
      <c r="A11" s="245" t="s">
        <v>143</v>
      </c>
      <c r="B11" s="222">
        <v>44</v>
      </c>
      <c r="C11" s="222">
        <v>103</v>
      </c>
      <c r="D11" s="222">
        <v>97</v>
      </c>
      <c r="E11" s="222">
        <v>80.600000000000009</v>
      </c>
      <c r="F11" s="222">
        <v>63</v>
      </c>
      <c r="G11" s="222">
        <v>50</v>
      </c>
      <c r="H11" s="222">
        <v>30.800000000000004</v>
      </c>
      <c r="I11" s="222">
        <v>20.840000000000003</v>
      </c>
      <c r="J11" s="222">
        <v>110</v>
      </c>
      <c r="K11" s="222">
        <v>74</v>
      </c>
      <c r="L11" s="222">
        <v>62</v>
      </c>
      <c r="M11" s="222">
        <v>31</v>
      </c>
      <c r="N11" s="222">
        <v>35</v>
      </c>
      <c r="O11" s="222">
        <v>96</v>
      </c>
      <c r="P11" s="222">
        <v>90.56</v>
      </c>
      <c r="Q11" s="222">
        <v>84</v>
      </c>
      <c r="R11" s="222">
        <v>60</v>
      </c>
      <c r="S11" s="223">
        <v>50</v>
      </c>
    </row>
    <row r="12" spans="1:19" x14ac:dyDescent="0.25">
      <c r="A12" s="245" t="s">
        <v>144</v>
      </c>
      <c r="B12" s="222">
        <v>12</v>
      </c>
      <c r="C12" s="222">
        <v>75</v>
      </c>
      <c r="D12" s="222">
        <v>94.220833333333331</v>
      </c>
      <c r="E12" s="222">
        <v>59</v>
      </c>
      <c r="F12" s="222">
        <v>54.058333333333337</v>
      </c>
      <c r="G12" s="222">
        <v>54.058333333333337</v>
      </c>
      <c r="H12" s="222">
        <v>33.977083333333333</v>
      </c>
      <c r="I12" s="222">
        <v>38</v>
      </c>
      <c r="J12" s="222">
        <v>35</v>
      </c>
      <c r="K12" s="222">
        <v>33.977083333333333</v>
      </c>
      <c r="L12" s="222">
        <v>33.977083333333333</v>
      </c>
      <c r="M12" s="222">
        <v>12</v>
      </c>
      <c r="N12" s="222">
        <v>7</v>
      </c>
      <c r="O12" s="222">
        <v>70</v>
      </c>
      <c r="P12" s="222">
        <v>99</v>
      </c>
      <c r="Q12" s="222">
        <v>51</v>
      </c>
      <c r="R12" s="222">
        <v>60</v>
      </c>
      <c r="S12" s="223">
        <v>55</v>
      </c>
    </row>
    <row r="13" spans="1:19" ht="15.75" thickBot="1" x14ac:dyDescent="0.3">
      <c r="A13" s="246" t="s">
        <v>145</v>
      </c>
      <c r="B13" s="226">
        <v>18</v>
      </c>
      <c r="C13" s="222">
        <v>30.140011363636361</v>
      </c>
      <c r="D13" s="222">
        <v>30.140011363636361</v>
      </c>
      <c r="E13" s="222">
        <v>28</v>
      </c>
      <c r="F13" s="222">
        <v>202</v>
      </c>
      <c r="G13" s="222">
        <v>25</v>
      </c>
      <c r="H13" s="222">
        <v>24</v>
      </c>
      <c r="I13" s="222">
        <v>24</v>
      </c>
      <c r="J13" s="222">
        <v>24</v>
      </c>
      <c r="K13" s="222">
        <v>25.441636363636363</v>
      </c>
      <c r="L13" s="224">
        <v>24</v>
      </c>
      <c r="M13" s="224">
        <v>25</v>
      </c>
      <c r="N13" s="243">
        <v>0</v>
      </c>
      <c r="O13" s="243">
        <v>25</v>
      </c>
      <c r="P13" s="243">
        <v>25</v>
      </c>
      <c r="Q13" s="243">
        <v>25</v>
      </c>
      <c r="R13" s="243">
        <v>25</v>
      </c>
      <c r="S13" s="244">
        <v>25</v>
      </c>
    </row>
    <row r="14" spans="1:19" ht="15.75" thickBot="1" x14ac:dyDescent="0.3">
      <c r="A14" s="247" t="s">
        <v>146</v>
      </c>
      <c r="B14" s="248">
        <f t="shared" ref="B14:S14" si="2">SUM(B6:B13)</f>
        <v>1472.0833333333335</v>
      </c>
      <c r="C14" s="248">
        <f t="shared" si="2"/>
        <v>1660.6650113636365</v>
      </c>
      <c r="D14" s="248">
        <f t="shared" si="2"/>
        <v>2172.8858446969698</v>
      </c>
      <c r="E14" s="248">
        <f t="shared" si="2"/>
        <v>1621.125</v>
      </c>
      <c r="F14" s="248">
        <f t="shared" si="2"/>
        <v>1772.5833333333335</v>
      </c>
      <c r="G14" s="249">
        <f t="shared" si="2"/>
        <v>1582.5833333333335</v>
      </c>
      <c r="H14" s="250">
        <f t="shared" si="2"/>
        <v>2017.3020833333335</v>
      </c>
      <c r="I14" s="250">
        <f t="shared" si="2"/>
        <v>1534.365</v>
      </c>
      <c r="J14" s="250">
        <f t="shared" si="2"/>
        <v>1620.5250000000001</v>
      </c>
      <c r="K14" s="250">
        <f t="shared" si="2"/>
        <v>2534.9437196969698</v>
      </c>
      <c r="L14" s="250">
        <f t="shared" si="2"/>
        <v>1571.5020833333335</v>
      </c>
      <c r="M14" s="250">
        <f t="shared" si="2"/>
        <v>1518.3583333333333</v>
      </c>
      <c r="N14" s="250">
        <f t="shared" si="2"/>
        <v>1477.5833333333335</v>
      </c>
      <c r="O14" s="250">
        <f t="shared" si="2"/>
        <v>1677.5833333333335</v>
      </c>
      <c r="P14" s="250">
        <f t="shared" si="2"/>
        <v>1701.1433333333334</v>
      </c>
      <c r="Q14" s="250">
        <f t="shared" si="2"/>
        <v>2091.5833333333335</v>
      </c>
      <c r="R14" s="250">
        <f t="shared" si="2"/>
        <v>1631.5833333333335</v>
      </c>
      <c r="S14" s="251">
        <f t="shared" si="2"/>
        <v>1616.5833333333335</v>
      </c>
    </row>
    <row r="15" spans="1:19" x14ac:dyDescent="0.25">
      <c r="A15" s="245"/>
      <c r="B15" s="225"/>
      <c r="C15" s="225"/>
      <c r="D15" s="225"/>
      <c r="E15" s="225"/>
      <c r="F15" s="225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4"/>
    </row>
    <row r="16" spans="1:19" x14ac:dyDescent="0.25">
      <c r="A16" s="241" t="s">
        <v>147</v>
      </c>
      <c r="B16" s="242"/>
      <c r="C16" s="242"/>
      <c r="D16" s="242"/>
      <c r="E16" s="242"/>
      <c r="F16" s="242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4"/>
    </row>
    <row r="17" spans="1:19" x14ac:dyDescent="0.25">
      <c r="A17" s="245" t="s">
        <v>148</v>
      </c>
      <c r="B17" s="225">
        <v>646</v>
      </c>
      <c r="C17" s="225">
        <v>661</v>
      </c>
      <c r="D17" s="225">
        <v>688</v>
      </c>
      <c r="E17" s="225">
        <v>701</v>
      </c>
      <c r="F17" s="225">
        <v>676</v>
      </c>
      <c r="G17" s="243">
        <v>691</v>
      </c>
      <c r="H17" s="243">
        <v>688</v>
      </c>
      <c r="I17" s="243">
        <v>692</v>
      </c>
      <c r="J17" s="243">
        <v>688</v>
      </c>
      <c r="K17" s="243">
        <v>695</v>
      </c>
      <c r="L17" s="243">
        <v>701</v>
      </c>
      <c r="M17" s="243">
        <v>666</v>
      </c>
      <c r="N17" s="243">
        <f>B17*1.03</f>
        <v>665.38</v>
      </c>
      <c r="O17" s="243">
        <f t="shared" ref="O17:S19" si="3">C17*1.03</f>
        <v>680.83</v>
      </c>
      <c r="P17" s="243">
        <f t="shared" si="3"/>
        <v>708.64</v>
      </c>
      <c r="Q17" s="243">
        <f t="shared" si="3"/>
        <v>722.03</v>
      </c>
      <c r="R17" s="243">
        <f t="shared" si="3"/>
        <v>696.28</v>
      </c>
      <c r="S17" s="244">
        <f t="shared" si="3"/>
        <v>711.73</v>
      </c>
    </row>
    <row r="18" spans="1:19" x14ac:dyDescent="0.25">
      <c r="A18" s="245" t="s">
        <v>149</v>
      </c>
      <c r="B18" s="225">
        <v>161</v>
      </c>
      <c r="C18" s="225">
        <v>165</v>
      </c>
      <c r="D18" s="225">
        <v>172</v>
      </c>
      <c r="E18" s="225">
        <v>175</v>
      </c>
      <c r="F18" s="225">
        <v>170</v>
      </c>
      <c r="G18" s="243">
        <v>175</v>
      </c>
      <c r="H18" s="243">
        <v>170</v>
      </c>
      <c r="I18" s="243">
        <v>171</v>
      </c>
      <c r="J18" s="243">
        <v>170</v>
      </c>
      <c r="K18" s="243">
        <v>173</v>
      </c>
      <c r="L18" s="243">
        <v>176</v>
      </c>
      <c r="M18" s="243">
        <v>165</v>
      </c>
      <c r="N18" s="243">
        <f t="shared" ref="N18:N19" si="4">B18*1.03</f>
        <v>165.83</v>
      </c>
      <c r="O18" s="243">
        <f t="shared" si="3"/>
        <v>169.95000000000002</v>
      </c>
      <c r="P18" s="243">
        <f t="shared" si="3"/>
        <v>177.16</v>
      </c>
      <c r="Q18" s="243">
        <f t="shared" si="3"/>
        <v>180.25</v>
      </c>
      <c r="R18" s="243">
        <f t="shared" si="3"/>
        <v>175.1</v>
      </c>
      <c r="S18" s="244">
        <f t="shared" si="3"/>
        <v>180.25</v>
      </c>
    </row>
    <row r="19" spans="1:19" ht="15.75" thickBot="1" x14ac:dyDescent="0.3">
      <c r="A19" s="245" t="s">
        <v>150</v>
      </c>
      <c r="B19" s="225">
        <v>264</v>
      </c>
      <c r="C19" s="225">
        <v>276</v>
      </c>
      <c r="D19" s="225">
        <v>287</v>
      </c>
      <c r="E19" s="225">
        <v>295</v>
      </c>
      <c r="F19" s="225">
        <v>283</v>
      </c>
      <c r="G19" s="243">
        <v>288</v>
      </c>
      <c r="H19" s="243">
        <v>287</v>
      </c>
      <c r="I19" s="243">
        <v>288</v>
      </c>
      <c r="J19" s="243">
        <v>287</v>
      </c>
      <c r="K19" s="243">
        <v>290</v>
      </c>
      <c r="L19" s="243">
        <v>295</v>
      </c>
      <c r="M19" s="243">
        <v>278</v>
      </c>
      <c r="N19" s="243">
        <f t="shared" si="4"/>
        <v>271.92</v>
      </c>
      <c r="O19" s="243">
        <f t="shared" si="3"/>
        <v>284.28000000000003</v>
      </c>
      <c r="P19" s="243">
        <f t="shared" si="3"/>
        <v>295.61</v>
      </c>
      <c r="Q19" s="243">
        <f t="shared" si="3"/>
        <v>303.85000000000002</v>
      </c>
      <c r="R19" s="243">
        <f t="shared" si="3"/>
        <v>291.49</v>
      </c>
      <c r="S19" s="244">
        <f t="shared" si="3"/>
        <v>296.64</v>
      </c>
    </row>
    <row r="20" spans="1:19" ht="15.75" thickBot="1" x14ac:dyDescent="0.3">
      <c r="A20" s="247" t="s">
        <v>151</v>
      </c>
      <c r="B20" s="248">
        <f t="shared" ref="B20:S20" si="5">SUM(B17:B19)</f>
        <v>1071</v>
      </c>
      <c r="C20" s="248">
        <f t="shared" si="5"/>
        <v>1102</v>
      </c>
      <c r="D20" s="248">
        <f t="shared" si="5"/>
        <v>1147</v>
      </c>
      <c r="E20" s="248">
        <f t="shared" si="5"/>
        <v>1171</v>
      </c>
      <c r="F20" s="248">
        <f t="shared" si="5"/>
        <v>1129</v>
      </c>
      <c r="G20" s="249">
        <f t="shared" si="5"/>
        <v>1154</v>
      </c>
      <c r="H20" s="250">
        <f t="shared" si="5"/>
        <v>1145</v>
      </c>
      <c r="I20" s="250">
        <f t="shared" si="5"/>
        <v>1151</v>
      </c>
      <c r="J20" s="250">
        <f t="shared" si="5"/>
        <v>1145</v>
      </c>
      <c r="K20" s="250">
        <f t="shared" si="5"/>
        <v>1158</v>
      </c>
      <c r="L20" s="250">
        <f t="shared" si="5"/>
        <v>1172</v>
      </c>
      <c r="M20" s="250">
        <f t="shared" si="5"/>
        <v>1109</v>
      </c>
      <c r="N20" s="250">
        <f t="shared" si="5"/>
        <v>1103.1300000000001</v>
      </c>
      <c r="O20" s="250">
        <f t="shared" si="5"/>
        <v>1135.0600000000002</v>
      </c>
      <c r="P20" s="250">
        <f t="shared" si="5"/>
        <v>1181.4099999999999</v>
      </c>
      <c r="Q20" s="250">
        <f t="shared" si="5"/>
        <v>1206.1300000000001</v>
      </c>
      <c r="R20" s="250">
        <f t="shared" si="5"/>
        <v>1162.8699999999999</v>
      </c>
      <c r="S20" s="251">
        <f t="shared" si="5"/>
        <v>1188.6199999999999</v>
      </c>
    </row>
    <row r="21" spans="1:19" x14ac:dyDescent="0.25">
      <c r="A21" s="245"/>
      <c r="B21" s="225"/>
      <c r="C21" s="225"/>
      <c r="D21" s="225"/>
      <c r="E21" s="225"/>
      <c r="F21" s="225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4"/>
    </row>
    <row r="22" spans="1:19" x14ac:dyDescent="0.25">
      <c r="A22" s="241" t="s">
        <v>152</v>
      </c>
      <c r="B22" s="242"/>
      <c r="C22" s="242"/>
      <c r="D22" s="242"/>
      <c r="E22" s="242"/>
      <c r="F22" s="242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4"/>
    </row>
    <row r="23" spans="1:19" x14ac:dyDescent="0.25">
      <c r="A23" s="245" t="s">
        <v>153</v>
      </c>
      <c r="B23" s="225">
        <v>178</v>
      </c>
      <c r="C23" s="225">
        <v>805</v>
      </c>
      <c r="D23" s="225">
        <v>721</v>
      </c>
      <c r="E23" s="225">
        <v>696</v>
      </c>
      <c r="F23" s="225">
        <v>412</v>
      </c>
      <c r="G23" s="222">
        <v>544</v>
      </c>
      <c r="H23" s="222">
        <v>675</v>
      </c>
      <c r="I23" s="222">
        <v>561</v>
      </c>
      <c r="J23" s="222">
        <v>535</v>
      </c>
      <c r="K23" s="222">
        <v>456</v>
      </c>
      <c r="L23" s="222">
        <v>427</v>
      </c>
      <c r="M23" s="222">
        <v>356</v>
      </c>
      <c r="N23" s="222">
        <v>177.92</v>
      </c>
      <c r="O23" s="222">
        <v>800</v>
      </c>
      <c r="P23" s="222">
        <v>720</v>
      </c>
      <c r="Q23" s="222">
        <v>700</v>
      </c>
      <c r="R23" s="222">
        <v>400</v>
      </c>
      <c r="S23" s="223">
        <v>600</v>
      </c>
    </row>
    <row r="24" spans="1:19" x14ac:dyDescent="0.25">
      <c r="A24" s="245" t="s">
        <v>154</v>
      </c>
      <c r="B24" s="225">
        <v>0</v>
      </c>
      <c r="C24" s="225">
        <v>16</v>
      </c>
      <c r="D24" s="225">
        <v>18</v>
      </c>
      <c r="E24" s="225">
        <v>14</v>
      </c>
      <c r="F24" s="225">
        <v>10</v>
      </c>
      <c r="G24" s="243">
        <v>22</v>
      </c>
      <c r="H24" s="243">
        <v>24</v>
      </c>
      <c r="I24" s="243">
        <v>25</v>
      </c>
      <c r="J24" s="243">
        <v>25</v>
      </c>
      <c r="K24" s="243">
        <v>28</v>
      </c>
      <c r="L24" s="243">
        <v>28</v>
      </c>
      <c r="M24" s="243">
        <v>30</v>
      </c>
      <c r="N24" s="243">
        <v>0</v>
      </c>
      <c r="O24" s="243">
        <v>24</v>
      </c>
      <c r="P24" s="243">
        <v>24</v>
      </c>
      <c r="Q24" s="243">
        <v>24</v>
      </c>
      <c r="R24" s="243">
        <v>24</v>
      </c>
      <c r="S24" s="244">
        <v>24</v>
      </c>
    </row>
    <row r="25" spans="1:19" x14ac:dyDescent="0.25">
      <c r="A25" s="245" t="s">
        <v>155</v>
      </c>
      <c r="B25" s="225">
        <v>0</v>
      </c>
      <c r="C25" s="225">
        <v>0</v>
      </c>
      <c r="D25" s="225">
        <v>30</v>
      </c>
      <c r="E25" s="225">
        <v>0</v>
      </c>
      <c r="F25" s="225">
        <v>30</v>
      </c>
      <c r="G25" s="243">
        <v>0</v>
      </c>
      <c r="H25" s="243">
        <v>30</v>
      </c>
      <c r="I25" s="243">
        <v>0</v>
      </c>
      <c r="J25" s="243">
        <v>0</v>
      </c>
      <c r="K25" s="243">
        <v>30</v>
      </c>
      <c r="L25" s="243">
        <v>0</v>
      </c>
      <c r="M25" s="243">
        <v>0</v>
      </c>
      <c r="N25" s="243">
        <v>32</v>
      </c>
      <c r="O25" s="243">
        <v>0</v>
      </c>
      <c r="P25" s="243">
        <v>0</v>
      </c>
      <c r="Q25" s="243">
        <v>33</v>
      </c>
      <c r="R25" s="243">
        <v>0</v>
      </c>
      <c r="S25" s="244">
        <v>0</v>
      </c>
    </row>
    <row r="26" spans="1:19" ht="15.75" thickBot="1" x14ac:dyDescent="0.3">
      <c r="A26" s="245" t="s">
        <v>156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0</v>
      </c>
      <c r="M26" s="243">
        <v>0</v>
      </c>
      <c r="N26" s="243">
        <v>0</v>
      </c>
      <c r="O26" s="243">
        <v>0</v>
      </c>
      <c r="P26" s="243">
        <v>0</v>
      </c>
      <c r="Q26" s="243">
        <v>0</v>
      </c>
      <c r="R26" s="243">
        <v>139</v>
      </c>
      <c r="S26" s="244">
        <v>0</v>
      </c>
    </row>
    <row r="27" spans="1:19" ht="15.75" thickBot="1" x14ac:dyDescent="0.3">
      <c r="A27" s="247" t="s">
        <v>157</v>
      </c>
      <c r="B27" s="250">
        <f t="shared" ref="B27:S27" si="6">SUM(B23:B26)</f>
        <v>178</v>
      </c>
      <c r="C27" s="250">
        <f t="shared" si="6"/>
        <v>821</v>
      </c>
      <c r="D27" s="250">
        <f t="shared" si="6"/>
        <v>769</v>
      </c>
      <c r="E27" s="250">
        <f t="shared" si="6"/>
        <v>710</v>
      </c>
      <c r="F27" s="250">
        <f t="shared" si="6"/>
        <v>452</v>
      </c>
      <c r="G27" s="250">
        <f t="shared" si="6"/>
        <v>566</v>
      </c>
      <c r="H27" s="250">
        <f t="shared" si="6"/>
        <v>729</v>
      </c>
      <c r="I27" s="250">
        <f t="shared" si="6"/>
        <v>586</v>
      </c>
      <c r="J27" s="250">
        <f t="shared" si="6"/>
        <v>560</v>
      </c>
      <c r="K27" s="250">
        <f t="shared" si="6"/>
        <v>514</v>
      </c>
      <c r="L27" s="250">
        <f t="shared" si="6"/>
        <v>455</v>
      </c>
      <c r="M27" s="250">
        <f t="shared" si="6"/>
        <v>386</v>
      </c>
      <c r="N27" s="250">
        <f t="shared" si="6"/>
        <v>209.92</v>
      </c>
      <c r="O27" s="250">
        <f t="shared" si="6"/>
        <v>824</v>
      </c>
      <c r="P27" s="250">
        <f t="shared" si="6"/>
        <v>744</v>
      </c>
      <c r="Q27" s="250">
        <f t="shared" si="6"/>
        <v>757</v>
      </c>
      <c r="R27" s="250">
        <f t="shared" si="6"/>
        <v>563</v>
      </c>
      <c r="S27" s="251">
        <f t="shared" si="6"/>
        <v>624</v>
      </c>
    </row>
    <row r="28" spans="1:19" x14ac:dyDescent="0.25">
      <c r="A28" s="245"/>
      <c r="B28" s="225"/>
      <c r="C28" s="225"/>
      <c r="D28" s="225"/>
      <c r="E28" s="225"/>
      <c r="F28" s="225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4"/>
    </row>
    <row r="29" spans="1:19" x14ac:dyDescent="0.25">
      <c r="A29" s="252" t="s">
        <v>158</v>
      </c>
      <c r="B29" s="253">
        <f t="shared" ref="B29:S29" si="7">B14-B20-B27</f>
        <v>223.08333333333348</v>
      </c>
      <c r="C29" s="253">
        <f t="shared" si="7"/>
        <v>-262.33498863636351</v>
      </c>
      <c r="D29" s="253">
        <f t="shared" si="7"/>
        <v>256.8858446969698</v>
      </c>
      <c r="E29" s="253">
        <f t="shared" si="7"/>
        <v>-259.875</v>
      </c>
      <c r="F29" s="253">
        <f t="shared" si="7"/>
        <v>191.58333333333348</v>
      </c>
      <c r="G29" s="253">
        <f t="shared" si="7"/>
        <v>-137.41666666666652</v>
      </c>
      <c r="H29" s="253">
        <f t="shared" si="7"/>
        <v>143.30208333333348</v>
      </c>
      <c r="I29" s="253">
        <f t="shared" si="7"/>
        <v>-202.63499999999999</v>
      </c>
      <c r="J29" s="253">
        <f t="shared" si="7"/>
        <v>-84.474999999999909</v>
      </c>
      <c r="K29" s="253">
        <f t="shared" si="7"/>
        <v>862.94371969696977</v>
      </c>
      <c r="L29" s="253">
        <f t="shared" si="7"/>
        <v>-55.49791666666647</v>
      </c>
      <c r="M29" s="253">
        <f t="shared" si="7"/>
        <v>23.358333333333348</v>
      </c>
      <c r="N29" s="253">
        <f t="shared" si="7"/>
        <v>164.53333333333339</v>
      </c>
      <c r="O29" s="253">
        <f t="shared" si="7"/>
        <v>-281.47666666666669</v>
      </c>
      <c r="P29" s="253">
        <f t="shared" si="7"/>
        <v>-224.26666666666642</v>
      </c>
      <c r="Q29" s="253">
        <f t="shared" si="7"/>
        <v>128.45333333333338</v>
      </c>
      <c r="R29" s="253">
        <f t="shared" si="7"/>
        <v>-94.286666666666406</v>
      </c>
      <c r="S29" s="254">
        <f t="shared" si="7"/>
        <v>-196.03666666666641</v>
      </c>
    </row>
    <row r="30" spans="1:19" x14ac:dyDescent="0.25">
      <c r="A30" s="245"/>
      <c r="B30" s="225"/>
      <c r="C30" s="225"/>
      <c r="D30" s="225"/>
      <c r="E30" s="225"/>
      <c r="F30" s="225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4"/>
    </row>
    <row r="31" spans="1:19" x14ac:dyDescent="0.25">
      <c r="A31" s="241" t="s">
        <v>159</v>
      </c>
      <c r="B31" s="242"/>
      <c r="C31" s="242"/>
      <c r="D31" s="242"/>
      <c r="E31" s="242"/>
      <c r="F31" s="242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4"/>
    </row>
    <row r="32" spans="1:19" ht="15.75" thickBot="1" x14ac:dyDescent="0.3">
      <c r="A32" s="245" t="s">
        <v>160</v>
      </c>
      <c r="B32" s="225">
        <v>150</v>
      </c>
      <c r="C32" s="225">
        <v>85</v>
      </c>
      <c r="D32" s="225">
        <v>42</v>
      </c>
      <c r="E32" s="225">
        <v>37</v>
      </c>
      <c r="F32" s="225">
        <v>11</v>
      </c>
      <c r="G32" s="243">
        <v>25</v>
      </c>
      <c r="H32" s="243">
        <v>76</v>
      </c>
      <c r="I32" s="243">
        <v>120</v>
      </c>
      <c r="J32" s="243">
        <v>70</v>
      </c>
      <c r="K32" s="243">
        <v>35</v>
      </c>
      <c r="L32" s="243">
        <v>40</v>
      </c>
      <c r="M32" s="243">
        <v>0</v>
      </c>
      <c r="N32" s="243">
        <v>175</v>
      </c>
      <c r="O32" s="243">
        <v>100</v>
      </c>
      <c r="P32" s="243">
        <v>60</v>
      </c>
      <c r="Q32" s="243">
        <v>40</v>
      </c>
      <c r="R32" s="243">
        <v>0</v>
      </c>
      <c r="S32" s="244">
        <v>0</v>
      </c>
    </row>
    <row r="33" spans="1:19" ht="15.75" thickBot="1" x14ac:dyDescent="0.3">
      <c r="A33" s="247" t="s">
        <v>161</v>
      </c>
      <c r="B33" s="255">
        <f>-B32</f>
        <v>-150</v>
      </c>
      <c r="C33" s="255">
        <f t="shared" ref="C33:E33" si="8">-C32</f>
        <v>-85</v>
      </c>
      <c r="D33" s="255">
        <f t="shared" si="8"/>
        <v>-42</v>
      </c>
      <c r="E33" s="255">
        <f t="shared" si="8"/>
        <v>-37</v>
      </c>
      <c r="F33" s="255">
        <f>-F32</f>
        <v>-11</v>
      </c>
      <c r="G33" s="255">
        <f>-G32</f>
        <v>-25</v>
      </c>
      <c r="H33" s="255">
        <f t="shared" ref="H33:S33" si="9">-H32</f>
        <v>-76</v>
      </c>
      <c r="I33" s="255">
        <f t="shared" si="9"/>
        <v>-120</v>
      </c>
      <c r="J33" s="255">
        <f t="shared" si="9"/>
        <v>-70</v>
      </c>
      <c r="K33" s="255">
        <f t="shared" si="9"/>
        <v>-35</v>
      </c>
      <c r="L33" s="255">
        <f t="shared" si="9"/>
        <v>-40</v>
      </c>
      <c r="M33" s="256">
        <f t="shared" si="9"/>
        <v>0</v>
      </c>
      <c r="N33" s="255">
        <f t="shared" si="9"/>
        <v>-175</v>
      </c>
      <c r="O33" s="255">
        <f t="shared" si="9"/>
        <v>-100</v>
      </c>
      <c r="P33" s="255">
        <f t="shared" si="9"/>
        <v>-60</v>
      </c>
      <c r="Q33" s="255">
        <f t="shared" si="9"/>
        <v>-40</v>
      </c>
      <c r="R33" s="256">
        <f t="shared" si="9"/>
        <v>0</v>
      </c>
      <c r="S33" s="257">
        <f t="shared" si="9"/>
        <v>0</v>
      </c>
    </row>
    <row r="34" spans="1:19" x14ac:dyDescent="0.25">
      <c r="A34" s="245"/>
      <c r="B34" s="225"/>
      <c r="C34" s="225"/>
      <c r="D34" s="225"/>
      <c r="E34" s="225"/>
      <c r="F34" s="225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4"/>
    </row>
    <row r="35" spans="1:19" x14ac:dyDescent="0.25">
      <c r="A35" s="241" t="s">
        <v>162</v>
      </c>
      <c r="B35" s="242"/>
      <c r="C35" s="242"/>
      <c r="D35" s="242"/>
      <c r="E35" s="242"/>
      <c r="F35" s="242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4"/>
    </row>
    <row r="36" spans="1:19" x14ac:dyDescent="0.25">
      <c r="A36" s="245" t="s">
        <v>163</v>
      </c>
      <c r="B36" s="225">
        <v>2</v>
      </c>
      <c r="C36" s="243">
        <v>0</v>
      </c>
      <c r="D36" s="225">
        <v>3</v>
      </c>
      <c r="E36" s="243">
        <v>0</v>
      </c>
      <c r="F36" s="243">
        <v>0</v>
      </c>
      <c r="G36" s="243">
        <v>3</v>
      </c>
      <c r="H36" s="243">
        <v>0</v>
      </c>
      <c r="I36" s="243">
        <v>0</v>
      </c>
      <c r="J36" s="243">
        <v>3</v>
      </c>
      <c r="K36" s="243">
        <v>0</v>
      </c>
      <c r="L36" s="243">
        <v>0</v>
      </c>
      <c r="M36" s="243">
        <v>2</v>
      </c>
      <c r="N36" s="243">
        <v>0</v>
      </c>
      <c r="O36" s="243">
        <v>0</v>
      </c>
      <c r="P36" s="243">
        <v>2</v>
      </c>
      <c r="Q36" s="243">
        <v>0</v>
      </c>
      <c r="R36" s="243">
        <v>0</v>
      </c>
      <c r="S36" s="244">
        <v>2</v>
      </c>
    </row>
    <row r="37" spans="1:19" ht="15.75" thickBot="1" x14ac:dyDescent="0.3">
      <c r="A37" s="245" t="s">
        <v>164</v>
      </c>
      <c r="B37" s="243">
        <v>0</v>
      </c>
      <c r="C37" s="243">
        <v>0</v>
      </c>
      <c r="D37" s="225">
        <v>180</v>
      </c>
      <c r="E37" s="243">
        <v>0</v>
      </c>
      <c r="F37" s="243">
        <v>0</v>
      </c>
      <c r="G37" s="243">
        <v>180</v>
      </c>
      <c r="H37" s="243">
        <v>0</v>
      </c>
      <c r="I37" s="243">
        <v>0</v>
      </c>
      <c r="J37" s="243">
        <v>180</v>
      </c>
      <c r="K37" s="243">
        <v>0</v>
      </c>
      <c r="L37" s="243">
        <v>0</v>
      </c>
      <c r="M37" s="243">
        <v>180</v>
      </c>
      <c r="N37" s="243">
        <v>0</v>
      </c>
      <c r="O37" s="243">
        <v>0</v>
      </c>
      <c r="P37" s="243">
        <v>180</v>
      </c>
      <c r="Q37" s="243">
        <v>0</v>
      </c>
      <c r="R37" s="243">
        <v>0</v>
      </c>
      <c r="S37" s="244">
        <v>180</v>
      </c>
    </row>
    <row r="38" spans="1:19" ht="15.75" thickBot="1" x14ac:dyDescent="0.3">
      <c r="A38" s="247" t="s">
        <v>165</v>
      </c>
      <c r="B38" s="255">
        <f>B36-B37</f>
        <v>2</v>
      </c>
      <c r="C38" s="255">
        <f t="shared" ref="C38:F38" si="10">C36-C37</f>
        <v>0</v>
      </c>
      <c r="D38" s="255">
        <f t="shared" si="10"/>
        <v>-177</v>
      </c>
      <c r="E38" s="255">
        <f t="shared" si="10"/>
        <v>0</v>
      </c>
      <c r="F38" s="255">
        <f t="shared" si="10"/>
        <v>0</v>
      </c>
      <c r="G38" s="255">
        <f>G36-G37</f>
        <v>-177</v>
      </c>
      <c r="H38" s="256">
        <f t="shared" ref="H38:S38" si="11">H36-H37</f>
        <v>0</v>
      </c>
      <c r="I38" s="256">
        <f t="shared" si="11"/>
        <v>0</v>
      </c>
      <c r="J38" s="255">
        <f t="shared" si="11"/>
        <v>-177</v>
      </c>
      <c r="K38" s="256">
        <f t="shared" si="11"/>
        <v>0</v>
      </c>
      <c r="L38" s="256">
        <f t="shared" si="11"/>
        <v>0</v>
      </c>
      <c r="M38" s="255">
        <f t="shared" si="11"/>
        <v>-178</v>
      </c>
      <c r="N38" s="256">
        <f t="shared" si="11"/>
        <v>0</v>
      </c>
      <c r="O38" s="256">
        <f t="shared" si="11"/>
        <v>0</v>
      </c>
      <c r="P38" s="255">
        <f t="shared" si="11"/>
        <v>-178</v>
      </c>
      <c r="Q38" s="256">
        <f t="shared" si="11"/>
        <v>0</v>
      </c>
      <c r="R38" s="256">
        <f t="shared" si="11"/>
        <v>0</v>
      </c>
      <c r="S38" s="258">
        <f t="shared" si="11"/>
        <v>-178</v>
      </c>
    </row>
    <row r="39" spans="1:19" x14ac:dyDescent="0.25">
      <c r="A39" s="245"/>
      <c r="B39" s="225"/>
      <c r="C39" s="225"/>
      <c r="D39" s="225"/>
      <c r="E39" s="225"/>
      <c r="F39" s="225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4"/>
    </row>
    <row r="40" spans="1:19" ht="15.75" thickBot="1" x14ac:dyDescent="0.3">
      <c r="A40" s="245"/>
      <c r="B40" s="225"/>
      <c r="C40" s="225"/>
      <c r="D40" s="225"/>
      <c r="E40" s="225"/>
      <c r="F40" s="225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4"/>
    </row>
    <row r="41" spans="1:19" ht="15.75" thickBot="1" x14ac:dyDescent="0.3">
      <c r="A41" s="247" t="s">
        <v>166</v>
      </c>
      <c r="B41" s="255">
        <f>B29+B33+B38</f>
        <v>75.083333333333485</v>
      </c>
      <c r="C41" s="255">
        <f t="shared" ref="C41:F41" si="12">C29+C33+C38</f>
        <v>-347.33498863636351</v>
      </c>
      <c r="D41" s="255">
        <f t="shared" si="12"/>
        <v>37.885844696969798</v>
      </c>
      <c r="E41" s="255">
        <f t="shared" si="12"/>
        <v>-296.875</v>
      </c>
      <c r="F41" s="255">
        <f t="shared" si="12"/>
        <v>180.58333333333348</v>
      </c>
      <c r="G41" s="255">
        <f>G29+G33+G38</f>
        <v>-339.41666666666652</v>
      </c>
      <c r="H41" s="255">
        <f>H29+H33+H38</f>
        <v>67.302083333333485</v>
      </c>
      <c r="I41" s="255">
        <f t="shared" ref="I41:S41" si="13">I29+I33+I38</f>
        <v>-322.63499999999999</v>
      </c>
      <c r="J41" s="255">
        <f t="shared" si="13"/>
        <v>-331.47499999999991</v>
      </c>
      <c r="K41" s="255">
        <f t="shared" si="13"/>
        <v>827.94371969696977</v>
      </c>
      <c r="L41" s="255">
        <f t="shared" si="13"/>
        <v>-95.49791666666647</v>
      </c>
      <c r="M41" s="255">
        <f t="shared" si="13"/>
        <v>-154.64166666666665</v>
      </c>
      <c r="N41" s="255">
        <f t="shared" si="13"/>
        <v>-10.466666666666612</v>
      </c>
      <c r="O41" s="255">
        <f t="shared" si="13"/>
        <v>-381.47666666666669</v>
      </c>
      <c r="P41" s="255">
        <f t="shared" si="13"/>
        <v>-462.26666666666642</v>
      </c>
      <c r="Q41" s="255">
        <f t="shared" si="13"/>
        <v>88.453333333333376</v>
      </c>
      <c r="R41" s="255">
        <f t="shared" si="13"/>
        <v>-94.286666666666406</v>
      </c>
      <c r="S41" s="258">
        <f t="shared" si="13"/>
        <v>-374.03666666666641</v>
      </c>
    </row>
    <row r="42" spans="1:19" x14ac:dyDescent="0.25">
      <c r="A42" s="241" t="s">
        <v>167</v>
      </c>
      <c r="B42" s="253">
        <f>'Bal Sheet'!C19</f>
        <v>2780</v>
      </c>
      <c r="C42" s="253">
        <f t="shared" ref="C42:F42" si="14">B43</f>
        <v>2855.0833333333335</v>
      </c>
      <c r="D42" s="253">
        <f t="shared" si="14"/>
        <v>2507.74834469697</v>
      </c>
      <c r="E42" s="253">
        <f t="shared" si="14"/>
        <v>2545.6341893939398</v>
      </c>
      <c r="F42" s="253">
        <f t="shared" si="14"/>
        <v>2248.7591893939398</v>
      </c>
      <c r="G42" s="259">
        <f>F48</f>
        <v>2429.3425227272733</v>
      </c>
      <c r="H42" s="253">
        <f>G43</f>
        <v>2089.9258560606067</v>
      </c>
      <c r="I42" s="253">
        <f t="shared" ref="I42:R42" si="15">H43</f>
        <v>2157.2279393939402</v>
      </c>
      <c r="J42" s="253">
        <f t="shared" si="15"/>
        <v>1834.5929393939402</v>
      </c>
      <c r="K42" s="253">
        <f t="shared" si="15"/>
        <v>1503.1179393939403</v>
      </c>
      <c r="L42" s="253">
        <f t="shared" si="15"/>
        <v>2331.0616590909103</v>
      </c>
      <c r="M42" s="253">
        <f t="shared" si="15"/>
        <v>2235.5637424242441</v>
      </c>
      <c r="N42" s="253">
        <f t="shared" si="15"/>
        <v>2080.9220757575777</v>
      </c>
      <c r="O42" s="253">
        <f t="shared" si="15"/>
        <v>2070.455409090911</v>
      </c>
      <c r="P42" s="253">
        <f t="shared" si="15"/>
        <v>1688.9787424242443</v>
      </c>
      <c r="Q42" s="253">
        <f t="shared" si="15"/>
        <v>1226.7120757575778</v>
      </c>
      <c r="R42" s="253">
        <f t="shared" si="15"/>
        <v>1315.1654090909112</v>
      </c>
      <c r="S42" s="254">
        <f>Q43</f>
        <v>1315.1654090909112</v>
      </c>
    </row>
    <row r="43" spans="1:19" x14ac:dyDescent="0.25">
      <c r="A43" s="241" t="s">
        <v>168</v>
      </c>
      <c r="B43" s="253">
        <f t="shared" ref="B43:E43" si="16">B42+B41</f>
        <v>2855.0833333333335</v>
      </c>
      <c r="C43" s="253">
        <f t="shared" si="16"/>
        <v>2507.74834469697</v>
      </c>
      <c r="D43" s="253">
        <f t="shared" si="16"/>
        <v>2545.6341893939398</v>
      </c>
      <c r="E43" s="253">
        <f t="shared" si="16"/>
        <v>2248.7591893939398</v>
      </c>
      <c r="F43" s="253">
        <f t="shared" ref="F43" si="17">F42+F41</f>
        <v>2429.3425227272733</v>
      </c>
      <c r="G43" s="253">
        <f>G42+G41</f>
        <v>2089.9258560606067</v>
      </c>
      <c r="H43" s="253">
        <f t="shared" ref="H43:S43" si="18">H42+H41</f>
        <v>2157.2279393939402</v>
      </c>
      <c r="I43" s="253">
        <f t="shared" si="18"/>
        <v>1834.5929393939402</v>
      </c>
      <c r="J43" s="253">
        <f t="shared" si="18"/>
        <v>1503.1179393939403</v>
      </c>
      <c r="K43" s="253">
        <f t="shared" si="18"/>
        <v>2331.0616590909103</v>
      </c>
      <c r="L43" s="253">
        <f t="shared" si="18"/>
        <v>2235.5637424242441</v>
      </c>
      <c r="M43" s="253">
        <f t="shared" si="18"/>
        <v>2080.9220757575777</v>
      </c>
      <c r="N43" s="253">
        <f t="shared" si="18"/>
        <v>2070.455409090911</v>
      </c>
      <c r="O43" s="253">
        <f t="shared" si="18"/>
        <v>1688.9787424242443</v>
      </c>
      <c r="P43" s="253">
        <f t="shared" si="18"/>
        <v>1226.7120757575778</v>
      </c>
      <c r="Q43" s="253">
        <f t="shared" si="18"/>
        <v>1315.1654090909112</v>
      </c>
      <c r="R43" s="253">
        <f t="shared" ref="R43" si="19">R42+R41</f>
        <v>1220.8787424242448</v>
      </c>
      <c r="S43" s="254">
        <f t="shared" si="18"/>
        <v>941.12874242424482</v>
      </c>
    </row>
    <row r="44" spans="1:19" x14ac:dyDescent="0.25">
      <c r="A44" s="245"/>
      <c r="B44" s="225"/>
      <c r="C44" s="225"/>
      <c r="D44" s="225"/>
      <c r="E44" s="225"/>
      <c r="F44" s="225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4"/>
    </row>
    <row r="45" spans="1:19" x14ac:dyDescent="0.25">
      <c r="A45" s="241" t="s">
        <v>169</v>
      </c>
      <c r="B45" s="243">
        <f>(B43/('I&amp;E'!$G$40+'I&amp;E'!$G$54))*365</f>
        <v>52.066221167457741</v>
      </c>
      <c r="C45" s="243">
        <f>(C43/('I&amp;E'!$G$40+'I&amp;E'!$G$54))*365</f>
        <v>45.732108209562533</v>
      </c>
      <c r="D45" s="243">
        <f>(D43/('I&amp;E'!$G$40+'I&amp;E'!$G$54))*365</f>
        <v>46.423006701413343</v>
      </c>
      <c r="E45" s="243">
        <f>(E43/('I&amp;E'!$G$40+'I&amp;E'!$G$54))*365</f>
        <v>41.009098382652411</v>
      </c>
      <c r="F45" s="243">
        <f>(F43/('I&amp;E'!$G$40+'I&amp;E'!$G$54))*365</f>
        <v>44.302274334022222</v>
      </c>
      <c r="G45" s="243">
        <f>(G43/('I&amp;E'!$G$40+'I&amp;E'!$G$54))*365</f>
        <v>38.112562451267621</v>
      </c>
      <c r="H45" s="243">
        <f>(H43/('I&amp;E'!$G$54+'I&amp;E'!$G$40))*365</f>
        <v>39.339904965215503</v>
      </c>
      <c r="I45" s="243">
        <f>(I43/('I&amp;E'!$G$54+'I&amp;E'!$G$40))*365</f>
        <v>33.456228972210248</v>
      </c>
      <c r="J45" s="243">
        <f>(J43/('I&amp;E'!$G$54+'I&amp;E'!$G$40))*365</f>
        <v>27.411343886024891</v>
      </c>
      <c r="K45" s="243">
        <f>(K43/('I&amp;E'!$G$54+'I&amp;E'!$G$40))*365</f>
        <v>42.509992783821247</v>
      </c>
      <c r="L45" s="243">
        <f>(L43/('I&amp;E'!$G$54+'I&amp;E'!$G$40))*365</f>
        <v>40.768461952777869</v>
      </c>
      <c r="M45" s="243">
        <f>(M43/('I&amp;E'!$G$54+'I&amp;E'!$G$40))*365</f>
        <v>37.948366607620081</v>
      </c>
      <c r="N45" s="243">
        <f>(N43/('I&amp;E'!$G$54+'I&amp;E'!$G$40))*365</f>
        <v>37.75749309608706</v>
      </c>
      <c r="O45" s="243">
        <f>(O43/('I&amp;E'!$G$54+'I&amp;E'!$G$40))*365</f>
        <v>30.800761478133861</v>
      </c>
      <c r="P45" s="243">
        <f>(P43/('I&amp;E'!$G$54+'I&amp;E'!$G$40))*365</f>
        <v>22.370717344567371</v>
      </c>
      <c r="Q45" s="243">
        <f>(Q43/('I&amp;E'!$G$54+'I&amp;E'!$G$40))*365</f>
        <v>23.983780880248943</v>
      </c>
      <c r="R45" s="243">
        <f>(R43/('I&amp;E'!$G$54+'I&amp;E'!$G$40))*365</f>
        <v>22.264338795146109</v>
      </c>
      <c r="S45" s="244">
        <f>(S43/('I&amp;E'!$G$54+'I&amp;E'!$G$40))*365</f>
        <v>17.162727503614757</v>
      </c>
    </row>
    <row r="46" spans="1:19" x14ac:dyDescent="0.25">
      <c r="A46" s="245"/>
      <c r="B46" s="225"/>
      <c r="C46" s="225"/>
      <c r="D46" s="225"/>
      <c r="E46" s="225"/>
      <c r="F46" s="225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4"/>
    </row>
    <row r="47" spans="1:19" x14ac:dyDescent="0.25">
      <c r="A47" s="245" t="s">
        <v>170</v>
      </c>
      <c r="B47" s="28">
        <v>2895</v>
      </c>
      <c r="C47" s="28">
        <f>B47-150</f>
        <v>2745</v>
      </c>
      <c r="D47" s="28">
        <f>C47-150</f>
        <v>2595</v>
      </c>
      <c r="E47" s="28">
        <f>D47-150</f>
        <v>2445</v>
      </c>
      <c r="F47" s="28">
        <f>E47-100</f>
        <v>2345</v>
      </c>
      <c r="G47" s="28">
        <f>F47-400</f>
        <v>1945</v>
      </c>
      <c r="H47" s="28">
        <f>G47+40</f>
        <v>1985</v>
      </c>
      <c r="I47" s="28">
        <f>H47-200</f>
        <v>1785</v>
      </c>
      <c r="J47" s="28">
        <f>I47-350</f>
        <v>1435</v>
      </c>
      <c r="K47" s="28">
        <f>J47+850</f>
        <v>2285</v>
      </c>
      <c r="L47" s="28">
        <f>K47</f>
        <v>2285</v>
      </c>
      <c r="M47" s="28">
        <v>2281</v>
      </c>
      <c r="N47" s="28">
        <f>N43</f>
        <v>2070.455409090911</v>
      </c>
      <c r="O47" s="28">
        <f t="shared" ref="O47:S47" si="20">O43</f>
        <v>1688.9787424242443</v>
      </c>
      <c r="P47" s="28">
        <f t="shared" si="20"/>
        <v>1226.7120757575778</v>
      </c>
      <c r="Q47" s="28">
        <f t="shared" si="20"/>
        <v>1315.1654090909112</v>
      </c>
      <c r="R47" s="28">
        <f t="shared" si="20"/>
        <v>1220.8787424242448</v>
      </c>
      <c r="S47" s="260">
        <f t="shared" si="20"/>
        <v>941.12874242424482</v>
      </c>
    </row>
    <row r="48" spans="1:19" ht="15.75" thickBot="1" x14ac:dyDescent="0.3">
      <c r="A48" s="261" t="s">
        <v>171</v>
      </c>
      <c r="B48" s="262">
        <f>B43</f>
        <v>2855.0833333333335</v>
      </c>
      <c r="C48" s="262">
        <f t="shared" ref="C48:M48" si="21">C43</f>
        <v>2507.74834469697</v>
      </c>
      <c r="D48" s="262">
        <f t="shared" si="21"/>
        <v>2545.6341893939398</v>
      </c>
      <c r="E48" s="262">
        <f t="shared" si="21"/>
        <v>2248.7591893939398</v>
      </c>
      <c r="F48" s="262">
        <f t="shared" si="21"/>
        <v>2429.3425227272733</v>
      </c>
      <c r="G48" s="262">
        <f t="shared" si="21"/>
        <v>2089.9258560606067</v>
      </c>
      <c r="H48" s="262">
        <f t="shared" si="21"/>
        <v>2157.2279393939402</v>
      </c>
      <c r="I48" s="262">
        <f t="shared" si="21"/>
        <v>1834.5929393939402</v>
      </c>
      <c r="J48" s="262">
        <f t="shared" si="21"/>
        <v>1503.1179393939403</v>
      </c>
      <c r="K48" s="262">
        <f t="shared" si="21"/>
        <v>2331.0616590909103</v>
      </c>
      <c r="L48" s="262">
        <f t="shared" si="21"/>
        <v>2235.5637424242441</v>
      </c>
      <c r="M48" s="262">
        <f t="shared" si="21"/>
        <v>2080.9220757575777</v>
      </c>
      <c r="N48" s="263"/>
      <c r="O48" s="263"/>
      <c r="P48" s="263"/>
      <c r="Q48" s="263"/>
      <c r="R48" s="263"/>
      <c r="S48" s="264"/>
    </row>
  </sheetData>
  <protectedRanges>
    <protectedRange sqref="G8:M8" name="Operating Receipts_1"/>
    <protectedRange sqref="G10:M10" name="Operating Receipts_2"/>
    <protectedRange sqref="G11:M11" name="Operating Receipts_3"/>
    <protectedRange sqref="G12:M12" name="Operating Receipts_5"/>
    <protectedRange sqref="G13:M13" name="Operating Receipts_6"/>
    <protectedRange sqref="G23:M23" name="Financing Receipts_1"/>
    <protectedRange sqref="N11:R11" name="Operating Receipts_7"/>
    <protectedRange sqref="N12:S12" name="Operating Receipts_8"/>
    <protectedRange sqref="N23:S23" name="Financing Receipts"/>
    <protectedRange sqref="B8:F8 B6:M6 B7:S7" name="Operating Receipts_9"/>
    <protectedRange sqref="B11:F11" name="Operating Receipts_10"/>
    <protectedRange sqref="B12:F12" name="Operating Receipts_11"/>
    <protectedRange sqref="C13:F13" name="Operating Receipts_12"/>
  </protectedRanges>
  <mergeCells count="1">
    <mergeCell ref="G1:S1"/>
  </mergeCells>
  <phoneticPr fontId="19" type="noConversion"/>
  <dataValidations count="1">
    <dataValidation type="decimal" operator="greaterThanOrEqual" allowBlank="1" showInputMessage="1" showErrorMessage="1" sqref="C13:F13 B8:M8 G10:L13 G23:S23 C6:M6 N11:R11 N12:S12 B11:F12 B6:B7 C7:S7" xr:uid="{88110630-0CB0-40A7-B4FD-61401227F38E}">
      <formula1>0</formula1>
    </dataValidation>
  </dataValidations>
  <pageMargins left="0.13" right="0.13" top="0.27" bottom="0.19" header="0.3" footer="0.3"/>
  <pageSetup paperSize="9" scale="77" fitToHeight="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ec07c698-60f5-424f-b9af-f4c59398b511" ContentTypeId="0x010100545E941595ED5448BA61900FDDAFF313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fficial Document" ma:contentTypeID="0x010100545E941595ED5448BA61900FDDAFF313006779190EA214B84FAABC5A562576340E" ma:contentTypeVersion="7" ma:contentTypeDescription="" ma:contentTypeScope="" ma:versionID="e822029fd1a0a0ef6612eab63e9eaecd">
  <xsd:schema xmlns:xsd="http://www.w3.org/2001/XMLSchema" xmlns:xs="http://www.w3.org/2001/XMLSchema" xmlns:p="http://schemas.microsoft.com/office/2006/metadata/properties" xmlns:ns2="8c566321-f672-4e06-a901-b5e72b4c4357" xmlns:ns3="ba2294b9-6d6a-4c9b-a125-9e4b98f52ed2" targetNamespace="http://schemas.microsoft.com/office/2006/metadata/properties" ma:root="true" ma:fieldsID="e4bde3648a030aa44f0dd8f8a5c1a84f" ns2:_="" ns3:_="">
    <xsd:import namespace="8c566321-f672-4e06-a901-b5e72b4c4357"/>
    <xsd:import namespace="ba2294b9-6d6a-4c9b-a125-9e4b98f52ed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f6ec388a6d534bab86a259abd1bfa088" minOccurs="0"/>
                <xsd:element ref="ns2:p6919dbb65844893b164c5f63a6f0eeb" minOccurs="0"/>
                <xsd:element ref="ns2:c02f73938b5741d4934b358b31a1b80f" minOccurs="0"/>
                <xsd:element ref="ns2:i98b064926ea4fbe8f5b88c394ff652b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66321-f672-4e06-a901-b5e72b4c435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ae0e92b3-326c-4f3f-9f4b-086676a48169}" ma:internalName="TaxCatchAll" ma:showField="CatchAllData" ma:web="68b00811-d731-4e8e-8747-e1e30c035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ae0e92b3-326c-4f3f-9f4b-086676a48169}" ma:internalName="TaxCatchAllLabel" ma:readOnly="true" ma:showField="CatchAllDataLabel" ma:web="68b00811-d731-4e8e-8747-e1e30c035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6ec388a6d534bab86a259abd1bfa088" ma:index="10" ma:taxonomy="true" ma:internalName="f6ec388a6d534bab86a259abd1bfa088" ma:taxonomyFieldName="DfeOrganisationalUnit" ma:displayName="Organisational Unit" ma:default="1;#DfE|cc08a6d4-dfde-4d0f-bd85-069ebcef80d5" ma:fieldId="{f6ec388a-6d53-4bab-86a2-59abd1bfa088}" ma:sspId="ec07c698-60f5-424f-b9af-f4c59398b511" ma:termSetId="b3e263f6-0ab6-425a-b3de-0e67f2faf7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19dbb65844893b164c5f63a6f0eeb" ma:index="12" ma:taxonomy="true" ma:internalName="p6919dbb65844893b164c5f63a6f0eeb" ma:taxonomyFieldName="DfeOwner" ma:displayName="Owner" ma:default="2;#DfE|a484111e-5b24-4ad9-9778-c536c8c88985" ma:fieldId="{96919dbb-6584-4893-b164-c5f63a6f0eeb}" ma:sspId="ec07c698-60f5-424f-b9af-f4c59398b511" ma:termSetId="12161dbb-b36f-4439-aef1-21e7cc9228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2f73938b5741d4934b358b31a1b80f" ma:index="14" ma:taxonomy="true" ma:internalName="c02f73938b5741d4934b358b31a1b80f" ma:taxonomyFieldName="DfeRights_x003a_ProtectiveMarking" ma:displayName="Rights: Protective Marking" ma:readOnly="false" ma:default="3;#Official|0884c477-2e62-47ea-b19c-5af6e91124c5" ma:fieldId="{c02f7393-8b57-41d4-934b-358b31a1b80f}" ma:sspId="ec07c698-60f5-424f-b9af-f4c59398b511" ma:termSetId="7870c18b-dc34-46a1-adf5-a571f0cac8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98b064926ea4fbe8f5b88c394ff652b" ma:index="16" nillable="true" ma:taxonomy="true" ma:internalName="i98b064926ea4fbe8f5b88c394ff652b" ma:taxonomyFieldName="DfeSubject" ma:displayName="Subject" ma:default="" ma:fieldId="{298b0649-26ea-4fbe-8f5b-88c394ff652b}" ma:taxonomyMulti="true" ma:sspId="ec07c698-60f5-424f-b9af-f4c59398b511" ma:termSetId="2f3a6c16-0983-4d36-8f82-2cb41f34c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294b9-6d6a-4c9b-a125-9e4b98f52ed2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66321-f672-4e06-a901-b5e72b4c4357">
      <Value>3</Value>
      <Value>2</Value>
      <Value>1</Value>
    </TaxCatchAll>
    <p6919dbb65844893b164c5f63a6f0eeb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a484111e-5b24-4ad9-9778-c536c8c88985</TermId>
        </TermInfo>
      </Terms>
    </p6919dbb65844893b164c5f63a6f0eeb>
    <c02f73938b5741d4934b358b31a1b80f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0884c477-2e62-47ea-b19c-5af6e91124c5</TermId>
        </TermInfo>
      </Terms>
    </c02f73938b5741d4934b358b31a1b80f>
    <f6ec388a6d534bab86a259abd1bfa088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cc08a6d4-dfde-4d0f-bd85-069ebcef80d5</TermId>
        </TermInfo>
      </Terms>
    </f6ec388a6d534bab86a259abd1bfa088>
    <i98b064926ea4fbe8f5b88c394ff652b xmlns="8c566321-f672-4e06-a901-b5e72b4c4357">
      <Terms xmlns="http://schemas.microsoft.com/office/infopath/2007/PartnerControls"/>
    </i98b064926ea4fbe8f5b88c394ff652b>
    <_dlc_DocId xmlns="ba2294b9-6d6a-4c9b-a125-9e4b98f52ed2">ZAD7H4544KUZ-1446850017-66661</_dlc_DocId>
    <_dlc_DocIdUrl xmlns="ba2294b9-6d6a-4c9b-a125-9e4b98f52ed2">
      <Url>https://educationgovuk.sharepoint.com/sites/lvedfe00080/_layouts/15/DocIdRedir.aspx?ID=ZAD7H4544KUZ-1446850017-66661</Url>
      <Description>ZAD7H4544KUZ-1446850017-66661</Description>
    </_dlc_DocIdUrl>
  </documentManagement>
</p:properties>
</file>

<file path=customXml/itemProps1.xml><?xml version="1.0" encoding="utf-8"?>
<ds:datastoreItem xmlns:ds="http://schemas.openxmlformats.org/officeDocument/2006/customXml" ds:itemID="{7332C6BC-7E8E-42C7-9708-97EE5D3B85CD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D239BC3-2DBB-44E2-B360-373B2DF1A8F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9ADC31B-4FB0-465A-BE21-AFE4002DFC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7627043-C8B1-45E1-BD26-6692E9B9C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566321-f672-4e06-a901-b5e72b4c4357"/>
    <ds:schemaRef ds:uri="ba2294b9-6d6a-4c9b-a125-9e4b98f52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C14FEA5-B892-4699-9CB7-D39D556867E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8c566321-f672-4e06-a901-b5e72b4c4357"/>
    <ds:schemaRef ds:uri="http://schemas.openxmlformats.org/package/2006/metadata/core-properties"/>
    <ds:schemaRef ds:uri="ba2294b9-6d6a-4c9b-a125-9e4b98f52ed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I&amp;E</vt:lpstr>
      <vt:lpstr>Bal Sheet</vt:lpstr>
      <vt:lpstr>Cash</vt:lpstr>
      <vt:lpstr>'Bal Sheet'!Print_Area</vt:lpstr>
      <vt:lpstr>'I&amp;E'!Print_Area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HUTCHINSON, Steve</dc:creator>
  <cp:keywords/>
  <dc:description/>
  <cp:lastModifiedBy>HANNINGTON, Jessica</cp:lastModifiedBy>
  <cp:revision/>
  <dcterms:created xsi:type="dcterms:W3CDTF">2020-05-26T09:43:00Z</dcterms:created>
  <dcterms:modified xsi:type="dcterms:W3CDTF">2025-03-28T14:32:19Z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0x010100545E941595ED5448BA61900FDDAFF313006779190EA214B84FAABC5A562576340E</vt:lpwstr>
  </property>
  <property fmtid="{D5CDD505-2E9C-101B-9397-08002B2CF9AE}" pid="3" name="cf01b81f267a4ae7a066de4ca5a45f7c">
    <vt:lpwstr>Official|0884c477-2e62-47ea-b19c-5af6e91124c5</vt:lpwstr>
  </property>
  <property fmtid="{D5CDD505-2E9C-101B-9397-08002B2CF9AE}" pid="4" name="pd0bfabaa6cb47f7bff41b54a8405b46">
    <vt:lpwstr>DfE|cc08a6d4-dfde-4d0f-bd85-069ebcef80d5</vt:lpwstr>
  </property>
  <property fmtid="{D5CDD505-2E9C-101B-9397-08002B2CF9AE}" pid="5" name="afedf6f4583d4414b8b49f98bd7a4a38">
    <vt:lpwstr>DfE|a484111e-5b24-4ad9-9778-c536c8c88985</vt:lpwstr>
  </property>
  <property fmtid="{D5CDD505-2E9C-101B-9397-08002B2CF9AE}" pid="6" name="_dlc_DocIdItemGuid">
    <vt:lpwstr>a7d44c0e-26c3-40f0-a6f1-e804715ba494</vt:lpwstr>
  </property>
  <property fmtid="{D5CDD505-2E9C-101B-9397-08002B2CF9AE}" pid="7" name="DfeOrganisationalUnit">
    <vt:lpwstr>1;#DfE|cc08a6d4-dfde-4d0f-bd85-069ebcef80d5</vt:lpwstr>
  </property>
  <property fmtid="{D5CDD505-2E9C-101B-9397-08002B2CF9AE}" pid="8" name="DfeRights:ProtectiveMarking">
    <vt:lpwstr>3;#Official|0884c477-2e62-47ea-b19c-5af6e91124c5</vt:lpwstr>
  </property>
  <property fmtid="{D5CDD505-2E9C-101B-9397-08002B2CF9AE}" pid="9" name="DfeOwner">
    <vt:lpwstr>2;#DfE|a484111e-5b24-4ad9-9778-c536c8c88985</vt:lpwstr>
  </property>
  <property fmtid="{D5CDD505-2E9C-101B-9397-08002B2CF9AE}" pid="10" name="cbd89a3d90af4054933af136d81ae271">
    <vt:lpwstr/>
  </property>
  <property fmtid="{D5CDD505-2E9C-101B-9397-08002B2CF9AE}" pid="11" name="MediaServiceImageTags">
    <vt:lpwstr/>
  </property>
  <property fmtid="{D5CDD505-2E9C-101B-9397-08002B2CF9AE}" pid="12" name="Rights:ProtectiveMarking">
    <vt:lpwstr>3;#Official|0884c477-2e62-47ea-b19c-5af6e91124c5</vt:lpwstr>
  </property>
  <property fmtid="{D5CDD505-2E9C-101B-9397-08002B2CF9AE}" pid="13" name="Subject1">
    <vt:lpwstr/>
  </property>
  <property fmtid="{D5CDD505-2E9C-101B-9397-08002B2CF9AE}" pid="14" name="OrganisationalUnit">
    <vt:lpwstr>1;#DfE|cc08a6d4-dfde-4d0f-bd85-069ebcef80d5</vt:lpwstr>
  </property>
  <property fmtid="{D5CDD505-2E9C-101B-9397-08002B2CF9AE}" pid="15" name="Owner">
    <vt:lpwstr>2;#DfE|a484111e-5b24-4ad9-9778-c536c8c88985</vt:lpwstr>
  </property>
  <property fmtid="{D5CDD505-2E9C-101B-9397-08002B2CF9AE}" pid="16" name="e001803101cc486883c488742a9b195f">
    <vt:lpwstr/>
  </property>
  <property fmtid="{D5CDD505-2E9C-101B-9397-08002B2CF9AE}" pid="17" name="DfeSubject">
    <vt:lpwstr/>
  </property>
  <property fmtid="{D5CDD505-2E9C-101B-9397-08002B2CF9AE}" pid="18" name="lcf76f155ced4ddcb4097134ff3c332f">
    <vt:lpwstr/>
  </property>
  <property fmtid="{D5CDD505-2E9C-101B-9397-08002B2CF9AE}" pid="19" name="c0e8f78731f34305bd83ee7a944e5d31">
    <vt:lpwstr/>
  </property>
  <property fmtid="{D5CDD505-2E9C-101B-9397-08002B2CF9AE}" pid="20" name="Function">
    <vt:lpwstr/>
  </property>
  <property fmtid="{D5CDD505-2E9C-101B-9397-08002B2CF9AE}" pid="21" name="SiteType">
    <vt:lpwstr/>
  </property>
</Properties>
</file>