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A26B2557-C1D4-46EE-B875-F1177E91589C}" xr6:coauthVersionLast="47" xr6:coauthVersionMax="47" xr10:uidLastSave="{00000000-0000-0000-0000-000000000000}"/>
  <bookViews>
    <workbookView xWindow="-110" yWindow="-110" windowWidth="19420" windowHeight="1042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Commentary!$A$1:$A$9</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7" i="1" l="1"/>
  <c r="M377" i="1"/>
  <c r="L377" i="1"/>
  <c r="K377" i="1"/>
  <c r="J377" i="1"/>
  <c r="I377" i="1"/>
  <c r="H377" i="1"/>
  <c r="G377" i="1"/>
  <c r="F377" i="1"/>
  <c r="E377" i="1"/>
  <c r="D377" i="1"/>
  <c r="C377" i="1"/>
  <c r="A378" i="1" l="1"/>
  <c r="A379" i="1" s="1"/>
  <c r="A380" i="1" s="1"/>
  <c r="A381" i="1" s="1"/>
  <c r="A382" i="1" s="1"/>
  <c r="A383" i="1" s="1"/>
  <c r="A384" i="1" s="1"/>
  <c r="A385" i="1" s="1"/>
  <c r="A386" i="1" s="1"/>
  <c r="A387" i="1" s="1"/>
  <c r="A388" i="1" s="1"/>
  <c r="Q8" i="1" l="1"/>
  <c r="C126" i="10" l="1"/>
  <c r="D126" i="10"/>
  <c r="E126" i="10"/>
  <c r="F126" i="10"/>
  <c r="G126" i="10"/>
  <c r="H126" i="10"/>
  <c r="I126" i="10"/>
  <c r="J126" i="10"/>
  <c r="K126" i="10"/>
  <c r="L126" i="10"/>
  <c r="M126" i="10"/>
  <c r="B126" i="10"/>
  <c r="C125" i="10"/>
  <c r="D125" i="10"/>
  <c r="E125" i="10"/>
  <c r="F125" i="10"/>
  <c r="G125" i="10"/>
  <c r="H125" i="10"/>
  <c r="I125" i="10"/>
  <c r="J125" i="10"/>
  <c r="K125" i="10"/>
  <c r="L125" i="10"/>
  <c r="M125" i="10"/>
  <c r="B125" i="10"/>
  <c r="C124" i="10"/>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N365" i="1"/>
  <c r="N366" i="1" s="1"/>
  <c r="N367" i="1" s="1"/>
  <c r="M365" i="1"/>
  <c r="M366" i="1" s="1"/>
  <c r="M367" i="1" s="1"/>
  <c r="L365" i="1"/>
  <c r="L366" i="1" s="1"/>
  <c r="L367" i="1" s="1"/>
  <c r="L368" i="1" s="1"/>
  <c r="L369" i="1" s="1"/>
  <c r="K365" i="1"/>
  <c r="K366" i="1" s="1"/>
  <c r="K367" i="1" s="1"/>
  <c r="K368" i="1" s="1"/>
  <c r="K369" i="1" s="1"/>
  <c r="K370" i="1" s="1"/>
  <c r="K371" i="1" s="1"/>
  <c r="K372" i="1" s="1"/>
  <c r="K373" i="1" s="1"/>
  <c r="K374" i="1" s="1"/>
  <c r="K375" i="1" s="1"/>
  <c r="K376" i="1" s="1"/>
  <c r="J365" i="1"/>
  <c r="J366" i="1" s="1"/>
  <c r="J367" i="1" s="1"/>
  <c r="J368" i="1" s="1"/>
  <c r="J369" i="1" s="1"/>
  <c r="J370" i="1" s="1"/>
  <c r="J371" i="1" s="1"/>
  <c r="J372" i="1" s="1"/>
  <c r="J373" i="1" s="1"/>
  <c r="J374" i="1" s="1"/>
  <c r="J375" i="1" s="1"/>
  <c r="J376" i="1" s="1"/>
  <c r="I365" i="1"/>
  <c r="I366" i="1" s="1"/>
  <c r="I367" i="1" s="1"/>
  <c r="H365" i="1"/>
  <c r="H366" i="1" s="1"/>
  <c r="H367" i="1" s="1"/>
  <c r="H368" i="1" s="1"/>
  <c r="H369" i="1" s="1"/>
  <c r="H370" i="1" s="1"/>
  <c r="H371" i="1" s="1"/>
  <c r="H372" i="1" s="1"/>
  <c r="H373" i="1" s="1"/>
  <c r="H374" i="1" s="1"/>
  <c r="H375" i="1" s="1"/>
  <c r="H376" i="1" s="1"/>
  <c r="G365" i="1"/>
  <c r="G366" i="1" s="1"/>
  <c r="G367" i="1" s="1"/>
  <c r="G368" i="1" s="1"/>
  <c r="G369" i="1" s="1"/>
  <c r="G370" i="1" s="1"/>
  <c r="G371" i="1" s="1"/>
  <c r="G372" i="1" s="1"/>
  <c r="G373" i="1" s="1"/>
  <c r="G374" i="1" s="1"/>
  <c r="G375" i="1" s="1"/>
  <c r="G376" i="1" s="1"/>
  <c r="F365" i="1"/>
  <c r="F366" i="1" s="1"/>
  <c r="F367" i="1" s="1"/>
  <c r="E365" i="1"/>
  <c r="E366" i="1" s="1"/>
  <c r="E367" i="1" s="1"/>
  <c r="E368" i="1" s="1"/>
  <c r="E369" i="1" s="1"/>
  <c r="D365" i="1"/>
  <c r="D366" i="1" s="1"/>
  <c r="D367" i="1" s="1"/>
  <c r="D368" i="1" s="1"/>
  <c r="D369" i="1" s="1"/>
  <c r="D370" i="1" s="1"/>
  <c r="D371" i="1" s="1"/>
  <c r="D372" i="1" s="1"/>
  <c r="D373" i="1" s="1"/>
  <c r="D374" i="1" s="1"/>
  <c r="D375" i="1" s="1"/>
  <c r="D376" i="1" s="1"/>
  <c r="C365" i="1"/>
  <c r="C366" i="1" s="1"/>
  <c r="C367" i="1" s="1"/>
  <c r="C368" i="1" s="1"/>
  <c r="C369" i="1" s="1"/>
  <c r="C370" i="1" s="1"/>
  <c r="C371" i="1" s="1"/>
  <c r="C372" i="1" s="1"/>
  <c r="C373" i="1" s="1"/>
  <c r="C374" i="1" s="1"/>
  <c r="C375" i="1" s="1"/>
  <c r="C376" i="1" s="1"/>
  <c r="H35" i="11" l="1"/>
  <c r="B35" i="11"/>
  <c r="L35" i="11"/>
  <c r="M35" i="11"/>
  <c r="F35" i="11"/>
  <c r="I35" i="11"/>
  <c r="G35" i="11"/>
  <c r="K35" i="11"/>
  <c r="E35" i="11"/>
  <c r="D35" i="11"/>
  <c r="C35" i="11"/>
  <c r="J35" i="11"/>
  <c r="E370" i="1"/>
  <c r="E371" i="1" s="1"/>
  <c r="E372" i="1" s="1"/>
  <c r="E373" i="1" s="1"/>
  <c r="E374" i="1" s="1"/>
  <c r="E375" i="1" s="1"/>
  <c r="E376" i="1" s="1"/>
  <c r="L370" i="1"/>
  <c r="L371" i="1" s="1"/>
  <c r="L372" i="1" s="1"/>
  <c r="L373" i="1" s="1"/>
  <c r="L374" i="1" s="1"/>
  <c r="L375" i="1" s="1"/>
  <c r="L376" i="1" s="1"/>
  <c r="F368" i="1"/>
  <c r="F369" i="1" s="1"/>
  <c r="F370" i="1" s="1"/>
  <c r="F371" i="1" s="1"/>
  <c r="F372" i="1" s="1"/>
  <c r="F373" i="1" s="1"/>
  <c r="F374" i="1" s="1"/>
  <c r="F375" i="1" s="1"/>
  <c r="F376" i="1" s="1"/>
  <c r="I368" i="1"/>
  <c r="I369" i="1" s="1"/>
  <c r="I370" i="1" s="1"/>
  <c r="I371" i="1" s="1"/>
  <c r="I372" i="1" s="1"/>
  <c r="I373" i="1" s="1"/>
  <c r="I374" i="1" s="1"/>
  <c r="I375" i="1" s="1"/>
  <c r="I376" i="1" s="1"/>
  <c r="M368" i="1"/>
  <c r="M369" i="1" s="1"/>
  <c r="M370" i="1" s="1"/>
  <c r="M371" i="1" s="1"/>
  <c r="M372" i="1" s="1"/>
  <c r="M373" i="1" s="1"/>
  <c r="M374" i="1" s="1"/>
  <c r="M375" i="1" s="1"/>
  <c r="M376" i="1" s="1"/>
  <c r="N368" i="1"/>
  <c r="N369" i="1" s="1"/>
  <c r="N370" i="1" s="1"/>
  <c r="N371" i="1" s="1"/>
  <c r="N372" i="1" s="1"/>
  <c r="N373" i="1" s="1"/>
  <c r="N374" i="1" s="1"/>
  <c r="N375" i="1" s="1"/>
  <c r="N376" i="1" s="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J353" i="1" l="1"/>
  <c r="J354" i="1" s="1"/>
  <c r="J355" i="1" s="1"/>
  <c r="J356" i="1" s="1"/>
  <c r="J357" i="1" s="1"/>
  <c r="J358" i="1" s="1"/>
  <c r="J359" i="1" s="1"/>
  <c r="J119" i="10"/>
  <c r="K119" i="10"/>
  <c r="L119" i="10"/>
  <c r="M119" i="10"/>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J33" i="11"/>
  <c r="H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I34" i="11" s="1"/>
  <c r="H58" i="10"/>
  <c r="H34" i="11" s="1"/>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I33" i="11" s="1"/>
  <c r="G46" i="10"/>
  <c r="G33" i="11" s="1"/>
  <c r="F46" i="10"/>
  <c r="F33" i="11" s="1"/>
  <c r="E46" i="10"/>
  <c r="E33" i="11" s="1"/>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L34" i="11" s="1"/>
  <c r="K11" i="10"/>
  <c r="K34" i="11" s="1"/>
  <c r="G11" i="10"/>
  <c r="F11" i="10"/>
  <c r="F34" i="11" s="1"/>
  <c r="E11" i="10"/>
  <c r="D11" i="10"/>
  <c r="D34" i="11" s="1"/>
  <c r="C11" i="10"/>
  <c r="B11" i="10"/>
  <c r="B34" i="11" s="1"/>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K33" i="11" l="1"/>
  <c r="C34" i="11"/>
  <c r="L33" i="11"/>
  <c r="E34" i="11"/>
  <c r="M33" i="11"/>
  <c r="G34" i="11"/>
  <c r="B33" i="11"/>
  <c r="M34" i="11"/>
  <c r="D33" i="11"/>
  <c r="C33" i="11"/>
  <c r="E32" i="1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K14" i="12"/>
  <c r="C14" i="12"/>
  <c r="D14" i="12"/>
  <c r="J14" i="12"/>
  <c r="M14" i="12"/>
  <c r="B14" i="12"/>
  <c r="I14" i="12"/>
  <c r="A14" i="12"/>
  <c r="L14" i="12"/>
  <c r="G14" i="12"/>
  <c r="F14" i="12"/>
  <c r="H14" i="12"/>
  <c r="AB46" i="1" l="1"/>
  <c r="V46" i="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A5" i="12"/>
  <c r="C15" i="12"/>
  <c r="G18" i="12"/>
  <c r="K18" i="12"/>
  <c r="D18" i="12"/>
  <c r="M15" i="12"/>
  <c r="I18" i="12"/>
  <c r="A15" i="12"/>
  <c r="M18" i="12"/>
  <c r="C18" i="12"/>
  <c r="B15" i="12"/>
  <c r="F18" i="12"/>
  <c r="G15" i="12"/>
  <c r="F15" i="12"/>
  <c r="J18" i="12"/>
  <c r="J15" i="12"/>
  <c r="I15" i="12"/>
  <c r="A11" i="12"/>
  <c r="A18" i="12"/>
  <c r="H18" i="12"/>
  <c r="L18" i="12"/>
  <c r="H15" i="12"/>
  <c r="D15" i="12"/>
  <c r="L15" i="12"/>
  <c r="K15" i="12"/>
  <c r="E18" i="12"/>
  <c r="E15" i="12"/>
  <c r="B18"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E16" i="12"/>
  <c r="K19" i="12"/>
  <c r="H19" i="12"/>
  <c r="G19" i="12"/>
  <c r="A16" i="12"/>
  <c r="A6" i="12"/>
  <c r="C19" i="12"/>
  <c r="D19" i="12"/>
  <c r="K16" i="12"/>
  <c r="G16" i="12"/>
  <c r="H16" i="12"/>
  <c r="I19" i="12"/>
  <c r="L16" i="12"/>
  <c r="F16" i="12"/>
  <c r="L19" i="12"/>
  <c r="B19" i="12"/>
  <c r="J16" i="12"/>
  <c r="I16" i="12"/>
  <c r="D16" i="12"/>
  <c r="F19" i="12"/>
  <c r="J19" i="12"/>
  <c r="M16" i="12"/>
  <c r="M19" i="12"/>
  <c r="C16" i="12"/>
  <c r="A19" i="12"/>
  <c r="B16" i="12"/>
  <c r="E19"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H20" i="12"/>
  <c r="A7" i="12"/>
  <c r="D20" i="12"/>
  <c r="I20" i="12"/>
  <c r="M20" i="12"/>
  <c r="F20" i="12"/>
  <c r="L20" i="12"/>
  <c r="E20" i="12"/>
  <c r="A20" i="12"/>
  <c r="G20" i="12"/>
  <c r="C20" i="12"/>
  <c r="K20" i="12"/>
  <c r="J20" i="12"/>
  <c r="B20"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12" i="12"/>
  <c r="A8"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D9" i="12"/>
  <c r="J9" i="12"/>
  <c r="C9" i="12"/>
  <c r="H9" i="12"/>
  <c r="E9" i="12"/>
  <c r="F9" i="12"/>
  <c r="B9" i="12"/>
  <c r="K9" i="12"/>
  <c r="G9" i="12"/>
  <c r="L9" i="12"/>
  <c r="I9" i="12"/>
  <c r="M9" i="12"/>
  <c r="A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AB82" i="1" a="1"/>
  <c r="W82" i="1" a="1"/>
  <c r="AC82" i="1" a="1"/>
  <c r="Y82" i="1" a="1"/>
  <c r="U82" i="1" a="1"/>
  <c r="AA82" i="1" a="1"/>
  <c r="Z82" i="1" a="1"/>
  <c r="AD82" i="1" a="1"/>
  <c r="X82" i="1" a="1"/>
  <c r="AE82" i="1" a="1"/>
  <c r="T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AD91" i="1" a="1"/>
  <c r="AA83" i="1" a="1"/>
  <c r="Z83" i="1" a="1"/>
  <c r="X91" i="1" a="1"/>
  <c r="AB83" i="1" a="1"/>
  <c r="AB91" i="1" a="1"/>
  <c r="AC91" i="1" a="1"/>
  <c r="W91" i="1" a="1"/>
  <c r="T91" i="1" a="1"/>
  <c r="T83" i="1" a="1"/>
  <c r="AD83" i="1" a="1"/>
  <c r="Y83" i="1" a="1"/>
  <c r="AA91" i="1" a="1"/>
  <c r="AC83" i="1" a="1"/>
  <c r="W83" i="1" a="1"/>
  <c r="U83" i="1" a="1"/>
  <c r="AE83" i="1" a="1"/>
  <c r="X83" i="1" a="1"/>
  <c r="V91" i="1" a="1"/>
  <c r="U91" i="1" a="1"/>
  <c r="AE91" i="1" a="1"/>
  <c r="Y91" i="1" a="1"/>
  <c r="Z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V92" i="1" a="1"/>
  <c r="W92" i="1" a="1"/>
  <c r="T92" i="1" a="1"/>
  <c r="AA92" i="1" a="1"/>
  <c r="U92" i="1" a="1"/>
  <c r="AB92" i="1" a="1"/>
  <c r="AE92" i="1" a="1"/>
  <c r="X92" i="1" a="1"/>
  <c r="AD92" i="1" a="1"/>
  <c r="AC92" i="1" a="1"/>
  <c r="Z92" i="1" a="1"/>
  <c r="Y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M5" i="12"/>
  <c r="C5" i="12"/>
  <c r="I5" i="12"/>
  <c r="E5" i="12"/>
  <c r="T88" i="1" a="1"/>
  <c r="W87" i="1" a="1"/>
  <c r="X88" i="1" a="1"/>
  <c r="W88" i="1" a="1"/>
  <c r="Z88" i="1" a="1"/>
  <c r="J5" i="12"/>
  <c r="U87" i="1" a="1"/>
  <c r="F6" i="12"/>
  <c r="Y87" i="1" a="1"/>
  <c r="AD87" i="1" a="1"/>
  <c r="B5" i="12"/>
  <c r="AD88" i="1" a="1"/>
  <c r="AA87" i="1" a="1"/>
  <c r="D6" i="12"/>
  <c r="I6" i="12"/>
  <c r="G6" i="12"/>
  <c r="B6" i="12"/>
  <c r="Z87" i="1" a="1"/>
  <c r="AA88" i="1" a="1"/>
  <c r="AB87" i="1" a="1"/>
  <c r="C6" i="12"/>
  <c r="V88" i="1" a="1"/>
  <c r="AC88" i="1" a="1"/>
  <c r="V83" i="1" a="1"/>
  <c r="H5" i="12"/>
  <c r="J7" i="12"/>
  <c r="Y88" i="1" a="1"/>
  <c r="L5" i="12"/>
  <c r="U88" i="1" a="1"/>
  <c r="T87" i="1" a="1"/>
  <c r="K5" i="12"/>
  <c r="X87" i="1" a="1"/>
  <c r="D5" i="12"/>
  <c r="H6" i="12"/>
  <c r="V87" i="1" a="1"/>
  <c r="AC87" i="1" a="1"/>
  <c r="V82" i="1" a="1"/>
  <c r="AB88" i="1" a="1"/>
  <c r="AE87" i="1" a="1"/>
  <c r="G5" i="12"/>
  <c r="AE88" i="1" a="1"/>
  <c r="F5" i="12"/>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E7" i="12"/>
  <c r="M7" i="12"/>
  <c r="I7" i="12"/>
  <c r="D7" i="12"/>
  <c r="F8" i="12"/>
  <c r="L7" i="12"/>
  <c r="F7" i="12"/>
  <c r="G7" i="12"/>
  <c r="J6" i="12"/>
  <c r="M6" i="12"/>
  <c r="L6" i="12"/>
  <c r="K7" i="12"/>
  <c r="E6" i="12"/>
  <c r="H7" i="12"/>
  <c r="K6" i="12"/>
  <c r="C7" i="12"/>
  <c r="B7" i="12"/>
  <c r="F10" i="12" l="1"/>
  <c r="M21" i="12"/>
  <c r="I21" i="12"/>
  <c r="F21" i="12"/>
  <c r="K21" i="12"/>
  <c r="L21" i="12"/>
  <c r="D21" i="12"/>
  <c r="B21" i="12"/>
  <c r="E21" i="12"/>
  <c r="C21" i="12"/>
  <c r="G21" i="12"/>
  <c r="H21" i="12"/>
  <c r="J21" i="12"/>
  <c r="D8" i="12"/>
  <c r="H8" i="12"/>
  <c r="B11" i="12"/>
  <c r="J8" i="12"/>
  <c r="E11" i="12"/>
  <c r="K11" i="12"/>
  <c r="C8" i="12"/>
  <c r="C11" i="12"/>
  <c r="B8" i="12"/>
  <c r="M11" i="12"/>
  <c r="M8" i="12"/>
  <c r="D11" i="12"/>
  <c r="L11" i="12"/>
  <c r="E8" i="12"/>
  <c r="F11" i="12"/>
  <c r="L8" i="12"/>
  <c r="J11" i="12"/>
  <c r="I8" i="12"/>
  <c r="G8" i="12"/>
  <c r="K8" i="12"/>
  <c r="G11" i="12"/>
  <c r="H11" i="12"/>
  <c r="I11" i="12"/>
  <c r="C22" i="12" l="1"/>
  <c r="B22" i="12"/>
  <c r="B10" i="12"/>
  <c r="C10" i="12"/>
  <c r="D10" i="12"/>
  <c r="H10" i="12"/>
  <c r="I10" i="12"/>
  <c r="J10" i="12"/>
  <c r="M10" i="12"/>
  <c r="G10" i="12"/>
  <c r="L10" i="12"/>
  <c r="E10" i="12"/>
  <c r="K10" i="12"/>
  <c r="D22" i="12"/>
  <c r="J22" i="12"/>
  <c r="H22" i="12"/>
  <c r="F22" i="12"/>
  <c r="L22" i="12"/>
  <c r="K22" i="12"/>
  <c r="G22" i="12"/>
  <c r="E22" i="12"/>
  <c r="I22" i="12"/>
  <c r="M22" i="12"/>
  <c r="J12" i="12"/>
  <c r="L12" i="12"/>
  <c r="G12" i="12"/>
  <c r="F12" i="12"/>
  <c r="C12" i="12"/>
  <c r="I12" i="12"/>
  <c r="M12" i="12"/>
  <c r="E12" i="12"/>
  <c r="B12" i="12"/>
  <c r="K12" i="12"/>
  <c r="H12" i="12"/>
  <c r="D12" i="12"/>
  <c r="M13" i="12" l="1"/>
  <c r="C13" i="12"/>
  <c r="B13" i="12"/>
  <c r="H13" i="12"/>
  <c r="K13" i="12"/>
  <c r="F13" i="12"/>
  <c r="E13" i="12"/>
  <c r="I13" i="12"/>
  <c r="D13" i="12"/>
  <c r="G13" i="12"/>
  <c r="J13" i="12"/>
  <c r="L13" i="12"/>
</calcChain>
</file>

<file path=xl/sharedStrings.xml><?xml version="1.0" encoding="utf-8"?>
<sst xmlns="http://schemas.openxmlformats.org/spreadsheetml/2006/main" count="2090" uniqueCount="745">
  <si>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</si>
  <si>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</si>
  <si>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</si>
  <si>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</si>
  <si>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</si>
  <si>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</si>
  <si>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</si>
  <si>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</si>
  <si>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</si>
  <si>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</si>
  <si>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</si>
  <si>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</si>
  <si>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</si>
  <si>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</si>
  <si>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</si>
  <si>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</si>
  <si>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</si>
  <si>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</si>
  <si>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</si>
  <si>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</si>
  <si>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</si>
  <si>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</si>
  <si>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</si>
  <si>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</si>
  <si>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</si>
  <si>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</si>
  <si>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</si>
  <si>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</si>
  <si>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</si>
  <si>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</si>
  <si>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</si>
  <si>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</si>
  <si>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</si>
  <si>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</si>
  <si>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</si>
  <si>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</si>
  <si>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</si>
  <si>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</si>
  <si>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</si>
  <si>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</si>
  <si>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</si>
  <si>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</si>
  <si>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</si>
  <si>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</si>
  <si>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</si>
  <si>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</si>
  <si>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</si>
  <si>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</si>
  <si>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</si>
  <si>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</si>
  <si>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</si>
  <si>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</si>
  <si>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</si>
  <si>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</si>
  <si>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</si>
  <si>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</si>
  <si>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</si>
  <si>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</si>
  <si>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</si>
  <si>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</si>
  <si>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</si>
  <si>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</si>
  <si>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</si>
  <si>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</si>
  <si>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</si>
  <si>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</si>
  <si>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</si>
  <si>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</si>
  <si>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</si>
  <si>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</si>
  <si>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</si>
  <si>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</si>
  <si>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</si>
  <si>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</si>
  <si>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</si>
  <si>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</si>
  <si>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</si>
  <si>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</si>
  <si>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</si>
  <si>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</si>
  <si>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</si>
  <si>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</si>
  <si>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</si>
  <si>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</si>
  <si>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</si>
  <si>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</si>
  <si>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</si>
  <si>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</si>
  <si>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</si>
  <si>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</si>
  <si>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</si>
  <si>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</si>
  <si>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</si>
  <si>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</si>
  <si>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</si>
  <si>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</si>
  <si>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</si>
  <si>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</si>
  <si>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</si>
  <si>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</si>
  <si>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</si>
  <si>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</si>
  <si>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</si>
  <si>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</si>
  <si>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In the latest three months</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</si>
  <si>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</si>
  <si>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</si>
  <si>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</si>
  <si>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</si>
  <si>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</si>
  <si>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</si>
  <si>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</si>
  <si>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</si>
  <si>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</si>
  <si>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</si>
  <si>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</si>
  <si>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</si>
  <si>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</si>
  <si>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</si>
  <si>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</si>
  <si>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</si>
  <si>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</si>
  <si>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</si>
  <si>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</si>
  <si>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</si>
  <si>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</si>
  <si>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</si>
  <si>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</si>
  <si>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</si>
  <si>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</si>
  <si>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</si>
  <si>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</si>
  <si>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</si>
  <si>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</si>
  <si>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</si>
  <si>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</si>
  <si>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</si>
  <si>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</si>
  <si>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</si>
  <si>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</si>
  <si>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</si>
  <si>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</si>
  <si>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</si>
  <si>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</si>
  <si>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</si>
  <si>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</si>
  <si>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</si>
  <si>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</si>
  <si>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</si>
  <si>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</si>
  <si>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</si>
  <si>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</si>
  <si>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</si>
  <si>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</si>
  <si>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</si>
  <si>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</si>
  <si>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</si>
  <si>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</si>
  <si>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</si>
  <si>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</si>
  <si>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</si>
  <si>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</si>
  <si>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</si>
  <si>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</si>
  <si>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</si>
  <si>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</si>
  <si>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</si>
  <si>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</si>
  <si>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</si>
  <si>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</si>
  <si>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</si>
  <si>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</si>
  <si>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</si>
  <si>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</si>
  <si>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</si>
  <si>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</si>
  <si>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</si>
  <si>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</si>
  <si>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</si>
  <si>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</si>
  <si>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</si>
  <si>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</si>
  <si>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</si>
  <si>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</si>
  <si>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</si>
  <si>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</si>
  <si>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</si>
  <si>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</si>
  <si>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</si>
  <si>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</si>
  <si>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</si>
  <si>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</si>
  <si>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</si>
  <si>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</si>
  <si>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</si>
  <si>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</si>
  <si>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</si>
  <si>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</si>
  <si>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</si>
  <si>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</si>
  <si>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</si>
  <si>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</si>
  <si>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</si>
  <si>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</si>
  <si>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</si>
  <si>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</si>
  <si>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</si>
  <si>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</si>
  <si>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</si>
  <si>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</si>
  <si>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</si>
  <si>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</si>
  <si>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</si>
  <si>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</si>
  <si>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</si>
  <si>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</si>
  <si>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</si>
  <si>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</si>
  <si>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</si>
  <si>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</si>
  <si>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</si>
  <si>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</si>
  <si>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</si>
  <si>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</si>
  <si>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</si>
  <si>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</si>
  <si>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</si>
  <si>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</si>
  <si>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</si>
  <si>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</si>
  <si>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</si>
  <si>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</si>
  <si>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</si>
  <si>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</si>
  <si>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</si>
  <si>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</si>
  <si>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</si>
  <si>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</si>
  <si>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</si>
  <si>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</si>
  <si>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</si>
  <si>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</si>
  <si>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</si>
  <si>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</si>
  <si>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</si>
  <si>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</si>
  <si>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</si>
  <si>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</si>
  <si>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</si>
  <si>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</si>
  <si>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</si>
  <si>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</si>
  <si>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</si>
  <si>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</si>
  <si>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</si>
  <si>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</si>
  <si>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</si>
  <si>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</si>
  <si>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</si>
  <si>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</si>
  <si>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</si>
  <si>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</si>
  <si>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</si>
  <si>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</si>
  <si>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</si>
  <si>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</si>
  <si>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</si>
  <si>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</si>
  <si>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</si>
  <si>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</si>
  <si>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</si>
  <si>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</si>
  <si>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</si>
  <si>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</si>
  <si>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</si>
  <si>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</si>
  <si>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</si>
  <si>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</si>
  <si>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</si>
  <si>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</si>
  <si>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</si>
  <si>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</si>
  <si>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</si>
  <si>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</si>
  <si>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</si>
  <si>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</si>
  <si>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</si>
  <si>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</si>
  <si>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</si>
  <si>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</si>
  <si>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</si>
  <si>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</si>
  <si>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</si>
  <si>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</si>
  <si>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</si>
  <si>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</si>
  <si>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</si>
  <si>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</si>
  <si>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</si>
  <si>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</si>
  <si>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</si>
  <si>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</si>
  <si>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</si>
  <si>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</si>
  <si>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</si>
  <si>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</si>
  <si>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</si>
  <si>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</si>
  <si>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</si>
  <si>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</si>
  <si>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</si>
  <si>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</si>
  <si>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</si>
  <si>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</si>
  <si>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</si>
  <si>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</si>
  <si>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</si>
  <si>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</si>
  <si>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</si>
  <si>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</si>
  <si>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</si>
  <si>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</si>
  <si>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</si>
  <si>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</si>
  <si>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</si>
  <si>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</si>
  <si>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</si>
  <si>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</si>
  <si>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</si>
  <si>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</si>
  <si>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</si>
  <si>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</si>
  <si>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</si>
  <si>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</si>
  <si>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</si>
  <si>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</si>
  <si>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</si>
  <si>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</si>
  <si>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</si>
  <si>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</si>
  <si>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</si>
  <si>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</si>
  <si>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</si>
  <si>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</si>
  <si>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</si>
  <si>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</si>
  <si>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</si>
  <si>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</si>
  <si>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</si>
  <si>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</si>
  <si>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</si>
  <si>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</si>
  <si>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</si>
  <si>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</si>
  <si>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</si>
  <si>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</si>
  <si>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</si>
  <si>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</si>
  <si>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</si>
  <si>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</si>
  <si>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</si>
  <si>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</si>
  <si>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</si>
  <si>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</si>
  <si>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</si>
  <si>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</si>
  <si>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</si>
  <si>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</si>
  <si>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</si>
  <si>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</si>
  <si>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</si>
  <si>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</si>
  <si>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</si>
  <si>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</si>
  <si>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</si>
  <si>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</si>
  <si>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</si>
  <si>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</si>
  <si>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</si>
  <si>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</si>
  <si>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</si>
  <si>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</si>
  <si>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</si>
  <si>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</si>
  <si>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</si>
  <si>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</si>
  <si>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</si>
  <si>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</si>
  <si>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</si>
  <si>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</si>
  <si>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</si>
  <si>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</si>
  <si>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</si>
  <si>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</si>
  <si>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</si>
  <si>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</si>
  <si>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</si>
  <si>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</si>
  <si>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</si>
  <si>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</si>
  <si>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</si>
  <si>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</si>
  <si>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</si>
  <si>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</si>
  <si>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</si>
  <si>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</si>
  <si>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</si>
  <si>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</si>
  <si>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</si>
  <si>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</si>
  <si>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</si>
  <si>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</si>
  <si>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</si>
  <si>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</si>
  <si>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</si>
  <si>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</si>
  <si>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</si>
  <si>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</si>
  <si>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</si>
  <si>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</si>
  <si>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</si>
  <si>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</si>
  <si>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</si>
  <si>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</si>
  <si>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</si>
  <si>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</si>
  <si>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</si>
  <si>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</si>
  <si>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</si>
  <si>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</si>
  <si>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</si>
  <si>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</si>
  <si>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</si>
  <si>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</si>
  <si>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</si>
  <si>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</si>
  <si>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</si>
  <si>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</si>
  <si>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</si>
  <si>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</si>
  <si>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</si>
  <si>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</si>
  <si>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</si>
  <si>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</si>
  <si>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</si>
  <si>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</si>
  <si>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</si>
  <si>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</si>
  <si>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</si>
  <si>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</si>
  <si>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</si>
  <si>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</si>
  <si>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</si>
  <si>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</si>
  <si>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</si>
  <si>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</si>
  <si>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</si>
  <si>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</si>
  <si>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</si>
  <si>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</si>
  <si>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</si>
  <si>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</si>
  <si>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</si>
  <si>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</si>
  <si>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</si>
  <si>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</si>
  <si>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</si>
  <si>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</si>
  <si>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</si>
  <si>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</si>
  <si>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</si>
  <si>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</si>
  <si>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</si>
  <si>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</si>
  <si>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</si>
  <si>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</si>
  <si>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</si>
  <si>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</si>
  <si>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</si>
  <si>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</si>
  <si>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</si>
  <si>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</si>
  <si>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</si>
  <si>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</si>
  <si>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</si>
  <si>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</si>
  <si>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</si>
  <si>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</si>
  <si>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</si>
  <si>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</si>
  <si>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</si>
  <si>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</si>
  <si>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</si>
  <si>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</si>
  <si>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</si>
  <si>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</si>
  <si>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</si>
  <si>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</si>
  <si>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</si>
  <si>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</si>
  <si>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</si>
  <si>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</si>
  <si>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</si>
  <si>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</si>
  <si>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</si>
  <si>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</si>
  <si>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</si>
  <si>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</si>
  <si>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</si>
  <si>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</si>
  <si>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</si>
  <si>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</si>
  <si>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</si>
  <si>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</si>
  <si>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</si>
  <si>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</si>
  <si>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</si>
  <si>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</si>
  <si>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</si>
  <si>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</si>
  <si>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</si>
  <si>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</si>
  <si>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</si>
  <si>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</si>
  <si>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</si>
  <si>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</si>
  <si>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</si>
  <si>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</si>
  <si>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</si>
  <si>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</si>
  <si>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</si>
  <si>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</si>
  <si>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</si>
  <si>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</si>
  <si>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</si>
  <si>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</si>
  <si>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</si>
  <si>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</si>
  <si>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</si>
  <si>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</si>
  <si>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</si>
  <si>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</si>
  <si>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</si>
  <si>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</si>
  <si>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</si>
  <si>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</si>
  <si>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</si>
  <si>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</si>
  <si>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</si>
  <si>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</si>
  <si>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</si>
  <si>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</si>
  <si>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</si>
  <si>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</si>
  <si>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</si>
  <si>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</si>
  <si>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</si>
  <si>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</si>
  <si>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</si>
  <si>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</si>
  <si>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</si>
  <si>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</si>
  <si>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</si>
  <si>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</si>
  <si>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</si>
  <si>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</si>
  <si>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</si>
  <si>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</si>
  <si>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</si>
  <si>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</si>
  <si>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</si>
  <si>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</si>
  <si>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</si>
  <si>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</si>
  <si>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</si>
  <si>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</si>
  <si>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</si>
  <si>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</si>
  <si>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</si>
  <si>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</si>
  <si>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</si>
  <si>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</si>
  <si>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</si>
  <si>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</si>
  <si>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</si>
  <si>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</si>
  <si>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</si>
  <si>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</si>
  <si>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</si>
  <si>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</si>
  <si>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</si>
  <si>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</si>
  <si>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</si>
  <si>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</si>
  <si>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</si>
  <si>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</si>
  <si>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</si>
  <si>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</si>
  <si>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</si>
  <si>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</si>
  <si>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</si>
  <si>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</si>
  <si>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</si>
  <si>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</si>
  <si>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</si>
  <si>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</si>
  <si>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</si>
  <si>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</si>
  <si>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</si>
  <si>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</si>
  <si>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</si>
  <si>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</si>
  <si>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</si>
  <si>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</si>
  <si>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</si>
  <si>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</si>
  <si>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</si>
  <si>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</si>
  <si>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</si>
  <si>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</si>
  <si>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</si>
  <si>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</si>
  <si>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</si>
  <si>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</si>
  <si>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</si>
  <si>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</si>
  <si>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</si>
  <si>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</si>
  <si>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</si>
  <si>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</si>
  <si>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</si>
  <si>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</si>
  <si>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</si>
  <si>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</si>
  <si>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</si>
  <si>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</si>
  <si>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</si>
  <si>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</si>
  <si>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</si>
  <si>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</si>
  <si>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</si>
  <si>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</si>
  <si>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</si>
  <si>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</si>
  <si>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</si>
  <si>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</si>
  <si>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</si>
  <si>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</si>
  <si>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</si>
  <si>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</si>
  <si>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</si>
  <si>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</si>
  <si>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</si>
  <si>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</si>
  <si>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</si>
  <si>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</si>
  <si>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</si>
  <si>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</si>
  <si>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</si>
  <si>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</si>
  <si>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</si>
  <si>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</si>
  <si>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</si>
  <si>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</si>
  <si>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</si>
  <si>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</si>
  <si>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</si>
  <si>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</si>
  <si>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</si>
  <si>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</si>
  <si>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</si>
  <si>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</si>
  <si>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</si>
  <si>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</si>
  <si>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</si>
  <si>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</si>
  <si>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</si>
  <si>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</si>
  <si>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</si>
  <si>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</si>
  <si>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</si>
  <si>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</si>
  <si>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</si>
  <si>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</si>
  <si>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</si>
  <si>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</si>
  <si>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</si>
  <si>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</si>
  <si>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</si>
  <si>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</si>
  <si>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</si>
  <si>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</si>
  <si>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</si>
  <si>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</si>
  <si>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</si>
  <si>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</si>
  <si>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</si>
  <si>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</si>
  <si>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</si>
  <si>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</si>
  <si>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</si>
  <si>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</si>
  <si>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</si>
  <si>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</si>
  <si>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June 2024</t>
  </si>
  <si>
    <t>April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</si>
  <si>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</si>
  <si>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July 2024</t>
  </si>
  <si>
    <t>August 2024</t>
  </si>
  <si>
    <t xml:space="preserve">Quarter 2 2024 </t>
  </si>
  <si>
    <t>September 2024</t>
  </si>
  <si>
    <t>October 2024</t>
  </si>
  <si>
    <t>In the latest year</t>
  </si>
  <si>
    <t xml:space="preserve">Record low fuel consumption by Major Power Producers </t>
  </si>
  <si>
    <t xml:space="preserve">November 2024 </t>
  </si>
  <si>
    <t xml:space="preserve">Quarter 3 2024 </t>
  </si>
  <si>
    <t>Quarter 4 2024 [provisional]</t>
  </si>
  <si>
    <t>2024 [provisional]</t>
  </si>
  <si>
    <t>Fossil fuel use decreased to a record low</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</si>
  <si>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</si>
  <si>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</si>
  <si>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</si>
  <si>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</si>
  <si>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</si>
  <si>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</si>
  <si>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</si>
  <si>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</si>
  <si>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</si>
  <si>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</si>
  <si>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</si>
  <si>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</si>
  <si>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 xml:space="preserve">December 2024 </t>
  </si>
  <si>
    <r>
      <t xml:space="preserve">This spreadsheet contains monthly data including </t>
    </r>
    <r>
      <rPr>
        <b/>
        <sz val="12"/>
        <rFont val="Calibri"/>
        <family val="2"/>
        <scheme val="minor"/>
      </rPr>
      <t>new data for January 2025</t>
    </r>
  </si>
  <si>
    <t>The revisions period is January - December 2024. 
Revisions are due to updates from data suppliers or the receipt of data replacing estimates unless otherwise stated.</t>
  </si>
  <si>
    <t>Increased fuel use for low carbon generation, and record high fuel use for renewable generation</t>
  </si>
  <si>
    <t xml:space="preserve">Major Power Producers (MPPs) consumed 10.6 Mtoe of fuel between November 2024 and January 2025, a 0.5 per cent decrease compared to the same period a year ago. </t>
  </si>
  <si>
    <t xml:space="preserve">MPP low carbon generators used the equivalent of 5.6 Mtoe of fuel in the three months to January 2025, a decrease of 4.2 per cent compared to the same period a year ago. All low carbon technologies saw a decrease in equivalent fuel use apart from nuclear, which rose by 4.9 per cent to 2.1 Mtoe. Fuel use by bioenergy sites stayed the same at 1.5 Mtoe. Fuel use by wind and solar each fell by 15 per cent, while fuel use by hydro fell by 4.1 per cent. </t>
  </si>
  <si>
    <t xml:space="preserve">MPP fossil fuel consumption was 5.0 Mtoe between November 2024 and January 2025, a 4.1 per cent increase from the same period a year ago. Gas consumption increased by 13 per cent, while coal consumption was zero after the UK's last coal plant closed at the end of September. </t>
  </si>
  <si>
    <t>Major Power Producers (MPP) consumed 35.5 Mtoe of fuel in 2024, a 4.7 per cent decrease compared to 2023. This is the lowest annual figure within the published time series.</t>
  </si>
  <si>
    <t>MPP's fuel use fell slightly, in line with lower generation</t>
  </si>
  <si>
    <t>Decreased equivalent fuel use for all low carbon technologies other than nuclear and bioenergy</t>
  </si>
  <si>
    <t>Increased fossil fuel use driven by increase in gas use</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</si>
  <si>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24th April 2025</t>
    </r>
  </si>
  <si>
    <r>
      <rPr>
        <sz val="12"/>
        <color theme="1"/>
        <rFont val="Calibri"/>
        <family val="2"/>
      </rPr>
      <t>In 2024, low carbon MPP generators consumed an equivalent fuel use of 21.7 Mtoe, an increase of 6.7 per cent compared to 2023. Nuclear was the largest low carbon technology, consuming an equivalent of 8.8 Mtoe, the same as in 2023.</t>
    </r>
    <r>
      <rPr>
        <sz val="12"/>
        <color rgb="FFFF0000"/>
        <rFont val="Calibri"/>
        <family val="2"/>
      </rPr>
      <t xml:space="preserve"> </t>
    </r>
    <r>
      <rPr>
        <sz val="12"/>
        <color theme="1"/>
        <rFont val="Calibri"/>
        <family val="2"/>
      </rPr>
      <t>Renewable generators consumed the equivalent fuel use of 12.9 Mtoe, a 12 per cent increase from 2023.</t>
    </r>
    <r>
      <rPr>
        <sz val="12"/>
        <color rgb="FFFF0000"/>
        <rFont val="Calibri"/>
        <family val="2"/>
      </rPr>
      <t xml:space="preserve"> </t>
    </r>
    <r>
      <rPr>
        <sz val="12"/>
        <color theme="1"/>
        <rFont val="Calibri"/>
        <family val="2"/>
      </rPr>
      <t>This is a record high within the published time series. Bioenergy fuel use increased by 26 per cent to 5.6 Mtoe, the second highest figure within the published time series. Similarly, fuel use by hydro rose by 5.8 per cent, fuel use by wind rose by 2.8 per cent, and fuel use by solar rose by 3.4 per cent.</t>
    </r>
  </si>
  <si>
    <r>
      <rPr>
        <sz val="12"/>
        <color theme="1"/>
        <rFont val="Calibri"/>
        <family val="2"/>
      </rPr>
      <t>MPP fossil fuel consumption was 13.8 Mtoe in 2024, a decrease of 18 per cent compared to 2023.</t>
    </r>
    <r>
      <rPr>
        <sz val="12"/>
        <color rgb="FFFF0000"/>
        <rFont val="Calibri"/>
        <family val="2"/>
      </rPr>
      <t xml:space="preserve"> </t>
    </r>
    <r>
      <rPr>
        <sz val="12"/>
        <color theme="1"/>
        <rFont val="Calibri"/>
        <family val="2"/>
      </rPr>
      <t>This is the lowest annual figure within the published time series.</t>
    </r>
    <r>
      <rPr>
        <sz val="12"/>
        <color rgb="FFFF0000"/>
        <rFont val="Calibri"/>
        <family val="2"/>
      </rPr>
      <t xml:space="preserve"> </t>
    </r>
    <r>
      <rPr>
        <sz val="12"/>
        <color theme="1"/>
        <rFont val="Calibri"/>
        <family val="2"/>
      </rPr>
      <t xml:space="preserve">This was largely due to a fall in gas use, which was down 16 per cent to 13.3 Mtoe. Coal use was 0.4 Mtoe, a decrease of 54 per cent from 2023, as the last coal plant in the UK closed in September. Finally, oil use was 0.1 TWh, down 13 per cent from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</si>
</sst>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
    <numFmt numFmtId="181" formatCode="0.00000"/>
    <numFmt numFmtId="182" formatCode="#,##0.000;\-#,##0.000"/>
    <numFmt numFmtId="183" formatCode="#,##0.0000;\-#,##0.0000"/>
  </numFmts>
  <fonts count="51">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
      <b/>
      <sz val="14"/>
      <color theme="1"/>
      <name val="Calibri"/>
      <family val="2"/>
    </font>
    <font>
      <sz val="12"/>
      <color theme="1"/>
      <name val="Calibri"/>
      <family val="2"/>
    </font>
    <font>
      <sz val="12"/>
      <color rgb="FFFF0000"/>
      <name val="Calibri"/>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32">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20" applyNumberFormat="1" applyFont="1" applyFill="1" applyAlignment="1">
      <alignment horizontal="left" vertical="center"/>
    </xf>
    <xf numFmtId="181" fontId="33" fillId="0" borderId="0" xfId="17" applyNumberFormat="1" applyFill="1">
      <alignment horizontal="left" vertical="center"/>
    </xf>
    <xf numFmtId="165" fontId="33" fillId="0" borderId="0" xfId="17" applyNumberFormat="1" applyFill="1">
      <alignment horizontal="left" vertical="center"/>
    </xf>
    <xf numFmtId="182"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3"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43" fontId="33" fillId="0" borderId="0" xfId="17" quotePrefix="1" applyNumberFormat="1" applyFill="1" applyBorder="1" applyAlignment="1">
      <alignment horizontal="right" vertical="center" wrapText="1"/>
    </xf>
    <xf numFmtId="43" fontId="33" fillId="0" borderId="0" xfId="17" applyNumberFormat="1" applyFill="1" applyBorder="1" applyAlignment="1">
      <alignment horizontal="right" vertical="center" wrapText="1"/>
    </xf>
    <xf numFmtId="14" fontId="33" fillId="0" borderId="0" xfId="17" quotePrefix="1" applyNumberFormat="1" applyFill="1" applyBorder="1" applyAlignment="1">
      <alignment horizontal="right" vertical="center"/>
    </xf>
    <xf numFmtId="14" fontId="33" fillId="0" borderId="0" xfId="17" quotePrefix="1" applyNumberFormat="1" applyFill="1" applyAlignment="1">
      <alignment horizontal="right" vertical="center"/>
    </xf>
    <xf numFmtId="0" fontId="32" fillId="0" borderId="0" xfId="0" applyFont="1" applyAlignment="1">
      <alignment horizontal="left"/>
    </xf>
    <xf numFmtId="43" fontId="33" fillId="0" borderId="0" xfId="17" quotePrefix="1" applyNumberFormat="1" applyFill="1" applyAlignment="1">
      <alignment horizontal="right" vertical="center" wrapText="1"/>
    </xf>
    <xf numFmtId="0" fontId="48" fillId="0" borderId="0" xfId="0" applyFont="1" applyAlignment="1">
      <alignment vertical="center" wrapText="1"/>
    </xf>
    <xf numFmtId="0" fontId="49" fillId="0" borderId="0" xfId="0" applyFont="1" applyAlignment="1">
      <alignment vertical="center" wrapText="1"/>
    </xf>
    <xf numFmtId="1" fontId="23" fillId="6" borderId="0" xfId="0" applyNumberFormat="1" applyFont="1" applyFill="1"/>
    <xf numFmtId="0" fontId="33" fillId="0" borderId="0" xfId="17" applyNumberFormat="1" applyFill="1" applyAlignment="1">
      <alignment horizontal="right" vertical="center"/>
    </xf>
    <xf numFmtId="2" fontId="0" fillId="0" borderId="7" xfId="0" applyNumberFormat="1" applyBorder="1"/>
    <xf numFmtId="0" fontId="50"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top" wrapText="1"/>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5"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6"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67"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641</v>
      </c>
    </row>
    <row r="3" spans="1:5" ht="30" customHeight="1">
      <c r="A3" s="203" t="s">
        <v>85</v>
      </c>
    </row>
    <row r="4" spans="1:5" ht="31">
      <c r="A4" s="205" t="s">
        <v>742</v>
      </c>
    </row>
    <row r="5" spans="1:5" ht="30" customHeight="1">
      <c r="A5" s="203" t="s">
        <v>86</v>
      </c>
    </row>
    <row r="6" spans="1:5" ht="20.25" customHeight="1">
      <c r="A6" s="204" t="s">
        <v>732</v>
      </c>
    </row>
    <row r="7" spans="1:5" ht="30" customHeight="1">
      <c r="A7" s="203" t="s">
        <v>87</v>
      </c>
      <c r="B7" s="95"/>
    </row>
    <row r="8" spans="1:5" ht="31">
      <c r="A8" s="205" t="s">
        <v>733</v>
      </c>
    </row>
    <row r="9" spans="1:5" ht="30" customHeight="1">
      <c r="A9" s="93" t="s">
        <v>88</v>
      </c>
      <c r="C9" s="96"/>
      <c r="D9" s="96"/>
      <c r="E9" s="97"/>
    </row>
    <row r="10" spans="1:5" ht="31">
      <c r="A10" s="98" t="s">
        <v>119</v>
      </c>
      <c r="C10" s="96"/>
      <c r="D10" s="96"/>
      <c r="E10" s="97"/>
    </row>
    <row r="11" spans="1:5" ht="20.25" customHeight="1">
      <c r="A11" s="206" t="s">
        <v>660</v>
      </c>
      <c r="C11" s="96"/>
      <c r="D11" s="96"/>
      <c r="E11" s="97"/>
    </row>
    <row r="12" spans="1:5" ht="31">
      <c r="A12" s="98" t="s">
        <v>89</v>
      </c>
      <c r="C12" s="96"/>
      <c r="D12" s="96"/>
      <c r="E12" s="97"/>
    </row>
    <row r="13" spans="1:5" ht="31">
      <c r="A13" s="98" t="s">
        <v>120</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1" t="s">
        <v>92</v>
      </c>
      <c r="E17" s="102"/>
    </row>
    <row r="18" spans="1:257" s="81" customFormat="1" ht="20.25" customHeight="1">
      <c r="A18" s="201" t="s">
        <v>621</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6"/>
      <c r="C21" s="117"/>
      <c r="D21" s="117"/>
      <c r="E21" s="117"/>
      <c r="F21" s="117"/>
      <c r="G21" s="117"/>
      <c r="H21" s="117"/>
      <c r="I21" s="117"/>
      <c r="J21" s="117"/>
      <c r="K21" s="117"/>
      <c r="L21" s="117"/>
      <c r="M21" s="117"/>
      <c r="N21" s="117"/>
    </row>
    <row r="22" spans="1:257" ht="20.25" customHeight="1">
      <c r="A22" s="206" t="s">
        <v>661</v>
      </c>
    </row>
    <row r="23" spans="1:257" ht="20.25" customHeight="1">
      <c r="A23" s="189" t="s">
        <v>618</v>
      </c>
      <c r="B23" s="100"/>
    </row>
    <row r="24" spans="1:257" ht="20.25" customHeight="1">
      <c r="A24" s="103" t="s">
        <v>95</v>
      </c>
      <c r="E24" s="118"/>
      <c r="F24" s="118"/>
      <c r="G24" s="118"/>
      <c r="H24" s="118"/>
      <c r="I24" s="118"/>
      <c r="J24" s="118"/>
      <c r="K24" s="118"/>
      <c r="L24" s="118"/>
    </row>
    <row r="25" spans="1:257" ht="20.25" customHeight="1">
      <c r="A25" s="202" t="s">
        <v>657</v>
      </c>
      <c r="E25" s="118"/>
      <c r="F25" s="118"/>
      <c r="G25" s="118"/>
      <c r="H25" s="118"/>
      <c r="I25" s="118"/>
      <c r="J25" s="118"/>
      <c r="K25" s="118"/>
      <c r="L25" s="118"/>
    </row>
    <row r="26" spans="1:257" ht="20.25" customHeight="1">
      <c r="A26" s="104" t="s">
        <v>96</v>
      </c>
      <c r="E26" s="118"/>
      <c r="F26" s="118"/>
      <c r="G26" s="118"/>
      <c r="H26" s="118"/>
      <c r="I26" s="118"/>
      <c r="J26" s="118"/>
      <c r="K26" s="118"/>
      <c r="L26" s="118"/>
    </row>
    <row r="27" spans="1:257" s="106" customFormat="1">
      <c r="A27" s="105"/>
      <c r="E27" s="118"/>
      <c r="F27" s="118"/>
      <c r="G27" s="118"/>
      <c r="H27" s="118"/>
      <c r="I27" s="118"/>
      <c r="J27" s="118"/>
      <c r="K27" s="118"/>
      <c r="L27" s="118"/>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8"/>
      <c r="N33" s="118"/>
      <c r="O33" s="118"/>
      <c r="P33" s="118"/>
      <c r="Q33" s="118"/>
    </row>
    <row r="34" spans="6:17">
      <c r="F34" s="108"/>
      <c r="G34" s="108"/>
      <c r="H34" s="108"/>
      <c r="I34" s="108"/>
      <c r="J34" s="108"/>
      <c r="K34" s="108"/>
      <c r="L34" s="110"/>
      <c r="M34" s="118"/>
      <c r="N34" s="118"/>
      <c r="O34" s="118"/>
      <c r="P34" s="118"/>
      <c r="Q34" s="118"/>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146</v>
      </c>
      <c r="B4" s="86" t="s">
        <v>147</v>
      </c>
    </row>
    <row r="5" spans="1:2" ht="20.25" customHeight="1">
      <c r="A5" s="85" t="s">
        <v>148</v>
      </c>
      <c r="B5" s="90" t="s">
        <v>102</v>
      </c>
    </row>
    <row r="6" spans="1:2" ht="20.25" customHeight="1">
      <c r="A6" s="85" t="s">
        <v>149</v>
      </c>
      <c r="B6" s="90" t="s">
        <v>46</v>
      </c>
    </row>
    <row r="7" spans="1:2" ht="20.25" customHeight="1">
      <c r="A7" s="85" t="s">
        <v>150</v>
      </c>
      <c r="B7" s="90" t="s">
        <v>105</v>
      </c>
    </row>
    <row r="8" spans="1:2" ht="20.25" customHeight="1">
      <c r="A8" s="85" t="s">
        <v>151</v>
      </c>
      <c r="B8" s="90" t="s">
        <v>103</v>
      </c>
    </row>
    <row r="9" spans="1:2" ht="20.25" customHeight="1">
      <c r="A9" s="85" t="s">
        <v>586</v>
      </c>
      <c r="B9" s="90" t="s">
        <v>152</v>
      </c>
    </row>
    <row r="10" spans="1:2" s="87" customFormat="1" ht="20.25" customHeight="1">
      <c r="A10" s="85" t="s">
        <v>588</v>
      </c>
      <c r="B10" s="90" t="s">
        <v>153</v>
      </c>
    </row>
    <row r="11" spans="1:2" ht="20.25" customHeight="1">
      <c r="A11" s="85" t="s">
        <v>590</v>
      </c>
      <c r="B11" s="90" t="s">
        <v>154</v>
      </c>
    </row>
    <row r="12" spans="1:2" ht="20.25" customHeight="1">
      <c r="A12" s="85" t="s">
        <v>592</v>
      </c>
      <c r="B12" s="90" t="s">
        <v>155</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105</v>
      </c>
      <c r="B1" s="85"/>
    </row>
    <row r="2" spans="1:2" ht="20.25" customHeight="1">
      <c r="A2" s="81" t="s">
        <v>106</v>
      </c>
      <c r="B2" s="81"/>
    </row>
    <row r="3" spans="1:2" ht="20.25" customHeight="1">
      <c r="A3" s="81" t="s">
        <v>593</v>
      </c>
      <c r="B3" s="81"/>
    </row>
    <row r="4" spans="1:2" ht="33" customHeight="1">
      <c r="A4" s="80" t="s">
        <v>107</v>
      </c>
      <c r="B4" s="80" t="s">
        <v>101</v>
      </c>
    </row>
    <row r="5" spans="1:2" ht="46.5">
      <c r="A5" s="85" t="s">
        <v>108</v>
      </c>
      <c r="B5" s="84" t="s">
        <v>112</v>
      </c>
    </row>
    <row r="6" spans="1:2" ht="20.25" customHeight="1">
      <c r="A6" s="85" t="s">
        <v>109</v>
      </c>
      <c r="B6" s="85" t="s">
        <v>113</v>
      </c>
    </row>
    <row r="7" spans="1:2" ht="20.25" customHeight="1">
      <c r="A7" s="85" t="s">
        <v>110</v>
      </c>
      <c r="B7" s="88" t="s">
        <v>114</v>
      </c>
    </row>
    <row r="8" spans="1:2" ht="31">
      <c r="A8" s="85" t="s">
        <v>111</v>
      </c>
      <c r="B8" s="119" t="s">
        <v>115</v>
      </c>
    </row>
    <row r="9" spans="1:2" ht="62">
      <c r="A9" s="82" t="s">
        <v>116</v>
      </c>
      <c r="B9" s="89" t="s">
        <v>706</v>
      </c>
    </row>
    <row r="10" spans="1:2" ht="20.25" customHeight="1">
      <c r="A10" s="82" t="s">
        <v>117</v>
      </c>
      <c r="B10" s="112" t="s">
        <v>118</v>
      </c>
    </row>
    <row r="11" spans="1:2" ht="15.5">
      <c r="A11" s="82" t="s">
        <v>121</v>
      </c>
      <c r="B11" s="112" t="s">
        <v>126</v>
      </c>
    </row>
    <row r="12" spans="1:2" ht="46.5">
      <c r="A12" s="82" t="s">
        <v>122</v>
      </c>
      <c r="B12" s="112" t="s">
        <v>124</v>
      </c>
    </row>
    <row r="13" spans="1:2" ht="20.25" customHeight="1">
      <c r="A13" s="82" t="s">
        <v>123</v>
      </c>
      <c r="B13" s="85" t="s">
        <v>127</v>
      </c>
    </row>
    <row r="14" spans="1:2" ht="20.25" customHeight="1">
      <c r="A14" s="82" t="s">
        <v>125</v>
      </c>
      <c r="B14" s="85" t="s">
        <v>129</v>
      </c>
    </row>
    <row r="15" spans="1:2" ht="20.25" customHeight="1">
      <c r="A15" s="82" t="s">
        <v>128</v>
      </c>
      <c r="B15" s="85" t="s">
        <v>131</v>
      </c>
    </row>
    <row r="16" spans="1:2" ht="20.25" customHeight="1">
      <c r="A16" s="82" t="s">
        <v>130</v>
      </c>
      <c r="B16" s="85" t="s">
        <v>133</v>
      </c>
    </row>
    <row r="17" spans="1:2" ht="20.25" customHeight="1">
      <c r="A17" s="82" t="s">
        <v>132</v>
      </c>
      <c r="B17" s="85" t="s">
        <v>135</v>
      </c>
    </row>
    <row r="18" spans="1:2" ht="31">
      <c r="A18" s="82" t="s">
        <v>134</v>
      </c>
      <c r="B18" s="85" t="s">
        <v>156</v>
      </c>
    </row>
    <row r="19" spans="1:2" ht="124">
      <c r="A19" s="82" t="s">
        <v>671</v>
      </c>
      <c r="B19" s="85" t="s">
        <v>670</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26"/>
  <sheetViews>
    <sheetView showGridLines="0" zoomScaleNormal="100" workbookViewId="0"/>
  </sheetViews>
  <sheetFormatPr defaultColWidth="3.54296875" defaultRowHeight="13"/>
  <cols>
    <col min="1" max="1" width="131.54296875" style="200" customWidth="1"/>
    <col min="2" max="16384" width="3.54296875" style="199"/>
  </cols>
  <sheetData>
    <row r="1" spans="1:1" ht="26">
      <c r="A1" s="207" t="s">
        <v>103</v>
      </c>
    </row>
    <row r="2" spans="1:1" ht="21">
      <c r="A2" s="222" t="s">
        <v>712</v>
      </c>
    </row>
    <row r="3" spans="1:1" ht="18.5">
      <c r="A3" s="224" t="s">
        <v>713</v>
      </c>
    </row>
    <row r="4" spans="1:1" ht="31">
      <c r="A4" s="225" t="s">
        <v>738</v>
      </c>
    </row>
    <row r="5" spans="1:1" ht="25.5" customHeight="1">
      <c r="A5" s="224" t="s">
        <v>734</v>
      </c>
    </row>
    <row r="6" spans="1:1" ht="77.5">
      <c r="A6" s="229" t="s">
        <v>743</v>
      </c>
    </row>
    <row r="7" spans="1:1" ht="26.15" customHeight="1">
      <c r="A7" s="224" t="s">
        <v>718</v>
      </c>
    </row>
    <row r="8" spans="1:1" ht="46.5">
      <c r="A8" s="229" t="s">
        <v>744</v>
      </c>
    </row>
    <row r="9" spans="1:1" ht="39" customHeight="1">
      <c r="A9" s="208" t="s">
        <v>104</v>
      </c>
    </row>
    <row r="10" spans="1:1" ht="21" customHeight="1">
      <c r="A10" s="230" t="s">
        <v>739</v>
      </c>
    </row>
    <row r="11" spans="1:1" ht="31">
      <c r="A11" s="225" t="s">
        <v>735</v>
      </c>
    </row>
    <row r="12" spans="1:1" ht="30" customHeight="1">
      <c r="A12" s="230" t="s">
        <v>740</v>
      </c>
    </row>
    <row r="13" spans="1:1" ht="62">
      <c r="A13" s="225" t="s">
        <v>736</v>
      </c>
    </row>
    <row r="14" spans="1:1" ht="29.5" customHeight="1">
      <c r="A14" s="230" t="s">
        <v>741</v>
      </c>
    </row>
    <row r="15" spans="1:1" ht="55.5" customHeight="1">
      <c r="A15" s="231" t="s">
        <v>737</v>
      </c>
    </row>
    <row r="16" spans="1:1">
      <c r="A16" s="209"/>
    </row>
    <row r="17" spans="1:1">
      <c r="A17" s="209"/>
    </row>
    <row r="18" spans="1:1">
      <c r="A18" s="209"/>
    </row>
    <row r="19" spans="1:1">
      <c r="A19" s="209"/>
    </row>
    <row r="22" spans="1:1">
      <c r="A22" s="199"/>
    </row>
    <row r="23" spans="1:1">
      <c r="A23" s="199"/>
    </row>
    <row r="24" spans="1:1">
      <c r="A24" s="199"/>
    </row>
    <row r="25" spans="1:1">
      <c r="A25" s="199"/>
    </row>
    <row r="26" spans="1:1">
      <c r="A26" s="199"/>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138</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136</v>
      </c>
      <c r="B3" s="112"/>
      <c r="C3" s="112"/>
      <c r="D3" s="112"/>
      <c r="E3" s="112"/>
      <c r="F3" s="112"/>
      <c r="G3" s="112"/>
      <c r="H3" s="112"/>
      <c r="I3" s="112"/>
      <c r="J3" s="112"/>
      <c r="K3" s="112"/>
      <c r="L3" s="112"/>
      <c r="M3" s="112"/>
    </row>
    <row r="4" spans="1:15" s="141" customFormat="1" ht="46.5" customHeight="1">
      <c r="A4" s="146" t="s">
        <v>157</v>
      </c>
      <c r="B4" s="147" t="s">
        <v>84</v>
      </c>
      <c r="C4" s="148" t="s">
        <v>3</v>
      </c>
      <c r="D4" s="148" t="s">
        <v>140</v>
      </c>
      <c r="E4" s="148" t="s">
        <v>5</v>
      </c>
      <c r="F4" s="148" t="s">
        <v>54</v>
      </c>
      <c r="G4" s="148" t="s">
        <v>7</v>
      </c>
      <c r="H4" s="148" t="s">
        <v>141</v>
      </c>
      <c r="I4" s="148" t="s">
        <v>142</v>
      </c>
      <c r="J4" s="148" t="s">
        <v>48</v>
      </c>
      <c r="K4" s="148" t="s">
        <v>143</v>
      </c>
      <c r="L4" s="148" t="s">
        <v>144</v>
      </c>
      <c r="M4" s="149" t="s">
        <v>145</v>
      </c>
    </row>
    <row r="5" spans="1:15" ht="20.25" customHeight="1">
      <c r="A5" s="142">
        <f ca="1">INDIRECT(calculation_hide!R9)</f>
        <v>2020</v>
      </c>
      <c r="B5" s="163">
        <f ca="1">INDIRECT(calculation_hide!S9)</f>
        <v>41.960700000000003</v>
      </c>
      <c r="C5" s="163">
        <f ca="1">INDIRECT(calculation_hide!T9)</f>
        <v>1.4611000000000001</v>
      </c>
      <c r="D5" s="163">
        <f ca="1">INDIRECT(calculation_hide!U9)</f>
        <v>0.12540000000000001</v>
      </c>
      <c r="E5" s="163">
        <f ca="1">INDIRECT(calculation_hide!V9)</f>
        <v>17.772099999999998</v>
      </c>
      <c r="F5" s="163">
        <f ca="1">INDIRECT(calculation_hide!W9)</f>
        <v>10.711600000000001</v>
      </c>
      <c r="G5" s="163">
        <f ca="1">INDIRECT(calculation_hide!X9)</f>
        <v>0.43059999999999998</v>
      </c>
      <c r="H5" s="163">
        <f ca="1">INDIRECT(calculation_hide!Y9)</f>
        <v>5.7004000000000001</v>
      </c>
      <c r="I5" s="163">
        <f ca="1">INDIRECT(calculation_hide!Z9)</f>
        <v>5.3858999999999995</v>
      </c>
      <c r="J5" s="163">
        <f ca="1">INDIRECT(calculation_hide!AA9)</f>
        <v>0.37350000000000005</v>
      </c>
      <c r="K5" s="163">
        <f ca="1">INDIRECT(calculation_hide!AB9)</f>
        <v>22.601900000000001</v>
      </c>
      <c r="L5" s="163">
        <f ca="1">INDIRECT(calculation_hide!AC9)</f>
        <v>11.890099999999999</v>
      </c>
      <c r="M5" s="164">
        <f ca="1">INDIRECT(calculation_hide!AD9)</f>
        <v>19.358700000000002</v>
      </c>
      <c r="O5" s="181"/>
    </row>
    <row r="6" spans="1:15" ht="20.25" customHeight="1">
      <c r="A6" s="142">
        <f ca="1">INDIRECT(calculation_hide!R10)</f>
        <v>2021</v>
      </c>
      <c r="B6" s="163">
        <f ca="1">INDIRECT(calculation_hide!S10)</f>
        <v>42.798599999999993</v>
      </c>
      <c r="C6" s="163">
        <f ca="1">INDIRECT(calculation_hide!T10)</f>
        <v>1.6635</v>
      </c>
      <c r="D6" s="163">
        <f ca="1">INDIRECT(calculation_hide!U10)</f>
        <v>0.1754</v>
      </c>
      <c r="E6" s="163">
        <f ca="1">INDIRECT(calculation_hide!V10)</f>
        <v>19.6402</v>
      </c>
      <c r="F6" s="163">
        <f ca="1">INDIRECT(calculation_hide!W10)</f>
        <v>9.9458000000000002</v>
      </c>
      <c r="G6" s="163">
        <f ca="1">INDIRECT(calculation_hide!X10)</f>
        <v>0.32129999999999997</v>
      </c>
      <c r="H6" s="163">
        <f ca="1">INDIRECT(calculation_hide!Y10)</f>
        <v>4.9421999999999997</v>
      </c>
      <c r="I6" s="163">
        <f ca="1">INDIRECT(calculation_hide!Z10)</f>
        <v>5.7399000000000004</v>
      </c>
      <c r="J6" s="163">
        <f ca="1">INDIRECT(calculation_hide!AA10)</f>
        <v>0.37019999999999997</v>
      </c>
      <c r="K6" s="163">
        <f ca="1">INDIRECT(calculation_hide!AB10)</f>
        <v>21.319700000000001</v>
      </c>
      <c r="L6" s="163">
        <f ca="1">INDIRECT(calculation_hide!AC10)</f>
        <v>11.3736</v>
      </c>
      <c r="M6" s="164">
        <f ca="1">INDIRECT(calculation_hide!AD10)</f>
        <v>21.479199999999999</v>
      </c>
      <c r="O6" s="181"/>
    </row>
    <row r="7" spans="1:15" ht="20.25" customHeight="1">
      <c r="A7" s="142">
        <f ca="1">INDIRECT(calculation_hide!R11)</f>
        <v>2022</v>
      </c>
      <c r="B7" s="163">
        <f ca="1">INDIRECT(calculation_hide!S11)</f>
        <v>43.757899999999992</v>
      </c>
      <c r="C7" s="163">
        <f ca="1">INDIRECT(calculation_hide!T11)</f>
        <v>1.3901000000000001</v>
      </c>
      <c r="D7" s="163">
        <f ca="1">INDIRECT(calculation_hide!U11)</f>
        <v>0.19369999999999998</v>
      </c>
      <c r="E7" s="163">
        <f ca="1">INDIRECT(calculation_hide!V11)</f>
        <v>20.145499999999998</v>
      </c>
      <c r="F7" s="163">
        <f ca="1">INDIRECT(calculation_hide!W11)</f>
        <v>10.287800000000001</v>
      </c>
      <c r="G7" s="163">
        <f ca="1">INDIRECT(calculation_hide!X11)</f>
        <v>0.33660000000000001</v>
      </c>
      <c r="H7" s="163">
        <f ca="1">INDIRECT(calculation_hide!Y11)</f>
        <v>6.1587999999999994</v>
      </c>
      <c r="I7" s="163">
        <f ca="1">INDIRECT(calculation_hide!Z11)</f>
        <v>4.8384</v>
      </c>
      <c r="J7" s="163">
        <f ca="1">INDIRECT(calculation_hide!AA11)</f>
        <v>0.40720000000000001</v>
      </c>
      <c r="K7" s="163">
        <f ca="1">INDIRECT(calculation_hide!AB11)</f>
        <v>22.0289</v>
      </c>
      <c r="L7" s="163">
        <f ca="1">INDIRECT(calculation_hide!AC11)</f>
        <v>11.741</v>
      </c>
      <c r="M7" s="164">
        <f ca="1">INDIRECT(calculation_hide!AD11)</f>
        <v>21.729199999999999</v>
      </c>
      <c r="O7" s="181"/>
    </row>
    <row r="8" spans="1:15" ht="20.25" customHeight="1">
      <c r="A8" s="142">
        <f ca="1">INDIRECT(calculation_hide!R12)</f>
        <v>2023</v>
      </c>
      <c r="B8" s="163">
        <f ca="1">INDIRECT(calculation_hide!S12)</f>
        <v>37.231300000000005</v>
      </c>
      <c r="C8" s="163">
        <f ca="1">INDIRECT(calculation_hide!T12)</f>
        <v>0.89690000000000014</v>
      </c>
      <c r="D8" s="163">
        <f ca="1">INDIRECT(calculation_hide!U12)</f>
        <v>0.13669999999999999</v>
      </c>
      <c r="E8" s="163">
        <f ca="1">INDIRECT(calculation_hide!V12)</f>
        <v>15.858200000000002</v>
      </c>
      <c r="F8" s="163">
        <f ca="1">INDIRECT(calculation_hide!W12)</f>
        <v>8.7904</v>
      </c>
      <c r="G8" s="163">
        <f ca="1">INDIRECT(calculation_hide!X12)</f>
        <v>0.32779999999999998</v>
      </c>
      <c r="H8" s="163">
        <f ca="1">INDIRECT(calculation_hide!Y12)</f>
        <v>6.3682999999999996</v>
      </c>
      <c r="I8" s="163">
        <f ca="1">INDIRECT(calculation_hide!Z12)</f>
        <v>4.4579000000000004</v>
      </c>
      <c r="J8" s="163">
        <f ca="1">INDIRECT(calculation_hide!AA12)</f>
        <v>0.39500000000000002</v>
      </c>
      <c r="K8" s="163">
        <f ca="1">INDIRECT(calculation_hide!AB12)</f>
        <v>20.339700000000001</v>
      </c>
      <c r="L8" s="163">
        <f ca="1">INDIRECT(calculation_hide!AC12)</f>
        <v>11.5494</v>
      </c>
      <c r="M8" s="164">
        <f ca="1">INDIRECT(calculation_hide!AD12)</f>
        <v>16.891500000000001</v>
      </c>
      <c r="O8" s="181"/>
    </row>
    <row r="9" spans="1:15" ht="20.25" customHeight="1">
      <c r="A9" s="142" t="str">
        <f ca="1">INDIRECT(calculation_hide!R13)</f>
        <v>2024 [provisional]</v>
      </c>
      <c r="B9" s="163">
        <f ca="1">INDIRECT(calculation_hide!S13)</f>
        <v>35.486699999999999</v>
      </c>
      <c r="C9" s="163">
        <f ca="1">INDIRECT(calculation_hide!T13)</f>
        <v>0.41459999999999997</v>
      </c>
      <c r="D9" s="163">
        <f ca="1">INDIRECT(calculation_hide!U13)</f>
        <v>0.11910000000000001</v>
      </c>
      <c r="E9" s="163">
        <f ca="1">INDIRECT(calculation_hide!V13)</f>
        <v>13.247499999999999</v>
      </c>
      <c r="F9" s="163">
        <f ca="1">INDIRECT(calculation_hide!W13)</f>
        <v>8.7886000000000006</v>
      </c>
      <c r="G9" s="163">
        <f ca="1">INDIRECT(calculation_hide!X13)</f>
        <v>0.34670000000000001</v>
      </c>
      <c r="H9" s="163">
        <f ca="1">INDIRECT(calculation_hide!Y13)</f>
        <v>6.5456999999999992</v>
      </c>
      <c r="I9" s="163">
        <f ca="1">INDIRECT(calculation_hide!Z13)</f>
        <v>5.6159999999999997</v>
      </c>
      <c r="J9" s="163">
        <f ca="1">INDIRECT(calculation_hide!AA13)</f>
        <v>0.40860000000000002</v>
      </c>
      <c r="K9" s="163">
        <f ca="1">INDIRECT(calculation_hide!AB13)</f>
        <v>21.7056</v>
      </c>
      <c r="L9" s="163">
        <f ca="1">INDIRECT(calculation_hide!AC13)</f>
        <v>12.917000000000002</v>
      </c>
      <c r="M9" s="164">
        <f ca="1">INDIRECT(calculation_hide!AD13)</f>
        <v>13.7813</v>
      </c>
      <c r="O9" s="181"/>
    </row>
    <row r="10" spans="1:15" ht="20.25" customHeight="1">
      <c r="A10" s="143" t="s">
        <v>158</v>
      </c>
      <c r="B10" s="166" t="str">
        <f t="shared" ref="B10:M10" ca="1" si="0">IF(((B9-B8)/B8*100)&gt;100,"(+) ",IF(((B9-B8)/B8*100)&lt;-100,"(-) ",IF(ROUND(((B9-B8)/B8*100),1)=0,"- ",IF(((B9-B8)/B8*100)&gt;0,TEXT(((B9-B8)/B8*100),"+0.0 "),TEXT(((B9-B8)/B8*100),"0.0 ")))))</f>
        <v xml:space="preserve">-4.7 </v>
      </c>
      <c r="C10" s="214" t="str">
        <f t="shared" ca="1" si="0"/>
        <v xml:space="preserve">-53.8 </v>
      </c>
      <c r="D10" s="166" t="str">
        <f t="shared" ca="1" si="0"/>
        <v xml:space="preserve">-12.9 </v>
      </c>
      <c r="E10" s="166" t="str">
        <f t="shared" ca="1" si="0"/>
        <v xml:space="preserve">-16.5 </v>
      </c>
      <c r="F10" s="166" t="str">
        <f t="shared" ca="1" si="0"/>
        <v xml:space="preserve">- </v>
      </c>
      <c r="G10" s="166" t="str">
        <f t="shared" ca="1" si="0"/>
        <v xml:space="preserve">+5.8 </v>
      </c>
      <c r="H10" s="166" t="str">
        <f t="shared" ca="1" si="0"/>
        <v xml:space="preserve">+2.8 </v>
      </c>
      <c r="I10" s="166" t="str">
        <f t="shared" ca="1" si="0"/>
        <v xml:space="preserve">+26.0 </v>
      </c>
      <c r="J10" s="166" t="str">
        <f t="shared" ca="1" si="0"/>
        <v xml:space="preserve">+3.4 </v>
      </c>
      <c r="K10" s="166" t="str">
        <f t="shared" ca="1" si="0"/>
        <v xml:space="preserve">+6.7 </v>
      </c>
      <c r="L10" s="166" t="str">
        <f t="shared" ca="1" si="0"/>
        <v xml:space="preserve">+11.8 </v>
      </c>
      <c r="M10" s="167" t="str">
        <f t="shared" ca="1" si="0"/>
        <v xml:space="preserve">-18.4 </v>
      </c>
      <c r="O10" s="181"/>
    </row>
    <row r="11" spans="1:15" ht="20.25" customHeight="1">
      <c r="A11" s="163" t="str">
        <f ca="1">INDIRECT(calculation_hide!R39)</f>
        <v>January 2024 [provisional]</v>
      </c>
      <c r="B11" s="178">
        <f ca="1">INDIRECT(calculation_hide!S39)</f>
        <v>3.7301000000000002</v>
      </c>
      <c r="C11" s="163">
        <f ca="1">INDIRECT(calculation_hide!T39)</f>
        <v>0.1216</v>
      </c>
      <c r="D11" s="163">
        <f ca="1">INDIRECT(calculation_hide!U39)</f>
        <v>1.0999999999999999E-2</v>
      </c>
      <c r="E11" s="163">
        <f ca="1">INDIRECT(calculation_hide!V39)</f>
        <v>1.7589999999999999</v>
      </c>
      <c r="F11" s="163">
        <f ca="1">INDIRECT(calculation_hide!W39)</f>
        <v>0.55620000000000003</v>
      </c>
      <c r="G11" s="163">
        <f ca="1">INDIRECT(calculation_hide!X39)</f>
        <v>4.2299999999999997E-2</v>
      </c>
      <c r="H11" s="163">
        <f ca="1">INDIRECT(calculation_hide!Y39)</f>
        <v>0.73529999999999995</v>
      </c>
      <c r="I11" s="163">
        <f ca="1">INDIRECT(calculation_hide!Z39)</f>
        <v>0.4929</v>
      </c>
      <c r="J11" s="163">
        <f ca="1">INDIRECT(calculation_hide!AA39)</f>
        <v>1.18E-2</v>
      </c>
      <c r="K11" s="163">
        <f ca="1">INDIRECT(calculation_hide!AB39)</f>
        <v>1.8386</v>
      </c>
      <c r="L11" s="163">
        <f ca="1">INDIRECT(calculation_hide!AC39)</f>
        <v>1.2823</v>
      </c>
      <c r="M11" s="164">
        <f ca="1">INDIRECT(calculation_hide!AD39)</f>
        <v>1.8915999999999999</v>
      </c>
      <c r="O11" s="181"/>
    </row>
    <row r="12" spans="1:15" ht="20.25" customHeight="1">
      <c r="A12" s="163" t="str">
        <f ca="1">INDIRECT(calculation_hide!R40)</f>
        <v>January 2025 [provisional]</v>
      </c>
      <c r="B12" s="179">
        <f ca="1">INDIRECT(calculation_hide!S40)</f>
        <v>3.8315999999999999</v>
      </c>
      <c r="C12" s="163">
        <f ca="1">INDIRECT(calculation_hide!T40)</f>
        <v>0</v>
      </c>
      <c r="D12" s="163">
        <f ca="1">INDIRECT(calculation_hide!U40)</f>
        <v>1.0999999999999999E-2</v>
      </c>
      <c r="E12" s="163">
        <f ca="1">INDIRECT(calculation_hide!V40)</f>
        <v>1.9469000000000001</v>
      </c>
      <c r="F12" s="163">
        <f ca="1">INDIRECT(calculation_hide!W40)</f>
        <v>0.745</v>
      </c>
      <c r="G12" s="163">
        <f ca="1">INDIRECT(calculation_hide!X40)</f>
        <v>4.2000000000000003E-2</v>
      </c>
      <c r="H12" s="163">
        <f ca="1">INDIRECT(calculation_hide!Y40)</f>
        <v>0.56999999999999995</v>
      </c>
      <c r="I12" s="163">
        <f ca="1">INDIRECT(calculation_hide!Z40)</f>
        <v>0.50549999999999995</v>
      </c>
      <c r="J12" s="163">
        <f ca="1">INDIRECT(calculation_hide!AA40)</f>
        <v>1.12E-2</v>
      </c>
      <c r="K12" s="163">
        <f ca="1">INDIRECT(calculation_hide!AB40)</f>
        <v>1.8735999999999999</v>
      </c>
      <c r="L12" s="163">
        <f ca="1">INDIRECT(calculation_hide!AC40)</f>
        <v>1.1286</v>
      </c>
      <c r="M12" s="164">
        <f ca="1">INDIRECT(calculation_hide!AD40)</f>
        <v>1.958</v>
      </c>
      <c r="O12" s="181"/>
    </row>
    <row r="13" spans="1:15" ht="20.25" customHeight="1">
      <c r="A13" s="143" t="s">
        <v>59</v>
      </c>
      <c r="B13" s="166" t="str">
        <f t="shared" ref="B13:L13" ca="1" si="1">IF(((B12-B11)/B11*100)&gt;100,"(+) ",IF(((B12-B11)/B11*100)&lt;-100,"(-) ",IF(ROUND(((B12-B11)/B11*100),1)=0,"- ",IF(((B12-B11)/B11*100)&gt;0,TEXT(((B12-B11)/B11*100),"+0.0 "),TEXT(((B12-B11)/B11*100),"0.0 ")))))</f>
        <v xml:space="preserve">+2.7 </v>
      </c>
      <c r="C13" s="166" t="str">
        <f t="shared" ca="1" si="1"/>
        <v xml:space="preserve">-100.0 </v>
      </c>
      <c r="D13" s="166" t="str">
        <f t="shared" ca="1" si="1"/>
        <v xml:space="preserve">- </v>
      </c>
      <c r="E13" s="166" t="str">
        <f t="shared" ca="1" si="1"/>
        <v xml:space="preserve">+10.7 </v>
      </c>
      <c r="F13" s="166" t="str">
        <f t="shared" ca="1" si="1"/>
        <v xml:space="preserve">+33.9 </v>
      </c>
      <c r="G13" s="166" t="str">
        <f t="shared" ca="1" si="1"/>
        <v xml:space="preserve">-0.7 </v>
      </c>
      <c r="H13" s="166" t="str">
        <f t="shared" ca="1" si="1"/>
        <v xml:space="preserve">-22.5 </v>
      </c>
      <c r="I13" s="166" t="str">
        <f t="shared" ca="1" si="1"/>
        <v xml:space="preserve">+2.6 </v>
      </c>
      <c r="J13" s="166" t="str">
        <f t="shared" ca="1" si="1"/>
        <v xml:space="preserve">-5.1 </v>
      </c>
      <c r="K13" s="166" t="str">
        <f t="shared" ca="1" si="1"/>
        <v xml:space="preserve">+1.9 </v>
      </c>
      <c r="L13" s="166" t="str">
        <f t="shared" ca="1" si="1"/>
        <v xml:space="preserve">-12.0 </v>
      </c>
      <c r="M13" s="167" t="str">
        <f ca="1">IF(((M12-M11)/M11*100)&gt;100,"(+) ",IF(((M12-M11)/M11*100)&lt;-100,"(-) ",IF(ROUND(((M12-M11)/M11*100),1)=0,"- ",IF(((M12-M11)/M11*100)&gt;0,TEXT(((M12-M11)/M11*100),"+0.0 "),TEXT(((M12-M11)/M11*100),"0.0 ")))))</f>
        <v xml:space="preserve">+3.5 </v>
      </c>
      <c r="O13" s="181"/>
    </row>
    <row r="14" spans="1:15" ht="20.25" customHeight="1">
      <c r="A14" s="142" t="str">
        <f ca="1">INDIRECT(calculation_hide!R22)</f>
        <v>November 2023</v>
      </c>
      <c r="B14" s="163">
        <f ca="1">INDIRECT(calculation_hide!S22)</f>
        <v>3.4163999999999999</v>
      </c>
      <c r="C14" s="163">
        <f ca="1">INDIRECT(calculation_hide!T22)</f>
        <v>0.15659999999999999</v>
      </c>
      <c r="D14" s="163">
        <f ca="1">INDIRECT(calculation_hide!U22)</f>
        <v>1.0800000000000001E-2</v>
      </c>
      <c r="E14" s="163">
        <f ca="1">INDIRECT(calculation_hide!V22)</f>
        <v>1.4226000000000001</v>
      </c>
      <c r="F14" s="163">
        <f ca="1">INDIRECT(calculation_hide!W22)</f>
        <v>0.64849999999999997</v>
      </c>
      <c r="G14" s="163">
        <f ca="1">INDIRECT(calculation_hide!X22)</f>
        <v>3.5400000000000001E-2</v>
      </c>
      <c r="H14" s="163">
        <f ca="1">INDIRECT(calculation_hide!Y22)</f>
        <v>0.6159</v>
      </c>
      <c r="I14" s="163">
        <f ca="1">INDIRECT(calculation_hide!Z22)</f>
        <v>0.51200000000000001</v>
      </c>
      <c r="J14" s="163">
        <f ca="1">INDIRECT(calculation_hide!AA22)</f>
        <v>1.4500000000000001E-2</v>
      </c>
      <c r="K14" s="163">
        <f ca="1">INDIRECT(calculation_hide!AB22)</f>
        <v>1.8264</v>
      </c>
      <c r="L14" s="163">
        <f ca="1">INDIRECT(calculation_hide!AC22)</f>
        <v>1.1778999999999999</v>
      </c>
      <c r="M14" s="164">
        <f ca="1">INDIRECT(calculation_hide!AD22)</f>
        <v>1.59</v>
      </c>
      <c r="O14" s="181"/>
    </row>
    <row r="15" spans="1:15" ht="20.25" customHeight="1">
      <c r="A15" s="142" t="str">
        <f ca="1">INDIRECT(calculation_hide!R23)</f>
        <v>December 2023</v>
      </c>
      <c r="B15" s="163">
        <f ca="1">INDIRECT(calculation_hide!S23)</f>
        <v>3.5371000000000001</v>
      </c>
      <c r="C15" s="163">
        <f ca="1">INDIRECT(calculation_hide!T23)</f>
        <v>7.8399999999999997E-2</v>
      </c>
      <c r="D15" s="163">
        <f ca="1">INDIRECT(calculation_hide!U23)</f>
        <v>1.04E-2</v>
      </c>
      <c r="E15" s="163">
        <f ca="1">INDIRECT(calculation_hide!V23)</f>
        <v>1.2616000000000001</v>
      </c>
      <c r="F15" s="163">
        <f ca="1">INDIRECT(calculation_hide!W23)</f>
        <v>0.83009999999999995</v>
      </c>
      <c r="G15" s="163">
        <f ca="1">INDIRECT(calculation_hide!X23)</f>
        <v>4.0800000000000003E-2</v>
      </c>
      <c r="H15" s="163">
        <f ca="1">INDIRECT(calculation_hide!Y23)</f>
        <v>0.83640000000000003</v>
      </c>
      <c r="I15" s="163">
        <f ca="1">INDIRECT(calculation_hide!Z23)</f>
        <v>0.4728</v>
      </c>
      <c r="J15" s="163">
        <f ca="1">INDIRECT(calculation_hide!AA23)</f>
        <v>6.4999999999999997E-3</v>
      </c>
      <c r="K15" s="163">
        <f ca="1">INDIRECT(calculation_hide!AB23)</f>
        <v>2.1867000000000001</v>
      </c>
      <c r="L15" s="163">
        <f ca="1">INDIRECT(calculation_hide!AC23)</f>
        <v>1.3566</v>
      </c>
      <c r="M15" s="164">
        <f ca="1">INDIRECT(calculation_hide!AD23)</f>
        <v>1.3505</v>
      </c>
      <c r="O15" s="181"/>
    </row>
    <row r="16" spans="1:15" ht="20.25" customHeight="1">
      <c r="A16" s="142" t="str">
        <f ca="1">INDIRECT(calculation_hide!R24)</f>
        <v>January 2024</v>
      </c>
      <c r="B16" s="163">
        <f ca="1">INDIRECT(calculation_hide!S24)</f>
        <v>3.7301000000000002</v>
      </c>
      <c r="C16" s="163">
        <f ca="1">INDIRECT(calculation_hide!T24)</f>
        <v>0.1216</v>
      </c>
      <c r="D16" s="163">
        <f ca="1">INDIRECT(calculation_hide!U24)</f>
        <v>1.0999999999999999E-2</v>
      </c>
      <c r="E16" s="163">
        <f ca="1">INDIRECT(calculation_hide!V24)</f>
        <v>1.7589999999999999</v>
      </c>
      <c r="F16" s="163">
        <f ca="1">INDIRECT(calculation_hide!W24)</f>
        <v>0.55620000000000003</v>
      </c>
      <c r="G16" s="163">
        <f ca="1">INDIRECT(calculation_hide!X24)</f>
        <v>4.2299999999999997E-2</v>
      </c>
      <c r="H16" s="163">
        <f ca="1">INDIRECT(calculation_hide!Y24)</f>
        <v>0.73529999999999995</v>
      </c>
      <c r="I16" s="163">
        <f ca="1">INDIRECT(calculation_hide!Z24)</f>
        <v>0.4929</v>
      </c>
      <c r="J16" s="163">
        <f ca="1">INDIRECT(calculation_hide!AA24)</f>
        <v>1.18E-2</v>
      </c>
      <c r="K16" s="163">
        <f ca="1">INDIRECT(calculation_hide!AB24)</f>
        <v>1.8386</v>
      </c>
      <c r="L16" s="163">
        <f ca="1">INDIRECT(calculation_hide!AC24)</f>
        <v>1.2823</v>
      </c>
      <c r="M16" s="164">
        <f ca="1">INDIRECT(calculation_hide!AD24)</f>
        <v>1.8915999999999999</v>
      </c>
      <c r="O16" s="181"/>
    </row>
    <row r="17" spans="1:19" ht="20.25" customHeight="1">
      <c r="A17" s="145" t="s">
        <v>2</v>
      </c>
      <c r="B17" s="168">
        <f t="shared" ref="B17:H17" ca="1" si="2">SUM(B14:B16)</f>
        <v>10.6836</v>
      </c>
      <c r="C17" s="168">
        <f t="shared" ca="1" si="2"/>
        <v>0.35659999999999997</v>
      </c>
      <c r="D17" s="168">
        <f t="shared" ca="1" si="2"/>
        <v>3.2199999999999999E-2</v>
      </c>
      <c r="E17" s="168">
        <f t="shared" ca="1" si="2"/>
        <v>4.4432</v>
      </c>
      <c r="F17" s="168">
        <f t="shared" ca="1" si="2"/>
        <v>2.0347999999999997</v>
      </c>
      <c r="G17" s="168">
        <f ca="1">SUM(G14:G16)</f>
        <v>0.11849999999999999</v>
      </c>
      <c r="H17" s="168">
        <f t="shared" ca="1" si="2"/>
        <v>2.1876000000000002</v>
      </c>
      <c r="I17" s="168">
        <f ca="1">SUM(I14:I16)</f>
        <v>1.4777</v>
      </c>
      <c r="J17" s="168">
        <f ca="1">SUM(J14:J16)</f>
        <v>3.2800000000000003E-2</v>
      </c>
      <c r="K17" s="168">
        <f ca="1">SUM(K14:K16)</f>
        <v>5.8516999999999992</v>
      </c>
      <c r="L17" s="168">
        <f ca="1">SUM(L14:L16)</f>
        <v>3.8167999999999997</v>
      </c>
      <c r="M17" s="169">
        <f ca="1">SUM(M14:M16)</f>
        <v>4.8321000000000005</v>
      </c>
      <c r="O17" s="181"/>
    </row>
    <row r="18" spans="1:19" ht="20.25" customHeight="1">
      <c r="A18" s="142" t="str">
        <f ca="1">INDIRECT(calculation_hide!R34)</f>
        <v xml:space="preserve">November 2024 </v>
      </c>
      <c r="B18" s="163">
        <f ca="1">INDIRECT(calculation_hide!S34)</f>
        <v>3.4723000000000002</v>
      </c>
      <c r="C18" s="163">
        <f ca="1">INDIRECT(calculation_hide!T34)</f>
        <v>0</v>
      </c>
      <c r="D18" s="163">
        <f ca="1">INDIRECT(calculation_hide!U34)</f>
        <v>1.17E-2</v>
      </c>
      <c r="E18" s="163">
        <f ca="1">INDIRECT(calculation_hide!V34)</f>
        <v>1.7025999999999999</v>
      </c>
      <c r="F18" s="163">
        <f ca="1">INDIRECT(calculation_hide!W34)</f>
        <v>0.69350000000000001</v>
      </c>
      <c r="G18" s="163">
        <f ca="1">INDIRECT(calculation_hide!X34)</f>
        <v>2.1000000000000001E-2</v>
      </c>
      <c r="H18" s="163">
        <f ca="1">INDIRECT(calculation_hide!Y34)</f>
        <v>0.51580000000000004</v>
      </c>
      <c r="I18" s="163">
        <f ca="1">INDIRECT(calculation_hide!Z34)</f>
        <v>0.51719999999999999</v>
      </c>
      <c r="J18" s="163">
        <f ca="1">INDIRECT(calculation_hide!AA34)</f>
        <v>1.06E-2</v>
      </c>
      <c r="K18" s="163">
        <f ca="1">INDIRECT(calculation_hide!AB34)</f>
        <v>1.758</v>
      </c>
      <c r="L18" s="163">
        <f ca="1">INDIRECT(calculation_hide!AC34)</f>
        <v>1.0645</v>
      </c>
      <c r="M18" s="164">
        <f ca="1">INDIRECT(calculation_hide!AD34)</f>
        <v>1.7142999999999999</v>
      </c>
      <c r="N18" s="139"/>
      <c r="O18" s="181"/>
      <c r="P18" s="139"/>
      <c r="Q18" s="139"/>
      <c r="R18" s="139"/>
      <c r="S18" s="139"/>
    </row>
    <row r="19" spans="1:19" ht="20.25" customHeight="1">
      <c r="A19" s="142" t="str">
        <f ca="1">INDIRECT(calculation_hide!R35)</f>
        <v xml:space="preserve">December 2024 </v>
      </c>
      <c r="B19" s="163">
        <f ca="1">INDIRECT(calculation_hide!S35)</f>
        <v>3.3313000000000001</v>
      </c>
      <c r="C19" s="163">
        <f ca="1">INDIRECT(calculation_hide!T35)</f>
        <v>0</v>
      </c>
      <c r="D19" s="163">
        <f ca="1">INDIRECT(calculation_hide!U35)</f>
        <v>8.3999999999999995E-3</v>
      </c>
      <c r="E19" s="163">
        <f ca="1">INDIRECT(calculation_hide!V35)</f>
        <v>1.3498000000000001</v>
      </c>
      <c r="F19" s="163">
        <f ca="1">INDIRECT(calculation_hide!W35)</f>
        <v>0.69699999999999995</v>
      </c>
      <c r="G19" s="163">
        <f ca="1">INDIRECT(calculation_hide!X35)</f>
        <v>5.0700000000000002E-2</v>
      </c>
      <c r="H19" s="163">
        <f ca="1">INDIRECT(calculation_hide!Y35)</f>
        <v>0.76439999999999997</v>
      </c>
      <c r="I19" s="163">
        <f ca="1">INDIRECT(calculation_hide!Z35)</f>
        <v>0.45479999999999998</v>
      </c>
      <c r="J19" s="163">
        <f ca="1">INDIRECT(calculation_hide!AA35)</f>
        <v>6.1999999999999998E-3</v>
      </c>
      <c r="K19" s="163">
        <f ca="1">INDIRECT(calculation_hide!AB35)</f>
        <v>1.9731000000000001</v>
      </c>
      <c r="L19" s="163">
        <f ca="1">INDIRECT(calculation_hide!AC35)</f>
        <v>1.2761</v>
      </c>
      <c r="M19" s="164">
        <f ca="1">INDIRECT(calculation_hide!AD35)</f>
        <v>1.3582000000000001</v>
      </c>
      <c r="N19" s="139"/>
      <c r="O19" s="181"/>
      <c r="P19" s="139"/>
      <c r="Q19" s="139"/>
      <c r="R19" s="139"/>
      <c r="S19" s="139"/>
    </row>
    <row r="20" spans="1:19" ht="20.25" customHeight="1">
      <c r="A20" s="142" t="str">
        <f ca="1">INDIRECT(calculation_hide!R36)</f>
        <v>January 2025 [provisional]</v>
      </c>
      <c r="B20" s="163">
        <f ca="1">INDIRECT(calculation_hide!S36)</f>
        <v>3.8315999999999999</v>
      </c>
      <c r="C20" s="163">
        <f ca="1">INDIRECT(calculation_hide!T36)</f>
        <v>0</v>
      </c>
      <c r="D20" s="163">
        <f ca="1">INDIRECT(calculation_hide!U36)</f>
        <v>1.0999999999999999E-2</v>
      </c>
      <c r="E20" s="163">
        <f ca="1">INDIRECT(calculation_hide!V36)</f>
        <v>1.9469000000000001</v>
      </c>
      <c r="F20" s="163">
        <f ca="1">INDIRECT(calculation_hide!W36)</f>
        <v>0.745</v>
      </c>
      <c r="G20" s="163">
        <f ca="1">INDIRECT(calculation_hide!X36)</f>
        <v>4.2000000000000003E-2</v>
      </c>
      <c r="H20" s="163">
        <f ca="1">INDIRECT(calculation_hide!Y36)</f>
        <v>0.56999999999999995</v>
      </c>
      <c r="I20" s="163">
        <f ca="1">INDIRECT(calculation_hide!Z36)</f>
        <v>0.50549999999999995</v>
      </c>
      <c r="J20" s="163">
        <f ca="1">INDIRECT(calculation_hide!AA36)</f>
        <v>1.12E-2</v>
      </c>
      <c r="K20" s="163">
        <f ca="1">INDIRECT(calculation_hide!AB36)</f>
        <v>1.8735999999999999</v>
      </c>
      <c r="L20" s="163">
        <f ca="1">INDIRECT(calculation_hide!AC36)</f>
        <v>1.1286</v>
      </c>
      <c r="M20" s="164">
        <f ca="1">INDIRECT(calculation_hide!AD36)</f>
        <v>1.958</v>
      </c>
      <c r="O20" s="181"/>
    </row>
    <row r="21" spans="1:19" ht="20.25" customHeight="1">
      <c r="A21" s="145" t="s">
        <v>2</v>
      </c>
      <c r="B21" s="168">
        <f ca="1">SUM(B18:B20)</f>
        <v>10.635200000000001</v>
      </c>
      <c r="C21" s="168">
        <f t="shared" ref="C21:H21" ca="1" si="3">SUM(C18:C20)</f>
        <v>0</v>
      </c>
      <c r="D21" s="168">
        <f t="shared" ca="1" si="3"/>
        <v>3.1099999999999999E-2</v>
      </c>
      <c r="E21" s="168">
        <f t="shared" ca="1" si="3"/>
        <v>4.9992999999999999</v>
      </c>
      <c r="F21" s="168">
        <f t="shared" ca="1" si="3"/>
        <v>2.1355</v>
      </c>
      <c r="G21" s="168">
        <f t="shared" ca="1" si="3"/>
        <v>0.1137</v>
      </c>
      <c r="H21" s="168">
        <f t="shared" ca="1" si="3"/>
        <v>1.8502000000000001</v>
      </c>
      <c r="I21" s="168">
        <f ca="1">SUM(I18:I20)</f>
        <v>1.4775</v>
      </c>
      <c r="J21" s="168">
        <f ca="1">SUM(J18:J20)</f>
        <v>2.7999999999999997E-2</v>
      </c>
      <c r="K21" s="168">
        <f ca="1">SUM(K18:K20)</f>
        <v>5.6047000000000002</v>
      </c>
      <c r="L21" s="168">
        <f ca="1">SUM(L18:L20)</f>
        <v>3.4692000000000003</v>
      </c>
      <c r="M21" s="169">
        <f ca="1">SUM(M18:M20)</f>
        <v>5.0305</v>
      </c>
      <c r="O21" s="181"/>
    </row>
    <row r="22" spans="1:19" ht="20.25" customHeight="1">
      <c r="A22" s="144" t="s">
        <v>139</v>
      </c>
      <c r="B22" s="182" t="str">
        <f ca="1">IF(((B21-B17)/B17*100)&gt;100,"(+) ",IF(((B21-B17)/B17*100)&lt;-100,"(-) ",IF(ROUND(((B21-B17)/B17*100),1)=0,"- ",IF(((B21-B17)/B17*100)&gt;0,TEXT(((B21-B17)/B17*100),"+0.0 "),TEXT(((B21-B17)/B17*100),"0.0 ")))))</f>
        <v xml:space="preserve">-0.5 </v>
      </c>
      <c r="C22" s="210" t="str">
        <f ca="1">IF(((C21-C17)/C17*100)&gt;100,"(+) ",IF(((C21-C17)/C17*100)&lt;-100,"(-) ",IF(ROUND(((C21-C17)/C17*100),1)=0,"- ",IF(((C21-C17)/C17*100)&gt;0,TEXT(((C21-C17)/C17*100),"+0.0 "),TEXT(((C21-C17)/C17*100),"0.0 ")))))</f>
        <v xml:space="preserve">-100.0 </v>
      </c>
      <c r="D22" s="170" t="str">
        <f ca="1">IF(((D21-D17)/D17*100)&gt;100,"(+) ",IF(((D21-D17)/D17*100)&lt;-100,"(-) ",IF(ROUND(((D21-D17)/D17*100),1)=0,"- ",IF(((D21-D17)/D17*100)&gt;0,TEXT(((D21-D17)/D17*100),"+0.0 "),TEXT(((D21-D17)/D17*100),"0.0 ")))))</f>
        <v xml:space="preserve">-3.4 </v>
      </c>
      <c r="E22" s="170" t="str">
        <f t="shared" ref="E22:M22" ca="1" si="4">IF(((E21-E17)/E17*100)&gt;100,"(+) ",IF(((E21-E17)/E17*100)&lt;-100,"(-) ",IF(ROUND(((E21-E17)/E17*100),1)=0,"- ",IF(((E21-E17)/E17*100)&gt;0,TEXT(((E21-E17)/E17*100),"+0.0 "),TEXT(((E21-E17)/E17*100),"0.0 ")))))</f>
        <v xml:space="preserve">+12.5 </v>
      </c>
      <c r="F22" s="195" t="str">
        <f t="shared" ca="1" si="4"/>
        <v xml:space="preserve">+4.9 </v>
      </c>
      <c r="G22" s="195" t="str">
        <f t="shared" ca="1" si="4"/>
        <v xml:space="preserve">-4.1 </v>
      </c>
      <c r="H22" s="170" t="str">
        <f t="shared" ca="1" si="4"/>
        <v xml:space="preserve">-15.4 </v>
      </c>
      <c r="I22" s="170" t="str">
        <f t="shared" ca="1" si="4"/>
        <v xml:space="preserve">- </v>
      </c>
      <c r="J22" s="182" t="str">
        <f t="shared" ca="1" si="4"/>
        <v xml:space="preserve">-14.6 </v>
      </c>
      <c r="K22" s="170" t="str">
        <f t="shared" ca="1" si="4"/>
        <v xml:space="preserve">-4.2 </v>
      </c>
      <c r="L22" s="170" t="str">
        <f t="shared" ca="1" si="4"/>
        <v xml:space="preserve">-9.1 </v>
      </c>
      <c r="M22" s="187" t="str">
        <f t="shared" ca="1" si="4"/>
        <v xml:space="preserve">+4.1 </v>
      </c>
      <c r="O22" s="181"/>
    </row>
    <row r="23" spans="1:19">
      <c r="B23" s="140"/>
      <c r="C23" s="140"/>
      <c r="D23" s="140"/>
      <c r="E23" s="140"/>
      <c r="F23" s="140"/>
      <c r="G23" s="140"/>
      <c r="H23" s="140"/>
      <c r="I23" s="140"/>
      <c r="J23" s="140"/>
      <c r="K23" s="140"/>
      <c r="L23" s="140"/>
      <c r="M23" s="140"/>
      <c r="O23" s="181"/>
    </row>
    <row r="24" spans="1:19">
      <c r="B24" s="188"/>
      <c r="C24" s="191"/>
      <c r="D24" s="188"/>
      <c r="E24" s="215"/>
      <c r="F24" s="188"/>
      <c r="G24" s="191"/>
      <c r="H24" s="188"/>
      <c r="I24" s="192"/>
      <c r="J24" s="193"/>
      <c r="K24" s="188"/>
      <c r="L24" s="191"/>
      <c r="M24" s="215"/>
      <c r="N24" s="140"/>
    </row>
    <row r="25" spans="1:19">
      <c r="B25" s="140"/>
      <c r="C25" s="217"/>
      <c r="D25" s="140"/>
      <c r="E25" s="191"/>
      <c r="F25" s="194"/>
      <c r="G25" s="194"/>
      <c r="H25" s="140"/>
      <c r="I25" s="191"/>
      <c r="J25" s="191"/>
      <c r="K25" s="191"/>
      <c r="L25" s="191"/>
      <c r="M25" s="191"/>
    </row>
    <row r="26" spans="1:19">
      <c r="B26" s="193"/>
      <c r="C26" s="193"/>
      <c r="D26" s="140"/>
      <c r="E26" s="140"/>
      <c r="F26" s="191"/>
      <c r="G26" s="140"/>
      <c r="H26" s="140"/>
      <c r="I26" s="140"/>
      <c r="J26" s="140"/>
      <c r="K26" s="140"/>
      <c r="L26" s="140"/>
      <c r="M26" s="140"/>
    </row>
    <row r="27" spans="1:19">
      <c r="B27" s="140"/>
      <c r="C27" s="140"/>
    </row>
    <row r="28" spans="1:19" ht="20.25" customHeight="1">
      <c r="B28" s="140"/>
      <c r="C28" s="140"/>
      <c r="D28" s="140"/>
      <c r="E28" s="140"/>
      <c r="F28" s="140"/>
      <c r="G28" s="140"/>
      <c r="H28" s="140"/>
      <c r="I28" s="140"/>
      <c r="J28" s="140"/>
      <c r="K28" s="140"/>
      <c r="L28" s="140"/>
      <c r="M28" s="140"/>
    </row>
    <row r="29" spans="1:19">
      <c r="B29" s="140"/>
      <c r="C29" s="140"/>
    </row>
    <row r="30" spans="1:19">
      <c r="B30" s="140"/>
      <c r="C30" s="140"/>
    </row>
    <row r="31" spans="1:19">
      <c r="B31" s="140"/>
      <c r="C31" s="140"/>
    </row>
    <row r="32" spans="1:19">
      <c r="B32" s="140"/>
      <c r="C32" s="140"/>
    </row>
    <row r="33" spans="2:3">
      <c r="B33" s="140"/>
      <c r="C33" s="140"/>
    </row>
    <row r="34" spans="2:3">
      <c r="C34" s="140"/>
    </row>
    <row r="35" spans="2:3">
      <c r="C35" s="140"/>
    </row>
    <row r="36" spans="2:3">
      <c r="C36" s="140"/>
    </row>
    <row r="37" spans="2:3">
      <c r="C37" s="140"/>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4" customWidth="1"/>
    <col min="2" max="13" width="13.54296875" customWidth="1"/>
    <col min="14" max="14" width="10.54296875" customWidth="1"/>
  </cols>
  <sheetData>
    <row r="1" spans="1:13" ht="45" customHeight="1">
      <c r="A1" s="111" t="s">
        <v>587</v>
      </c>
    </row>
    <row r="2" spans="1:13" s="88" customFormat="1" ht="20.25" customHeight="1">
      <c r="A2" s="82" t="s">
        <v>99</v>
      </c>
    </row>
    <row r="3" spans="1:13" s="88" customFormat="1" ht="20.25" customHeight="1">
      <c r="A3" s="81" t="s">
        <v>136</v>
      </c>
      <c r="B3" s="112"/>
      <c r="C3" s="112"/>
      <c r="D3" s="112"/>
      <c r="E3" s="112"/>
      <c r="F3" s="112"/>
      <c r="G3" s="112"/>
      <c r="H3" s="112"/>
      <c r="I3" s="112"/>
      <c r="J3" s="112"/>
      <c r="K3" s="112"/>
      <c r="L3" s="112"/>
      <c r="M3" s="112"/>
    </row>
    <row r="4" spans="1:13" s="88" customFormat="1" ht="20.25" customHeight="1">
      <c r="A4" s="82" t="s">
        <v>159</v>
      </c>
    </row>
    <row r="5" spans="1:13" s="126" customFormat="1" ht="45" customHeight="1">
      <c r="A5" s="150" t="s">
        <v>58</v>
      </c>
      <c r="B5" s="147" t="s">
        <v>84</v>
      </c>
      <c r="C5" s="148" t="s">
        <v>3</v>
      </c>
      <c r="D5" s="148" t="s">
        <v>140</v>
      </c>
      <c r="E5" s="148" t="s">
        <v>5</v>
      </c>
      <c r="F5" s="148" t="s">
        <v>54</v>
      </c>
      <c r="G5" s="148" t="s">
        <v>7</v>
      </c>
      <c r="H5" s="148" t="s">
        <v>141</v>
      </c>
      <c r="I5" s="148" t="s">
        <v>142</v>
      </c>
      <c r="J5" s="148" t="s">
        <v>48</v>
      </c>
      <c r="K5" s="148" t="s">
        <v>143</v>
      </c>
      <c r="L5" s="148" t="s">
        <v>144</v>
      </c>
      <c r="M5" s="149" t="s">
        <v>145</v>
      </c>
    </row>
    <row r="6" spans="1:13" s="87" customFormat="1" ht="15.5">
      <c r="A6" s="151">
        <v>1995</v>
      </c>
      <c r="B6" s="152">
        <f>SUM(Quarter!B7:B10)</f>
        <v>71.307000000000002</v>
      </c>
      <c r="C6" s="152">
        <f>SUM(Quarter!C7:C10)</f>
        <v>35.016000000000005</v>
      </c>
      <c r="D6" s="152">
        <f>SUM(Quarter!D7:D10)</f>
        <v>3.1308000000000002</v>
      </c>
      <c r="E6" s="152">
        <f>SUM(Quarter!E7:E10)</f>
        <v>11.434000000000001</v>
      </c>
      <c r="F6" s="152">
        <f>SUM(Quarter!F7:F10)</f>
        <v>21.253</v>
      </c>
      <c r="G6" s="152">
        <f>SUM(Quarter!G7:G10)</f>
        <v>0.3402</v>
      </c>
      <c r="H6" s="152" t="s">
        <v>137</v>
      </c>
      <c r="I6" s="152" t="s">
        <v>137</v>
      </c>
      <c r="J6" s="152" t="s">
        <v>137</v>
      </c>
      <c r="K6" s="152">
        <f>SUM(Quarter!K7:K10)</f>
        <v>21.5932</v>
      </c>
      <c r="L6" s="152">
        <f>SUM(Quarter!L7:L10)</f>
        <v>0.3402</v>
      </c>
      <c r="M6" s="153">
        <f>SUM(Quarter!M7:M10)</f>
        <v>49.580799999999996</v>
      </c>
    </row>
    <row r="7" spans="1:13" s="87" customFormat="1" ht="15.5">
      <c r="A7" s="151">
        <v>1996</v>
      </c>
      <c r="B7" s="152">
        <f>SUM(Quarter!B11:B14)</f>
        <v>73.170999999999992</v>
      </c>
      <c r="C7" s="152">
        <f>SUM(Quarter!C11:C14)</f>
        <v>32.4</v>
      </c>
      <c r="D7" s="152">
        <f>SUM(Quarter!D11:D14)</f>
        <v>3.0220000000000002</v>
      </c>
      <c r="E7" s="152">
        <f>SUM(Quarter!E11:E14)</f>
        <v>15.186999999999999</v>
      </c>
      <c r="F7" s="152">
        <f>SUM(Quarter!F11:F14)</f>
        <v>22.178999999999998</v>
      </c>
      <c r="G7" s="152">
        <f>SUM(Quarter!G11:G14)</f>
        <v>0.2487</v>
      </c>
      <c r="H7" s="152" t="s">
        <v>137</v>
      </c>
      <c r="I7" s="152" t="s">
        <v>137</v>
      </c>
      <c r="J7" s="152" t="s">
        <v>137</v>
      </c>
      <c r="K7" s="152">
        <f>SUM(Quarter!K11:K14)</f>
        <v>22.427699999999998</v>
      </c>
      <c r="L7" s="152">
        <f>SUM(Quarter!L11:L14)</f>
        <v>0.2487</v>
      </c>
      <c r="M7" s="153">
        <f>SUM(Quarter!M11:M14)</f>
        <v>50.608999999999995</v>
      </c>
    </row>
    <row r="8" spans="1:13" s="87" customFormat="1" ht="15.5">
      <c r="A8" s="151">
        <v>1997</v>
      </c>
      <c r="B8" s="152">
        <f>SUM(Quarter!B15:B18)</f>
        <v>70.0655</v>
      </c>
      <c r="C8" s="152">
        <f>SUM(Quarter!C15:C18)</f>
        <v>27.063999999999997</v>
      </c>
      <c r="D8" s="152">
        <f>SUM(Quarter!D15:D18)</f>
        <v>1.2319999999999998</v>
      </c>
      <c r="E8" s="152">
        <f>SUM(Quarter!E15:E18)</f>
        <v>19.316000000000003</v>
      </c>
      <c r="F8" s="152">
        <f>SUM(Quarter!F15:F18)</f>
        <v>21.982999999999997</v>
      </c>
      <c r="G8" s="152">
        <f>SUM(Quarter!G15:G18)</f>
        <v>0.3054</v>
      </c>
      <c r="H8" s="152" t="s">
        <v>137</v>
      </c>
      <c r="I8" s="152" t="s">
        <v>137</v>
      </c>
      <c r="J8" s="152" t="s">
        <v>137</v>
      </c>
      <c r="K8" s="152">
        <f>SUM(Quarter!K15:K18)</f>
        <v>22.453499999999998</v>
      </c>
      <c r="L8" s="152">
        <f>SUM(Quarter!L15:L18)</f>
        <v>0.47060000000000002</v>
      </c>
      <c r="M8" s="153">
        <f>SUM(Quarter!M15:M18)</f>
        <v>47.611999999999995</v>
      </c>
    </row>
    <row r="9" spans="1:13" s="87" customFormat="1" ht="15.5">
      <c r="A9" s="151">
        <v>1998</v>
      </c>
      <c r="B9" s="152">
        <f>SUM(Quarter!B19:B22)</f>
        <v>73.672699999999992</v>
      </c>
      <c r="C9" s="152">
        <f>SUM(Quarter!C19:C22)</f>
        <v>28.893999999999998</v>
      </c>
      <c r="D9" s="152">
        <f>SUM(Quarter!D19:D22)</f>
        <v>0.8458</v>
      </c>
      <c r="E9" s="152">
        <f>SUM(Quarter!E19:E22)</f>
        <v>20.319600000000001</v>
      </c>
      <c r="F9" s="152">
        <f>SUM(Quarter!F19:F22)</f>
        <v>23.118499999999997</v>
      </c>
      <c r="G9" s="152">
        <f>SUM(Quarter!G19:G22)</f>
        <v>0.36430000000000001</v>
      </c>
      <c r="H9" s="152" t="s">
        <v>137</v>
      </c>
      <c r="I9" s="152" t="s">
        <v>137</v>
      </c>
      <c r="J9" s="152" t="s">
        <v>137</v>
      </c>
      <c r="K9" s="152">
        <f>SUM(Quarter!K19:K22)</f>
        <v>23.613300000000002</v>
      </c>
      <c r="L9" s="152">
        <f>SUM(Quarter!L19:L22)</f>
        <v>0.49480000000000002</v>
      </c>
      <c r="M9" s="153">
        <f>SUM(Quarter!M19:M22)</f>
        <v>50.059299999999993</v>
      </c>
    </row>
    <row r="10" spans="1:13" s="87" customFormat="1" ht="15.5">
      <c r="A10" s="154">
        <v>1999</v>
      </c>
      <c r="B10" s="152">
        <f>SUM(Quarter!B23:B26)</f>
        <v>72.349700000000013</v>
      </c>
      <c r="C10" s="152">
        <f>SUM(Quarter!C23:C26)</f>
        <v>24.506</v>
      </c>
      <c r="D10" s="152">
        <f>SUM(Quarter!D23:D26)</f>
        <v>0.81680000000000008</v>
      </c>
      <c r="E10" s="152">
        <f>SUM(Quarter!E23:E26)</f>
        <v>24.246499999999997</v>
      </c>
      <c r="F10" s="152">
        <f>SUM(Quarter!F23:F26)</f>
        <v>22.216099999999997</v>
      </c>
      <c r="G10" s="152">
        <f>SUM(Quarter!G23:G26)</f>
        <v>0.38090000000000002</v>
      </c>
      <c r="H10" s="152" t="s">
        <v>137</v>
      </c>
      <c r="I10" s="152" t="s">
        <v>137</v>
      </c>
      <c r="J10" s="152" t="s">
        <v>137</v>
      </c>
      <c r="K10" s="152">
        <f>SUM(Quarter!K23:K26)</f>
        <v>22.780200000000001</v>
      </c>
      <c r="L10" s="152">
        <f>SUM(Quarter!L23:L26)</f>
        <v>0.56390000000000007</v>
      </c>
      <c r="M10" s="153">
        <f>SUM(Quarter!M23:M26)</f>
        <v>49.569399999999995</v>
      </c>
    </row>
    <row r="11" spans="1:13" s="87" customFormat="1" ht="15.5">
      <c r="A11" s="151">
        <v>2000</v>
      </c>
      <c r="B11" s="152">
        <f>SUM(Quarter!B27:B30)</f>
        <v>73.183799999999991</v>
      </c>
      <c r="C11" s="152">
        <f>SUM(Quarter!C27:C30)</f>
        <v>27.7653</v>
      </c>
      <c r="D11" s="152">
        <f>SUM(Quarter!D27:D30)</f>
        <v>0.7722</v>
      </c>
      <c r="E11" s="152">
        <f>SUM(Quarter!E27:E30)</f>
        <v>24.4009</v>
      </c>
      <c r="F11" s="152">
        <f>SUM(Quarter!F27:F30)</f>
        <v>19.635100000000001</v>
      </c>
      <c r="G11" s="152">
        <f>SUM(Quarter!G27:G30)</f>
        <v>0.3725</v>
      </c>
      <c r="H11" s="152" t="s">
        <v>137</v>
      </c>
      <c r="I11" s="152" t="s">
        <v>137</v>
      </c>
      <c r="J11" s="152" t="s">
        <v>137</v>
      </c>
      <c r="K11" s="152">
        <f>SUM(Quarter!K27:K30)</f>
        <v>20.245100000000001</v>
      </c>
      <c r="L11" s="152">
        <f>SUM(Quarter!L27:L30)</f>
        <v>0.60969999999999991</v>
      </c>
      <c r="M11" s="153">
        <f>SUM(Quarter!M27:M30)</f>
        <v>52.938600000000001</v>
      </c>
    </row>
    <row r="12" spans="1:13" s="87" customFormat="1" ht="15.5">
      <c r="A12" s="155">
        <v>2001</v>
      </c>
      <c r="B12" s="152">
        <f>SUM(Quarter!B31:B34)</f>
        <v>76.487799999999993</v>
      </c>
      <c r="C12" s="152">
        <f>SUM(Quarter!C31:C34)</f>
        <v>30.5745</v>
      </c>
      <c r="D12" s="152">
        <f>SUM(Quarter!D31:D34)</f>
        <v>0.81740000000000013</v>
      </c>
      <c r="E12" s="152">
        <f>SUM(Quarter!E31:E34)</f>
        <v>23.797400000000003</v>
      </c>
      <c r="F12" s="152">
        <f>SUM(Quarter!F31:F34)</f>
        <v>20.7685</v>
      </c>
      <c r="G12" s="152">
        <f>SUM(Quarter!G31:G34)</f>
        <v>0.27629999999999999</v>
      </c>
      <c r="H12" s="152" t="s">
        <v>137</v>
      </c>
      <c r="I12" s="152" t="s">
        <v>137</v>
      </c>
      <c r="J12" s="152" t="s">
        <v>137</v>
      </c>
      <c r="K12" s="152">
        <f>SUM(Quarter!K31:K34)</f>
        <v>21.298099999999998</v>
      </c>
      <c r="L12" s="152">
        <f>SUM(Quarter!L31:L34)</f>
        <v>0.52980000000000005</v>
      </c>
      <c r="M12" s="153">
        <f>SUM(Quarter!M31:M34)</f>
        <v>55.189399999999999</v>
      </c>
    </row>
    <row r="13" spans="1:13" s="87" customFormat="1" ht="15.5">
      <c r="A13" s="156">
        <v>2002</v>
      </c>
      <c r="B13" s="152">
        <f>SUM(Quarter!B35:B38)</f>
        <v>75.067999999999998</v>
      </c>
      <c r="C13" s="152">
        <f>SUM(Quarter!C35:C38)</f>
        <v>28.6233</v>
      </c>
      <c r="D13" s="152">
        <f>SUM(Quarter!D35:D38)</f>
        <v>0.68879999999999997</v>
      </c>
      <c r="E13" s="152">
        <f>SUM(Quarter!E35:E38)</f>
        <v>25.0442</v>
      </c>
      <c r="F13" s="152">
        <f>SUM(Quarter!F35:F38)</f>
        <v>20.100200000000001</v>
      </c>
      <c r="G13" s="152">
        <f>SUM(Quarter!G35:G38)</f>
        <v>0.3377</v>
      </c>
      <c r="H13" s="152" t="s">
        <v>137</v>
      </c>
      <c r="I13" s="152" t="s">
        <v>137</v>
      </c>
      <c r="J13" s="152" t="s">
        <v>137</v>
      </c>
      <c r="K13" s="152">
        <f>SUM(Quarter!K35:K38)</f>
        <v>20.7118</v>
      </c>
      <c r="L13" s="152">
        <f>SUM(Quarter!L35:L38)</f>
        <v>0.61149999999999993</v>
      </c>
      <c r="M13" s="153">
        <f>SUM(Quarter!M35:M38)</f>
        <v>54.356400000000001</v>
      </c>
    </row>
    <row r="14" spans="1:13" s="87" customFormat="1" ht="15.5">
      <c r="A14" s="156">
        <v>2003</v>
      </c>
      <c r="B14" s="152">
        <f>SUM(Quarter!B39:B42)</f>
        <v>77.343999999999994</v>
      </c>
      <c r="C14" s="152">
        <f>SUM(Quarter!C39:C42)</f>
        <v>31.570100000000004</v>
      </c>
      <c r="D14" s="152">
        <f>SUM(Quarter!D39:D42)</f>
        <v>0.65389999999999993</v>
      </c>
      <c r="E14" s="152">
        <f>SUM(Quarter!E39:E42)</f>
        <v>24.476399999999998</v>
      </c>
      <c r="F14" s="152">
        <f>SUM(Quarter!F39:F42)</f>
        <v>20.0411</v>
      </c>
      <c r="G14" s="152">
        <f>SUM(Quarter!G39:G42)</f>
        <v>0.2208</v>
      </c>
      <c r="H14" s="152" t="s">
        <v>137</v>
      </c>
      <c r="I14" s="152" t="s">
        <v>137</v>
      </c>
      <c r="J14" s="152" t="s">
        <v>137</v>
      </c>
      <c r="K14" s="152">
        <f>SUM(Quarter!K39:K42)</f>
        <v>20.6432</v>
      </c>
      <c r="L14" s="152">
        <f>SUM(Quarter!L39:L42)</f>
        <v>0.60199999999999998</v>
      </c>
      <c r="M14" s="153">
        <f>SUM(Quarter!M39:M42)</f>
        <v>56.700699999999998</v>
      </c>
    </row>
    <row r="15" spans="1:13" s="87" customFormat="1" ht="15.5">
      <c r="A15" s="156">
        <v>2004</v>
      </c>
      <c r="B15" s="152">
        <f>SUM(Quarter!B43:B46)</f>
        <v>76.17519999999999</v>
      </c>
      <c r="C15" s="152">
        <f>SUM(Quarter!C43:C46)</f>
        <v>30.374600000000001</v>
      </c>
      <c r="D15" s="152">
        <f>SUM(Quarter!D43:D46)</f>
        <v>0.5766</v>
      </c>
      <c r="E15" s="152">
        <f>SUM(Quarter!E43:E46)</f>
        <v>26.182099999999998</v>
      </c>
      <c r="F15" s="152">
        <f>SUM(Quarter!F43:F46)</f>
        <v>18.164099999999998</v>
      </c>
      <c r="G15" s="152">
        <f>SUM(Quarter!G43:G46)</f>
        <v>0.33760000000000001</v>
      </c>
      <c r="H15" s="152" t="s">
        <v>137</v>
      </c>
      <c r="I15" s="152" t="s">
        <v>137</v>
      </c>
      <c r="J15" s="152" t="s">
        <v>137</v>
      </c>
      <c r="K15" s="152">
        <f>SUM(Quarter!K43:K46)</f>
        <v>19.041800000000002</v>
      </c>
      <c r="L15" s="152">
        <f>SUM(Quarter!L43:L46)</f>
        <v>0.87779999999999991</v>
      </c>
      <c r="M15" s="153">
        <f>SUM(Quarter!M43:M46)</f>
        <v>57.133600000000001</v>
      </c>
    </row>
    <row r="16" spans="1:13" s="87" customFormat="1" ht="15.5">
      <c r="A16" s="156">
        <v>2005</v>
      </c>
      <c r="B16" s="152">
        <f>SUM(Quarter!B47:B50)</f>
        <v>77.476300000000009</v>
      </c>
      <c r="C16" s="152">
        <f>SUM(Quarter!C47:C50)</f>
        <v>31.653999999999996</v>
      </c>
      <c r="D16" s="152">
        <f>SUM(Quarter!D47:D50)</f>
        <v>0.88300000000000001</v>
      </c>
      <c r="E16" s="152">
        <f>SUM(Quarter!E47:E50)</f>
        <v>25.420700000000004</v>
      </c>
      <c r="F16" s="152">
        <f>SUM(Quarter!F47:F50)</f>
        <v>18.371700000000001</v>
      </c>
      <c r="G16" s="152">
        <f>SUM(Quarter!G47:G50)</f>
        <v>0.32920000000000005</v>
      </c>
      <c r="H16" s="152" t="s">
        <v>137</v>
      </c>
      <c r="I16" s="152" t="s">
        <v>137</v>
      </c>
      <c r="J16" s="152" t="s">
        <v>137</v>
      </c>
      <c r="K16" s="152">
        <f>SUM(Quarter!K47:K50)</f>
        <v>19.518799999999999</v>
      </c>
      <c r="L16" s="152">
        <f>SUM(Quarter!L47:L50)</f>
        <v>1.1473</v>
      </c>
      <c r="M16" s="153">
        <f>SUM(Quarter!M47:M50)</f>
        <v>57.957400000000007</v>
      </c>
    </row>
    <row r="17" spans="1:19" s="87" customFormat="1" ht="15.5">
      <c r="A17" s="156">
        <v>2006</v>
      </c>
      <c r="B17" s="152">
        <f>SUM(Quarter!B51:B54)</f>
        <v>78.052400000000006</v>
      </c>
      <c r="C17" s="152">
        <f>SUM(Quarter!C51:C54)</f>
        <v>34.998100000000001</v>
      </c>
      <c r="D17" s="152">
        <f>SUM(Quarter!D51:D54)</f>
        <v>0.95809999999999995</v>
      </c>
      <c r="E17" s="152">
        <f>SUM(Quarter!E51:E54)</f>
        <v>23.916400000000003</v>
      </c>
      <c r="F17" s="152">
        <f>SUM(Quarter!F51:F54)</f>
        <v>17.131</v>
      </c>
      <c r="G17" s="152">
        <f>SUM(Quarter!G51:G54)</f>
        <v>0.3175</v>
      </c>
      <c r="H17" s="152" t="s">
        <v>137</v>
      </c>
      <c r="I17" s="152" t="s">
        <v>137</v>
      </c>
      <c r="J17" s="152" t="s">
        <v>137</v>
      </c>
      <c r="K17" s="152">
        <f>SUM(Quarter!K51:K54)</f>
        <v>18.1797</v>
      </c>
      <c r="L17" s="152">
        <f>SUM(Quarter!L51:L54)</f>
        <v>1.0485</v>
      </c>
      <c r="M17" s="153">
        <f>SUM(Quarter!M51:M54)</f>
        <v>59.872700000000002</v>
      </c>
    </row>
    <row r="18" spans="1:19" s="87" customFormat="1" ht="15.5">
      <c r="A18" s="156">
        <v>2007</v>
      </c>
      <c r="B18" s="152">
        <f>SUM(Quarter!B55:B58)</f>
        <v>75.515799999999984</v>
      </c>
      <c r="C18" s="152">
        <f>SUM(Quarter!C55:C58)</f>
        <v>31.9909</v>
      </c>
      <c r="D18" s="152">
        <f>SUM(Quarter!D55:D58)</f>
        <v>0.69899999999999995</v>
      </c>
      <c r="E18" s="152">
        <f>SUM(Quarter!E55:E58)</f>
        <v>27.500999999999998</v>
      </c>
      <c r="F18" s="152">
        <f>SUM(Quarter!F55:F58)</f>
        <v>14.036600000000002</v>
      </c>
      <c r="G18" s="152">
        <f>SUM(Quarter!G55:G58)</f>
        <v>0.35639999999999994</v>
      </c>
      <c r="H18" s="152">
        <f>SUM(Quarter!H55:H58)</f>
        <v>0.30690000000000001</v>
      </c>
      <c r="I18" s="152">
        <f>SUM(Quarter!I55:I58)</f>
        <v>0.62519999999999998</v>
      </c>
      <c r="J18" s="152" t="s">
        <v>137</v>
      </c>
      <c r="K18" s="152">
        <f>SUM(Quarter!K55:K58)</f>
        <v>15.325200000000001</v>
      </c>
      <c r="L18" s="152">
        <f>SUM(Quarter!L55:L58)</f>
        <v>1.2884</v>
      </c>
      <c r="M18" s="153">
        <f>SUM(Quarter!M55:M58)</f>
        <v>60.190899999999999</v>
      </c>
    </row>
    <row r="19" spans="1:19" s="87" customFormat="1" ht="15.5">
      <c r="A19" s="156">
        <v>2008</v>
      </c>
      <c r="B19" s="152">
        <f>SUM(Quarter!B59:B62)</f>
        <v>73.251900000000006</v>
      </c>
      <c r="C19" s="152">
        <f>SUM(Quarter!C59:C62)</f>
        <v>28.990099999999998</v>
      </c>
      <c r="D19" s="152">
        <f>SUM(Quarter!D59:D62)</f>
        <v>1.1049</v>
      </c>
      <c r="E19" s="152">
        <f>SUM(Quarter!E59:E62)</f>
        <v>29.617699999999999</v>
      </c>
      <c r="F19" s="152">
        <f>SUM(Quarter!F59:F62)</f>
        <v>11.9094</v>
      </c>
      <c r="G19" s="152">
        <f>SUM(Quarter!G59:G62)</f>
        <v>0.36309999999999998</v>
      </c>
      <c r="H19" s="152">
        <f>SUM(Quarter!H59:H62)</f>
        <v>0.46330000000000005</v>
      </c>
      <c r="I19" s="152">
        <f>SUM(Quarter!I59:I62)</f>
        <v>0.8034</v>
      </c>
      <c r="J19" s="152" t="s">
        <v>137</v>
      </c>
      <c r="K19" s="152">
        <f>SUM(Quarter!K59:K62)</f>
        <v>13.539300000000001</v>
      </c>
      <c r="L19" s="152">
        <f>SUM(Quarter!L59:L62)</f>
        <v>1.6299000000000001</v>
      </c>
      <c r="M19" s="153">
        <f>SUM(Quarter!M59:M62)</f>
        <v>59.712500000000006</v>
      </c>
    </row>
    <row r="20" spans="1:19" s="87" customFormat="1" ht="15.5">
      <c r="A20" s="156">
        <v>2009</v>
      </c>
      <c r="B20" s="152">
        <f>SUM(Quarter!B63:B66)</f>
        <v>69.977000000000004</v>
      </c>
      <c r="C20" s="152">
        <f>SUM(Quarter!C63:C66)</f>
        <v>23.791000000000004</v>
      </c>
      <c r="D20" s="152">
        <f>SUM(Quarter!D63:D66)</f>
        <v>1.0253000000000001</v>
      </c>
      <c r="E20" s="152">
        <f>SUM(Quarter!E63:E66)</f>
        <v>28.224299999999999</v>
      </c>
      <c r="F20" s="152">
        <f>SUM(Quarter!F63:F66)</f>
        <v>15.229900000000001</v>
      </c>
      <c r="G20" s="152">
        <f>SUM(Quarter!G63:G66)</f>
        <v>0.36939999999999995</v>
      </c>
      <c r="H20" s="152">
        <f>SUM(Quarter!H63:H66)</f>
        <v>0.59369999999999989</v>
      </c>
      <c r="I20" s="152">
        <f>SUM(Quarter!I63:I66)</f>
        <v>0.74340000000000006</v>
      </c>
      <c r="J20" s="152" t="s">
        <v>137</v>
      </c>
      <c r="K20" s="152">
        <f>SUM(Quarter!K63:K66)</f>
        <v>16.936299999999999</v>
      </c>
      <c r="L20" s="152">
        <f>SUM(Quarter!L63:L66)</f>
        <v>1.7063999999999999</v>
      </c>
      <c r="M20" s="153">
        <f>SUM(Quarter!M63:M66)</f>
        <v>53.040900000000001</v>
      </c>
    </row>
    <row r="21" spans="1:19" s="87" customFormat="1" ht="15.5">
      <c r="A21" s="156">
        <v>2010</v>
      </c>
      <c r="B21" s="152">
        <f>SUM(Quarter!B67:B70)</f>
        <v>70.994500000000002</v>
      </c>
      <c r="C21" s="152">
        <f>SUM(Quarter!C67:C70)</f>
        <v>24.780299999999997</v>
      </c>
      <c r="D21" s="152">
        <f>SUM(Quarter!D67:D70)</f>
        <v>0.63419999999999999</v>
      </c>
      <c r="E21" s="152">
        <f>SUM(Quarter!E67:E70)</f>
        <v>29.723500000000001</v>
      </c>
      <c r="F21" s="152">
        <f>SUM(Quarter!F67:F70)</f>
        <v>13.9259</v>
      </c>
      <c r="G21" s="152">
        <f>SUM(Quarter!G67:G70)</f>
        <v>0.23219999999999999</v>
      </c>
      <c r="H21" s="152">
        <f>SUM(Quarter!H67:H70)</f>
        <v>0.68530000000000002</v>
      </c>
      <c r="I21" s="152">
        <f>SUM(Quarter!I67:I70)</f>
        <v>1.0126999999999999</v>
      </c>
      <c r="J21" s="152" t="s">
        <v>137</v>
      </c>
      <c r="K21" s="152">
        <f>SUM(Quarter!K67:K70)</f>
        <v>15.856399999999999</v>
      </c>
      <c r="L21" s="152">
        <f>SUM(Quarter!L67:L70)</f>
        <v>1.9305000000000001</v>
      </c>
      <c r="M21" s="153">
        <f>SUM(Quarter!M67:M70)</f>
        <v>55.138199999999998</v>
      </c>
    </row>
    <row r="22" spans="1:19" s="87" customFormat="1" ht="15.5">
      <c r="A22" s="156">
        <v>2011</v>
      </c>
      <c r="B22" s="152">
        <f>SUM(Quarter!B71:B74)</f>
        <v>67.835000000000008</v>
      </c>
      <c r="C22" s="152">
        <f>SUM(Quarter!C71:C74)</f>
        <v>25.2315</v>
      </c>
      <c r="D22" s="152">
        <f>SUM(Quarter!D71:D74)</f>
        <v>0.34599999999999997</v>
      </c>
      <c r="E22" s="152">
        <f>SUM(Quarter!E71:E74)</f>
        <v>23.863199999999999</v>
      </c>
      <c r="F22" s="152">
        <f>SUM(Quarter!F71:F74)</f>
        <v>15.626100000000001</v>
      </c>
      <c r="G22" s="152">
        <f>SUM(Quarter!G71:G74)</f>
        <v>0.39500000000000002</v>
      </c>
      <c r="H22" s="152">
        <f>SUM(Quarter!H71:H74)</f>
        <v>1.1107999999999998</v>
      </c>
      <c r="I22" s="152">
        <f>SUM(Quarter!I71:I74)</f>
        <v>1.2627000000000002</v>
      </c>
      <c r="J22" s="152" t="s">
        <v>137</v>
      </c>
      <c r="K22" s="152">
        <f>SUM(Quarter!K71:K74)</f>
        <v>18.394500000000001</v>
      </c>
      <c r="L22" s="152">
        <f>SUM(Quarter!L71:L74)</f>
        <v>2.7683</v>
      </c>
      <c r="M22" s="153">
        <f>SUM(Quarter!M71:M74)</f>
        <v>49.440399999999997</v>
      </c>
    </row>
    <row r="23" spans="1:19" s="87" customFormat="1" ht="15.5">
      <c r="A23" s="156">
        <v>2012</v>
      </c>
      <c r="B23" s="152">
        <f>SUM(Quarter!B75:B78)</f>
        <v>68.726799999999997</v>
      </c>
      <c r="C23" s="152">
        <f>SUM(Quarter!C75:C78)</f>
        <v>33.665500000000002</v>
      </c>
      <c r="D23" s="152">
        <f>SUM(Quarter!D75:D78)</f>
        <v>0.4073</v>
      </c>
      <c r="E23" s="152">
        <f>SUM(Quarter!E75:E78)</f>
        <v>15.8474</v>
      </c>
      <c r="F23" s="152">
        <f>SUM(Quarter!F75:F78)</f>
        <v>15.2059</v>
      </c>
      <c r="G23" s="152">
        <f>SUM(Quarter!G75:G78)</f>
        <v>0.35970000000000002</v>
      </c>
      <c r="H23" s="152">
        <f>SUM(Quarter!H75:H78)</f>
        <v>1.4754</v>
      </c>
      <c r="I23" s="152">
        <f>SUM(Quarter!I75:I78)</f>
        <v>1.7656999999999998</v>
      </c>
      <c r="J23" s="152" t="s">
        <v>137</v>
      </c>
      <c r="K23" s="152">
        <f>SUM(Quarter!K75:K78)</f>
        <v>18.806399999999996</v>
      </c>
      <c r="L23" s="152">
        <f>SUM(Quarter!L75:L78)</f>
        <v>3.6004999999999998</v>
      </c>
      <c r="M23" s="153">
        <f>SUM(Quarter!M75:M78)</f>
        <v>49.920200000000001</v>
      </c>
      <c r="N23" s="157"/>
      <c r="O23" s="158"/>
      <c r="P23" s="158"/>
    </row>
    <row r="24" spans="1:19" s="87" customFormat="1" ht="15.5">
      <c r="A24" s="156">
        <v>2013</v>
      </c>
      <c r="B24" s="152">
        <f>SUM(Quarter!B79:B82)</f>
        <v>66.852499999999992</v>
      </c>
      <c r="C24" s="152">
        <f>SUM(Quarter!C79:C82)</f>
        <v>31.328099999999999</v>
      </c>
      <c r="D24" s="152">
        <f>SUM(Quarter!D79:D82)</f>
        <v>0.23859999999999998</v>
      </c>
      <c r="E24" s="152">
        <f>SUM(Quarter!E79:E82)</f>
        <v>15.0655</v>
      </c>
      <c r="F24" s="152">
        <f>SUM(Quarter!F79:F82)</f>
        <v>15.443</v>
      </c>
      <c r="G24" s="152">
        <f>SUM(Quarter!G79:G82)</f>
        <v>0.31030000000000002</v>
      </c>
      <c r="H24" s="152">
        <f>SUM(Quarter!H79:H82)</f>
        <v>2.0663</v>
      </c>
      <c r="I24" s="152">
        <f>SUM(Quarter!I79:I82)</f>
        <v>2.4007999999999994</v>
      </c>
      <c r="J24" s="152" t="s">
        <v>137</v>
      </c>
      <c r="K24" s="152">
        <f>SUM(Quarter!K79:K82)</f>
        <v>20.220300000000002</v>
      </c>
      <c r="L24" s="152">
        <f>SUM(Quarter!L79:L82)</f>
        <v>4.7775999999999996</v>
      </c>
      <c r="M24" s="153">
        <f>SUM(Quarter!M79:M82)</f>
        <v>46.632300000000001</v>
      </c>
    </row>
    <row r="25" spans="1:19" s="87" customFormat="1" ht="15.5">
      <c r="A25" s="156">
        <v>2014</v>
      </c>
      <c r="B25" s="152">
        <f>SUM(Quarter!B83:B86)</f>
        <v>60.1721</v>
      </c>
      <c r="C25" s="152">
        <f>SUM(Quarter!C83:C86)</f>
        <v>23.955300000000001</v>
      </c>
      <c r="D25" s="152">
        <f>SUM(Quarter!D83:D86)</f>
        <v>0.18159999999999998</v>
      </c>
      <c r="E25" s="152">
        <f>SUM(Quarter!E83:E86)</f>
        <v>16.329900000000002</v>
      </c>
      <c r="F25" s="152">
        <f>SUM(Quarter!F83:F86)</f>
        <v>13.850300000000001</v>
      </c>
      <c r="G25" s="152">
        <f>SUM(Quarter!G83:G86)</f>
        <v>0.39729999999999999</v>
      </c>
      <c r="H25" s="152">
        <f>SUM(Quarter!H83:H86)</f>
        <v>2.3011999999999997</v>
      </c>
      <c r="I25" s="152">
        <f>SUM(Quarter!I83:I86)</f>
        <v>3.1563999999999997</v>
      </c>
      <c r="J25" s="152" t="s">
        <v>137</v>
      </c>
      <c r="K25" s="152">
        <f>SUM(Quarter!K83:K86)</f>
        <v>19.705300000000001</v>
      </c>
      <c r="L25" s="152">
        <f>SUM(Quarter!L83:L86)</f>
        <v>5.8549000000000007</v>
      </c>
      <c r="M25" s="153">
        <f>SUM(Quarter!M83:M86)</f>
        <v>40.466899999999995</v>
      </c>
    </row>
    <row r="26" spans="1:19" s="87" customFormat="1" ht="15.5">
      <c r="A26" s="156">
        <v>2015</v>
      </c>
      <c r="B26" s="152">
        <f>SUM(Quarter!B87:B90)</f>
        <v>57.485200000000006</v>
      </c>
      <c r="C26" s="152">
        <f>SUM(Quarter!C87:C90)</f>
        <v>18.328400000000002</v>
      </c>
      <c r="D26" s="152">
        <f>SUM(Quarter!D87:D90)</f>
        <v>0.22559999999999999</v>
      </c>
      <c r="E26" s="152">
        <f>SUM(Quarter!E87:E90)</f>
        <v>15.9893</v>
      </c>
      <c r="F26" s="152">
        <f>SUM(Quarter!F87:F90)</f>
        <v>15.479400000000002</v>
      </c>
      <c r="G26" s="152">
        <f>SUM(Quarter!G87:G90)</f>
        <v>0.42209999999999998</v>
      </c>
      <c r="H26" s="152">
        <f>SUM(Quarter!H87:H90)</f>
        <v>2.8595999999999999</v>
      </c>
      <c r="I26" s="152">
        <f>SUM(Quarter!I87:I90)</f>
        <v>4.0602</v>
      </c>
      <c r="J26" s="152">
        <f>SUM(Quarter!J87:J90)</f>
        <v>0.1207</v>
      </c>
      <c r="K26" s="152">
        <f>SUM(Quarter!K87:K90)</f>
        <v>22.941800000000001</v>
      </c>
      <c r="L26" s="152">
        <f>SUM(Quarter!L87:L90)</f>
        <v>7.4626000000000001</v>
      </c>
      <c r="M26" s="153">
        <f>SUM(Quarter!M87:M90)</f>
        <v>34.543300000000002</v>
      </c>
    </row>
    <row r="27" spans="1:19" s="87" customFormat="1" ht="15.5">
      <c r="A27" s="156">
        <v>2016</v>
      </c>
      <c r="B27" s="152">
        <f>SUM(Quarter!B91:B94)</f>
        <v>53.896599999999999</v>
      </c>
      <c r="C27" s="152">
        <f>SUM(Quarter!C91:C94)</f>
        <v>7.5245000000000006</v>
      </c>
      <c r="D27" s="152">
        <f>SUM(Quarter!D91:D94)</f>
        <v>0.21879999999999999</v>
      </c>
      <c r="E27" s="152">
        <f>SUM(Quarter!E91:E94)</f>
        <v>23.350099999999998</v>
      </c>
      <c r="F27" s="152">
        <f>SUM(Quarter!F91:F94)</f>
        <v>15.4138</v>
      </c>
      <c r="G27" s="152">
        <f>SUM(Quarter!G91:G94)</f>
        <v>0.33979999999999999</v>
      </c>
      <c r="H27" s="152">
        <f>SUM(Quarter!H91:H94)</f>
        <v>2.6408</v>
      </c>
      <c r="I27" s="152">
        <f>SUM(Quarter!I91:I94)</f>
        <v>4.2339000000000002</v>
      </c>
      <c r="J27" s="152">
        <f>SUM(Quarter!J91:J94)</f>
        <v>0.17499999999999999</v>
      </c>
      <c r="K27" s="152">
        <f>SUM(Quarter!K91:K94)</f>
        <v>22.803100000000001</v>
      </c>
      <c r="L27" s="152">
        <f>SUM(Quarter!L91:L94)</f>
        <v>7.3894000000000002</v>
      </c>
      <c r="M27" s="153">
        <f>SUM(Quarter!M91:M94)</f>
        <v>31.093299999999999</v>
      </c>
    </row>
    <row r="28" spans="1:19" s="87" customFormat="1" ht="15.5">
      <c r="A28" s="156">
        <v>2017</v>
      </c>
      <c r="B28" s="152">
        <f>SUM(Quarter!B95:B98)</f>
        <v>51.550799999999995</v>
      </c>
      <c r="C28" s="152">
        <f>SUM(Quarter!C95:C98)</f>
        <v>5.5453999999999999</v>
      </c>
      <c r="D28" s="152">
        <f>SUM(Quarter!D95:D98)</f>
        <v>0.15590000000000001</v>
      </c>
      <c r="E28" s="152">
        <f>SUM(Quarter!E95:E98)</f>
        <v>22.1495</v>
      </c>
      <c r="F28" s="152">
        <f>SUM(Quarter!F95:F98)</f>
        <v>15.123799999999999</v>
      </c>
      <c r="G28" s="152">
        <f>SUM(Quarter!G95:G98)</f>
        <v>0.3594</v>
      </c>
      <c r="H28" s="152">
        <f>SUM(Quarter!H95:H98)</f>
        <v>3.5213999999999999</v>
      </c>
      <c r="I28" s="152">
        <f>SUM(Quarter!I95:I98)</f>
        <v>4.4393999999999991</v>
      </c>
      <c r="J28" s="152">
        <f>SUM(Quarter!J95:J98)</f>
        <v>0.25609999999999999</v>
      </c>
      <c r="K28" s="152">
        <f>SUM(Quarter!K95:K98)</f>
        <v>23.700099999999999</v>
      </c>
      <c r="L28" s="152">
        <f>SUM(Quarter!L95:L98)</f>
        <v>8.5762</v>
      </c>
      <c r="M28" s="153">
        <f>SUM(Quarter!M95:M98)</f>
        <v>27.850999999999999</v>
      </c>
      <c r="N28" s="157"/>
      <c r="Q28" s="158"/>
      <c r="R28" s="158"/>
      <c r="S28" s="158"/>
    </row>
    <row r="29" spans="1:19" s="87" customFormat="1" ht="15.5">
      <c r="A29" s="156">
        <v>2018</v>
      </c>
      <c r="B29" s="152">
        <f>SUM(Quarter!B99:B102)</f>
        <v>49.305300000000003</v>
      </c>
      <c r="C29" s="152">
        <f>SUM(Quarter!C99:C102)</f>
        <v>4.2309999999999999</v>
      </c>
      <c r="D29" s="152">
        <f>SUM(Quarter!D99:D102)</f>
        <v>0.1946</v>
      </c>
      <c r="E29" s="152">
        <f>SUM(Quarter!E99:E102)</f>
        <v>21.176099999999998</v>
      </c>
      <c r="F29" s="152">
        <f>SUM(Quarter!F99:F102)</f>
        <v>14.060699999999999</v>
      </c>
      <c r="G29" s="152">
        <f>SUM(Quarter!G99:G102)</f>
        <v>0.32689999999999997</v>
      </c>
      <c r="H29" s="152">
        <f>SUM(Quarter!H99:H102)</f>
        <v>4.1205999999999996</v>
      </c>
      <c r="I29" s="152">
        <f>SUM(Quarter!I99:I102)</f>
        <v>4.8917999999999999</v>
      </c>
      <c r="J29" s="152">
        <f>SUM(Quarter!J99:J102)</f>
        <v>0.30330000000000001</v>
      </c>
      <c r="K29" s="152">
        <f>SUM(Quarter!K99:K102)</f>
        <v>23.703600000000002</v>
      </c>
      <c r="L29" s="152">
        <f>SUM(Quarter!L99:L102)</f>
        <v>9.6429000000000009</v>
      </c>
      <c r="M29" s="153">
        <f>SUM(Quarter!M99:M102)</f>
        <v>25.601499999999998</v>
      </c>
      <c r="N29" s="159"/>
    </row>
    <row r="30" spans="1:19" s="87" customFormat="1" ht="15.5">
      <c r="A30" s="156">
        <v>2019</v>
      </c>
      <c r="B30" s="152">
        <f>SUM(Quarter!B103:B106)</f>
        <v>45.778899999999993</v>
      </c>
      <c r="C30" s="152">
        <f>SUM(Quarter!C103:C106)</f>
        <v>1.8419000000000001</v>
      </c>
      <c r="D30" s="152">
        <f>SUM(Quarter!D103:D106)</f>
        <v>0.15360000000000001</v>
      </c>
      <c r="E30" s="152">
        <f>SUM(Quarter!E103:E106)</f>
        <v>21.075700000000001</v>
      </c>
      <c r="F30" s="152">
        <f>SUM(Quarter!F103:F106)</f>
        <v>12.0871</v>
      </c>
      <c r="G30" s="152">
        <f>SUM(Quarter!G103:G106)</f>
        <v>0.36030000000000001</v>
      </c>
      <c r="H30" s="152">
        <f>SUM(Quarter!H103:H106)</f>
        <v>4.7353000000000005</v>
      </c>
      <c r="I30" s="152">
        <f>SUM(Quarter!I103:I106)</f>
        <v>5.1928000000000001</v>
      </c>
      <c r="J30" s="152">
        <f>SUM(Quarter!J103:J106)</f>
        <v>0.33190000000000003</v>
      </c>
      <c r="K30" s="152">
        <f>SUM(Quarter!K103:K106)</f>
        <v>22.7073</v>
      </c>
      <c r="L30" s="152">
        <f>SUM(Quarter!L103:L106)</f>
        <v>10.6203</v>
      </c>
      <c r="M30" s="153">
        <f>SUM(Quarter!M103:M106)</f>
        <v>23.071300000000001</v>
      </c>
    </row>
    <row r="31" spans="1:19" s="87" customFormat="1" ht="15.5">
      <c r="A31" s="156">
        <v>2020</v>
      </c>
      <c r="B31" s="152">
        <f>SUM(Quarter!B107:B110)</f>
        <v>41.960700000000003</v>
      </c>
      <c r="C31" s="152">
        <f>SUM(Quarter!C107:C110)</f>
        <v>1.4611000000000001</v>
      </c>
      <c r="D31" s="152">
        <f>SUM(Quarter!D107:D110)</f>
        <v>0.12540000000000001</v>
      </c>
      <c r="E31" s="152">
        <f>SUM(Quarter!E107:E110)</f>
        <v>17.772099999999998</v>
      </c>
      <c r="F31" s="152">
        <f>SUM(Quarter!F107:F110)</f>
        <v>10.711600000000001</v>
      </c>
      <c r="G31" s="152">
        <f>SUM(Quarter!G107:G110)</f>
        <v>0.43059999999999998</v>
      </c>
      <c r="H31" s="152">
        <f>SUM(Quarter!H107:H110)</f>
        <v>5.7004000000000001</v>
      </c>
      <c r="I31" s="152">
        <f>SUM(Quarter!I107:I110)</f>
        <v>5.3858999999999995</v>
      </c>
      <c r="J31" s="152">
        <f>SUM(Quarter!J107:J110)</f>
        <v>0.37350000000000005</v>
      </c>
      <c r="K31" s="152">
        <f>SUM(Quarter!K107:K110)</f>
        <v>22.601900000000001</v>
      </c>
      <c r="L31" s="152">
        <f>SUM(Quarter!L107:L110)</f>
        <v>11.890099999999999</v>
      </c>
      <c r="M31" s="153">
        <f>SUM(Quarter!M107:M110)</f>
        <v>19.358700000000002</v>
      </c>
    </row>
    <row r="32" spans="1:19" ht="15.5">
      <c r="A32" s="156">
        <v>2021</v>
      </c>
      <c r="B32" s="152">
        <f>SUM(Quarter!B111:B114)</f>
        <v>42.798599999999993</v>
      </c>
      <c r="C32" s="152">
        <f>SUM(Quarter!C111:C114)</f>
        <v>1.6635</v>
      </c>
      <c r="D32" s="152">
        <f>SUM(Quarter!D111:D114)</f>
        <v>0.1754</v>
      </c>
      <c r="E32" s="152">
        <f>SUM(Quarter!E111:E114)</f>
        <v>19.6402</v>
      </c>
      <c r="F32" s="152">
        <f>SUM(Quarter!F111:F114)</f>
        <v>9.9458000000000002</v>
      </c>
      <c r="G32" s="152">
        <f>SUM(Quarter!G111:G114)</f>
        <v>0.32129999999999997</v>
      </c>
      <c r="H32" s="152">
        <f>SUM(Quarter!H111:H114)</f>
        <v>4.9421999999999997</v>
      </c>
      <c r="I32" s="152">
        <f>SUM(Quarter!I111:I114)</f>
        <v>5.7399000000000004</v>
      </c>
      <c r="J32" s="152">
        <f>SUM(Quarter!J111:J114)</f>
        <v>0.37019999999999997</v>
      </c>
      <c r="K32" s="152">
        <f>SUM(Quarter!K111:K114)</f>
        <v>21.319700000000001</v>
      </c>
      <c r="L32" s="152">
        <f>SUM(Quarter!L111:L114)</f>
        <v>11.3736</v>
      </c>
      <c r="M32" s="153">
        <f>SUM(Quarter!M111:M114)</f>
        <v>21.479199999999999</v>
      </c>
    </row>
    <row r="33" spans="1:13" ht="15.5">
      <c r="A33" s="156">
        <v>2022</v>
      </c>
      <c r="B33" s="152">
        <f>SUM(Quarter!B115:B118)</f>
        <v>43.757899999999992</v>
      </c>
      <c r="C33" s="152">
        <f>SUM(Quarter!C115:C118)</f>
        <v>1.3901000000000001</v>
      </c>
      <c r="D33" s="152">
        <f>SUM(Quarter!D115:D118)</f>
        <v>0.19369999999999998</v>
      </c>
      <c r="E33" s="152">
        <f>SUM(Quarter!E115:E118)</f>
        <v>20.145499999999998</v>
      </c>
      <c r="F33" s="152">
        <f>SUM(Quarter!F115:F118)</f>
        <v>10.287800000000001</v>
      </c>
      <c r="G33" s="152">
        <f>SUM(Quarter!G115:G118)</f>
        <v>0.33660000000000001</v>
      </c>
      <c r="H33" s="152">
        <f>SUM(Quarter!H115:H118)</f>
        <v>6.1587999999999994</v>
      </c>
      <c r="I33" s="152">
        <f>SUM(Quarter!I115:I118)</f>
        <v>4.8384</v>
      </c>
      <c r="J33" s="152">
        <f>SUM(Quarter!J115:J118)</f>
        <v>0.40720000000000001</v>
      </c>
      <c r="K33" s="152">
        <f>SUM(Quarter!K115:K118)</f>
        <v>22.0289</v>
      </c>
      <c r="L33" s="152">
        <f>SUM(Quarter!L115:L118)</f>
        <v>11.741</v>
      </c>
      <c r="M33" s="153">
        <f>SUM(Quarter!M115:M118)</f>
        <v>21.729199999999999</v>
      </c>
    </row>
    <row r="34" spans="1:13" ht="15.5">
      <c r="A34" s="156">
        <v>2023</v>
      </c>
      <c r="B34" s="152">
        <f>SUM(Quarter!B119:B122)</f>
        <v>37.231300000000005</v>
      </c>
      <c r="C34" s="152">
        <f>SUM(Quarter!C119:C122)</f>
        <v>0.89690000000000014</v>
      </c>
      <c r="D34" s="152">
        <f>SUM(Quarter!D119:D122)</f>
        <v>0.13669999999999999</v>
      </c>
      <c r="E34" s="152">
        <f>SUM(Quarter!E119:E122)</f>
        <v>15.858200000000002</v>
      </c>
      <c r="F34" s="152">
        <f>SUM(Quarter!F119:F122)</f>
        <v>8.7904</v>
      </c>
      <c r="G34" s="152">
        <f>SUM(Quarter!G119:G122)</f>
        <v>0.32779999999999998</v>
      </c>
      <c r="H34" s="152">
        <f>SUM(Quarter!H119:H122)</f>
        <v>6.3682999999999996</v>
      </c>
      <c r="I34" s="152">
        <f>SUM(Quarter!I119:I122)</f>
        <v>4.4579000000000004</v>
      </c>
      <c r="J34" s="152">
        <f>SUM(Quarter!J119:J122)</f>
        <v>0.39500000000000002</v>
      </c>
      <c r="K34" s="152">
        <f>SUM(Quarter!K119:K122)</f>
        <v>20.339700000000001</v>
      </c>
      <c r="L34" s="152">
        <f>SUM(Quarter!L119:L122)</f>
        <v>11.5494</v>
      </c>
      <c r="M34" s="153">
        <f>SUM(Quarter!M119:M122)</f>
        <v>16.891500000000001</v>
      </c>
    </row>
    <row r="35" spans="1:13" ht="15.5">
      <c r="A35" s="156" t="s">
        <v>717</v>
      </c>
      <c r="B35" s="152">
        <f>SUM(Quarter!B123:B126)</f>
        <v>35.486699999999999</v>
      </c>
      <c r="C35" s="152">
        <f>SUM(Quarter!C123:C126)</f>
        <v>0.41459999999999997</v>
      </c>
      <c r="D35" s="152">
        <f>SUM(Quarter!D123:D126)</f>
        <v>0.11910000000000001</v>
      </c>
      <c r="E35" s="152">
        <f>SUM(Quarter!E123:E126)</f>
        <v>13.247499999999999</v>
      </c>
      <c r="F35" s="152">
        <f>SUM(Quarter!F123:F126)</f>
        <v>8.7886000000000006</v>
      </c>
      <c r="G35" s="152">
        <f>SUM(Quarter!G123:G126)</f>
        <v>0.34670000000000001</v>
      </c>
      <c r="H35" s="152">
        <f>SUM(Quarter!H123:H126)</f>
        <v>6.5456999999999992</v>
      </c>
      <c r="I35" s="152">
        <f>SUM(Quarter!I123:I126)</f>
        <v>5.6159999999999997</v>
      </c>
      <c r="J35" s="152">
        <f>SUM(Quarter!J123:J126)</f>
        <v>0.40860000000000002</v>
      </c>
      <c r="K35" s="152">
        <f>SUM(Quarter!K123:K126)</f>
        <v>21.7056</v>
      </c>
      <c r="L35" s="152">
        <f>SUM(Quarter!L123:L126)</f>
        <v>12.917000000000002</v>
      </c>
      <c r="M35" s="153">
        <f>SUM(Quarter!M123:M126)</f>
        <v>13.7813</v>
      </c>
    </row>
    <row r="36" spans="1:13" ht="13.5">
      <c r="B36" s="125"/>
      <c r="C36" s="125"/>
      <c r="D36" s="125"/>
      <c r="E36" s="115"/>
      <c r="F36" s="125"/>
      <c r="G36" s="125"/>
    </row>
    <row r="37" spans="1:13" ht="13.5">
      <c r="B37" s="125"/>
      <c r="C37" s="125"/>
      <c r="D37" s="125"/>
      <c r="E37" s="125"/>
      <c r="F37" s="125"/>
      <c r="G37" s="125"/>
    </row>
    <row r="38" spans="1:13" ht="13.5">
      <c r="B38" s="125"/>
      <c r="C38" s="125"/>
      <c r="D38" s="125"/>
      <c r="E38" s="125"/>
      <c r="F38" s="125"/>
      <c r="G38" s="125"/>
    </row>
    <row r="39" spans="1:13" ht="13.5">
      <c r="B39" s="125"/>
      <c r="C39" s="125"/>
      <c r="D39" s="125"/>
      <c r="E39" s="125"/>
      <c r="F39" s="125"/>
      <c r="G39" s="125"/>
    </row>
    <row r="40" spans="1:13" ht="13.5">
      <c r="B40" s="125"/>
      <c r="C40" s="125"/>
      <c r="D40" s="125"/>
      <c r="E40" s="125"/>
      <c r="F40" s="125"/>
      <c r="G40" s="125"/>
    </row>
    <row r="41" spans="1:13" ht="13.5">
      <c r="B41" s="125"/>
      <c r="C41" s="125"/>
      <c r="D41" s="125"/>
      <c r="E41" s="125"/>
      <c r="F41" s="125"/>
      <c r="G41" s="125"/>
    </row>
    <row r="42" spans="1:13" ht="13.5">
      <c r="B42" s="125"/>
      <c r="C42" s="125"/>
      <c r="D42" s="125"/>
      <c r="E42" s="125"/>
      <c r="F42" s="125"/>
      <c r="G42" s="125"/>
    </row>
    <row r="43" spans="1:13" ht="13.5">
      <c r="B43" s="125"/>
      <c r="C43" s="125"/>
      <c r="D43" s="125"/>
      <c r="E43" s="125"/>
      <c r="F43" s="125"/>
      <c r="G43" s="125"/>
    </row>
    <row r="44" spans="1:13" ht="13.5">
      <c r="B44" s="125"/>
      <c r="C44" s="125"/>
      <c r="D44" s="125"/>
      <c r="E44" s="125"/>
      <c r="F44" s="125"/>
      <c r="G44" s="125"/>
    </row>
    <row r="45" spans="1:13" ht="13.5">
      <c r="B45" s="125"/>
      <c r="C45" s="125"/>
      <c r="D45" s="127"/>
      <c r="E45" s="125"/>
      <c r="F45" s="125"/>
      <c r="G45" s="125"/>
    </row>
    <row r="46" spans="1:13" ht="13.5">
      <c r="B46" s="125"/>
      <c r="C46" s="125"/>
      <c r="D46" s="125"/>
      <c r="E46" s="125"/>
      <c r="F46" s="125"/>
      <c r="G46" s="125"/>
    </row>
    <row r="47" spans="1:13" ht="13.5">
      <c r="B47" s="125"/>
      <c r="C47" s="125"/>
      <c r="D47" s="125"/>
      <c r="E47" s="125"/>
      <c r="F47" s="125"/>
      <c r="G47" s="125"/>
    </row>
    <row r="48" spans="1:13" ht="13.5">
      <c r="B48" s="125"/>
      <c r="C48" s="125"/>
      <c r="D48" s="125"/>
      <c r="E48" s="125"/>
      <c r="F48" s="125"/>
      <c r="G48" s="125"/>
    </row>
    <row r="49" spans="2:7" ht="13.5">
      <c r="B49" s="125"/>
      <c r="C49" s="125"/>
      <c r="D49" s="125"/>
      <c r="E49" s="125"/>
      <c r="F49" s="125"/>
      <c r="G49" s="125"/>
    </row>
    <row r="50" spans="2:7" ht="13.5">
      <c r="B50" s="125"/>
      <c r="C50" s="125"/>
      <c r="D50" s="125"/>
      <c r="E50" s="125"/>
      <c r="F50" s="125"/>
      <c r="G50" s="125"/>
    </row>
    <row r="51" spans="2:7" ht="13.5">
      <c r="B51" s="125"/>
      <c r="C51" s="125"/>
      <c r="D51" s="125"/>
      <c r="E51" s="125"/>
      <c r="F51" s="125"/>
      <c r="G51" s="125"/>
    </row>
    <row r="52" spans="2:7" ht="13.5">
      <c r="B52" s="125"/>
      <c r="C52" s="125"/>
      <c r="D52" s="125"/>
      <c r="E52" s="125"/>
      <c r="F52" s="125"/>
      <c r="G52" s="125"/>
    </row>
    <row r="53" spans="2:7" ht="13.5">
      <c r="B53" s="125"/>
      <c r="C53" s="125"/>
      <c r="D53" s="125"/>
      <c r="E53" s="125"/>
      <c r="F53" s="125"/>
      <c r="G53" s="125"/>
    </row>
    <row r="54" spans="2:7" ht="13.5">
      <c r="B54" s="125"/>
      <c r="C54" s="125"/>
      <c r="D54" s="125"/>
      <c r="E54" s="125"/>
      <c r="F54" s="125"/>
      <c r="G54" s="125"/>
    </row>
    <row r="55" spans="2:7" ht="13.5">
      <c r="B55" s="125"/>
      <c r="C55" s="125"/>
      <c r="D55" s="125"/>
      <c r="E55" s="125"/>
      <c r="F55" s="125"/>
      <c r="G55" s="125"/>
    </row>
    <row r="56" spans="2:7" ht="13.5">
      <c r="B56" s="125"/>
      <c r="C56" s="125"/>
      <c r="D56" s="125"/>
      <c r="E56" s="125"/>
      <c r="F56" s="125"/>
      <c r="G56" s="125"/>
    </row>
    <row r="57" spans="2:7" ht="13.5">
      <c r="B57" s="125"/>
      <c r="C57" s="125"/>
      <c r="D57" s="125"/>
      <c r="E57" s="125"/>
      <c r="F57" s="125"/>
      <c r="G57" s="125"/>
    </row>
    <row r="58" spans="2:7" ht="13.5">
      <c r="B58" s="125"/>
      <c r="C58" s="125"/>
      <c r="D58" s="125"/>
      <c r="E58" s="125"/>
      <c r="F58" s="125"/>
      <c r="G58" s="125"/>
    </row>
    <row r="59" spans="2:7" ht="13.5">
      <c r="B59" s="125"/>
      <c r="C59" s="125"/>
      <c r="D59" s="125"/>
      <c r="E59" s="125"/>
      <c r="F59" s="125"/>
      <c r="G59" s="125"/>
    </row>
    <row r="60" spans="2:7" ht="13.5">
      <c r="B60" s="125"/>
      <c r="C60" s="125"/>
      <c r="D60" s="125"/>
      <c r="E60" s="125"/>
      <c r="F60" s="125"/>
      <c r="G60" s="125"/>
    </row>
    <row r="61" spans="2:7" ht="13.5">
      <c r="B61" s="125"/>
      <c r="C61" s="125"/>
      <c r="D61" s="125"/>
      <c r="E61" s="125"/>
      <c r="F61" s="125"/>
      <c r="G61" s="125"/>
    </row>
    <row r="62" spans="2:7" ht="13.5">
      <c r="B62" s="125"/>
      <c r="C62" s="125"/>
      <c r="D62" s="125"/>
      <c r="E62" s="125"/>
      <c r="F62" s="125"/>
      <c r="G62" s="125"/>
    </row>
    <row r="63" spans="2:7" ht="13.5">
      <c r="B63" s="125"/>
      <c r="C63" s="125"/>
      <c r="D63" s="125"/>
      <c r="E63" s="125"/>
      <c r="F63" s="125"/>
      <c r="G63" s="125"/>
    </row>
    <row r="64" spans="2:7" ht="13.5">
      <c r="B64" s="125"/>
      <c r="C64" s="125"/>
      <c r="D64" s="125"/>
      <c r="E64" s="125"/>
      <c r="F64" s="125"/>
      <c r="G64" s="125"/>
    </row>
    <row r="65" spans="2:7" ht="13.5">
      <c r="B65" s="125"/>
      <c r="C65" s="125"/>
      <c r="D65" s="125"/>
      <c r="E65" s="125"/>
      <c r="F65" s="125"/>
      <c r="G65" s="125"/>
    </row>
    <row r="66" spans="2:7" ht="13.5">
      <c r="B66" s="125"/>
      <c r="C66" s="125"/>
      <c r="D66" s="125"/>
      <c r="E66" s="125"/>
      <c r="F66" s="125"/>
      <c r="G66" s="125"/>
    </row>
    <row r="67" spans="2:7" ht="13.5">
      <c r="B67" s="125"/>
      <c r="C67" s="125"/>
      <c r="D67" s="125"/>
      <c r="E67" s="125"/>
      <c r="F67" s="125"/>
      <c r="G67" s="125"/>
    </row>
    <row r="68" spans="2:7" ht="13.5">
      <c r="B68" s="125"/>
      <c r="C68" s="125"/>
      <c r="D68" s="125"/>
      <c r="E68" s="125"/>
      <c r="F68" s="125"/>
      <c r="G68" s="125"/>
    </row>
    <row r="69" spans="2:7" ht="13.5">
      <c r="B69" s="125"/>
      <c r="C69" s="125"/>
      <c r="D69" s="125"/>
      <c r="E69" s="125"/>
      <c r="F69" s="125"/>
      <c r="G69" s="125"/>
    </row>
    <row r="70" spans="2:7" ht="13.5">
      <c r="B70" s="125"/>
      <c r="C70" s="125"/>
      <c r="D70" s="125"/>
      <c r="E70" s="125"/>
      <c r="F70" s="125"/>
      <c r="G70" s="125"/>
    </row>
    <row r="71" spans="2:7" ht="13.5">
      <c r="B71" s="125"/>
      <c r="C71" s="125"/>
      <c r="D71" s="125"/>
      <c r="E71" s="125"/>
      <c r="F71" s="125"/>
      <c r="G71" s="125"/>
    </row>
    <row r="72" spans="2:7" ht="13.5">
      <c r="B72" s="125"/>
      <c r="C72" s="125"/>
      <c r="D72" s="125"/>
      <c r="E72" s="125"/>
      <c r="F72" s="125"/>
      <c r="G72" s="125"/>
    </row>
    <row r="73" spans="2:7" ht="13.5">
      <c r="B73" s="125"/>
      <c r="C73" s="125"/>
      <c r="D73" s="125"/>
      <c r="E73" s="125"/>
      <c r="F73" s="125"/>
      <c r="G73" s="125"/>
    </row>
    <row r="74" spans="2:7" ht="13.5">
      <c r="B74" s="125"/>
      <c r="C74" s="125"/>
      <c r="D74" s="125"/>
      <c r="E74" s="125"/>
      <c r="F74" s="125"/>
      <c r="G74" s="125"/>
    </row>
    <row r="75" spans="2:7" ht="13.5">
      <c r="B75" s="125"/>
      <c r="C75" s="125"/>
      <c r="D75" s="125"/>
      <c r="E75" s="125"/>
      <c r="F75" s="125"/>
      <c r="G75" s="125"/>
    </row>
    <row r="76" spans="2:7" ht="13.5">
      <c r="B76" s="125"/>
      <c r="C76" s="125"/>
      <c r="D76" s="125"/>
      <c r="E76" s="125"/>
      <c r="F76" s="125"/>
      <c r="G76" s="125"/>
    </row>
    <row r="77" spans="2:7" ht="13.5">
      <c r="B77" s="125"/>
      <c r="C77" s="125"/>
      <c r="D77" s="125"/>
      <c r="E77" s="125"/>
      <c r="F77" s="125"/>
      <c r="G77" s="125"/>
    </row>
    <row r="78" spans="2:7" ht="13.5">
      <c r="B78" s="125"/>
      <c r="C78" s="125"/>
      <c r="D78" s="125"/>
      <c r="E78" s="125"/>
      <c r="F78" s="125"/>
      <c r="G78" s="125"/>
    </row>
    <row r="79" spans="2:7" ht="13.5">
      <c r="B79" s="125"/>
      <c r="C79" s="125"/>
      <c r="D79" s="125"/>
      <c r="E79" s="125"/>
      <c r="F79" s="125"/>
      <c r="G79" s="125"/>
    </row>
    <row r="80" spans="2:7" ht="13.5">
      <c r="B80" s="125"/>
      <c r="C80" s="125"/>
      <c r="D80" s="125"/>
      <c r="E80" s="125"/>
      <c r="F80" s="125"/>
      <c r="G80" s="125"/>
    </row>
    <row r="81" spans="2:7" ht="13.5">
      <c r="B81" s="125"/>
      <c r="C81" s="125"/>
      <c r="D81" s="125"/>
      <c r="E81" s="125"/>
      <c r="F81" s="125"/>
      <c r="G81" s="125"/>
    </row>
    <row r="82" spans="2:7" ht="13.5">
      <c r="B82" s="125"/>
      <c r="C82" s="125"/>
      <c r="D82" s="125"/>
      <c r="E82" s="125"/>
      <c r="F82" s="125"/>
      <c r="G82" s="125"/>
    </row>
    <row r="83" spans="2:7" ht="13.5">
      <c r="B83" s="125"/>
      <c r="C83" s="125"/>
      <c r="D83" s="125"/>
      <c r="E83" s="125"/>
      <c r="F83" s="125"/>
      <c r="G83" s="125"/>
    </row>
    <row r="84" spans="2:7" ht="13.5">
      <c r="B84" s="125"/>
      <c r="C84" s="125"/>
      <c r="D84" s="125"/>
      <c r="E84" s="125"/>
      <c r="F84" s="125"/>
      <c r="G84" s="125"/>
    </row>
    <row r="85" spans="2:7" ht="13.5">
      <c r="B85" s="125"/>
      <c r="C85" s="125"/>
      <c r="D85" s="125"/>
      <c r="E85" s="125"/>
      <c r="F85" s="125"/>
      <c r="G85" s="125"/>
    </row>
    <row r="86" spans="2:7" ht="13.5">
      <c r="B86" s="125"/>
      <c r="C86" s="125"/>
      <c r="D86" s="125"/>
      <c r="E86" s="125"/>
      <c r="F86" s="125"/>
      <c r="G86" s="125"/>
    </row>
    <row r="87" spans="2:7" ht="13.5">
      <c r="B87" s="125"/>
      <c r="C87" s="125"/>
      <c r="D87" s="125"/>
      <c r="E87" s="125"/>
      <c r="F87" s="125"/>
      <c r="G87" s="125"/>
    </row>
    <row r="88" spans="2:7" ht="13.5">
      <c r="B88" s="125"/>
      <c r="C88" s="125"/>
      <c r="D88" s="125"/>
      <c r="E88" s="125"/>
      <c r="F88" s="125"/>
      <c r="G88" s="125"/>
    </row>
    <row r="89" spans="2:7" ht="13.5">
      <c r="B89" s="125"/>
      <c r="C89" s="125"/>
      <c r="D89" s="125"/>
      <c r="E89" s="125"/>
      <c r="F89" s="125"/>
      <c r="G89" s="125"/>
    </row>
    <row r="90" spans="2:7" ht="13.5">
      <c r="B90" s="125"/>
      <c r="C90" s="125"/>
      <c r="D90" s="125"/>
      <c r="E90" s="125"/>
      <c r="F90" s="125"/>
      <c r="G90" s="125"/>
    </row>
    <row r="91" spans="2:7" ht="13.5">
      <c r="B91" s="125"/>
      <c r="C91" s="125"/>
      <c r="D91" s="125"/>
      <c r="E91" s="125"/>
      <c r="F91" s="125"/>
      <c r="G91" s="125"/>
    </row>
    <row r="92" spans="2:7" ht="13.5">
      <c r="B92" s="125"/>
      <c r="C92" s="125"/>
      <c r="D92" s="125"/>
      <c r="E92" s="125"/>
      <c r="F92" s="125"/>
      <c r="G92" s="125"/>
    </row>
    <row r="93" spans="2:7" ht="13.5">
      <c r="B93" s="125"/>
      <c r="C93" s="125"/>
      <c r="D93" s="125"/>
      <c r="E93" s="125"/>
      <c r="F93" s="125"/>
      <c r="G93" s="125"/>
    </row>
    <row r="94" spans="2:7" ht="13.5">
      <c r="B94" s="125"/>
      <c r="C94" s="125"/>
      <c r="D94" s="125"/>
      <c r="E94" s="125"/>
      <c r="F94" s="125"/>
      <c r="G94" s="125"/>
    </row>
    <row r="95" spans="2:7" ht="13.5">
      <c r="B95" s="125"/>
      <c r="C95" s="125"/>
      <c r="D95" s="125"/>
      <c r="E95" s="125"/>
      <c r="F95" s="125"/>
      <c r="G95" s="125"/>
    </row>
    <row r="96" spans="2:7" ht="13.5">
      <c r="B96" s="125"/>
      <c r="C96" s="125"/>
      <c r="D96" s="125"/>
      <c r="E96" s="125"/>
      <c r="F96" s="125"/>
      <c r="G96" s="125"/>
    </row>
    <row r="97" spans="2:7" ht="13.5">
      <c r="B97" s="125"/>
      <c r="C97" s="125"/>
      <c r="D97" s="125"/>
      <c r="E97" s="125"/>
      <c r="F97" s="125"/>
      <c r="G97" s="125"/>
    </row>
    <row r="98" spans="2:7" ht="13.5">
      <c r="B98" s="125"/>
      <c r="C98" s="125"/>
      <c r="D98" s="125"/>
      <c r="E98" s="125"/>
      <c r="F98" s="125"/>
      <c r="G98" s="125"/>
    </row>
    <row r="99" spans="2:7" ht="13.5">
      <c r="B99" s="125"/>
      <c r="C99" s="125"/>
      <c r="D99" s="125"/>
      <c r="E99" s="125"/>
      <c r="F99" s="125"/>
      <c r="G99" s="125"/>
    </row>
    <row r="100" spans="2:7" ht="13.5">
      <c r="B100" s="125"/>
      <c r="C100" s="125"/>
      <c r="D100" s="125"/>
      <c r="E100" s="125"/>
      <c r="F100" s="125"/>
      <c r="G100" s="125"/>
    </row>
    <row r="101" spans="2:7" ht="13.5">
      <c r="B101" s="125"/>
      <c r="C101" s="125"/>
      <c r="D101" s="125"/>
      <c r="E101" s="125"/>
      <c r="F101" s="125"/>
      <c r="G101" s="125"/>
    </row>
    <row r="102" spans="2:7" ht="13.5">
      <c r="B102" s="125"/>
      <c r="C102" s="125"/>
      <c r="D102" s="125"/>
      <c r="E102" s="125"/>
      <c r="F102" s="125"/>
      <c r="G102" s="125"/>
    </row>
    <row r="103" spans="2:7" ht="13.5">
      <c r="B103" s="125"/>
      <c r="C103" s="125"/>
      <c r="D103" s="125"/>
      <c r="E103" s="125"/>
      <c r="F103" s="125"/>
      <c r="G103" s="125"/>
    </row>
    <row r="104" spans="2:7" ht="13.5">
      <c r="B104" s="125"/>
      <c r="C104" s="125"/>
      <c r="D104" s="125"/>
      <c r="E104" s="125"/>
      <c r="F104" s="125"/>
      <c r="G104" s="125"/>
    </row>
    <row r="105" spans="2:7" ht="13.5">
      <c r="B105" s="125"/>
      <c r="C105" s="125"/>
      <c r="D105" s="125"/>
      <c r="E105" s="125"/>
      <c r="F105" s="125"/>
      <c r="G105" s="125"/>
    </row>
    <row r="106" spans="2:7" ht="13.5">
      <c r="B106" s="125"/>
      <c r="C106" s="125"/>
      <c r="D106" s="125"/>
      <c r="E106" s="125"/>
      <c r="F106" s="125"/>
      <c r="G106" s="125"/>
    </row>
    <row r="107" spans="2:7" ht="13.5">
      <c r="B107" s="125"/>
      <c r="C107" s="125"/>
      <c r="D107" s="125"/>
      <c r="E107" s="125"/>
      <c r="F107" s="125"/>
      <c r="G107" s="125"/>
    </row>
    <row r="108" spans="2:7" ht="13.5">
      <c r="B108" s="125"/>
      <c r="C108" s="125"/>
      <c r="D108" s="125"/>
      <c r="E108" s="125"/>
      <c r="F108" s="125"/>
      <c r="G108" s="125"/>
    </row>
    <row r="109" spans="2:7" ht="13.5">
      <c r="B109" s="125"/>
      <c r="C109" s="125"/>
      <c r="D109" s="125"/>
      <c r="E109" s="125"/>
      <c r="F109" s="125"/>
      <c r="G109" s="125"/>
    </row>
    <row r="110" spans="2:7" ht="13.5">
      <c r="B110" s="125"/>
      <c r="C110" s="125"/>
      <c r="D110" s="125"/>
      <c r="E110" s="125"/>
      <c r="F110" s="125"/>
      <c r="G110" s="125"/>
    </row>
    <row r="111" spans="2:7" ht="13.5">
      <c r="B111" s="125"/>
      <c r="C111" s="125"/>
      <c r="D111" s="125"/>
      <c r="E111" s="125"/>
      <c r="F111" s="125"/>
      <c r="G111" s="125"/>
    </row>
    <row r="112" spans="2:7" ht="13.5">
      <c r="B112" s="125"/>
      <c r="C112" s="125"/>
      <c r="D112" s="125"/>
      <c r="E112" s="125"/>
      <c r="F112" s="125"/>
      <c r="G112" s="125"/>
    </row>
    <row r="113" spans="2:7" ht="13.5">
      <c r="B113" s="125"/>
      <c r="C113" s="125"/>
      <c r="D113" s="125"/>
      <c r="E113" s="125"/>
      <c r="F113" s="125"/>
      <c r="G113" s="125"/>
    </row>
    <row r="114" spans="2:7" ht="13.5">
      <c r="B114" s="125"/>
      <c r="C114" s="125"/>
      <c r="D114" s="125"/>
      <c r="E114" s="125"/>
      <c r="F114" s="125"/>
      <c r="G114" s="125"/>
    </row>
    <row r="115" spans="2:7" ht="13.5">
      <c r="B115" s="125"/>
      <c r="C115" s="125"/>
      <c r="D115" s="125"/>
      <c r="E115" s="125"/>
      <c r="F115" s="125"/>
      <c r="G115" s="125"/>
    </row>
    <row r="116" spans="2:7" ht="13.5">
      <c r="B116" s="125"/>
      <c r="C116" s="125"/>
      <c r="D116" s="125"/>
      <c r="E116" s="125"/>
      <c r="F116" s="125"/>
      <c r="G116" s="125"/>
    </row>
    <row r="117" spans="2:7" ht="13.5">
      <c r="B117" s="125"/>
      <c r="C117" s="125"/>
      <c r="D117" s="125"/>
      <c r="E117" s="125"/>
      <c r="F117" s="125"/>
      <c r="G117" s="125"/>
    </row>
    <row r="118" spans="2:7" ht="13.5">
      <c r="B118" s="125"/>
      <c r="C118" s="125"/>
      <c r="D118" s="125"/>
      <c r="E118" s="125"/>
      <c r="F118" s="125"/>
      <c r="G118" s="125"/>
    </row>
    <row r="119" spans="2:7" ht="13.5">
      <c r="B119" s="125"/>
      <c r="C119" s="125"/>
      <c r="D119" s="125"/>
      <c r="E119" s="125"/>
      <c r="F119" s="125"/>
      <c r="G119" s="125"/>
    </row>
    <row r="120" spans="2:7" ht="13.5">
      <c r="B120" s="125"/>
      <c r="C120" s="125"/>
      <c r="D120" s="125"/>
      <c r="E120" s="125"/>
      <c r="F120" s="125"/>
      <c r="G120" s="125"/>
    </row>
    <row r="121" spans="2:7" ht="13.5">
      <c r="B121" s="125"/>
      <c r="C121" s="125"/>
      <c r="D121" s="125"/>
      <c r="E121" s="125"/>
      <c r="F121" s="125"/>
      <c r="G121" s="125"/>
    </row>
    <row r="122" spans="2:7" ht="13.5">
      <c r="B122" s="125"/>
      <c r="C122" s="125"/>
      <c r="D122" s="125"/>
      <c r="E122" s="125"/>
      <c r="F122" s="125"/>
      <c r="G122" s="125"/>
    </row>
    <row r="123" spans="2:7" ht="13.5">
      <c r="B123" s="125"/>
      <c r="C123" s="125"/>
      <c r="D123" s="125"/>
      <c r="E123" s="125"/>
      <c r="F123" s="125"/>
      <c r="G123" s="125"/>
    </row>
    <row r="124" spans="2:7" ht="13.5">
      <c r="B124" s="125"/>
      <c r="C124" s="125"/>
      <c r="D124" s="125"/>
      <c r="E124" s="125"/>
      <c r="F124" s="125"/>
      <c r="G124" s="125"/>
    </row>
    <row r="125" spans="2:7" ht="13.5">
      <c r="B125" s="125"/>
      <c r="C125" s="125"/>
      <c r="D125" s="125"/>
      <c r="E125" s="125"/>
      <c r="F125" s="125"/>
      <c r="G125" s="125"/>
    </row>
    <row r="126" spans="2:7" ht="13.5">
      <c r="B126" s="125"/>
      <c r="C126" s="125"/>
      <c r="D126" s="125"/>
      <c r="E126" s="125"/>
      <c r="F126" s="125"/>
      <c r="G126" s="125"/>
    </row>
    <row r="127" spans="2:7" ht="13.5">
      <c r="B127" s="125"/>
      <c r="C127" s="125"/>
      <c r="D127" s="125"/>
      <c r="E127" s="125"/>
      <c r="F127" s="125"/>
      <c r="G127" s="125"/>
    </row>
    <row r="128" spans="2:7" ht="13.5">
      <c r="B128" s="125"/>
      <c r="C128" s="125"/>
      <c r="D128" s="125"/>
      <c r="E128" s="125"/>
      <c r="F128" s="125"/>
      <c r="G128" s="125"/>
    </row>
    <row r="129" spans="2:7" ht="13.5">
      <c r="B129" s="125"/>
      <c r="C129" s="125"/>
      <c r="D129" s="125"/>
      <c r="E129" s="125"/>
      <c r="F129" s="125"/>
      <c r="G129" s="125"/>
    </row>
    <row r="130" spans="2:7" ht="13.5">
      <c r="B130" s="125"/>
      <c r="C130" s="125"/>
      <c r="D130" s="125"/>
      <c r="E130" s="125"/>
      <c r="F130" s="125"/>
      <c r="G130" s="125"/>
    </row>
    <row r="131" spans="2:7" ht="13.5">
      <c r="B131" s="125"/>
      <c r="C131" s="125"/>
      <c r="D131" s="125"/>
      <c r="E131" s="125"/>
      <c r="F131" s="125"/>
      <c r="G131" s="125"/>
    </row>
    <row r="132" spans="2:7" ht="13.5">
      <c r="B132" s="125"/>
      <c r="C132" s="125"/>
      <c r="D132" s="125"/>
      <c r="E132" s="125"/>
      <c r="F132" s="125"/>
      <c r="G132" s="125"/>
    </row>
    <row r="133" spans="2:7" ht="13.5">
      <c r="B133" s="125"/>
      <c r="C133" s="125"/>
      <c r="D133" s="125"/>
      <c r="E133" s="125"/>
      <c r="F133" s="125"/>
      <c r="G133" s="125"/>
    </row>
    <row r="134" spans="2:7" ht="13.5">
      <c r="B134" s="125"/>
      <c r="C134" s="125"/>
      <c r="D134" s="125"/>
      <c r="E134" s="125"/>
      <c r="F134" s="125"/>
      <c r="G134" s="125"/>
    </row>
    <row r="135" spans="2:7" ht="13.5">
      <c r="B135" s="125"/>
      <c r="C135" s="125"/>
      <c r="D135" s="125"/>
      <c r="E135" s="125"/>
      <c r="F135" s="125"/>
      <c r="G135" s="125"/>
    </row>
    <row r="136" spans="2:7" ht="13.5">
      <c r="B136" s="125"/>
      <c r="C136" s="125"/>
      <c r="D136" s="125"/>
      <c r="E136" s="125"/>
      <c r="F136" s="125"/>
      <c r="G136" s="125"/>
    </row>
    <row r="137" spans="2:7" ht="13.5">
      <c r="B137" s="125"/>
      <c r="C137" s="125"/>
      <c r="D137" s="125"/>
      <c r="E137" s="125"/>
      <c r="F137" s="125"/>
      <c r="G137" s="125"/>
    </row>
    <row r="138" spans="2:7" ht="13.5">
      <c r="B138" s="125"/>
      <c r="C138" s="125"/>
      <c r="D138" s="125"/>
      <c r="E138" s="125"/>
      <c r="F138" s="125"/>
      <c r="G138" s="125"/>
    </row>
    <row r="139" spans="2:7" ht="13.5">
      <c r="B139" s="125"/>
      <c r="C139" s="125"/>
      <c r="D139" s="125"/>
      <c r="E139" s="125"/>
      <c r="F139" s="125"/>
      <c r="G139" s="125"/>
    </row>
    <row r="140" spans="2:7" ht="13.5">
      <c r="B140" s="125"/>
      <c r="C140" s="125"/>
      <c r="D140" s="125"/>
      <c r="E140" s="125"/>
      <c r="F140" s="125"/>
      <c r="G140" s="125"/>
    </row>
    <row r="141" spans="2:7" ht="13.5">
      <c r="B141" s="125"/>
      <c r="C141" s="125"/>
      <c r="D141" s="125"/>
      <c r="E141" s="125"/>
      <c r="F141" s="125"/>
      <c r="G141" s="125"/>
    </row>
    <row r="142" spans="2:7" ht="13.5">
      <c r="B142" s="125"/>
      <c r="C142" s="125"/>
      <c r="D142" s="125"/>
      <c r="E142" s="125"/>
      <c r="F142" s="125"/>
      <c r="G142" s="125"/>
    </row>
    <row r="143" spans="2:7" ht="13.5">
      <c r="B143" s="125"/>
      <c r="C143" s="125"/>
      <c r="D143" s="125"/>
      <c r="E143" s="125"/>
      <c r="F143" s="125"/>
      <c r="G143" s="125"/>
    </row>
    <row r="144" spans="2:7" ht="13.5">
      <c r="B144" s="125"/>
      <c r="C144" s="125"/>
      <c r="D144" s="125"/>
      <c r="E144" s="125"/>
      <c r="F144" s="125"/>
      <c r="G144" s="125"/>
    </row>
    <row r="145" spans="2:7" ht="13.5">
      <c r="B145" s="125"/>
      <c r="C145" s="125"/>
      <c r="D145" s="125"/>
      <c r="E145" s="125"/>
      <c r="F145" s="125"/>
      <c r="G145" s="125"/>
    </row>
    <row r="146" spans="2:7" ht="13.5">
      <c r="B146" s="125"/>
      <c r="C146" s="125"/>
      <c r="D146" s="125"/>
      <c r="E146" s="125"/>
      <c r="F146" s="125"/>
      <c r="G146" s="125"/>
    </row>
    <row r="147" spans="2:7" ht="13.5">
      <c r="B147" s="125"/>
      <c r="C147" s="125"/>
      <c r="D147" s="125"/>
      <c r="E147" s="125"/>
      <c r="F147" s="125"/>
      <c r="G147" s="125"/>
    </row>
    <row r="148" spans="2:7" ht="13.5">
      <c r="B148" s="125"/>
      <c r="C148" s="125"/>
      <c r="D148" s="125"/>
      <c r="E148" s="125"/>
      <c r="F148" s="125"/>
      <c r="G148" s="125"/>
    </row>
    <row r="149" spans="2:7" ht="13.5">
      <c r="B149" s="125"/>
      <c r="C149" s="125"/>
      <c r="D149" s="125"/>
      <c r="E149" s="125"/>
      <c r="F149" s="125"/>
      <c r="G149" s="125"/>
    </row>
    <row r="150" spans="2:7" ht="13.5">
      <c r="B150" s="125"/>
      <c r="C150" s="125"/>
      <c r="D150" s="125"/>
      <c r="E150" s="125"/>
      <c r="F150" s="125"/>
      <c r="G150" s="125"/>
    </row>
    <row r="151" spans="2:7" ht="13.5">
      <c r="B151" s="125"/>
      <c r="C151" s="125"/>
      <c r="D151" s="125"/>
      <c r="E151" s="125"/>
      <c r="F151" s="125"/>
      <c r="G151" s="125"/>
    </row>
    <row r="152" spans="2:7" ht="13.5">
      <c r="B152" s="125"/>
      <c r="C152" s="125"/>
      <c r="D152" s="125"/>
      <c r="E152" s="125"/>
      <c r="F152" s="125"/>
      <c r="G152" s="125"/>
    </row>
    <row r="153" spans="2:7" ht="13.5">
      <c r="B153" s="125"/>
      <c r="C153" s="125"/>
      <c r="D153" s="125"/>
      <c r="E153" s="125"/>
      <c r="F153" s="125"/>
      <c r="G153" s="125"/>
    </row>
    <row r="154" spans="2:7" ht="13.5">
      <c r="B154" s="125"/>
      <c r="C154" s="125"/>
      <c r="D154" s="125"/>
      <c r="E154" s="125"/>
      <c r="F154" s="125"/>
      <c r="G154" s="125"/>
    </row>
    <row r="155" spans="2:7" ht="13.5">
      <c r="B155" s="125"/>
      <c r="C155" s="125"/>
      <c r="D155" s="125"/>
      <c r="E155" s="125"/>
      <c r="F155" s="125"/>
      <c r="G155" s="125"/>
    </row>
    <row r="156" spans="2:7" ht="13.5">
      <c r="B156" s="125"/>
      <c r="C156" s="125"/>
      <c r="D156" s="125"/>
      <c r="E156" s="125"/>
      <c r="F156" s="125"/>
      <c r="G156" s="125"/>
    </row>
    <row r="157" spans="2:7" ht="13.5">
      <c r="B157" s="125"/>
      <c r="C157" s="125"/>
      <c r="D157" s="125"/>
      <c r="E157" s="125"/>
      <c r="F157" s="125"/>
      <c r="G157" s="125"/>
    </row>
    <row r="158" spans="2:7" ht="13.5">
      <c r="B158" s="125"/>
      <c r="C158" s="125"/>
      <c r="D158" s="125"/>
      <c r="E158" s="125"/>
      <c r="F158" s="125"/>
      <c r="G158" s="125"/>
    </row>
    <row r="159" spans="2:7" ht="13.5">
      <c r="B159" s="125"/>
      <c r="C159" s="125"/>
      <c r="D159" s="125"/>
      <c r="E159" s="125"/>
      <c r="F159" s="125"/>
      <c r="G159" s="125"/>
    </row>
    <row r="160" spans="2:7" ht="13.5">
      <c r="B160" s="125"/>
      <c r="C160" s="125"/>
      <c r="D160" s="125"/>
      <c r="E160" s="125"/>
      <c r="F160" s="125"/>
      <c r="G160" s="125"/>
    </row>
    <row r="161" spans="2:7" ht="13.5">
      <c r="B161" s="125"/>
      <c r="C161" s="125"/>
      <c r="D161" s="125"/>
      <c r="E161" s="125"/>
      <c r="F161" s="125"/>
      <c r="G161" s="125"/>
    </row>
    <row r="162" spans="2:7" ht="13.5">
      <c r="B162" s="125"/>
      <c r="C162" s="125"/>
      <c r="D162" s="125"/>
      <c r="E162" s="125"/>
      <c r="F162" s="125"/>
      <c r="G162" s="125"/>
    </row>
    <row r="163" spans="2:7" ht="13.5">
      <c r="B163" s="125"/>
      <c r="C163" s="125"/>
      <c r="D163" s="125"/>
      <c r="E163" s="125"/>
      <c r="F163" s="125"/>
      <c r="G163" s="125"/>
    </row>
    <row r="164" spans="2:7" ht="13.5">
      <c r="B164" s="125"/>
      <c r="C164" s="125"/>
      <c r="D164" s="125"/>
      <c r="E164" s="125"/>
      <c r="F164" s="125"/>
      <c r="G164" s="125"/>
    </row>
    <row r="165" spans="2:7" ht="13.5">
      <c r="B165" s="125"/>
      <c r="C165" s="125"/>
      <c r="D165" s="125"/>
      <c r="E165" s="125"/>
      <c r="F165" s="125"/>
      <c r="G165" s="125"/>
    </row>
    <row r="166" spans="2:7" ht="13.5">
      <c r="B166" s="125"/>
      <c r="C166" s="125"/>
      <c r="D166" s="125"/>
      <c r="E166" s="125"/>
      <c r="F166" s="125"/>
      <c r="G166" s="125"/>
    </row>
    <row r="167" spans="2:7" ht="13.5">
      <c r="B167" s="125"/>
      <c r="C167" s="125"/>
      <c r="D167" s="125"/>
      <c r="E167" s="125"/>
      <c r="F167" s="125"/>
      <c r="G167" s="125"/>
    </row>
    <row r="168" spans="2:7" ht="13.5">
      <c r="B168" s="125"/>
      <c r="C168" s="125"/>
      <c r="D168" s="125"/>
      <c r="E168" s="125"/>
      <c r="F168" s="125"/>
      <c r="G168" s="125"/>
    </row>
    <row r="169" spans="2:7" ht="13.5">
      <c r="B169" s="125"/>
      <c r="C169" s="125"/>
      <c r="D169" s="125"/>
      <c r="E169" s="125"/>
      <c r="F169" s="125"/>
      <c r="G169" s="125"/>
    </row>
    <row r="170" spans="2:7" ht="13.5">
      <c r="B170" s="125"/>
      <c r="C170" s="125"/>
      <c r="D170" s="125"/>
      <c r="E170" s="125"/>
      <c r="F170" s="125"/>
      <c r="G170" s="125"/>
    </row>
    <row r="171" spans="2:7" ht="13.5">
      <c r="B171" s="125"/>
      <c r="C171" s="125"/>
      <c r="D171" s="125"/>
      <c r="E171" s="125"/>
      <c r="F171" s="125"/>
      <c r="G171" s="125"/>
    </row>
    <row r="172" spans="2:7" ht="13.5">
      <c r="B172" s="125"/>
      <c r="C172" s="125"/>
      <c r="D172" s="125"/>
      <c r="E172" s="125"/>
      <c r="F172" s="125"/>
      <c r="G172" s="125"/>
    </row>
    <row r="173" spans="2:7" ht="13.5">
      <c r="B173" s="125"/>
      <c r="C173" s="125"/>
      <c r="D173" s="125"/>
      <c r="E173" s="125"/>
      <c r="F173" s="125"/>
      <c r="G173" s="125"/>
    </row>
    <row r="174" spans="2:7" ht="13.5">
      <c r="B174" s="125"/>
      <c r="C174" s="125"/>
      <c r="D174" s="125"/>
      <c r="E174" s="125"/>
      <c r="F174" s="125"/>
      <c r="G174" s="125"/>
    </row>
    <row r="175" spans="2:7" ht="13.5">
      <c r="B175" s="125"/>
      <c r="C175" s="125"/>
      <c r="D175" s="125"/>
      <c r="E175" s="125"/>
      <c r="F175" s="125"/>
      <c r="G175" s="125"/>
    </row>
    <row r="176" spans="2:7" ht="13.5">
      <c r="B176" s="125"/>
      <c r="C176" s="125"/>
      <c r="D176" s="125"/>
      <c r="E176" s="125"/>
      <c r="F176" s="125"/>
      <c r="G176" s="125"/>
    </row>
    <row r="177" spans="2:7" ht="13.5">
      <c r="B177" s="125"/>
      <c r="C177" s="125"/>
      <c r="D177" s="125"/>
      <c r="E177" s="125"/>
      <c r="F177" s="125"/>
      <c r="G177" s="125"/>
    </row>
    <row r="178" spans="2:7" ht="13.5">
      <c r="B178" s="125"/>
      <c r="C178" s="125"/>
      <c r="D178" s="125"/>
      <c r="E178" s="125"/>
      <c r="F178" s="125"/>
      <c r="G178" s="125"/>
    </row>
    <row r="179" spans="2:7" ht="13.5">
      <c r="B179" s="125"/>
      <c r="C179" s="125"/>
      <c r="D179" s="125"/>
      <c r="E179" s="125"/>
      <c r="F179" s="125"/>
      <c r="G179" s="125"/>
    </row>
    <row r="180" spans="2:7" ht="13.5">
      <c r="B180" s="125"/>
      <c r="C180" s="125"/>
      <c r="D180" s="125"/>
      <c r="E180" s="125"/>
      <c r="F180" s="125"/>
      <c r="G180" s="125"/>
    </row>
    <row r="181" spans="2:7" ht="13.5">
      <c r="B181" s="125"/>
      <c r="C181" s="125"/>
      <c r="D181" s="125"/>
      <c r="E181" s="125"/>
      <c r="F181" s="125"/>
      <c r="G181" s="125"/>
    </row>
    <row r="182" spans="2:7" ht="13.5">
      <c r="B182" s="125"/>
      <c r="C182" s="125"/>
      <c r="D182" s="125"/>
      <c r="E182" s="125"/>
      <c r="F182" s="125"/>
      <c r="G182" s="125"/>
    </row>
    <row r="183" spans="2:7" ht="13.5">
      <c r="B183" s="125"/>
      <c r="C183" s="125"/>
      <c r="D183" s="125"/>
      <c r="E183" s="125"/>
      <c r="F183" s="125"/>
      <c r="G183" s="125"/>
    </row>
    <row r="184" spans="2:7" ht="13.5">
      <c r="B184" s="125"/>
      <c r="C184" s="125"/>
      <c r="D184" s="125"/>
      <c r="E184" s="125"/>
      <c r="F184" s="125"/>
      <c r="G184" s="125"/>
    </row>
    <row r="185" spans="2:7" ht="13.5">
      <c r="B185" s="125"/>
      <c r="C185" s="125"/>
      <c r="D185" s="125"/>
      <c r="E185" s="125"/>
      <c r="F185" s="125"/>
      <c r="G185" s="125"/>
    </row>
    <row r="186" spans="2:7" ht="13.5">
      <c r="B186" s="125"/>
      <c r="C186" s="125"/>
      <c r="D186" s="125"/>
      <c r="E186" s="125"/>
      <c r="F186" s="125"/>
      <c r="G186" s="125"/>
    </row>
    <row r="187" spans="2:7" ht="13.5">
      <c r="B187" s="125"/>
      <c r="C187" s="125"/>
      <c r="D187" s="125"/>
      <c r="E187" s="125"/>
      <c r="F187" s="125"/>
      <c r="G187" s="125"/>
    </row>
    <row r="188" spans="2:7" ht="13.5">
      <c r="B188" s="125"/>
      <c r="C188" s="125"/>
      <c r="D188" s="125"/>
      <c r="E188" s="125"/>
      <c r="F188" s="125"/>
      <c r="G188" s="125"/>
    </row>
    <row r="189" spans="2:7" ht="13.5">
      <c r="B189" s="125"/>
      <c r="C189" s="125"/>
      <c r="D189" s="125"/>
      <c r="E189" s="125"/>
      <c r="F189" s="125"/>
      <c r="G189" s="125"/>
    </row>
    <row r="190" spans="2:7" ht="13.5">
      <c r="B190" s="125"/>
      <c r="C190" s="125"/>
      <c r="D190" s="125"/>
      <c r="E190" s="125"/>
      <c r="F190" s="125"/>
      <c r="G190" s="125"/>
    </row>
    <row r="191" spans="2:7" ht="13.5">
      <c r="B191" s="125"/>
      <c r="C191" s="125"/>
      <c r="D191" s="125"/>
      <c r="E191" s="125"/>
      <c r="F191" s="125"/>
      <c r="G191" s="125"/>
    </row>
    <row r="192" spans="2:7" ht="13.5">
      <c r="B192" s="125"/>
      <c r="C192" s="125"/>
      <c r="D192" s="125"/>
      <c r="E192" s="125"/>
      <c r="F192" s="125"/>
      <c r="G192" s="125"/>
    </row>
    <row r="193" spans="2:7" ht="13.5">
      <c r="B193" s="125"/>
      <c r="C193" s="125"/>
      <c r="D193" s="125"/>
      <c r="E193" s="125"/>
      <c r="F193" s="125"/>
      <c r="G193" s="125"/>
    </row>
    <row r="194" spans="2:7" ht="13.5">
      <c r="B194" s="125"/>
      <c r="C194" s="125"/>
      <c r="D194" s="125"/>
      <c r="E194" s="125"/>
      <c r="F194" s="125"/>
      <c r="G194" s="125"/>
    </row>
    <row r="195" spans="2:7" ht="13.5">
      <c r="B195" s="125"/>
      <c r="C195" s="125"/>
      <c r="D195" s="125"/>
      <c r="E195" s="125"/>
      <c r="F195" s="125"/>
      <c r="G195" s="125"/>
    </row>
    <row r="196" spans="2:7" ht="13.5">
      <c r="B196" s="125"/>
      <c r="C196" s="125"/>
      <c r="D196" s="125"/>
      <c r="E196" s="125"/>
      <c r="F196" s="125"/>
      <c r="G196" s="125"/>
    </row>
    <row r="197" spans="2:7" ht="13.5">
      <c r="B197" s="125"/>
      <c r="C197" s="125"/>
      <c r="D197" s="125"/>
      <c r="E197" s="125"/>
      <c r="F197" s="125"/>
      <c r="G197" s="125"/>
    </row>
    <row r="198" spans="2:7" ht="13.5">
      <c r="B198" s="125"/>
      <c r="C198" s="125"/>
      <c r="D198" s="125"/>
      <c r="E198" s="125"/>
      <c r="F198" s="125"/>
      <c r="G198" s="125"/>
    </row>
    <row r="199" spans="2:7" ht="13.5">
      <c r="B199" s="125"/>
      <c r="C199" s="125"/>
      <c r="D199" s="125"/>
      <c r="E199" s="125"/>
      <c r="F199" s="125"/>
      <c r="G199" s="125"/>
    </row>
    <row r="200" spans="2:7" ht="13.5">
      <c r="B200" s="125"/>
      <c r="C200" s="125"/>
      <c r="D200" s="125"/>
      <c r="E200" s="125"/>
      <c r="F200" s="125"/>
      <c r="G200" s="125"/>
    </row>
    <row r="201" spans="2:7" ht="13.5">
      <c r="B201" s="125"/>
      <c r="C201" s="125"/>
      <c r="D201" s="125"/>
      <c r="E201" s="125"/>
      <c r="F201" s="125"/>
      <c r="G201" s="125"/>
    </row>
    <row r="202" spans="2:7" ht="13.5">
      <c r="B202" s="125"/>
      <c r="C202" s="125"/>
      <c r="D202" s="125"/>
      <c r="E202" s="125"/>
      <c r="F202" s="125"/>
      <c r="G202" s="125"/>
    </row>
    <row r="203" spans="2:7" ht="13.5">
      <c r="B203" s="125"/>
      <c r="C203" s="125"/>
      <c r="D203" s="125"/>
      <c r="E203" s="125"/>
      <c r="F203" s="125"/>
      <c r="G203" s="125"/>
    </row>
    <row r="204" spans="2:7" ht="13.5">
      <c r="B204" s="125"/>
      <c r="C204" s="125"/>
      <c r="D204" s="125"/>
      <c r="E204" s="125"/>
      <c r="F204" s="125"/>
      <c r="G204" s="125"/>
    </row>
    <row r="205" spans="2:7" ht="13.5">
      <c r="B205" s="125"/>
      <c r="C205" s="125"/>
      <c r="D205" s="125"/>
      <c r="E205" s="125"/>
      <c r="F205" s="125"/>
      <c r="G205" s="125"/>
    </row>
    <row r="206" spans="2:7" ht="13.5">
      <c r="B206" s="125"/>
      <c r="C206" s="125"/>
      <c r="D206" s="125"/>
      <c r="E206" s="125"/>
      <c r="F206" s="125"/>
      <c r="G206" s="125"/>
    </row>
    <row r="207" spans="2:7" ht="13.5">
      <c r="B207" s="125"/>
      <c r="C207" s="125"/>
      <c r="D207" s="125"/>
      <c r="E207" s="125"/>
      <c r="F207" s="125"/>
      <c r="G207" s="125"/>
    </row>
    <row r="208" spans="2:7" ht="13.5">
      <c r="B208" s="125"/>
      <c r="C208" s="125"/>
      <c r="D208" s="125"/>
      <c r="E208" s="125"/>
      <c r="F208" s="125"/>
      <c r="G208" s="125"/>
    </row>
    <row r="209" spans="2:7" ht="13.5">
      <c r="B209" s="125"/>
      <c r="C209" s="125"/>
      <c r="D209" s="125"/>
      <c r="E209" s="125"/>
      <c r="F209" s="125"/>
      <c r="G209" s="125"/>
    </row>
    <row r="210" spans="2:7" ht="13.5">
      <c r="B210" s="125"/>
      <c r="C210" s="125"/>
      <c r="D210" s="125"/>
      <c r="E210" s="125"/>
      <c r="F210" s="125"/>
      <c r="G210" s="125"/>
    </row>
    <row r="211" spans="2:7" ht="13.5">
      <c r="B211" s="125"/>
      <c r="C211" s="125"/>
      <c r="D211" s="125"/>
      <c r="E211" s="125"/>
      <c r="F211" s="125"/>
      <c r="G211" s="125"/>
    </row>
    <row r="212" spans="2:7" ht="13.5">
      <c r="B212" s="125"/>
      <c r="C212" s="125"/>
      <c r="D212" s="125"/>
      <c r="E212" s="125"/>
      <c r="F212" s="125"/>
      <c r="G212" s="125"/>
    </row>
    <row r="213" spans="2:7" ht="13.5">
      <c r="B213" s="125"/>
      <c r="C213" s="125"/>
      <c r="D213" s="125"/>
      <c r="E213" s="125"/>
      <c r="F213" s="125"/>
      <c r="G213" s="125"/>
    </row>
    <row r="214" spans="2:7" ht="13.5">
      <c r="B214" s="125"/>
      <c r="C214" s="125"/>
      <c r="D214" s="125"/>
      <c r="E214" s="125"/>
      <c r="F214" s="125"/>
      <c r="G214" s="125"/>
    </row>
    <row r="215" spans="2:7" ht="13.5">
      <c r="B215" s="125"/>
      <c r="C215" s="125"/>
      <c r="D215" s="125"/>
      <c r="E215" s="125"/>
      <c r="F215" s="125"/>
      <c r="G215" s="125"/>
    </row>
    <row r="216" spans="2:7" ht="13.5">
      <c r="B216" s="125"/>
      <c r="C216" s="125"/>
      <c r="D216" s="125"/>
      <c r="E216" s="125"/>
      <c r="F216" s="125"/>
      <c r="G216" s="125"/>
    </row>
    <row r="217" spans="2:7" ht="13.5">
      <c r="B217" s="125"/>
      <c r="C217" s="125"/>
      <c r="D217" s="125"/>
      <c r="E217" s="125"/>
      <c r="F217" s="125"/>
      <c r="G217" s="125"/>
    </row>
    <row r="218" spans="2:7" ht="13.5">
      <c r="B218" s="125"/>
      <c r="C218" s="125"/>
      <c r="D218" s="125"/>
      <c r="E218" s="125"/>
      <c r="F218" s="125"/>
      <c r="G218" s="125"/>
    </row>
    <row r="219" spans="2:7" ht="13.5">
      <c r="B219" s="125"/>
      <c r="C219" s="125"/>
      <c r="D219" s="125"/>
      <c r="E219" s="125"/>
      <c r="F219" s="125"/>
      <c r="G219" s="125"/>
    </row>
    <row r="220" spans="2:7" ht="13.5">
      <c r="B220" s="125"/>
      <c r="C220" s="125"/>
      <c r="D220" s="125"/>
      <c r="E220" s="125"/>
      <c r="F220" s="125"/>
      <c r="G220" s="125"/>
    </row>
    <row r="221" spans="2:7" ht="13.5">
      <c r="B221" s="125"/>
      <c r="C221" s="125"/>
      <c r="D221" s="125"/>
      <c r="E221" s="125"/>
      <c r="F221" s="125"/>
      <c r="G221" s="125"/>
    </row>
    <row r="222" spans="2:7" ht="13.5">
      <c r="B222" s="125"/>
      <c r="C222" s="125"/>
      <c r="D222" s="125"/>
      <c r="E222" s="125"/>
      <c r="F222" s="125"/>
      <c r="G222" s="125"/>
    </row>
    <row r="223" spans="2:7" ht="13.5">
      <c r="B223" s="125"/>
      <c r="C223" s="125"/>
      <c r="D223" s="125"/>
      <c r="E223" s="125"/>
      <c r="F223" s="125"/>
      <c r="G223" s="125"/>
    </row>
    <row r="224" spans="2:7" ht="13.5">
      <c r="B224" s="125"/>
      <c r="C224" s="125"/>
      <c r="D224" s="125"/>
      <c r="E224" s="125"/>
      <c r="F224" s="125"/>
      <c r="G224" s="125"/>
    </row>
    <row r="225" spans="2:7" ht="13.5">
      <c r="B225" s="125"/>
      <c r="C225" s="125"/>
      <c r="D225" s="125"/>
      <c r="E225" s="125"/>
      <c r="F225" s="125"/>
      <c r="G225" s="125"/>
    </row>
    <row r="226" spans="2:7" ht="13.5">
      <c r="B226" s="125"/>
      <c r="C226" s="125"/>
      <c r="D226" s="125"/>
      <c r="E226" s="125"/>
      <c r="F226" s="125"/>
      <c r="G226" s="125"/>
    </row>
    <row r="227" spans="2:7" ht="13.5">
      <c r="B227" s="125"/>
      <c r="C227" s="125"/>
      <c r="D227" s="125"/>
      <c r="E227" s="125"/>
      <c r="F227" s="125"/>
      <c r="G227" s="125"/>
    </row>
    <row r="228" spans="2:7" ht="13.5">
      <c r="B228" s="125"/>
      <c r="C228" s="125"/>
      <c r="D228" s="125"/>
      <c r="E228" s="125"/>
      <c r="F228" s="125"/>
      <c r="G228" s="125"/>
    </row>
    <row r="229" spans="2:7" ht="13.5">
      <c r="B229" s="125"/>
      <c r="C229" s="125"/>
      <c r="D229" s="125"/>
      <c r="E229" s="125"/>
      <c r="F229" s="125"/>
      <c r="G229" s="125"/>
    </row>
    <row r="230" spans="2:7" ht="13.5">
      <c r="B230" s="125"/>
      <c r="C230" s="125"/>
      <c r="D230" s="125"/>
      <c r="E230" s="125"/>
      <c r="F230" s="125"/>
      <c r="G230" s="125"/>
    </row>
    <row r="231" spans="2:7" ht="13.5">
      <c r="B231" s="125"/>
      <c r="C231" s="125"/>
      <c r="D231" s="125"/>
      <c r="E231" s="125"/>
      <c r="F231" s="125"/>
      <c r="G231" s="125"/>
    </row>
    <row r="232" spans="2:7" ht="13.5">
      <c r="B232" s="125"/>
      <c r="C232" s="125"/>
      <c r="D232" s="125"/>
      <c r="E232" s="125"/>
      <c r="F232" s="125"/>
      <c r="G232" s="125"/>
    </row>
    <row r="233" spans="2:7" ht="13.5">
      <c r="B233" s="125"/>
      <c r="C233" s="125"/>
      <c r="D233" s="125"/>
      <c r="E233" s="125"/>
      <c r="F233" s="125"/>
      <c r="G233" s="125"/>
    </row>
    <row r="234" spans="2:7" ht="13.5">
      <c r="B234" s="125"/>
      <c r="C234" s="125"/>
      <c r="D234" s="125"/>
      <c r="E234" s="125"/>
      <c r="F234" s="125"/>
      <c r="G234" s="125"/>
    </row>
    <row r="235" spans="2:7" ht="13.5">
      <c r="B235" s="125"/>
      <c r="C235" s="125"/>
      <c r="D235" s="125"/>
      <c r="E235" s="125"/>
      <c r="F235" s="125"/>
      <c r="G235" s="125"/>
    </row>
    <row r="236" spans="2:7" ht="13.5">
      <c r="B236" s="125"/>
      <c r="C236" s="125"/>
      <c r="D236" s="125"/>
      <c r="E236" s="125"/>
      <c r="F236" s="125"/>
      <c r="G236" s="125"/>
    </row>
    <row r="237" spans="2:7" ht="13.5">
      <c r="B237" s="125"/>
      <c r="C237" s="125"/>
      <c r="D237" s="125"/>
      <c r="E237" s="125"/>
      <c r="F237" s="125"/>
      <c r="G237" s="125"/>
    </row>
    <row r="238" spans="2:7" ht="13.5">
      <c r="B238" s="125"/>
      <c r="C238" s="125"/>
      <c r="D238" s="125"/>
      <c r="E238" s="125"/>
      <c r="F238" s="125"/>
      <c r="G238" s="125"/>
    </row>
    <row r="239" spans="2:7" ht="13.5">
      <c r="B239" s="125"/>
      <c r="C239" s="125"/>
      <c r="D239" s="125"/>
      <c r="E239" s="125"/>
      <c r="F239" s="125"/>
      <c r="G239" s="125"/>
    </row>
    <row r="240" spans="2:7" ht="13.5">
      <c r="B240" s="125"/>
      <c r="C240" s="125"/>
      <c r="D240" s="125"/>
      <c r="E240" s="125"/>
      <c r="F240" s="125"/>
      <c r="G240" s="125"/>
    </row>
    <row r="241" spans="2:7" ht="13.5">
      <c r="B241" s="125"/>
      <c r="C241" s="125"/>
      <c r="D241" s="125"/>
      <c r="E241" s="125"/>
      <c r="F241" s="125"/>
      <c r="G241" s="125"/>
    </row>
    <row r="242" spans="2:7" ht="13.5">
      <c r="B242" s="125"/>
      <c r="C242" s="125"/>
      <c r="D242" s="125"/>
      <c r="E242" s="125"/>
      <c r="F242" s="125"/>
      <c r="G242" s="125"/>
    </row>
    <row r="243" spans="2:7" ht="13.5">
      <c r="B243" s="125"/>
      <c r="C243" s="125"/>
      <c r="D243" s="125"/>
      <c r="E243" s="125"/>
      <c r="F243" s="125"/>
      <c r="G243" s="125"/>
    </row>
    <row r="244" spans="2:7" ht="13.5">
      <c r="B244" s="125"/>
      <c r="C244" s="125"/>
      <c r="D244" s="125"/>
      <c r="E244" s="125"/>
      <c r="F244" s="125"/>
      <c r="G244" s="125"/>
    </row>
    <row r="245" spans="2:7" ht="13.5">
      <c r="B245" s="125"/>
      <c r="C245" s="125"/>
      <c r="D245" s="125"/>
      <c r="E245" s="125"/>
      <c r="F245" s="125"/>
      <c r="G245" s="125"/>
    </row>
    <row r="246" spans="2:7" ht="13.5">
      <c r="B246" s="125"/>
      <c r="C246" s="125"/>
      <c r="D246" s="125"/>
      <c r="E246" s="125"/>
      <c r="F246" s="125"/>
      <c r="G246" s="125"/>
    </row>
    <row r="247" spans="2:7" ht="13.5">
      <c r="B247" s="125"/>
      <c r="C247" s="125"/>
      <c r="D247" s="125"/>
      <c r="E247" s="125"/>
      <c r="F247" s="125"/>
      <c r="G247" s="125"/>
    </row>
    <row r="248" spans="2:7" ht="13.5">
      <c r="B248" s="125"/>
      <c r="C248" s="125"/>
      <c r="D248" s="125"/>
      <c r="E248" s="125"/>
      <c r="F248" s="125"/>
      <c r="G248" s="125"/>
    </row>
    <row r="249" spans="2:7" ht="13.5">
      <c r="B249" s="125"/>
      <c r="C249" s="125"/>
      <c r="D249" s="125"/>
      <c r="E249" s="125"/>
      <c r="F249" s="125"/>
      <c r="G249" s="125"/>
    </row>
    <row r="250" spans="2:7" ht="13.5">
      <c r="B250" s="125"/>
      <c r="C250" s="125"/>
      <c r="D250" s="125"/>
      <c r="E250" s="125"/>
      <c r="F250" s="125"/>
      <c r="G250" s="125"/>
    </row>
    <row r="251" spans="2:7" ht="13.5">
      <c r="B251" s="125"/>
      <c r="C251" s="125"/>
      <c r="D251" s="125"/>
      <c r="E251" s="125"/>
      <c r="F251" s="125"/>
      <c r="G251" s="125"/>
    </row>
    <row r="252" spans="2:7" ht="13.5">
      <c r="B252" s="125"/>
      <c r="C252" s="125"/>
      <c r="D252" s="125"/>
      <c r="E252" s="125"/>
      <c r="F252" s="125"/>
      <c r="G252" s="125"/>
    </row>
    <row r="253" spans="2:7" ht="13.5">
      <c r="B253" s="125"/>
      <c r="C253" s="125"/>
      <c r="D253" s="125"/>
      <c r="E253" s="125"/>
      <c r="F253" s="125"/>
      <c r="G253" s="125"/>
    </row>
    <row r="254" spans="2:7" ht="13.5">
      <c r="B254" s="125"/>
      <c r="C254" s="125"/>
      <c r="D254" s="125"/>
      <c r="E254" s="125"/>
      <c r="F254" s="125"/>
      <c r="G254" s="125"/>
    </row>
    <row r="255" spans="2:7" ht="13.5">
      <c r="B255" s="125"/>
      <c r="C255" s="125"/>
      <c r="D255" s="125"/>
      <c r="E255" s="125"/>
      <c r="F255" s="125"/>
      <c r="G255" s="125"/>
    </row>
    <row r="256" spans="2:7" ht="13.5">
      <c r="B256" s="125"/>
      <c r="C256" s="125"/>
      <c r="D256" s="125"/>
      <c r="E256" s="125"/>
      <c r="F256" s="125"/>
      <c r="G256" s="125"/>
    </row>
    <row r="257" spans="2:7" ht="13.5">
      <c r="B257" s="125"/>
      <c r="C257" s="125"/>
      <c r="D257" s="125"/>
      <c r="E257" s="125"/>
      <c r="F257" s="125"/>
      <c r="G257" s="125"/>
    </row>
    <row r="258" spans="2:7" ht="13.5">
      <c r="B258" s="125"/>
      <c r="C258" s="125"/>
      <c r="D258" s="125"/>
      <c r="E258" s="125"/>
      <c r="F258" s="125"/>
      <c r="G258" s="125"/>
    </row>
    <row r="259" spans="2:7" ht="13.5">
      <c r="B259" s="125"/>
      <c r="C259" s="125"/>
      <c r="D259" s="125"/>
      <c r="E259" s="125"/>
      <c r="F259" s="125"/>
      <c r="G259" s="125"/>
    </row>
    <row r="260" spans="2:7" ht="13.5">
      <c r="B260" s="125"/>
      <c r="C260" s="125"/>
      <c r="D260" s="125"/>
      <c r="E260" s="125"/>
      <c r="F260" s="125"/>
      <c r="G260" s="125"/>
    </row>
    <row r="261" spans="2:7" ht="13.5">
      <c r="B261" s="125"/>
      <c r="C261" s="125"/>
      <c r="D261" s="125"/>
      <c r="E261" s="125"/>
      <c r="F261" s="125"/>
      <c r="G261" s="125"/>
    </row>
    <row r="262" spans="2:7" ht="13.5">
      <c r="B262" s="125"/>
      <c r="C262" s="125"/>
      <c r="D262" s="125"/>
      <c r="E262" s="125"/>
      <c r="F262" s="125"/>
      <c r="G262" s="125"/>
    </row>
    <row r="263" spans="2:7" ht="13.5">
      <c r="B263" s="125"/>
      <c r="C263" s="125"/>
      <c r="D263" s="125"/>
      <c r="E263" s="125"/>
      <c r="F263" s="125"/>
      <c r="G263" s="125"/>
    </row>
    <row r="264" spans="2:7" ht="13.5">
      <c r="B264" s="125"/>
      <c r="C264" s="125"/>
      <c r="D264" s="125"/>
      <c r="E264" s="125"/>
      <c r="F264" s="125"/>
      <c r="G264" s="125"/>
    </row>
    <row r="265" spans="2:7" ht="13.5">
      <c r="B265" s="125"/>
      <c r="C265" s="125"/>
      <c r="D265" s="125"/>
      <c r="E265" s="125"/>
      <c r="F265" s="125"/>
      <c r="G265" s="125"/>
    </row>
    <row r="266" spans="2:7" ht="13.5">
      <c r="B266" s="125"/>
      <c r="C266" s="125"/>
      <c r="D266" s="125"/>
      <c r="E266" s="125"/>
      <c r="F266" s="125"/>
      <c r="G266" s="125"/>
    </row>
    <row r="267" spans="2:7" ht="13.5">
      <c r="B267" s="125"/>
      <c r="C267" s="125"/>
      <c r="D267" s="125"/>
      <c r="E267" s="125"/>
      <c r="F267" s="125"/>
      <c r="G267" s="125"/>
    </row>
    <row r="268" spans="2:7" ht="13.5">
      <c r="B268" s="125"/>
      <c r="C268" s="125"/>
      <c r="D268" s="125"/>
      <c r="E268" s="125"/>
      <c r="F268" s="125"/>
      <c r="G268" s="125"/>
    </row>
    <row r="269" spans="2:7" ht="13.5">
      <c r="B269" s="125"/>
      <c r="C269" s="125"/>
      <c r="D269" s="125"/>
      <c r="E269" s="125"/>
      <c r="F269" s="125"/>
      <c r="G269" s="125"/>
    </row>
    <row r="270" spans="2:7" ht="13.5">
      <c r="B270" s="125"/>
      <c r="C270" s="125"/>
      <c r="D270" s="125"/>
      <c r="E270" s="125"/>
      <c r="F270" s="125"/>
      <c r="G270" s="125"/>
    </row>
    <row r="271" spans="2:7" ht="13.5">
      <c r="B271" s="125"/>
      <c r="C271" s="125"/>
      <c r="D271" s="125"/>
      <c r="E271" s="125"/>
      <c r="F271" s="125"/>
      <c r="G271" s="125"/>
    </row>
    <row r="272" spans="2:7" ht="13.5">
      <c r="B272" s="125"/>
      <c r="C272" s="125"/>
      <c r="D272" s="125"/>
      <c r="E272" s="125"/>
      <c r="F272" s="125"/>
      <c r="G272" s="125"/>
    </row>
    <row r="273" spans="2:7" ht="13.5">
      <c r="B273" s="125"/>
      <c r="C273" s="125"/>
      <c r="D273" s="125"/>
      <c r="E273" s="125"/>
      <c r="F273" s="125"/>
      <c r="G273" s="125"/>
    </row>
    <row r="274" spans="2:7" ht="13.5">
      <c r="B274" s="125"/>
      <c r="C274" s="125"/>
      <c r="D274" s="125"/>
      <c r="E274" s="125"/>
      <c r="F274" s="125"/>
      <c r="G274" s="125"/>
    </row>
    <row r="275" spans="2:7" ht="13.5">
      <c r="B275" s="125"/>
      <c r="C275" s="125"/>
      <c r="D275" s="125"/>
      <c r="E275" s="125"/>
      <c r="F275" s="125"/>
      <c r="G275" s="125"/>
    </row>
    <row r="276" spans="2:7" ht="13.5">
      <c r="B276" s="125"/>
      <c r="C276" s="125"/>
      <c r="D276" s="125"/>
      <c r="E276" s="125"/>
      <c r="F276" s="125"/>
      <c r="G276" s="125"/>
    </row>
    <row r="277" spans="2:7" ht="13.5">
      <c r="B277" s="125"/>
      <c r="C277" s="125"/>
      <c r="D277" s="125"/>
      <c r="E277" s="125"/>
      <c r="F277" s="125"/>
      <c r="G277" s="125"/>
    </row>
    <row r="278" spans="2:7" ht="13.5">
      <c r="B278" s="125"/>
      <c r="C278" s="125"/>
      <c r="D278" s="125"/>
      <c r="E278" s="125"/>
      <c r="F278" s="125"/>
      <c r="G278" s="125"/>
    </row>
    <row r="279" spans="2:7" ht="13.5">
      <c r="B279" s="125"/>
      <c r="C279" s="125"/>
      <c r="D279" s="125"/>
      <c r="E279" s="125"/>
      <c r="F279" s="125"/>
      <c r="G279" s="125"/>
    </row>
    <row r="280" spans="2:7" ht="13.5">
      <c r="B280" s="125"/>
      <c r="C280" s="125"/>
      <c r="D280" s="125"/>
      <c r="E280" s="125"/>
      <c r="F280" s="125"/>
      <c r="G280" s="125"/>
    </row>
    <row r="281" spans="2:7" ht="13.5">
      <c r="B281" s="125"/>
      <c r="C281" s="125"/>
      <c r="D281" s="125"/>
      <c r="E281" s="125"/>
      <c r="F281" s="125"/>
      <c r="G281" s="125"/>
    </row>
    <row r="282" spans="2:7" ht="13.5">
      <c r="B282" s="125"/>
      <c r="C282" s="125"/>
      <c r="D282" s="125"/>
      <c r="E282" s="125"/>
      <c r="F282" s="125"/>
      <c r="G282" s="125"/>
    </row>
    <row r="283" spans="2:7" ht="13.5">
      <c r="B283" s="125"/>
      <c r="C283" s="125"/>
      <c r="D283" s="125"/>
      <c r="E283" s="125"/>
      <c r="F283" s="125"/>
      <c r="G283" s="125"/>
    </row>
    <row r="284" spans="2:7" ht="13.5">
      <c r="B284" s="125"/>
      <c r="C284" s="125"/>
      <c r="D284" s="125"/>
      <c r="E284" s="125"/>
      <c r="F284" s="125"/>
      <c r="G284" s="125"/>
    </row>
    <row r="285" spans="2:7" ht="13.5">
      <c r="B285" s="125"/>
      <c r="C285" s="125"/>
      <c r="D285" s="125"/>
      <c r="E285" s="125"/>
      <c r="F285" s="125"/>
      <c r="G285" s="125"/>
    </row>
    <row r="286" spans="2:7" ht="13.5">
      <c r="B286" s="125"/>
      <c r="C286" s="125"/>
      <c r="D286" s="125"/>
      <c r="E286" s="125"/>
      <c r="F286" s="125"/>
      <c r="G286" s="125"/>
    </row>
    <row r="287" spans="2:7" ht="13.5">
      <c r="B287" s="125"/>
      <c r="C287" s="125"/>
      <c r="D287" s="125"/>
      <c r="E287" s="125"/>
      <c r="F287" s="125"/>
      <c r="G287" s="125"/>
    </row>
    <row r="288" spans="2:7" ht="13.5">
      <c r="B288" s="125"/>
      <c r="C288" s="125"/>
      <c r="D288" s="125"/>
      <c r="E288" s="125"/>
      <c r="F288" s="125"/>
      <c r="G288" s="125"/>
    </row>
    <row r="289" spans="2:7" ht="13.5">
      <c r="B289" s="125"/>
      <c r="C289" s="125"/>
      <c r="D289" s="125"/>
      <c r="E289" s="125"/>
      <c r="F289" s="125"/>
      <c r="G289" s="125"/>
    </row>
    <row r="290" spans="2:7" ht="13.5">
      <c r="B290" s="125"/>
      <c r="C290" s="125"/>
      <c r="D290" s="125"/>
      <c r="E290" s="125"/>
      <c r="F290" s="125"/>
      <c r="G290" s="125"/>
    </row>
    <row r="291" spans="2:7" ht="13.5">
      <c r="B291" s="125"/>
      <c r="C291" s="125"/>
      <c r="D291" s="125"/>
      <c r="E291" s="125"/>
      <c r="F291" s="125"/>
      <c r="G291" s="125"/>
    </row>
    <row r="292" spans="2:7" ht="13.5">
      <c r="B292" s="125"/>
      <c r="C292" s="125"/>
      <c r="D292" s="125"/>
      <c r="E292" s="125"/>
      <c r="F292" s="125"/>
      <c r="G292" s="125"/>
    </row>
    <row r="293" spans="2:7" ht="13.5">
      <c r="B293" s="125"/>
      <c r="C293" s="125"/>
      <c r="D293" s="125"/>
      <c r="E293" s="125"/>
      <c r="F293" s="125"/>
      <c r="G293" s="125"/>
    </row>
    <row r="294" spans="2:7" ht="13.5">
      <c r="B294" s="125"/>
      <c r="C294" s="125"/>
      <c r="D294" s="125"/>
      <c r="E294" s="125"/>
      <c r="F294" s="125"/>
      <c r="G294" s="125"/>
    </row>
    <row r="295" spans="2:7" ht="13.5">
      <c r="B295" s="125"/>
      <c r="C295" s="125"/>
      <c r="D295" s="125"/>
      <c r="E295" s="125"/>
      <c r="F295" s="125"/>
      <c r="G295" s="125"/>
    </row>
    <row r="296" spans="2:7" ht="13.5">
      <c r="B296" s="125"/>
      <c r="C296" s="125"/>
      <c r="D296" s="125"/>
      <c r="E296" s="125"/>
      <c r="F296" s="125"/>
      <c r="G296" s="125"/>
    </row>
    <row r="297" spans="2:7" ht="13.5">
      <c r="B297" s="125"/>
      <c r="C297" s="125"/>
      <c r="D297" s="125"/>
      <c r="E297" s="125"/>
      <c r="F297" s="125"/>
      <c r="G297" s="125"/>
    </row>
    <row r="298" spans="2:7" ht="13.5">
      <c r="B298" s="125"/>
      <c r="C298" s="125"/>
      <c r="D298" s="125"/>
      <c r="E298" s="125"/>
      <c r="F298" s="125"/>
      <c r="G298" s="125"/>
    </row>
    <row r="299" spans="2:7" ht="13.5">
      <c r="B299" s="125"/>
      <c r="C299" s="125"/>
      <c r="D299" s="125"/>
      <c r="E299" s="125"/>
      <c r="F299" s="125"/>
      <c r="G299" s="125"/>
    </row>
    <row r="300" spans="2:7" ht="13.5">
      <c r="B300" s="125"/>
      <c r="C300" s="125"/>
      <c r="D300" s="125"/>
      <c r="E300" s="125"/>
      <c r="F300" s="125"/>
      <c r="G300" s="125"/>
    </row>
    <row r="301" spans="2:7" ht="13.5">
      <c r="B301" s="125"/>
      <c r="C301" s="125"/>
      <c r="D301" s="125"/>
      <c r="E301" s="125"/>
      <c r="F301" s="125"/>
      <c r="G301" s="125"/>
    </row>
    <row r="302" spans="2:7" ht="13.5">
      <c r="B302" s="125"/>
      <c r="C302" s="125"/>
      <c r="D302" s="125"/>
      <c r="E302" s="125"/>
      <c r="F302" s="125"/>
      <c r="G302" s="125"/>
    </row>
    <row r="303" spans="2:7" ht="13.5">
      <c r="B303" s="125"/>
      <c r="C303" s="125"/>
      <c r="D303" s="125"/>
      <c r="E303" s="125"/>
      <c r="F303" s="125"/>
      <c r="G303" s="125"/>
    </row>
    <row r="304" spans="2:7" ht="13.5">
      <c r="B304" s="125"/>
      <c r="C304" s="125"/>
      <c r="D304" s="125"/>
      <c r="E304" s="125"/>
      <c r="F304" s="125"/>
      <c r="G304" s="125"/>
    </row>
    <row r="305" spans="2:7" ht="13.5">
      <c r="B305" s="125"/>
      <c r="C305" s="125"/>
      <c r="D305" s="125"/>
      <c r="E305" s="125"/>
      <c r="F305" s="125"/>
      <c r="G305" s="125"/>
    </row>
    <row r="306" spans="2:7" ht="13.5">
      <c r="B306" s="125"/>
      <c r="C306" s="125"/>
      <c r="D306" s="125"/>
      <c r="E306" s="125"/>
      <c r="F306" s="125"/>
      <c r="G306" s="125"/>
    </row>
    <row r="307" spans="2:7" ht="13.5">
      <c r="B307" s="125"/>
      <c r="C307" s="125"/>
      <c r="D307" s="125"/>
      <c r="E307" s="125"/>
      <c r="F307" s="125"/>
      <c r="G307" s="125"/>
    </row>
    <row r="308" spans="2:7" ht="13.5">
      <c r="B308" s="125"/>
      <c r="C308" s="125"/>
      <c r="D308" s="125"/>
      <c r="E308" s="125"/>
      <c r="F308" s="125"/>
      <c r="G308" s="125"/>
    </row>
    <row r="309" spans="2:7" ht="13.5">
      <c r="B309" s="125"/>
      <c r="C309" s="125"/>
      <c r="D309" s="125"/>
      <c r="E309" s="125"/>
      <c r="F309" s="125"/>
      <c r="G309" s="125"/>
    </row>
    <row r="310" spans="2:7" ht="13.5">
      <c r="B310" s="125"/>
      <c r="C310" s="125"/>
      <c r="D310" s="125"/>
      <c r="E310" s="125"/>
      <c r="F310" s="125"/>
      <c r="G310" s="125"/>
    </row>
    <row r="311" spans="2:7" ht="13.5">
      <c r="B311" s="125"/>
      <c r="C311" s="125"/>
      <c r="D311" s="125"/>
      <c r="E311" s="125"/>
      <c r="F311" s="125"/>
      <c r="G311" s="125"/>
    </row>
    <row r="312" spans="2:7" ht="13.5">
      <c r="B312" s="125"/>
      <c r="C312" s="125"/>
      <c r="D312" s="125"/>
      <c r="E312" s="125"/>
      <c r="F312" s="125"/>
      <c r="G312" s="125"/>
    </row>
    <row r="313" spans="2:7" ht="13.5">
      <c r="B313" s="125"/>
      <c r="C313" s="125"/>
      <c r="D313" s="125"/>
      <c r="E313" s="125"/>
      <c r="F313" s="125"/>
      <c r="G313" s="125"/>
    </row>
    <row r="314" spans="2:7" ht="13.5">
      <c r="B314" s="125"/>
      <c r="C314" s="125"/>
      <c r="D314" s="125"/>
      <c r="E314" s="125"/>
      <c r="F314" s="125"/>
      <c r="G314" s="125"/>
    </row>
    <row r="315" spans="2:7" ht="13.5">
      <c r="B315" s="125"/>
      <c r="C315" s="125"/>
      <c r="D315" s="125"/>
      <c r="E315" s="125"/>
      <c r="F315" s="125"/>
      <c r="G315" s="125"/>
    </row>
    <row r="316" spans="2:7" ht="13.5">
      <c r="B316" s="125"/>
      <c r="C316" s="125"/>
      <c r="D316" s="125"/>
      <c r="E316" s="125"/>
      <c r="F316" s="125"/>
      <c r="G316" s="125"/>
    </row>
    <row r="317" spans="2:7" ht="13.5">
      <c r="B317" s="125"/>
      <c r="C317" s="125"/>
      <c r="D317" s="125"/>
      <c r="E317" s="125"/>
      <c r="F317" s="125"/>
      <c r="G317" s="125"/>
    </row>
    <row r="318" spans="2:7" ht="13.5">
      <c r="B318" s="125"/>
      <c r="C318" s="125"/>
      <c r="D318" s="125"/>
      <c r="E318" s="125"/>
      <c r="F318" s="125"/>
      <c r="G318" s="125"/>
    </row>
    <row r="319" spans="2:7" ht="13.5">
      <c r="B319" s="125"/>
      <c r="C319" s="125"/>
      <c r="D319" s="125"/>
      <c r="E319" s="125"/>
      <c r="F319" s="125"/>
      <c r="G319" s="125"/>
    </row>
    <row r="320" spans="2:7" ht="13.5">
      <c r="B320" s="125"/>
      <c r="C320" s="125"/>
      <c r="D320" s="125"/>
      <c r="E320" s="125"/>
      <c r="F320" s="125"/>
      <c r="G320" s="125"/>
    </row>
    <row r="321" spans="2:7" ht="13.5">
      <c r="B321" s="125"/>
      <c r="C321" s="125"/>
      <c r="D321" s="125"/>
      <c r="E321" s="125"/>
      <c r="F321" s="125"/>
      <c r="G321" s="125"/>
    </row>
    <row r="322" spans="2:7" ht="13.5">
      <c r="B322" s="125"/>
      <c r="C322" s="125"/>
      <c r="D322" s="125"/>
      <c r="E322" s="125"/>
      <c r="F322" s="125"/>
      <c r="G322" s="125"/>
    </row>
    <row r="323" spans="2:7" ht="13.5">
      <c r="B323" s="125"/>
      <c r="C323" s="125"/>
      <c r="D323" s="125"/>
      <c r="E323" s="125"/>
      <c r="F323" s="125"/>
      <c r="G323" s="125"/>
    </row>
    <row r="324" spans="2:7" ht="13.5">
      <c r="B324" s="125"/>
      <c r="C324" s="125"/>
      <c r="D324" s="125"/>
      <c r="E324" s="125"/>
      <c r="F324" s="125"/>
      <c r="G324" s="125"/>
    </row>
    <row r="325" spans="2:7" ht="13.5">
      <c r="B325" s="125"/>
      <c r="C325" s="125"/>
      <c r="D325" s="125"/>
      <c r="E325" s="125"/>
      <c r="F325" s="125"/>
      <c r="G325" s="125"/>
    </row>
    <row r="326" spans="2:7" ht="13.5">
      <c r="B326" s="125"/>
      <c r="C326" s="125"/>
      <c r="D326" s="125"/>
      <c r="E326" s="125"/>
      <c r="F326" s="125"/>
      <c r="G326" s="125"/>
    </row>
    <row r="327" spans="2:7" ht="13.5">
      <c r="B327" s="125"/>
      <c r="C327" s="125"/>
      <c r="D327" s="125"/>
      <c r="E327" s="125"/>
      <c r="F327" s="125"/>
      <c r="G327" s="125"/>
    </row>
    <row r="328" spans="2:7" ht="13.5">
      <c r="B328" s="125"/>
      <c r="C328" s="125"/>
      <c r="D328" s="125"/>
      <c r="E328" s="125"/>
      <c r="F328" s="125"/>
      <c r="G328" s="125"/>
    </row>
    <row r="329" spans="2:7" ht="13.5">
      <c r="B329" s="125"/>
      <c r="C329" s="125"/>
      <c r="D329" s="125"/>
      <c r="E329" s="125"/>
      <c r="F329" s="125"/>
      <c r="G329" s="125"/>
    </row>
    <row r="330" spans="2:7" ht="13.5">
      <c r="B330" s="125"/>
      <c r="C330" s="125"/>
      <c r="D330" s="125"/>
      <c r="E330" s="125"/>
      <c r="F330" s="125"/>
      <c r="G330" s="125"/>
    </row>
    <row r="331" spans="2:7" ht="13.5">
      <c r="B331" s="125"/>
      <c r="C331" s="125"/>
      <c r="D331" s="125"/>
      <c r="E331" s="125"/>
      <c r="F331" s="125"/>
      <c r="G331" s="125"/>
    </row>
    <row r="332" spans="2:7" ht="13.5">
      <c r="B332" s="125"/>
      <c r="C332" s="125"/>
      <c r="D332" s="125"/>
      <c r="E332" s="125"/>
      <c r="F332" s="125"/>
      <c r="G332" s="125"/>
    </row>
    <row r="333" spans="2:7" ht="13.5">
      <c r="B333" s="125"/>
      <c r="C333" s="125"/>
      <c r="D333" s="125"/>
      <c r="E333" s="125"/>
      <c r="F333" s="125"/>
      <c r="G333" s="125"/>
    </row>
    <row r="334" spans="2:7" ht="13.5">
      <c r="B334" s="125"/>
      <c r="C334" s="125"/>
      <c r="D334" s="125"/>
      <c r="E334" s="125"/>
      <c r="F334" s="125"/>
      <c r="G334" s="125"/>
    </row>
    <row r="335" spans="2:7" ht="13.5">
      <c r="B335" s="125"/>
      <c r="C335" s="125"/>
      <c r="D335" s="125"/>
      <c r="E335" s="125"/>
      <c r="F335" s="125"/>
      <c r="G335" s="125"/>
    </row>
    <row r="336" spans="2:7" ht="13.5">
      <c r="B336" s="125"/>
      <c r="C336" s="125"/>
      <c r="D336" s="125"/>
      <c r="E336" s="125"/>
      <c r="F336" s="125"/>
      <c r="G336" s="125"/>
    </row>
    <row r="337" spans="2:7" ht="13.5">
      <c r="B337" s="125"/>
      <c r="C337" s="125"/>
      <c r="D337" s="125"/>
      <c r="E337" s="125"/>
      <c r="F337" s="125"/>
      <c r="G337" s="125"/>
    </row>
    <row r="338" spans="2:7" ht="13.5">
      <c r="B338" s="125"/>
      <c r="C338" s="125"/>
      <c r="D338" s="125"/>
      <c r="E338" s="125"/>
      <c r="F338" s="125"/>
      <c r="G338" s="125"/>
    </row>
    <row r="339" spans="2:7" ht="13.5">
      <c r="B339" s="125"/>
      <c r="C339" s="125"/>
      <c r="D339" s="125"/>
      <c r="E339" s="125"/>
      <c r="F339" s="125"/>
      <c r="G339" s="125"/>
    </row>
    <row r="340" spans="2:7" ht="13.5">
      <c r="B340" s="125"/>
      <c r="C340" s="125"/>
      <c r="D340" s="125"/>
      <c r="E340" s="125"/>
      <c r="F340" s="125"/>
      <c r="G340" s="125"/>
    </row>
    <row r="341" spans="2:7" ht="13.5">
      <c r="B341" s="125"/>
      <c r="C341" s="125"/>
      <c r="D341" s="125"/>
      <c r="E341" s="125"/>
      <c r="F341" s="125"/>
      <c r="G341" s="125"/>
    </row>
    <row r="342" spans="2:7" ht="13.5">
      <c r="B342" s="125"/>
      <c r="C342" s="125"/>
      <c r="D342" s="125"/>
      <c r="E342" s="125"/>
      <c r="F342" s="125"/>
      <c r="G342" s="125"/>
    </row>
    <row r="343" spans="2:7" ht="13.5">
      <c r="B343" s="125"/>
      <c r="C343" s="125"/>
      <c r="D343" s="125"/>
      <c r="E343" s="125"/>
      <c r="F343" s="125"/>
      <c r="G343" s="125"/>
    </row>
    <row r="344" spans="2:7" ht="13.5">
      <c r="B344" s="125"/>
      <c r="C344" s="125"/>
      <c r="D344" s="125"/>
      <c r="E344" s="125"/>
      <c r="F344" s="125"/>
      <c r="G344" s="125"/>
    </row>
    <row r="345" spans="2:7" ht="13.5">
      <c r="B345" s="125"/>
      <c r="C345" s="125"/>
      <c r="D345" s="125"/>
      <c r="E345" s="125"/>
      <c r="F345" s="125"/>
      <c r="G345" s="125"/>
    </row>
    <row r="346" spans="2:7" ht="13.5">
      <c r="B346" s="125"/>
      <c r="C346" s="125"/>
      <c r="D346" s="125"/>
      <c r="E346" s="125"/>
      <c r="F346" s="125"/>
      <c r="G346" s="125"/>
    </row>
    <row r="347" spans="2:7" ht="13.5">
      <c r="B347" s="125"/>
      <c r="C347" s="125"/>
      <c r="D347" s="125"/>
      <c r="E347" s="125"/>
      <c r="F347" s="125"/>
      <c r="G347" s="125"/>
    </row>
    <row r="348" spans="2:7" ht="13.5">
      <c r="B348" s="125"/>
      <c r="C348" s="125"/>
      <c r="D348" s="125"/>
      <c r="E348" s="125"/>
      <c r="F348" s="125"/>
      <c r="G348" s="125"/>
    </row>
    <row r="349" spans="2:7" ht="13.5">
      <c r="B349" s="125"/>
      <c r="C349" s="125"/>
      <c r="D349" s="125"/>
      <c r="E349" s="125"/>
      <c r="F349" s="125"/>
      <c r="G349" s="125"/>
    </row>
    <row r="350" spans="2:7" ht="13.5">
      <c r="B350" s="125"/>
      <c r="C350" s="125"/>
      <c r="D350" s="125"/>
      <c r="E350" s="125"/>
      <c r="F350" s="125"/>
      <c r="G350" s="125"/>
    </row>
    <row r="351" spans="2:7" ht="13.5">
      <c r="B351" s="125"/>
      <c r="C351" s="125"/>
      <c r="D351" s="125"/>
      <c r="E351" s="125"/>
      <c r="F351" s="125"/>
      <c r="G351" s="125"/>
    </row>
    <row r="352" spans="2:7" ht="13.5">
      <c r="B352" s="125"/>
      <c r="C352" s="125"/>
      <c r="D352" s="125"/>
      <c r="E352" s="125"/>
      <c r="F352" s="125"/>
      <c r="G352" s="125"/>
    </row>
    <row r="353" spans="2:7" ht="13.5">
      <c r="B353" s="125"/>
      <c r="C353" s="125"/>
      <c r="D353" s="125"/>
      <c r="E353" s="125"/>
      <c r="F353" s="125"/>
      <c r="G353" s="125"/>
    </row>
    <row r="354" spans="2:7" ht="13.5">
      <c r="B354" s="125"/>
      <c r="C354" s="125"/>
      <c r="D354" s="125"/>
      <c r="E354" s="125"/>
      <c r="F354" s="125"/>
      <c r="G354" s="125"/>
    </row>
    <row r="355" spans="2:7" ht="13.5">
      <c r="B355" s="125"/>
      <c r="C355" s="125"/>
      <c r="D355" s="125"/>
      <c r="E355" s="125"/>
      <c r="F355" s="125"/>
      <c r="G355" s="125"/>
    </row>
    <row r="356" spans="2:7" ht="13.5">
      <c r="B356" s="125"/>
      <c r="C356" s="125"/>
      <c r="D356" s="125"/>
      <c r="E356" s="125"/>
      <c r="F356" s="125"/>
      <c r="G356" s="125"/>
    </row>
    <row r="357" spans="2:7" ht="13.5">
      <c r="B357" s="125"/>
      <c r="C357" s="125"/>
      <c r="D357" s="125"/>
      <c r="E357" s="125"/>
      <c r="F357" s="125"/>
      <c r="G357" s="125"/>
    </row>
    <row r="358" spans="2:7" ht="13.5">
      <c r="B358" s="125"/>
      <c r="C358" s="125"/>
      <c r="D358" s="125"/>
      <c r="E358" s="125"/>
      <c r="F358" s="125"/>
      <c r="G358" s="125"/>
    </row>
    <row r="359" spans="2:7" ht="13.5">
      <c r="B359" s="125"/>
      <c r="C359" s="125"/>
      <c r="D359" s="125"/>
      <c r="E359" s="125"/>
      <c r="F359" s="125"/>
      <c r="G359" s="125"/>
    </row>
    <row r="360" spans="2:7" ht="13.5">
      <c r="B360" s="125"/>
      <c r="C360" s="125"/>
      <c r="D360" s="125"/>
      <c r="E360" s="125"/>
      <c r="F360" s="125"/>
      <c r="G360" s="125"/>
    </row>
    <row r="361" spans="2:7" ht="13.5">
      <c r="B361" s="125"/>
      <c r="C361" s="125"/>
      <c r="D361" s="125"/>
      <c r="E361" s="125"/>
      <c r="F361" s="125"/>
      <c r="G361" s="125"/>
    </row>
    <row r="362" spans="2:7" ht="13.5">
      <c r="B362" s="125"/>
      <c r="C362" s="125"/>
      <c r="D362" s="125"/>
      <c r="E362" s="125"/>
      <c r="F362" s="125"/>
      <c r="G362" s="125"/>
    </row>
    <row r="363" spans="2:7" ht="13.5">
      <c r="B363" s="125"/>
      <c r="C363" s="125"/>
      <c r="D363" s="125"/>
      <c r="E363" s="125"/>
      <c r="F363" s="125"/>
      <c r="G363" s="125"/>
    </row>
    <row r="364" spans="2:7" ht="13.5">
      <c r="B364" s="125"/>
      <c r="C364" s="125"/>
      <c r="D364" s="125"/>
      <c r="E364" s="125"/>
      <c r="F364" s="125"/>
      <c r="G364" s="125"/>
    </row>
    <row r="365" spans="2:7" ht="13.5">
      <c r="B365" s="125"/>
      <c r="C365" s="125"/>
      <c r="D365" s="125"/>
      <c r="E365" s="125"/>
      <c r="F365" s="125"/>
      <c r="G365" s="125"/>
    </row>
    <row r="366" spans="2:7" ht="13.5">
      <c r="B366" s="125"/>
      <c r="C366" s="125"/>
      <c r="D366" s="125"/>
      <c r="E366" s="125"/>
      <c r="F366" s="125"/>
      <c r="G366" s="125"/>
    </row>
    <row r="367" spans="2:7" ht="13.5">
      <c r="B367" s="125"/>
      <c r="C367" s="125"/>
      <c r="D367" s="125"/>
      <c r="E367" s="125"/>
      <c r="F367" s="125"/>
      <c r="G367" s="125"/>
    </row>
    <row r="368" spans="2:7" ht="13.5">
      <c r="B368" s="125"/>
      <c r="C368" s="125"/>
      <c r="D368" s="125"/>
      <c r="E368" s="125"/>
      <c r="F368" s="125"/>
      <c r="G368" s="125"/>
    </row>
    <row r="369" spans="2:7" ht="13.5">
      <c r="B369" s="125"/>
      <c r="C369" s="125"/>
      <c r="D369" s="125"/>
      <c r="E369" s="125"/>
      <c r="F369" s="125"/>
      <c r="G369" s="125"/>
    </row>
    <row r="370" spans="2:7" ht="13.5">
      <c r="B370" s="125"/>
      <c r="C370" s="125"/>
      <c r="D370" s="125"/>
      <c r="E370" s="125"/>
      <c r="F370" s="125"/>
      <c r="G370" s="125"/>
    </row>
    <row r="371" spans="2:7" ht="13.5">
      <c r="B371" s="125"/>
      <c r="C371" s="125"/>
      <c r="D371" s="125"/>
      <c r="E371" s="125"/>
      <c r="F371" s="125"/>
      <c r="G371" s="125"/>
    </row>
    <row r="372" spans="2:7" ht="13.5">
      <c r="B372" s="125"/>
      <c r="C372" s="125"/>
      <c r="D372" s="125"/>
      <c r="E372" s="125"/>
      <c r="F372" s="125"/>
      <c r="G372" s="125"/>
    </row>
    <row r="373" spans="2:7" ht="13.5">
      <c r="B373" s="125"/>
      <c r="C373" s="125"/>
      <c r="D373" s="125"/>
      <c r="E373" s="125"/>
      <c r="F373" s="125"/>
      <c r="G373" s="125"/>
    </row>
    <row r="374" spans="2:7" ht="13.5">
      <c r="B374" s="125"/>
      <c r="C374" s="125"/>
      <c r="D374" s="125"/>
      <c r="E374" s="125"/>
      <c r="F374" s="125"/>
      <c r="G374" s="125"/>
    </row>
    <row r="375" spans="2:7" ht="13.5">
      <c r="B375" s="125"/>
      <c r="C375" s="125"/>
      <c r="D375" s="125"/>
      <c r="E375" s="125"/>
      <c r="F375" s="125"/>
      <c r="G375" s="125"/>
    </row>
    <row r="376" spans="2:7" ht="13.5">
      <c r="B376" s="125"/>
      <c r="C376" s="125"/>
      <c r="D376" s="125"/>
      <c r="E376" s="125"/>
      <c r="F376" s="125"/>
      <c r="G376" s="125"/>
    </row>
    <row r="377" spans="2:7" ht="13.5">
      <c r="B377" s="125"/>
      <c r="C377" s="125"/>
      <c r="D377" s="125"/>
      <c r="E377" s="125"/>
      <c r="F377" s="125"/>
      <c r="G377" s="125"/>
    </row>
    <row r="378" spans="2:7" ht="13.5">
      <c r="B378" s="125"/>
      <c r="C378" s="125"/>
      <c r="D378" s="125"/>
      <c r="E378" s="125"/>
      <c r="F378" s="125"/>
      <c r="G378" s="125"/>
    </row>
    <row r="379" spans="2:7" ht="13.5">
      <c r="B379" s="125"/>
      <c r="C379" s="125"/>
      <c r="D379" s="125"/>
      <c r="E379" s="125"/>
      <c r="F379" s="125"/>
      <c r="G379" s="125"/>
    </row>
    <row r="380" spans="2:7" ht="13.5">
      <c r="B380" s="125"/>
      <c r="C380" s="125"/>
      <c r="D380" s="125"/>
      <c r="E380" s="125"/>
      <c r="F380" s="125"/>
      <c r="G380" s="125"/>
    </row>
    <row r="381" spans="2:7" ht="13.5">
      <c r="B381" s="125"/>
      <c r="C381" s="125"/>
      <c r="D381" s="125"/>
      <c r="E381" s="125"/>
      <c r="F381" s="125"/>
      <c r="G381" s="125"/>
    </row>
    <row r="382" spans="2:7" ht="13.5">
      <c r="B382" s="125"/>
      <c r="C382" s="125"/>
      <c r="D382" s="125"/>
      <c r="E382" s="125"/>
      <c r="F382" s="125"/>
      <c r="G382" s="125"/>
    </row>
    <row r="383" spans="2:7" ht="13.5">
      <c r="B383" s="125"/>
      <c r="C383" s="125"/>
      <c r="D383" s="125"/>
      <c r="E383" s="125"/>
      <c r="F383" s="125"/>
      <c r="G383" s="125"/>
    </row>
    <row r="384" spans="2:7" ht="13.5">
      <c r="B384" s="125"/>
      <c r="C384" s="125"/>
      <c r="D384" s="125"/>
      <c r="E384" s="125"/>
      <c r="F384" s="125"/>
      <c r="G384" s="125"/>
    </row>
    <row r="385" spans="2:7" ht="13.5">
      <c r="B385" s="125"/>
      <c r="C385" s="125"/>
      <c r="D385" s="125"/>
      <c r="E385" s="125"/>
      <c r="F385" s="125"/>
      <c r="G385" s="125"/>
    </row>
    <row r="386" spans="2:7" ht="13.5">
      <c r="B386" s="125"/>
      <c r="C386" s="125"/>
      <c r="D386" s="125"/>
      <c r="E386" s="125"/>
      <c r="F386" s="125"/>
      <c r="G386" s="125"/>
    </row>
    <row r="387" spans="2:7" ht="13.5">
      <c r="B387" s="125"/>
      <c r="C387" s="125"/>
      <c r="D387" s="125"/>
      <c r="E387" s="125"/>
      <c r="F387" s="125"/>
      <c r="G387" s="125"/>
    </row>
    <row r="388" spans="2:7" ht="13.5">
      <c r="B388" s="125"/>
      <c r="C388" s="125"/>
      <c r="D388" s="125"/>
      <c r="E388" s="125"/>
      <c r="F388" s="125"/>
      <c r="G388" s="125"/>
    </row>
    <row r="389" spans="2:7" ht="13.5">
      <c r="B389" s="125"/>
      <c r="C389" s="125"/>
      <c r="D389" s="125"/>
      <c r="E389" s="125"/>
      <c r="F389" s="125"/>
      <c r="G389" s="125"/>
    </row>
    <row r="390" spans="2:7" ht="13.5">
      <c r="B390" s="125"/>
      <c r="C390" s="125"/>
      <c r="D390" s="125"/>
      <c r="E390" s="125"/>
      <c r="F390" s="125"/>
      <c r="G390" s="125"/>
    </row>
    <row r="391" spans="2:7" ht="13.5">
      <c r="B391" s="125"/>
      <c r="C391" s="125"/>
      <c r="D391" s="125"/>
      <c r="E391" s="125"/>
      <c r="F391" s="125"/>
      <c r="G391" s="125"/>
    </row>
    <row r="392" spans="2:7" ht="13.5">
      <c r="B392" s="125"/>
      <c r="C392" s="125"/>
      <c r="D392" s="125"/>
      <c r="E392" s="125"/>
      <c r="F392" s="125"/>
      <c r="G392" s="125"/>
    </row>
    <row r="393" spans="2:7" ht="13.5">
      <c r="B393" s="125"/>
      <c r="C393" s="125"/>
      <c r="D393" s="125"/>
      <c r="E393" s="125"/>
      <c r="F393" s="125"/>
      <c r="G393" s="125"/>
    </row>
    <row r="394" spans="2:7" ht="13.5">
      <c r="B394" s="125"/>
      <c r="C394" s="125"/>
      <c r="D394" s="125"/>
      <c r="E394" s="125"/>
      <c r="F394" s="125"/>
      <c r="G394" s="125"/>
    </row>
    <row r="395" spans="2:7" ht="13.5">
      <c r="B395" s="125"/>
      <c r="C395" s="125"/>
      <c r="D395" s="125"/>
      <c r="E395" s="125"/>
      <c r="F395" s="125"/>
      <c r="G395" s="125"/>
    </row>
    <row r="396" spans="2:7" ht="13.5">
      <c r="B396" s="125"/>
      <c r="C396" s="125"/>
      <c r="D396" s="125"/>
      <c r="E396" s="125"/>
      <c r="F396" s="125"/>
      <c r="G396" s="125"/>
    </row>
    <row r="397" spans="2:7" ht="13.5">
      <c r="B397" s="125"/>
      <c r="C397" s="125"/>
      <c r="D397" s="125"/>
      <c r="E397" s="125"/>
      <c r="F397" s="125"/>
      <c r="G397" s="125"/>
    </row>
    <row r="398" spans="2:7" ht="13.5">
      <c r="B398" s="125"/>
      <c r="C398" s="125"/>
      <c r="D398" s="125"/>
      <c r="E398" s="125"/>
      <c r="F398" s="125"/>
      <c r="G398" s="125"/>
    </row>
    <row r="399" spans="2:7" ht="13.5">
      <c r="B399" s="125"/>
      <c r="C399" s="125"/>
      <c r="D399" s="125"/>
      <c r="E399" s="125"/>
      <c r="F399" s="125"/>
      <c r="G399" s="125"/>
    </row>
    <row r="400" spans="2:7" ht="13.5">
      <c r="B400" s="125"/>
      <c r="C400" s="125"/>
      <c r="D400" s="125"/>
      <c r="E400" s="125"/>
      <c r="F400" s="125"/>
      <c r="G400" s="125"/>
    </row>
    <row r="401" spans="2:7" ht="13.5">
      <c r="B401" s="125"/>
      <c r="C401" s="125"/>
      <c r="D401" s="125"/>
      <c r="E401" s="125"/>
      <c r="F401" s="125"/>
      <c r="G401" s="125"/>
    </row>
    <row r="402" spans="2:7" ht="13.5">
      <c r="B402" s="125"/>
      <c r="C402" s="125"/>
      <c r="D402" s="125"/>
      <c r="E402" s="125"/>
      <c r="F402" s="125"/>
      <c r="G402" s="125"/>
    </row>
    <row r="403" spans="2:7" ht="13.5">
      <c r="B403" s="125"/>
      <c r="C403" s="125"/>
      <c r="D403" s="125"/>
      <c r="E403" s="125"/>
      <c r="F403" s="125"/>
      <c r="G403" s="125"/>
    </row>
    <row r="404" spans="2:7" ht="13.5">
      <c r="B404" s="125"/>
      <c r="C404" s="125"/>
      <c r="D404" s="125"/>
      <c r="E404" s="125"/>
      <c r="F404" s="125"/>
      <c r="G404" s="125"/>
    </row>
    <row r="405" spans="2:7" ht="13.5">
      <c r="B405" s="125"/>
      <c r="C405" s="125"/>
      <c r="D405" s="125"/>
      <c r="E405" s="125"/>
      <c r="F405" s="125"/>
      <c r="G405" s="125"/>
    </row>
    <row r="406" spans="2:7" ht="13.5">
      <c r="B406" s="125"/>
      <c r="C406" s="125"/>
      <c r="D406" s="125"/>
      <c r="E406" s="125"/>
      <c r="F406" s="125"/>
      <c r="G406" s="125"/>
    </row>
    <row r="407" spans="2:7" ht="13.5">
      <c r="B407" s="125"/>
      <c r="C407" s="125"/>
      <c r="D407" s="125"/>
      <c r="E407" s="125"/>
      <c r="F407" s="125"/>
      <c r="G407" s="125"/>
    </row>
    <row r="408" spans="2:7" ht="13.5">
      <c r="B408" s="125"/>
      <c r="C408" s="125"/>
      <c r="D408" s="125"/>
      <c r="E408" s="125"/>
      <c r="F408" s="125"/>
      <c r="G408" s="125"/>
    </row>
    <row r="409" spans="2:7" ht="13.5">
      <c r="B409" s="125"/>
      <c r="C409" s="125"/>
      <c r="D409" s="125"/>
      <c r="E409" s="125"/>
      <c r="F409" s="125"/>
      <c r="G409" s="125"/>
    </row>
    <row r="410" spans="2:7" ht="13.5">
      <c r="B410" s="125"/>
      <c r="C410" s="125"/>
      <c r="D410" s="125"/>
      <c r="E410" s="125"/>
      <c r="F410" s="125"/>
      <c r="G410" s="125"/>
    </row>
    <row r="411" spans="2:7" ht="13.5">
      <c r="B411" s="125"/>
      <c r="C411" s="125"/>
      <c r="D411" s="125"/>
      <c r="E411" s="125"/>
      <c r="F411" s="125"/>
      <c r="G411" s="125"/>
    </row>
    <row r="412" spans="2:7" ht="13.5">
      <c r="B412" s="125"/>
      <c r="C412" s="125"/>
      <c r="D412" s="125"/>
      <c r="E412" s="125"/>
      <c r="F412" s="125"/>
      <c r="G412" s="125"/>
    </row>
    <row r="413" spans="2:7" ht="13.5">
      <c r="B413" s="125"/>
      <c r="C413" s="125"/>
      <c r="D413" s="125"/>
      <c r="E413" s="125"/>
      <c r="F413" s="125"/>
      <c r="G413" s="125"/>
    </row>
    <row r="414" spans="2:7" ht="13.5">
      <c r="B414" s="125"/>
      <c r="C414" s="125"/>
      <c r="D414" s="125"/>
      <c r="E414" s="125"/>
      <c r="F414" s="125"/>
      <c r="G414" s="125"/>
    </row>
    <row r="415" spans="2:7" ht="13.5">
      <c r="B415" s="125"/>
      <c r="C415" s="125"/>
      <c r="D415" s="125"/>
      <c r="E415" s="125"/>
      <c r="F415" s="125"/>
      <c r="G415" s="125"/>
    </row>
    <row r="416" spans="2:7" ht="13.5">
      <c r="B416" s="125"/>
      <c r="C416" s="125"/>
      <c r="D416" s="125"/>
      <c r="E416" s="125"/>
      <c r="F416" s="125"/>
      <c r="G416" s="125"/>
    </row>
    <row r="417" spans="2:7" ht="13.5">
      <c r="B417" s="125"/>
      <c r="C417" s="125"/>
      <c r="D417" s="125"/>
      <c r="E417" s="125"/>
      <c r="F417" s="125"/>
      <c r="G417" s="125"/>
    </row>
    <row r="418" spans="2:7" ht="13.5">
      <c r="B418" s="125"/>
      <c r="C418" s="125"/>
      <c r="D418" s="125"/>
      <c r="E418" s="125"/>
      <c r="F418" s="125"/>
      <c r="G418" s="125"/>
    </row>
    <row r="419" spans="2:7" ht="13.5">
      <c r="B419" s="125"/>
      <c r="C419" s="125"/>
      <c r="D419" s="125"/>
      <c r="E419" s="125"/>
      <c r="F419" s="125"/>
      <c r="G419" s="125"/>
    </row>
    <row r="420" spans="2:7" ht="13.5">
      <c r="B420" s="125"/>
      <c r="C420" s="125"/>
      <c r="D420" s="125"/>
      <c r="E420" s="125"/>
      <c r="F420" s="125"/>
      <c r="G420" s="125"/>
    </row>
    <row r="421" spans="2:7" ht="13.5">
      <c r="B421" s="125"/>
      <c r="C421" s="125"/>
      <c r="D421" s="125"/>
      <c r="E421" s="125"/>
      <c r="F421" s="125"/>
      <c r="G421" s="125"/>
    </row>
    <row r="422" spans="2:7" ht="13.5">
      <c r="B422" s="125"/>
      <c r="C422" s="125"/>
      <c r="D422" s="125"/>
      <c r="E422" s="125"/>
      <c r="F422" s="125"/>
      <c r="G422" s="125"/>
    </row>
    <row r="423" spans="2:7" ht="13.5">
      <c r="B423" s="125"/>
      <c r="C423" s="125"/>
      <c r="D423" s="125"/>
      <c r="E423" s="125"/>
      <c r="F423" s="125"/>
      <c r="G423" s="125"/>
    </row>
    <row r="424" spans="2:7" ht="13.5">
      <c r="B424" s="125"/>
      <c r="C424" s="125"/>
      <c r="D424" s="125"/>
      <c r="E424" s="125"/>
      <c r="F424" s="125"/>
      <c r="G424" s="125"/>
    </row>
    <row r="425" spans="2:7" ht="13.5">
      <c r="B425" s="125"/>
      <c r="C425" s="125"/>
      <c r="D425" s="125"/>
      <c r="E425" s="125"/>
      <c r="F425" s="125"/>
      <c r="G425" s="125"/>
    </row>
    <row r="426" spans="2:7" ht="13.5">
      <c r="B426" s="125"/>
      <c r="C426" s="125"/>
      <c r="D426" s="125"/>
      <c r="E426" s="125"/>
      <c r="F426" s="125"/>
      <c r="G426" s="125"/>
    </row>
    <row r="427" spans="2:7" ht="13.5">
      <c r="B427" s="125"/>
      <c r="C427" s="125"/>
      <c r="D427" s="125"/>
      <c r="E427" s="125"/>
      <c r="F427" s="125"/>
      <c r="G427" s="125"/>
    </row>
    <row r="428" spans="2:7" ht="13.5">
      <c r="B428" s="125"/>
      <c r="C428" s="125"/>
      <c r="D428" s="125"/>
      <c r="E428" s="125"/>
      <c r="F428" s="125"/>
      <c r="G428" s="125"/>
    </row>
    <row r="429" spans="2:7" ht="13.5">
      <c r="B429" s="125"/>
      <c r="C429" s="125"/>
      <c r="D429" s="125"/>
      <c r="E429" s="125"/>
      <c r="F429" s="125"/>
      <c r="G429" s="125"/>
    </row>
    <row r="430" spans="2:7" ht="13.5">
      <c r="B430" s="125"/>
      <c r="C430" s="125"/>
      <c r="D430" s="125"/>
      <c r="E430" s="125"/>
      <c r="F430" s="125"/>
      <c r="G430" s="125"/>
    </row>
    <row r="431" spans="2:7" ht="13.5">
      <c r="B431" s="125"/>
      <c r="C431" s="125"/>
      <c r="D431" s="125"/>
      <c r="E431" s="125"/>
      <c r="F431" s="125"/>
      <c r="G431" s="125"/>
    </row>
    <row r="432" spans="2:7" ht="13.5">
      <c r="B432" s="125"/>
      <c r="C432" s="125"/>
      <c r="D432" s="125"/>
      <c r="E432" s="125"/>
      <c r="F432" s="125"/>
      <c r="G432" s="125"/>
    </row>
    <row r="433" spans="2:7" ht="13.5">
      <c r="B433" s="125"/>
      <c r="C433" s="125"/>
      <c r="D433" s="125"/>
      <c r="E433" s="125"/>
      <c r="F433" s="125"/>
      <c r="G433" s="125"/>
    </row>
    <row r="434" spans="2:7" ht="13.5">
      <c r="B434" s="125"/>
      <c r="C434" s="125"/>
      <c r="D434" s="125"/>
      <c r="E434" s="125"/>
      <c r="F434" s="125"/>
      <c r="G434" s="125"/>
    </row>
    <row r="435" spans="2:7" ht="13.5">
      <c r="B435" s="125"/>
      <c r="C435" s="125"/>
      <c r="D435" s="125"/>
      <c r="E435" s="125"/>
      <c r="F435" s="125"/>
      <c r="G435" s="125"/>
    </row>
    <row r="436" spans="2:7" ht="13.5">
      <c r="B436" s="125"/>
      <c r="C436" s="125"/>
      <c r="D436" s="125"/>
      <c r="E436" s="125"/>
      <c r="F436" s="125"/>
      <c r="G436" s="125"/>
    </row>
    <row r="437" spans="2:7" ht="13.5">
      <c r="B437" s="125"/>
      <c r="C437" s="125"/>
      <c r="D437" s="125"/>
      <c r="E437" s="125"/>
      <c r="F437" s="125"/>
      <c r="G437" s="125"/>
    </row>
    <row r="438" spans="2:7" ht="13.5">
      <c r="B438" s="125"/>
      <c r="C438" s="125"/>
      <c r="D438" s="125"/>
      <c r="E438" s="125"/>
      <c r="F438" s="125"/>
      <c r="G438" s="125"/>
    </row>
    <row r="439" spans="2:7" ht="13.5">
      <c r="B439" s="125"/>
      <c r="C439" s="125"/>
      <c r="D439" s="125"/>
      <c r="E439" s="125"/>
      <c r="F439" s="125"/>
      <c r="G439" s="125"/>
    </row>
    <row r="440" spans="2:7" ht="13.5">
      <c r="B440" s="125"/>
      <c r="C440" s="125"/>
      <c r="D440" s="125"/>
      <c r="E440" s="125"/>
      <c r="F440" s="125"/>
      <c r="G440" s="125"/>
    </row>
    <row r="441" spans="2:7" ht="13.5">
      <c r="B441" s="125"/>
      <c r="C441" s="125"/>
      <c r="D441" s="125"/>
      <c r="E441" s="125"/>
      <c r="F441" s="125"/>
      <c r="G441" s="125"/>
    </row>
    <row r="442" spans="2:7" ht="13.5">
      <c r="B442" s="125"/>
      <c r="C442" s="125"/>
      <c r="D442" s="125"/>
      <c r="E442" s="125"/>
      <c r="F442" s="125"/>
      <c r="G442" s="125"/>
    </row>
    <row r="443" spans="2:7" ht="13.5">
      <c r="B443" s="125"/>
      <c r="C443" s="125"/>
      <c r="D443" s="125"/>
      <c r="E443" s="125"/>
      <c r="F443" s="125"/>
      <c r="G443" s="125"/>
    </row>
    <row r="444" spans="2:7" ht="13.5">
      <c r="B444" s="125"/>
      <c r="C444" s="125"/>
      <c r="D444" s="125"/>
      <c r="E444" s="125"/>
      <c r="F444" s="125"/>
      <c r="G444" s="125"/>
    </row>
    <row r="445" spans="2:7" ht="13.5">
      <c r="B445" s="125"/>
      <c r="C445" s="125"/>
      <c r="D445" s="125"/>
      <c r="E445" s="125"/>
      <c r="F445" s="125"/>
      <c r="G445" s="125"/>
    </row>
    <row r="446" spans="2:7" ht="13.5">
      <c r="B446" s="125"/>
      <c r="C446" s="125"/>
      <c r="D446" s="125"/>
      <c r="E446" s="125"/>
      <c r="F446" s="125"/>
      <c r="G446" s="125"/>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6"/>
  <sheetViews>
    <sheetView showGridLines="0" workbookViewId="0">
      <pane xSplit="1" ySplit="6" topLeftCell="B122" activePane="bottomRight" state="frozen"/>
      <selection activeCell="A2" sqref="A2"/>
      <selection pane="topRight" activeCell="A2" sqref="A2"/>
      <selection pane="bottomLeft" activeCell="A2" sqref="A2"/>
      <selection pane="bottomRight" activeCell="A122" sqref="A122"/>
    </sheetView>
  </sheetViews>
  <sheetFormatPr defaultColWidth="9.453125" defaultRowHeight="15.5"/>
  <cols>
    <col min="1" max="1" width="27.54296875" style="160" customWidth="1"/>
    <col min="2" max="13" width="13.54296875" style="160" customWidth="1"/>
    <col min="14" max="16384" width="9.453125" style="160"/>
  </cols>
  <sheetData>
    <row r="1" spans="1:13" customFormat="1" ht="45" customHeight="1">
      <c r="A1" s="111" t="s">
        <v>589</v>
      </c>
    </row>
    <row r="2" spans="1:13" s="88" customFormat="1" ht="20.25" customHeight="1">
      <c r="A2" s="94" t="s">
        <v>99</v>
      </c>
    </row>
    <row r="3" spans="1:13" s="88" customFormat="1" ht="20.25" customHeight="1">
      <c r="A3" s="104" t="s">
        <v>136</v>
      </c>
    </row>
    <row r="4" spans="1:13" s="88" customFormat="1" ht="20.25" customHeight="1">
      <c r="A4" s="82" t="s">
        <v>159</v>
      </c>
    </row>
    <row r="5" spans="1:13" s="88" customFormat="1" ht="20.25" customHeight="1">
      <c r="A5" s="81" t="s">
        <v>585</v>
      </c>
    </row>
    <row r="6" spans="1:13" ht="45" customHeight="1">
      <c r="A6" s="172" t="s">
        <v>45</v>
      </c>
      <c r="B6" s="147" t="s">
        <v>84</v>
      </c>
      <c r="C6" s="148" t="s">
        <v>3</v>
      </c>
      <c r="D6" s="148" t="s">
        <v>140</v>
      </c>
      <c r="E6" s="148" t="s">
        <v>5</v>
      </c>
      <c r="F6" s="148" t="s">
        <v>54</v>
      </c>
      <c r="G6" s="148" t="s">
        <v>7</v>
      </c>
      <c r="H6" s="148" t="s">
        <v>141</v>
      </c>
      <c r="I6" s="148" t="s">
        <v>142</v>
      </c>
      <c r="J6" s="148" t="s">
        <v>48</v>
      </c>
      <c r="K6" s="148" t="s">
        <v>143</v>
      </c>
      <c r="L6" s="148" t="s">
        <v>144</v>
      </c>
      <c r="M6" s="149" t="s">
        <v>145</v>
      </c>
    </row>
    <row r="7" spans="1:13">
      <c r="A7" s="161" t="s">
        <v>160</v>
      </c>
      <c r="B7" s="163">
        <f>SUM(Month!B7:B9)</f>
        <v>20</v>
      </c>
      <c r="C7" s="163">
        <f>SUM(Month!C7:C9)</f>
        <v>11.071000000000002</v>
      </c>
      <c r="D7" s="163">
        <f>SUM(Month!D7:D9)</f>
        <v>1.0821000000000001</v>
      </c>
      <c r="E7" s="163">
        <f>SUM(Month!E7:E9)</f>
        <v>2.65</v>
      </c>
      <c r="F7" s="163">
        <f>SUM(Month!F7:F9)</f>
        <v>5.0129999999999999</v>
      </c>
      <c r="G7" s="163">
        <f>SUM(Month!G7:G9)</f>
        <v>0.1497</v>
      </c>
      <c r="H7" s="163" t="s">
        <v>137</v>
      </c>
      <c r="I7" s="163" t="s">
        <v>137</v>
      </c>
      <c r="J7" s="163" t="s">
        <v>137</v>
      </c>
      <c r="K7" s="163">
        <f>SUM(Month!K7:K9)</f>
        <v>5.1627000000000001</v>
      </c>
      <c r="L7" s="163">
        <f>SUM(Month!L7:L9)</f>
        <v>0.1497</v>
      </c>
      <c r="M7" s="164">
        <f>SUM(Month!M7:M9)</f>
        <v>14.803100000000001</v>
      </c>
    </row>
    <row r="8" spans="1:13">
      <c r="A8" s="162" t="s">
        <v>161</v>
      </c>
      <c r="B8" s="163">
        <f>SUM(Month!B10:B12)</f>
        <v>16.274000000000001</v>
      </c>
      <c r="C8" s="163">
        <f>SUM(Month!C10:C12)</f>
        <v>7.729000000000001</v>
      </c>
      <c r="D8" s="163">
        <f>SUM(Month!D10:D12)</f>
        <v>0.58710000000000007</v>
      </c>
      <c r="E8" s="163">
        <f>SUM(Month!E10:E12)</f>
        <v>2.5379999999999998</v>
      </c>
      <c r="F8" s="163">
        <f>SUM(Month!F10:F12)</f>
        <v>5.3129999999999997</v>
      </c>
      <c r="G8" s="163">
        <f>SUM(Month!G10:G12)</f>
        <v>7.5700000000000003E-2</v>
      </c>
      <c r="H8" s="163" t="s">
        <v>137</v>
      </c>
      <c r="I8" s="163" t="s">
        <v>137</v>
      </c>
      <c r="J8" s="163" t="s">
        <v>137</v>
      </c>
      <c r="K8" s="163">
        <f>SUM(Month!K10:K12)</f>
        <v>5.3887</v>
      </c>
      <c r="L8" s="163">
        <f>SUM(Month!L10:L12)</f>
        <v>7.5700000000000003E-2</v>
      </c>
      <c r="M8" s="164">
        <f>SUM(Month!M10:M12)</f>
        <v>10.854099999999999</v>
      </c>
    </row>
    <row r="9" spans="1:13">
      <c r="A9" s="162" t="s">
        <v>162</v>
      </c>
      <c r="B9" s="163">
        <f>SUM(Month!B13:B15)</f>
        <v>15.675000000000001</v>
      </c>
      <c r="C9" s="163">
        <f>SUM(Month!C13:C15)</f>
        <v>7.0839999999999996</v>
      </c>
      <c r="D9" s="163">
        <f>SUM(Month!D13:D15)</f>
        <v>0.57269999999999999</v>
      </c>
      <c r="E9" s="163">
        <f>SUM(Month!E13:E15)</f>
        <v>2.6739999999999999</v>
      </c>
      <c r="F9" s="163">
        <f>SUM(Month!F13:F15)</f>
        <v>5.2889999999999997</v>
      </c>
      <c r="G9" s="163">
        <f>SUM(Month!G13:G15)</f>
        <v>2.2100000000000002E-2</v>
      </c>
      <c r="H9" s="163" t="s">
        <v>137</v>
      </c>
      <c r="I9" s="163" t="s">
        <v>137</v>
      </c>
      <c r="J9" s="163" t="s">
        <v>137</v>
      </c>
      <c r="K9" s="163">
        <f>SUM(Month!K13:K15)</f>
        <v>5.3110999999999997</v>
      </c>
      <c r="L9" s="163">
        <f>SUM(Month!L13:L15)</f>
        <v>2.2100000000000002E-2</v>
      </c>
      <c r="M9" s="164">
        <f>SUM(Month!M13:M15)</f>
        <v>10.3307</v>
      </c>
    </row>
    <row r="10" spans="1:13">
      <c r="A10" s="162" t="s">
        <v>163</v>
      </c>
      <c r="B10" s="163">
        <f>SUM(Month!B16:B18)</f>
        <v>19.358000000000001</v>
      </c>
      <c r="C10" s="163">
        <f>SUM(Month!C16:C18)</f>
        <v>9.1319999999999997</v>
      </c>
      <c r="D10" s="163">
        <f>SUM(Month!D16:D18)</f>
        <v>0.88890000000000002</v>
      </c>
      <c r="E10" s="163">
        <f>SUM(Month!E16:E18)</f>
        <v>3.5720000000000001</v>
      </c>
      <c r="F10" s="163">
        <f>SUM(Month!F16:F18)</f>
        <v>5.6379999999999999</v>
      </c>
      <c r="G10" s="163">
        <f>SUM(Month!G16:G18)</f>
        <v>9.2700000000000005E-2</v>
      </c>
      <c r="H10" s="163" t="s">
        <v>137</v>
      </c>
      <c r="I10" s="163" t="s">
        <v>137</v>
      </c>
      <c r="J10" s="163" t="s">
        <v>137</v>
      </c>
      <c r="K10" s="163">
        <f>SUM(Month!K16:K18)</f>
        <v>5.7306999999999997</v>
      </c>
      <c r="L10" s="163">
        <f>SUM(Month!L16:L18)</f>
        <v>9.2700000000000005E-2</v>
      </c>
      <c r="M10" s="164">
        <f>SUM(Month!M16:M18)</f>
        <v>13.5929</v>
      </c>
    </row>
    <row r="11" spans="1:13">
      <c r="A11" s="162" t="s">
        <v>164</v>
      </c>
      <c r="B11" s="163">
        <f>SUM(Month!B19:B21)</f>
        <v>21.009</v>
      </c>
      <c r="C11" s="163">
        <f>SUM(Month!C19:C21)</f>
        <v>10.695</v>
      </c>
      <c r="D11" s="163">
        <f>SUM(Month!D19:D21)</f>
        <v>0.92090000000000005</v>
      </c>
      <c r="E11" s="163">
        <f>SUM(Month!E19:E21)</f>
        <v>3.7160000000000002</v>
      </c>
      <c r="F11" s="163">
        <f>SUM(Month!F19:F21)</f>
        <v>5.5860000000000003</v>
      </c>
      <c r="G11" s="163">
        <f>SUM(Month!G19:G21)</f>
        <v>6.1299999999999993E-2</v>
      </c>
      <c r="H11" s="163" t="s">
        <v>137</v>
      </c>
      <c r="I11" s="163" t="s">
        <v>137</v>
      </c>
      <c r="J11" s="163" t="s">
        <v>137</v>
      </c>
      <c r="K11" s="163">
        <f>SUM(Month!K19:K21)</f>
        <v>5.6472999999999995</v>
      </c>
      <c r="L11" s="163">
        <f>SUM(Month!L19:L21)</f>
        <v>6.1299999999999993E-2</v>
      </c>
      <c r="M11" s="164">
        <f>SUM(Month!M19:M21)</f>
        <v>15.331900000000001</v>
      </c>
    </row>
    <row r="12" spans="1:13">
      <c r="A12" s="162" t="s">
        <v>165</v>
      </c>
      <c r="B12" s="163">
        <f>SUM(Month!B22:B24)</f>
        <v>16.78</v>
      </c>
      <c r="C12" s="163">
        <f>SUM(Month!C22:C24)</f>
        <v>7.157</v>
      </c>
      <c r="D12" s="163">
        <f>SUM(Month!D22:D24)</f>
        <v>0.65880000000000005</v>
      </c>
      <c r="E12" s="163">
        <f>SUM(Month!E22:E24)</f>
        <v>3.3529999999999998</v>
      </c>
      <c r="F12" s="163">
        <f>SUM(Month!F22:F24)</f>
        <v>5.5250000000000004</v>
      </c>
      <c r="G12" s="163">
        <f>SUM(Month!G22:G24)</f>
        <v>5.11E-2</v>
      </c>
      <c r="H12" s="163" t="s">
        <v>137</v>
      </c>
      <c r="I12" s="163" t="s">
        <v>137</v>
      </c>
      <c r="J12" s="163" t="s">
        <v>137</v>
      </c>
      <c r="K12" s="163">
        <f>SUM(Month!K22:K24)</f>
        <v>5.5761000000000003</v>
      </c>
      <c r="L12" s="163">
        <f>SUM(Month!L22:L24)</f>
        <v>5.11E-2</v>
      </c>
      <c r="M12" s="164">
        <f>SUM(Month!M22:M24)</f>
        <v>11.168800000000001</v>
      </c>
    </row>
    <row r="13" spans="1:13">
      <c r="A13" s="162" t="s">
        <v>166</v>
      </c>
      <c r="B13" s="163">
        <f>SUM(Month!B25:B27)</f>
        <v>15.925000000000001</v>
      </c>
      <c r="C13" s="163">
        <f>SUM(Month!C25:C27)</f>
        <v>6.5020000000000007</v>
      </c>
      <c r="D13" s="163">
        <f>SUM(Month!D25:D27)</f>
        <v>0.70689999999999997</v>
      </c>
      <c r="E13" s="163">
        <f>SUM(Month!E25:E27)</f>
        <v>3.7329999999999997</v>
      </c>
      <c r="F13" s="163">
        <f>SUM(Month!F25:F27)</f>
        <v>4.9109999999999996</v>
      </c>
      <c r="G13" s="163">
        <f>SUM(Month!G25:G27)</f>
        <v>2.76E-2</v>
      </c>
      <c r="H13" s="163" t="s">
        <v>137</v>
      </c>
      <c r="I13" s="163" t="s">
        <v>137</v>
      </c>
      <c r="J13" s="163" t="s">
        <v>137</v>
      </c>
      <c r="K13" s="163">
        <f>SUM(Month!K25:K27)</f>
        <v>4.9386000000000001</v>
      </c>
      <c r="L13" s="163">
        <f>SUM(Month!L25:L27)</f>
        <v>2.76E-2</v>
      </c>
      <c r="M13" s="164">
        <f>SUM(Month!M25:M27)</f>
        <v>10.9419</v>
      </c>
    </row>
    <row r="14" spans="1:13">
      <c r="A14" s="162" t="s">
        <v>167</v>
      </c>
      <c r="B14" s="163">
        <f>SUM(Month!B28:B30)</f>
        <v>19.457000000000001</v>
      </c>
      <c r="C14" s="163">
        <f>SUM(Month!C28:C30)</f>
        <v>8.0460000000000012</v>
      </c>
      <c r="D14" s="163">
        <f>SUM(Month!D28:D30)</f>
        <v>0.73540000000000005</v>
      </c>
      <c r="E14" s="163">
        <f>SUM(Month!E28:E30)</f>
        <v>4.3849999999999998</v>
      </c>
      <c r="F14" s="163">
        <f>SUM(Month!F28:F30)</f>
        <v>6.157</v>
      </c>
      <c r="G14" s="163">
        <f>SUM(Month!G28:G30)</f>
        <v>0.10869999999999999</v>
      </c>
      <c r="H14" s="163" t="s">
        <v>137</v>
      </c>
      <c r="I14" s="163" t="s">
        <v>137</v>
      </c>
      <c r="J14" s="163" t="s">
        <v>137</v>
      </c>
      <c r="K14" s="163">
        <f>SUM(Month!K28:K30)</f>
        <v>6.2656999999999998</v>
      </c>
      <c r="L14" s="163">
        <f>SUM(Month!L28:L30)</f>
        <v>0.10869999999999999</v>
      </c>
      <c r="M14" s="164">
        <f>SUM(Month!M28:M30)</f>
        <v>13.166399999999999</v>
      </c>
    </row>
    <row r="15" spans="1:13">
      <c r="A15" s="162" t="s">
        <v>168</v>
      </c>
      <c r="B15" s="163">
        <f>SUM(Month!B31:B33)</f>
        <v>19.8658</v>
      </c>
      <c r="C15" s="163">
        <f>SUM(Month!C31:C33)</f>
        <v>8.2210000000000001</v>
      </c>
      <c r="D15" s="163">
        <f>SUM(Month!D31:D33)</f>
        <v>0.55659999999999998</v>
      </c>
      <c r="E15" s="163">
        <f>SUM(Month!E31:E33)</f>
        <v>5.0078999999999994</v>
      </c>
      <c r="F15" s="163">
        <f>SUM(Month!F31:F33)</f>
        <v>5.9080999999999992</v>
      </c>
      <c r="G15" s="163">
        <f>SUM(Month!G31:G33)</f>
        <v>0.1293</v>
      </c>
      <c r="H15" s="163" t="s">
        <v>137</v>
      </c>
      <c r="I15" s="163" t="s">
        <v>137</v>
      </c>
      <c r="J15" s="163" t="s">
        <v>137</v>
      </c>
      <c r="K15" s="163">
        <f>SUM(Month!K31:K33)</f>
        <v>6.0802999999999994</v>
      </c>
      <c r="L15" s="163">
        <f>SUM(Month!L31:L33)</f>
        <v>0.17220000000000002</v>
      </c>
      <c r="M15" s="164">
        <f>SUM(Month!M31:M33)</f>
        <v>13.785599999999999</v>
      </c>
    </row>
    <row r="16" spans="1:13">
      <c r="A16" s="162" t="s">
        <v>169</v>
      </c>
      <c r="B16" s="163">
        <f>SUM(Month!B34:B36)</f>
        <v>15.995900000000001</v>
      </c>
      <c r="C16" s="163">
        <f>SUM(Month!C34:C36)</f>
        <v>5.2546999999999997</v>
      </c>
      <c r="D16" s="163">
        <f>SUM(Month!D34:D36)</f>
        <v>0.23269999999999999</v>
      </c>
      <c r="E16" s="163">
        <f>SUM(Month!E34:E36)</f>
        <v>4.6789000000000005</v>
      </c>
      <c r="F16" s="163">
        <f>SUM(Month!F34:F36)</f>
        <v>5.7289999999999992</v>
      </c>
      <c r="G16" s="163">
        <f>SUM(Month!G34:G36)</f>
        <v>6.0100000000000001E-2</v>
      </c>
      <c r="H16" s="163" t="s">
        <v>137</v>
      </c>
      <c r="I16" s="163" t="s">
        <v>137</v>
      </c>
      <c r="J16" s="163" t="s">
        <v>137</v>
      </c>
      <c r="K16" s="163">
        <f>SUM(Month!K34:K36)</f>
        <v>5.8298000000000005</v>
      </c>
      <c r="L16" s="163">
        <f>SUM(Month!L34:L36)</f>
        <v>0.10090000000000002</v>
      </c>
      <c r="M16" s="164">
        <f>SUM(Month!M34:M36)</f>
        <v>10.166</v>
      </c>
    </row>
    <row r="17" spans="1:13">
      <c r="A17" s="162" t="s">
        <v>170</v>
      </c>
      <c r="B17" s="163">
        <f>SUM(Month!B37:B39)</f>
        <v>15.5732</v>
      </c>
      <c r="C17" s="163">
        <f>SUM(Month!C37:C39)</f>
        <v>5.6365999999999996</v>
      </c>
      <c r="D17" s="163">
        <f>SUM(Month!D37:D39)</f>
        <v>0.22199999999999998</v>
      </c>
      <c r="E17" s="163">
        <f>SUM(Month!E37:E39)</f>
        <v>4.5769000000000002</v>
      </c>
      <c r="F17" s="163">
        <f>SUM(Month!F37:F39)</f>
        <v>5.0568999999999997</v>
      </c>
      <c r="G17" s="163">
        <f>SUM(Month!G37:G39)</f>
        <v>4.4600000000000001E-2</v>
      </c>
      <c r="H17" s="163" t="s">
        <v>137</v>
      </c>
      <c r="I17" s="163" t="s">
        <v>137</v>
      </c>
      <c r="J17" s="163" t="s">
        <v>137</v>
      </c>
      <c r="K17" s="163">
        <f>SUM(Month!K37:K39)</f>
        <v>5.1375000000000002</v>
      </c>
      <c r="L17" s="163">
        <f>SUM(Month!L37:L39)</f>
        <v>8.0600000000000005E-2</v>
      </c>
      <c r="M17" s="164">
        <f>SUM(Month!M37:M39)</f>
        <v>10.435700000000001</v>
      </c>
    </row>
    <row r="18" spans="1:13">
      <c r="A18" s="162" t="s">
        <v>171</v>
      </c>
      <c r="B18" s="163">
        <f>SUM(Month!B40:B42)</f>
        <v>18.630600000000001</v>
      </c>
      <c r="C18" s="163">
        <f>SUM(Month!C40:C42)</f>
        <v>7.9516999999999998</v>
      </c>
      <c r="D18" s="163">
        <f>SUM(Month!D40:D42)</f>
        <v>0.22070000000000001</v>
      </c>
      <c r="E18" s="163">
        <f>SUM(Month!E40:E42)</f>
        <v>5.0523000000000007</v>
      </c>
      <c r="F18" s="163">
        <f>SUM(Month!F40:F42)</f>
        <v>5.2889999999999997</v>
      </c>
      <c r="G18" s="163">
        <f>SUM(Month!G40:G42)</f>
        <v>7.1400000000000005E-2</v>
      </c>
      <c r="H18" s="163" t="s">
        <v>137</v>
      </c>
      <c r="I18" s="163" t="s">
        <v>137</v>
      </c>
      <c r="J18" s="163" t="s">
        <v>137</v>
      </c>
      <c r="K18" s="163">
        <f>SUM(Month!K40:K42)</f>
        <v>5.4059000000000008</v>
      </c>
      <c r="L18" s="163">
        <f>SUM(Month!L40:L42)</f>
        <v>0.1169</v>
      </c>
      <c r="M18" s="164">
        <f>SUM(Month!M40:M42)</f>
        <v>13.224699999999999</v>
      </c>
    </row>
    <row r="19" spans="1:13">
      <c r="A19" s="162" t="s">
        <v>172</v>
      </c>
      <c r="B19" s="163">
        <f>SUM(Month!B43:B45)</f>
        <v>20.160899999999998</v>
      </c>
      <c r="C19" s="163">
        <f>SUM(Month!C43:C45)</f>
        <v>8.4041999999999994</v>
      </c>
      <c r="D19" s="163">
        <f>SUM(Month!D43:D45)</f>
        <v>0.23419999999999999</v>
      </c>
      <c r="E19" s="163">
        <f>SUM(Month!E43:E45)</f>
        <v>5.3214000000000006</v>
      </c>
      <c r="F19" s="163">
        <f>SUM(Month!F43:F45)</f>
        <v>6.0318000000000005</v>
      </c>
      <c r="G19" s="163">
        <f>SUM(Month!G43:G45)</f>
        <v>0.13869999999999999</v>
      </c>
      <c r="H19" s="163" t="s">
        <v>137</v>
      </c>
      <c r="I19" s="163" t="s">
        <v>137</v>
      </c>
      <c r="J19" s="163" t="s">
        <v>137</v>
      </c>
      <c r="K19" s="163">
        <f>SUM(Month!K43:K45)</f>
        <v>6.2011000000000003</v>
      </c>
      <c r="L19" s="163">
        <f>SUM(Month!L43:L45)</f>
        <v>0.16930000000000001</v>
      </c>
      <c r="M19" s="164">
        <f>SUM(Month!M43:M45)</f>
        <v>13.959800000000001</v>
      </c>
    </row>
    <row r="20" spans="1:13">
      <c r="A20" s="162" t="s">
        <v>173</v>
      </c>
      <c r="B20" s="163">
        <f>SUM(Month!B46:B48)</f>
        <v>17.141300000000001</v>
      </c>
      <c r="C20" s="163">
        <f>SUM(Month!C46:C48)</f>
        <v>6.6320999999999994</v>
      </c>
      <c r="D20" s="163">
        <f>SUM(Month!D46:D48)</f>
        <v>0.20490000000000003</v>
      </c>
      <c r="E20" s="163">
        <f>SUM(Month!E46:E48)</f>
        <v>4.7286000000000001</v>
      </c>
      <c r="F20" s="163">
        <f>SUM(Month!F46:F48)</f>
        <v>5.4910999999999994</v>
      </c>
      <c r="G20" s="163">
        <f>SUM(Month!G46:G48)</f>
        <v>5.3100000000000001E-2</v>
      </c>
      <c r="H20" s="163" t="s">
        <v>137</v>
      </c>
      <c r="I20" s="163" t="s">
        <v>137</v>
      </c>
      <c r="J20" s="163" t="s">
        <v>137</v>
      </c>
      <c r="K20" s="163">
        <f>SUM(Month!K46:K48)</f>
        <v>5.5756999999999994</v>
      </c>
      <c r="L20" s="163">
        <f>SUM(Month!L46:L48)</f>
        <v>8.4600000000000009E-2</v>
      </c>
      <c r="M20" s="164">
        <f>SUM(Month!M46:M48)</f>
        <v>11.5655</v>
      </c>
    </row>
    <row r="21" spans="1:13">
      <c r="A21" s="162" t="s">
        <v>174</v>
      </c>
      <c r="B21" s="163">
        <f>SUM(Month!B49:B51)</f>
        <v>16.745100000000001</v>
      </c>
      <c r="C21" s="163">
        <f>SUM(Month!C49:C51)</f>
        <v>6.4480000000000004</v>
      </c>
      <c r="D21" s="163">
        <f>SUM(Month!D49:D51)</f>
        <v>0.1666</v>
      </c>
      <c r="E21" s="163">
        <f>SUM(Month!E49:E51)</f>
        <v>4.7092000000000001</v>
      </c>
      <c r="F21" s="163">
        <f>SUM(Month!F49:F51)</f>
        <v>5.3286999999999995</v>
      </c>
      <c r="G21" s="163">
        <f>SUM(Month!G49:G51)</f>
        <v>5.91E-2</v>
      </c>
      <c r="H21" s="163" t="s">
        <v>137</v>
      </c>
      <c r="I21" s="163" t="s">
        <v>137</v>
      </c>
      <c r="J21" s="163" t="s">
        <v>137</v>
      </c>
      <c r="K21" s="163">
        <f>SUM(Month!K49:K51)</f>
        <v>5.4212000000000007</v>
      </c>
      <c r="L21" s="163">
        <f>SUM(Month!L49:L51)</f>
        <v>9.2499999999999999E-2</v>
      </c>
      <c r="M21" s="164">
        <f>SUM(Month!M49:M51)</f>
        <v>11.323899999999998</v>
      </c>
    </row>
    <row r="22" spans="1:13">
      <c r="A22" s="162" t="s">
        <v>175</v>
      </c>
      <c r="B22" s="163">
        <f>SUM(Month!B52:B54)</f>
        <v>19.625399999999999</v>
      </c>
      <c r="C22" s="163">
        <f>SUM(Month!C52:C54)</f>
        <v>7.4097</v>
      </c>
      <c r="D22" s="163">
        <f>SUM(Month!D52:D54)</f>
        <v>0.24009999999999998</v>
      </c>
      <c r="E22" s="163">
        <f>SUM(Month!E52:E54)</f>
        <v>5.5603999999999996</v>
      </c>
      <c r="F22" s="163">
        <f>SUM(Month!F52:F54)</f>
        <v>6.2668999999999997</v>
      </c>
      <c r="G22" s="163">
        <f>SUM(Month!G52:G54)</f>
        <v>0.1134</v>
      </c>
      <c r="H22" s="163" t="s">
        <v>137</v>
      </c>
      <c r="I22" s="163" t="s">
        <v>137</v>
      </c>
      <c r="J22" s="163" t="s">
        <v>137</v>
      </c>
      <c r="K22" s="163">
        <f>SUM(Month!K52:K54)</f>
        <v>6.4153000000000002</v>
      </c>
      <c r="L22" s="163">
        <f>SUM(Month!L52:L54)</f>
        <v>0.14839999999999998</v>
      </c>
      <c r="M22" s="164">
        <f>SUM(Month!M52:M54)</f>
        <v>13.210100000000001</v>
      </c>
    </row>
    <row r="23" spans="1:13">
      <c r="A23" s="162" t="s">
        <v>176</v>
      </c>
      <c r="B23" s="163">
        <f>SUM(Month!B55:B57)</f>
        <v>19.991900000000001</v>
      </c>
      <c r="C23" s="163">
        <f>SUM(Month!C55:C57)</f>
        <v>7.1088000000000005</v>
      </c>
      <c r="D23" s="163">
        <f>SUM(Month!D55:D57)</f>
        <v>0.22860000000000003</v>
      </c>
      <c r="E23" s="163">
        <f>SUM(Month!E55:E57)</f>
        <v>6.3414999999999999</v>
      </c>
      <c r="F23" s="163">
        <f>SUM(Month!F55:F57)</f>
        <v>6.1279000000000003</v>
      </c>
      <c r="G23" s="163">
        <f>SUM(Month!G55:G57)</f>
        <v>0.13819999999999999</v>
      </c>
      <c r="H23" s="163" t="s">
        <v>137</v>
      </c>
      <c r="I23" s="163" t="s">
        <v>137</v>
      </c>
      <c r="J23" s="163" t="s">
        <v>137</v>
      </c>
      <c r="K23" s="163">
        <f>SUM(Month!K55:K57)</f>
        <v>6.3128000000000002</v>
      </c>
      <c r="L23" s="163">
        <f>SUM(Month!L55:L57)</f>
        <v>0.18490000000000001</v>
      </c>
      <c r="M23" s="164">
        <f>SUM(Month!M55:M57)</f>
        <v>13.679099999999998</v>
      </c>
    </row>
    <row r="24" spans="1:13">
      <c r="A24" s="162" t="s">
        <v>177</v>
      </c>
      <c r="B24" s="163">
        <f>SUM(Month!B58:B60)</f>
        <v>16.863499999999998</v>
      </c>
      <c r="C24" s="163">
        <f>SUM(Month!C58:C60)</f>
        <v>5.2234999999999996</v>
      </c>
      <c r="D24" s="163">
        <f>SUM(Month!D58:D60)</f>
        <v>0.15290000000000001</v>
      </c>
      <c r="E24" s="163">
        <f>SUM(Month!E58:E60)</f>
        <v>5.6124999999999998</v>
      </c>
      <c r="F24" s="163">
        <f>SUM(Month!F58:F60)</f>
        <v>5.7565</v>
      </c>
      <c r="G24" s="163">
        <f>SUM(Month!G58:G60)</f>
        <v>7.4099999999999999E-2</v>
      </c>
      <c r="H24" s="163" t="s">
        <v>137</v>
      </c>
      <c r="I24" s="163" t="s">
        <v>137</v>
      </c>
      <c r="J24" s="163" t="s">
        <v>137</v>
      </c>
      <c r="K24" s="163">
        <f>SUM(Month!K58:K60)</f>
        <v>5.8744999999999994</v>
      </c>
      <c r="L24" s="163">
        <f>SUM(Month!L58:L60)</f>
        <v>0.1179</v>
      </c>
      <c r="M24" s="164">
        <f>SUM(Month!M58:M60)</f>
        <v>10.988899999999999</v>
      </c>
    </row>
    <row r="25" spans="1:13">
      <c r="A25" s="162" t="s">
        <v>178</v>
      </c>
      <c r="B25" s="163">
        <f>SUM(Month!B61:B63)</f>
        <v>16.184600000000003</v>
      </c>
      <c r="C25" s="163">
        <f>SUM(Month!C61:C63)</f>
        <v>5.2269000000000005</v>
      </c>
      <c r="D25" s="163">
        <f>SUM(Month!D61:D63)</f>
        <v>0.1802</v>
      </c>
      <c r="E25" s="163">
        <f>SUM(Month!E61:E63)</f>
        <v>5.6602999999999994</v>
      </c>
      <c r="F25" s="163">
        <f>SUM(Month!F61:F63)</f>
        <v>5.0213000000000001</v>
      </c>
      <c r="G25" s="163">
        <f>SUM(Month!G61:G63)</f>
        <v>4.8300000000000003E-2</v>
      </c>
      <c r="H25" s="163" t="s">
        <v>137</v>
      </c>
      <c r="I25" s="163" t="s">
        <v>137</v>
      </c>
      <c r="J25" s="163" t="s">
        <v>137</v>
      </c>
      <c r="K25" s="163">
        <f>SUM(Month!K61:K63)</f>
        <v>5.1173000000000002</v>
      </c>
      <c r="L25" s="163">
        <f>SUM(Month!L61:L63)</f>
        <v>9.5899999999999999E-2</v>
      </c>
      <c r="M25" s="164">
        <f>SUM(Month!M61:M63)</f>
        <v>11.067299999999999</v>
      </c>
    </row>
    <row r="26" spans="1:13">
      <c r="A26" s="162" t="s">
        <v>179</v>
      </c>
      <c r="B26" s="163">
        <f>SUM(Month!B64:B66)</f>
        <v>19.309699999999999</v>
      </c>
      <c r="C26" s="163">
        <f>SUM(Month!C64:C66)</f>
        <v>6.9468000000000005</v>
      </c>
      <c r="D26" s="163">
        <f>SUM(Month!D64:D66)</f>
        <v>0.25509999999999999</v>
      </c>
      <c r="E26" s="163">
        <f>SUM(Month!E64:E66)</f>
        <v>6.6321999999999992</v>
      </c>
      <c r="F26" s="163">
        <f>SUM(Month!F64:F66)</f>
        <v>5.3103999999999996</v>
      </c>
      <c r="G26" s="163">
        <f>SUM(Month!G64:G66)</f>
        <v>0.1203</v>
      </c>
      <c r="H26" s="163" t="s">
        <v>137</v>
      </c>
      <c r="I26" s="163" t="s">
        <v>137</v>
      </c>
      <c r="J26" s="163" t="s">
        <v>137</v>
      </c>
      <c r="K26" s="163">
        <f>SUM(Month!K64:K66)</f>
        <v>5.4756</v>
      </c>
      <c r="L26" s="163">
        <f>SUM(Month!L64:L66)</f>
        <v>0.16520000000000001</v>
      </c>
      <c r="M26" s="164">
        <f>SUM(Month!M64:M66)</f>
        <v>13.834100000000001</v>
      </c>
    </row>
    <row r="27" spans="1:13">
      <c r="A27" s="162" t="s">
        <v>180</v>
      </c>
      <c r="B27" s="163">
        <f>SUM(Month!B67:B69)</f>
        <v>19.883600000000001</v>
      </c>
      <c r="C27" s="163">
        <f>SUM(Month!C67:C69)</f>
        <v>7.4672000000000001</v>
      </c>
      <c r="D27" s="163">
        <f>SUM(Month!D67:D69)</f>
        <v>0.1968</v>
      </c>
      <c r="E27" s="163">
        <f>SUM(Month!E67:E69)</f>
        <v>6.7029999999999994</v>
      </c>
      <c r="F27" s="163">
        <f>SUM(Month!F67:F69)</f>
        <v>5.3027999999999995</v>
      </c>
      <c r="G27" s="163">
        <f>SUM(Month!G67:G69)</f>
        <v>0.15909999999999999</v>
      </c>
      <c r="H27" s="163" t="s">
        <v>137</v>
      </c>
      <c r="I27" s="163" t="s">
        <v>137</v>
      </c>
      <c r="J27" s="163" t="s">
        <v>137</v>
      </c>
      <c r="K27" s="163">
        <f>SUM(Month!K67:K69)</f>
        <v>5.5164</v>
      </c>
      <c r="L27" s="163">
        <f>SUM(Month!L67:L69)</f>
        <v>0.21360000000000001</v>
      </c>
      <c r="M27" s="164">
        <f>SUM(Month!M67:M69)</f>
        <v>14.367100000000001</v>
      </c>
    </row>
    <row r="28" spans="1:13">
      <c r="A28" s="162" t="s">
        <v>181</v>
      </c>
      <c r="B28" s="163">
        <f>SUM(Month!B70:B72)</f>
        <v>17.1233</v>
      </c>
      <c r="C28" s="163">
        <f>SUM(Month!C70:C72)</f>
        <v>6.1330000000000009</v>
      </c>
      <c r="D28" s="163">
        <f>SUM(Month!D70:D72)</f>
        <v>0.1792</v>
      </c>
      <c r="E28" s="163">
        <f>SUM(Month!E70:E72)</f>
        <v>5.8436000000000003</v>
      </c>
      <c r="F28" s="163">
        <f>SUM(Month!F70:F72)</f>
        <v>4.8643000000000001</v>
      </c>
      <c r="G28" s="163">
        <f>SUM(Month!G70:G72)</f>
        <v>4.6600000000000003E-2</v>
      </c>
      <c r="H28" s="163" t="s">
        <v>137</v>
      </c>
      <c r="I28" s="163" t="s">
        <v>137</v>
      </c>
      <c r="J28" s="163" t="s">
        <v>137</v>
      </c>
      <c r="K28" s="163">
        <f>SUM(Month!K70:K72)</f>
        <v>4.9674000000000005</v>
      </c>
      <c r="L28" s="163">
        <f>SUM(Month!L70:L72)</f>
        <v>0.1031</v>
      </c>
      <c r="M28" s="164">
        <f>SUM(Month!M70:M72)</f>
        <v>12.155900000000001</v>
      </c>
    </row>
    <row r="29" spans="1:13">
      <c r="A29" s="162" t="s">
        <v>182</v>
      </c>
      <c r="B29" s="163">
        <f>SUM(Month!B73:B75)</f>
        <v>16.4421</v>
      </c>
      <c r="C29" s="163">
        <f>SUM(Month!C73:C75)</f>
        <v>6.0320999999999998</v>
      </c>
      <c r="D29" s="163">
        <f>SUM(Month!D73:D75)</f>
        <v>0.1636</v>
      </c>
      <c r="E29" s="163">
        <f>SUM(Month!E73:E75)</f>
        <v>5.5945</v>
      </c>
      <c r="F29" s="163">
        <f>SUM(Month!F73:F75)</f>
        <v>4.5486000000000004</v>
      </c>
      <c r="G29" s="163">
        <f>SUM(Month!G73:G75)</f>
        <v>4.0099999999999997E-2</v>
      </c>
      <c r="H29" s="163" t="s">
        <v>137</v>
      </c>
      <c r="I29" s="163" t="s">
        <v>137</v>
      </c>
      <c r="J29" s="163" t="s">
        <v>137</v>
      </c>
      <c r="K29" s="163">
        <f>SUM(Month!K73:K75)</f>
        <v>4.6518999999999995</v>
      </c>
      <c r="L29" s="163">
        <f>SUM(Month!L73:L75)</f>
        <v>0.10299999999999998</v>
      </c>
      <c r="M29" s="164">
        <f>SUM(Month!M73:M75)</f>
        <v>11.7902</v>
      </c>
    </row>
    <row r="30" spans="1:13">
      <c r="A30" s="162" t="s">
        <v>183</v>
      </c>
      <c r="B30" s="163">
        <f>SUM(Month!B76:B78)</f>
        <v>19.7348</v>
      </c>
      <c r="C30" s="163">
        <f>SUM(Month!C76:C78)</f>
        <v>8.1329999999999991</v>
      </c>
      <c r="D30" s="163">
        <f>SUM(Month!D76:D78)</f>
        <v>0.2326</v>
      </c>
      <c r="E30" s="163">
        <f>SUM(Month!E76:E78)</f>
        <v>6.2598000000000003</v>
      </c>
      <c r="F30" s="163">
        <f>SUM(Month!F76:F78)</f>
        <v>4.9193999999999996</v>
      </c>
      <c r="G30" s="163">
        <f>SUM(Month!G76:G78)</f>
        <v>0.12670000000000001</v>
      </c>
      <c r="H30" s="163" t="s">
        <v>137</v>
      </c>
      <c r="I30" s="163" t="s">
        <v>137</v>
      </c>
      <c r="J30" s="163" t="s">
        <v>137</v>
      </c>
      <c r="K30" s="163">
        <f>SUM(Month!K76:K78)</f>
        <v>5.1093999999999999</v>
      </c>
      <c r="L30" s="163">
        <f>SUM(Month!L76:L78)</f>
        <v>0.19</v>
      </c>
      <c r="M30" s="164">
        <f>SUM(Month!M76:M78)</f>
        <v>14.625399999999999</v>
      </c>
    </row>
    <row r="31" spans="1:13">
      <c r="A31" s="162" t="s">
        <v>184</v>
      </c>
      <c r="B31" s="163">
        <f>SUM(Month!B79:B81)</f>
        <v>21.426400000000001</v>
      </c>
      <c r="C31" s="163">
        <f>SUM(Month!C79:C81)</f>
        <v>9.4835999999999991</v>
      </c>
      <c r="D31" s="163">
        <f>SUM(Month!D79:D81)</f>
        <v>0.27829999999999999</v>
      </c>
      <c r="E31" s="163">
        <f>SUM(Month!E79:E81)</f>
        <v>6.2819000000000003</v>
      </c>
      <c r="F31" s="163">
        <f>SUM(Month!F79:F81)</f>
        <v>5.2514000000000003</v>
      </c>
      <c r="G31" s="163">
        <f>SUM(Month!G79:G81)</f>
        <v>7.1099999999999997E-2</v>
      </c>
      <c r="H31" s="163" t="s">
        <v>137</v>
      </c>
      <c r="I31" s="163" t="s">
        <v>137</v>
      </c>
      <c r="J31" s="163" t="s">
        <v>137</v>
      </c>
      <c r="K31" s="163">
        <f>SUM(Month!K79:K81)</f>
        <v>5.3825000000000003</v>
      </c>
      <c r="L31" s="163">
        <f>SUM(Month!L79:L81)</f>
        <v>0.1313</v>
      </c>
      <c r="M31" s="164">
        <f>SUM(Month!M79:M81)</f>
        <v>16.043799999999997</v>
      </c>
    </row>
    <row r="32" spans="1:13">
      <c r="A32" s="162" t="s">
        <v>185</v>
      </c>
      <c r="B32" s="163">
        <f>SUM(Month!B82:B84)</f>
        <v>17.761099999999999</v>
      </c>
      <c r="C32" s="163">
        <f>SUM(Month!C82:C84)</f>
        <v>6.8423999999999996</v>
      </c>
      <c r="D32" s="163">
        <f>SUM(Month!D82:D84)</f>
        <v>0.17910000000000001</v>
      </c>
      <c r="E32" s="163">
        <f>SUM(Month!E82:E84)</f>
        <v>5.9928000000000008</v>
      </c>
      <c r="F32" s="163">
        <f>SUM(Month!F82:F84)</f>
        <v>4.6528000000000009</v>
      </c>
      <c r="G32" s="163">
        <f>SUM(Month!G82:G84)</f>
        <v>3.5500000000000004E-2</v>
      </c>
      <c r="H32" s="163" t="s">
        <v>137</v>
      </c>
      <c r="I32" s="163" t="s">
        <v>137</v>
      </c>
      <c r="J32" s="163" t="s">
        <v>137</v>
      </c>
      <c r="K32" s="163">
        <f>SUM(Month!K82:K84)</f>
        <v>4.7465000000000002</v>
      </c>
      <c r="L32" s="163">
        <f>SUM(Month!L82:L84)</f>
        <v>9.3800000000000008E-2</v>
      </c>
      <c r="M32" s="164">
        <f>SUM(Month!M82:M84)</f>
        <v>13.0145</v>
      </c>
    </row>
    <row r="33" spans="1:13">
      <c r="A33" s="162" t="s">
        <v>186</v>
      </c>
      <c r="B33" s="163">
        <f>SUM(Month!B85:B87)</f>
        <v>17.040500000000002</v>
      </c>
      <c r="C33" s="163">
        <f>SUM(Month!C85:C87)</f>
        <v>6.109</v>
      </c>
      <c r="D33" s="163">
        <f>SUM(Month!D85:D87)</f>
        <v>0.15289999999999998</v>
      </c>
      <c r="E33" s="163">
        <f>SUM(Month!E85:E87)</f>
        <v>5.5128000000000004</v>
      </c>
      <c r="F33" s="163">
        <f>SUM(Month!F85:F87)</f>
        <v>5.1597999999999997</v>
      </c>
      <c r="G33" s="163">
        <f>SUM(Month!G85:G87)</f>
        <v>3.9699999999999999E-2</v>
      </c>
      <c r="H33" s="163" t="s">
        <v>137</v>
      </c>
      <c r="I33" s="163" t="s">
        <v>137</v>
      </c>
      <c r="J33" s="163" t="s">
        <v>137</v>
      </c>
      <c r="K33" s="163">
        <f>SUM(Month!K85:K87)</f>
        <v>5.2657999999999996</v>
      </c>
      <c r="L33" s="163">
        <f>SUM(Month!L85:L87)</f>
        <v>0.10589999999999999</v>
      </c>
      <c r="M33" s="164">
        <f>SUM(Month!M85:M87)</f>
        <v>11.774699999999999</v>
      </c>
    </row>
    <row r="34" spans="1:13">
      <c r="A34" s="162" t="s">
        <v>187</v>
      </c>
      <c r="B34" s="163">
        <f>SUM(Month!B88:B90)</f>
        <v>20.259799999999998</v>
      </c>
      <c r="C34" s="163">
        <f>SUM(Month!C88:C90)</f>
        <v>8.1395</v>
      </c>
      <c r="D34" s="163">
        <f>SUM(Month!D88:D90)</f>
        <v>0.20710000000000001</v>
      </c>
      <c r="E34" s="163">
        <f>SUM(Month!E88:E90)</f>
        <v>6.0099</v>
      </c>
      <c r="F34" s="163">
        <f>SUM(Month!F88:F90)</f>
        <v>5.7044999999999995</v>
      </c>
      <c r="G34" s="163">
        <f>SUM(Month!G88:G90)</f>
        <v>0.13</v>
      </c>
      <c r="H34" s="163" t="s">
        <v>137</v>
      </c>
      <c r="I34" s="163" t="s">
        <v>137</v>
      </c>
      <c r="J34" s="163" t="s">
        <v>137</v>
      </c>
      <c r="K34" s="163">
        <f>SUM(Month!K88:K90)</f>
        <v>5.9032999999999998</v>
      </c>
      <c r="L34" s="163">
        <f>SUM(Month!L88:L90)</f>
        <v>0.1988</v>
      </c>
      <c r="M34" s="164">
        <f>SUM(Month!M88:M90)</f>
        <v>14.356400000000001</v>
      </c>
    </row>
    <row r="35" spans="1:13">
      <c r="A35" s="162" t="s">
        <v>188</v>
      </c>
      <c r="B35" s="163">
        <f>SUM(Month!B91:B93)</f>
        <v>20.998699999999999</v>
      </c>
      <c r="C35" s="163">
        <f>SUM(Month!C91:C93)</f>
        <v>8.6702000000000012</v>
      </c>
      <c r="D35" s="163">
        <f>SUM(Month!D91:D93)</f>
        <v>0.2152</v>
      </c>
      <c r="E35" s="163">
        <f>SUM(Month!E91:E93)</f>
        <v>6.2869999999999999</v>
      </c>
      <c r="F35" s="163">
        <f>SUM(Month!F91:F93)</f>
        <v>5.6171999999999995</v>
      </c>
      <c r="G35" s="163">
        <f>SUM(Month!G91:G93)</f>
        <v>0.14500000000000002</v>
      </c>
      <c r="H35" s="163" t="s">
        <v>137</v>
      </c>
      <c r="I35" s="163" t="s">
        <v>137</v>
      </c>
      <c r="J35" s="163" t="s">
        <v>137</v>
      </c>
      <c r="K35" s="163">
        <f>SUM(Month!K91:K93)</f>
        <v>5.8263999999999996</v>
      </c>
      <c r="L35" s="163">
        <f>SUM(Month!L91:L93)</f>
        <v>0.20909999999999998</v>
      </c>
      <c r="M35" s="164">
        <f>SUM(Month!M91:M93)</f>
        <v>15.1724</v>
      </c>
    </row>
    <row r="36" spans="1:13">
      <c r="A36" s="162" t="s">
        <v>189</v>
      </c>
      <c r="B36" s="163">
        <f>SUM(Month!B94:B96)</f>
        <v>17.019199999999998</v>
      </c>
      <c r="C36" s="163">
        <f>SUM(Month!C94:C96)</f>
        <v>5.5141999999999998</v>
      </c>
      <c r="D36" s="163">
        <f>SUM(Month!D94:D96)</f>
        <v>0.14119999999999999</v>
      </c>
      <c r="E36" s="163">
        <f>SUM(Month!E94:E96)</f>
        <v>6.2929000000000004</v>
      </c>
      <c r="F36" s="163">
        <f>SUM(Month!F94:F96)</f>
        <v>4.9306999999999999</v>
      </c>
      <c r="G36" s="163">
        <f>SUM(Month!G94:G96)</f>
        <v>0.08</v>
      </c>
      <c r="H36" s="163" t="s">
        <v>137</v>
      </c>
      <c r="I36" s="163" t="s">
        <v>137</v>
      </c>
      <c r="J36" s="163" t="s">
        <v>137</v>
      </c>
      <c r="K36" s="163">
        <f>SUM(Month!K94:K96)</f>
        <v>5.0709</v>
      </c>
      <c r="L36" s="163">
        <f>SUM(Month!L94:L96)</f>
        <v>0.14019999999999999</v>
      </c>
      <c r="M36" s="164">
        <f>SUM(Month!M94:M96)</f>
        <v>11.948399999999999</v>
      </c>
    </row>
    <row r="37" spans="1:13">
      <c r="A37" s="162" t="s">
        <v>190</v>
      </c>
      <c r="B37" s="163">
        <f>SUM(Month!B97:B99)</f>
        <v>17.024699999999999</v>
      </c>
      <c r="C37" s="163">
        <f>SUM(Month!C97:C99)</f>
        <v>5.7828999999999997</v>
      </c>
      <c r="D37" s="163">
        <f>SUM(Month!D97:D99)</f>
        <v>0.13350000000000001</v>
      </c>
      <c r="E37" s="163">
        <f>SUM(Month!E97:E99)</f>
        <v>6.2869000000000002</v>
      </c>
      <c r="F37" s="163">
        <f>SUM(Month!F97:F99)</f>
        <v>4.7187999999999999</v>
      </c>
      <c r="G37" s="163">
        <f>SUM(Month!G97:G99)</f>
        <v>4.1099999999999998E-2</v>
      </c>
      <c r="H37" s="163" t="s">
        <v>137</v>
      </c>
      <c r="I37" s="163" t="s">
        <v>137</v>
      </c>
      <c r="J37" s="163" t="s">
        <v>137</v>
      </c>
      <c r="K37" s="163">
        <f>SUM(Month!K97:K99)</f>
        <v>4.8215000000000003</v>
      </c>
      <c r="L37" s="163">
        <f>SUM(Month!L97:L99)</f>
        <v>0.10270000000000001</v>
      </c>
      <c r="M37" s="164">
        <f>SUM(Month!M97:M99)</f>
        <v>12.203199999999999</v>
      </c>
    </row>
    <row r="38" spans="1:13">
      <c r="A38" s="162" t="s">
        <v>191</v>
      </c>
      <c r="B38" s="163">
        <f>SUM(Month!B100:B102)</f>
        <v>20.025400000000001</v>
      </c>
      <c r="C38" s="163">
        <f>SUM(Month!C100:C102)</f>
        <v>8.6559999999999988</v>
      </c>
      <c r="D38" s="163">
        <f>SUM(Month!D100:D102)</f>
        <v>0.19889999999999999</v>
      </c>
      <c r="E38" s="163">
        <f>SUM(Month!E100:E102)</f>
        <v>6.1773999999999996</v>
      </c>
      <c r="F38" s="163">
        <f>SUM(Month!F100:F102)</f>
        <v>4.8335000000000008</v>
      </c>
      <c r="G38" s="163">
        <f>SUM(Month!G100:G102)</f>
        <v>7.1599999999999997E-2</v>
      </c>
      <c r="H38" s="163" t="s">
        <v>137</v>
      </c>
      <c r="I38" s="163" t="s">
        <v>137</v>
      </c>
      <c r="J38" s="163" t="s">
        <v>137</v>
      </c>
      <c r="K38" s="163">
        <f>SUM(Month!K100:K102)</f>
        <v>4.9930000000000003</v>
      </c>
      <c r="L38" s="163">
        <f>SUM(Month!L100:L102)</f>
        <v>0.1595</v>
      </c>
      <c r="M38" s="164">
        <f>SUM(Month!M100:M102)</f>
        <v>15.032400000000001</v>
      </c>
    </row>
    <row r="39" spans="1:13">
      <c r="A39" s="162" t="s">
        <v>192</v>
      </c>
      <c r="B39" s="163">
        <f>SUM(Month!B103:B105)</f>
        <v>21.234200000000001</v>
      </c>
      <c r="C39" s="163">
        <f>SUM(Month!C103:C105)</f>
        <v>9.3391000000000002</v>
      </c>
      <c r="D39" s="163">
        <f>SUM(Month!D103:D105)</f>
        <v>0.22199999999999998</v>
      </c>
      <c r="E39" s="163">
        <f>SUM(Month!E103:E105)</f>
        <v>5.9786999999999999</v>
      </c>
      <c r="F39" s="163">
        <f>SUM(Month!F103:F105)</f>
        <v>5.5404999999999998</v>
      </c>
      <c r="G39" s="163">
        <f>SUM(Month!G103:G105)</f>
        <v>6.7799999999999999E-2</v>
      </c>
      <c r="H39" s="163" t="s">
        <v>137</v>
      </c>
      <c r="I39" s="163" t="s">
        <v>137</v>
      </c>
      <c r="J39" s="163" t="s">
        <v>137</v>
      </c>
      <c r="K39" s="163">
        <f>SUM(Month!K103:K105)</f>
        <v>5.6943000000000001</v>
      </c>
      <c r="L39" s="163">
        <f>SUM(Month!L103:L105)</f>
        <v>0.15389999999999998</v>
      </c>
      <c r="M39" s="164">
        <f>SUM(Month!M103:M105)</f>
        <v>15.5398</v>
      </c>
    </row>
    <row r="40" spans="1:13">
      <c r="A40" s="162" t="s">
        <v>193</v>
      </c>
      <c r="B40" s="163">
        <f>SUM(Month!B106:B108)</f>
        <v>17.970300000000002</v>
      </c>
      <c r="C40" s="163">
        <f>SUM(Month!C106:C108)</f>
        <v>6.8601999999999999</v>
      </c>
      <c r="D40" s="163">
        <f>SUM(Month!D106:D108)</f>
        <v>0.1118</v>
      </c>
      <c r="E40" s="163">
        <f>SUM(Month!E106:E108)</f>
        <v>5.7931000000000008</v>
      </c>
      <c r="F40" s="163">
        <f>SUM(Month!F106:F108)</f>
        <v>5.0718999999999994</v>
      </c>
      <c r="G40" s="163">
        <f>SUM(Month!G106:G108)</f>
        <v>4.4999999999999998E-2</v>
      </c>
      <c r="H40" s="163" t="s">
        <v>137</v>
      </c>
      <c r="I40" s="163" t="s">
        <v>137</v>
      </c>
      <c r="J40" s="163" t="s">
        <v>137</v>
      </c>
      <c r="K40" s="163">
        <f>SUM(Month!K106:K108)</f>
        <v>5.2050000000000001</v>
      </c>
      <c r="L40" s="163">
        <f>SUM(Month!L106:L108)</f>
        <v>0.1331</v>
      </c>
      <c r="M40" s="164">
        <f>SUM(Month!M106:M108)</f>
        <v>12.7652</v>
      </c>
    </row>
    <row r="41" spans="1:13">
      <c r="A41" s="162" t="s">
        <v>194</v>
      </c>
      <c r="B41" s="163">
        <f>SUM(Month!B109:B111)</f>
        <v>17.517499999999998</v>
      </c>
      <c r="C41" s="163">
        <f>SUM(Month!C109:C111)</f>
        <v>6.2633000000000001</v>
      </c>
      <c r="D41" s="163">
        <f>SUM(Month!D109:D111)</f>
        <v>0.13200000000000001</v>
      </c>
      <c r="E41" s="163">
        <f>SUM(Month!E109:E111)</f>
        <v>6.2897999999999996</v>
      </c>
      <c r="F41" s="163">
        <f>SUM(Month!F109:F111)</f>
        <v>4.7074999999999996</v>
      </c>
      <c r="G41" s="163">
        <f>SUM(Month!G109:G111)</f>
        <v>3.2899999999999999E-2</v>
      </c>
      <c r="H41" s="163" t="s">
        <v>137</v>
      </c>
      <c r="I41" s="163" t="s">
        <v>137</v>
      </c>
      <c r="J41" s="163" t="s">
        <v>137</v>
      </c>
      <c r="K41" s="163">
        <f>SUM(Month!K109:K111)</f>
        <v>4.8323999999999998</v>
      </c>
      <c r="L41" s="163">
        <f>SUM(Month!L109:L111)</f>
        <v>0.12470000000000001</v>
      </c>
      <c r="M41" s="164">
        <f>SUM(Month!M109:M111)</f>
        <v>12.6853</v>
      </c>
    </row>
    <row r="42" spans="1:13">
      <c r="A42" s="162" t="s">
        <v>195</v>
      </c>
      <c r="B42" s="163">
        <f>SUM(Month!B112:B114)</f>
        <v>20.622</v>
      </c>
      <c r="C42" s="163">
        <f>SUM(Month!C112:C114)</f>
        <v>9.1074999999999999</v>
      </c>
      <c r="D42" s="163">
        <f>SUM(Month!D112:D114)</f>
        <v>0.18809999999999999</v>
      </c>
      <c r="E42" s="163">
        <f>SUM(Month!E112:E114)</f>
        <v>6.4148000000000014</v>
      </c>
      <c r="F42" s="163">
        <f>SUM(Month!F112:F114)</f>
        <v>4.7211999999999996</v>
      </c>
      <c r="G42" s="163">
        <f>SUM(Month!G112:G114)</f>
        <v>7.51E-2</v>
      </c>
      <c r="H42" s="163" t="s">
        <v>137</v>
      </c>
      <c r="I42" s="163" t="s">
        <v>137</v>
      </c>
      <c r="J42" s="163" t="s">
        <v>137</v>
      </c>
      <c r="K42" s="163">
        <f>SUM(Month!K112:K114)</f>
        <v>4.9115000000000002</v>
      </c>
      <c r="L42" s="163">
        <f>SUM(Month!L112:L114)</f>
        <v>0.1903</v>
      </c>
      <c r="M42" s="164">
        <f>SUM(Month!M112:M114)</f>
        <v>15.7104</v>
      </c>
    </row>
    <row r="43" spans="1:13">
      <c r="A43" s="162" t="s">
        <v>196</v>
      </c>
      <c r="B43" s="163">
        <f>SUM(Month!B115:B117)</f>
        <v>21.765000000000001</v>
      </c>
      <c r="C43" s="163">
        <f>SUM(Month!C115:C117)</f>
        <v>9.5648</v>
      </c>
      <c r="D43" s="163">
        <f>SUM(Month!D115:D117)</f>
        <v>0.1739</v>
      </c>
      <c r="E43" s="163">
        <f>SUM(Month!E115:E117)</f>
        <v>6.4741999999999997</v>
      </c>
      <c r="F43" s="163">
        <f>SUM(Month!F115:F117)</f>
        <v>5.3438999999999997</v>
      </c>
      <c r="G43" s="163">
        <f>SUM(Month!G115:G117)</f>
        <v>0.10970000000000001</v>
      </c>
      <c r="H43" s="163" t="s">
        <v>137</v>
      </c>
      <c r="I43" s="163">
        <f>SUM(Month!I115:I117)</f>
        <v>9.8299999999999998E-2</v>
      </c>
      <c r="J43" s="163" t="s">
        <v>137</v>
      </c>
      <c r="K43" s="163">
        <f>SUM(Month!K115:K117)</f>
        <v>5.5518999999999998</v>
      </c>
      <c r="L43" s="163">
        <f>SUM(Month!L115:L117)</f>
        <v>0.20799999999999999</v>
      </c>
      <c r="M43" s="164">
        <f>SUM(Month!M115:M117)</f>
        <v>16.213099999999997</v>
      </c>
    </row>
    <row r="44" spans="1:13">
      <c r="A44" s="162" t="s">
        <v>197</v>
      </c>
      <c r="B44" s="163">
        <f>SUM(Month!B118:B120)</f>
        <v>16.615099999999998</v>
      </c>
      <c r="C44" s="163">
        <f>SUM(Month!C118:C120)</f>
        <v>5.8889000000000005</v>
      </c>
      <c r="D44" s="163">
        <f>SUM(Month!D118:D120)</f>
        <v>0.1191</v>
      </c>
      <c r="E44" s="163">
        <f>SUM(Month!E118:E120)</f>
        <v>6.2267999999999999</v>
      </c>
      <c r="F44" s="163">
        <f>SUM(Month!F118:F120)</f>
        <v>4.2237999999999998</v>
      </c>
      <c r="G44" s="163">
        <f>SUM(Month!G118:G120)</f>
        <v>4.5099999999999994E-2</v>
      </c>
      <c r="H44" s="163" t="s">
        <v>137</v>
      </c>
      <c r="I44" s="163">
        <f>SUM(Month!I118:I120)</f>
        <v>0.1114</v>
      </c>
      <c r="J44" s="163" t="s">
        <v>137</v>
      </c>
      <c r="K44" s="163">
        <f>SUM(Month!K118:K120)</f>
        <v>4.3803000000000001</v>
      </c>
      <c r="L44" s="163">
        <f>SUM(Month!L118:L120)</f>
        <v>0.1565</v>
      </c>
      <c r="M44" s="164">
        <f>SUM(Month!M118:M120)</f>
        <v>12.2349</v>
      </c>
    </row>
    <row r="45" spans="1:13">
      <c r="A45" s="162" t="s">
        <v>198</v>
      </c>
      <c r="B45" s="163">
        <f>SUM(Month!B121:B123)</f>
        <v>17.173999999999999</v>
      </c>
      <c r="C45" s="163">
        <f>SUM(Month!C121:C123)</f>
        <v>6.0188999999999995</v>
      </c>
      <c r="D45" s="163">
        <f>SUM(Month!D121:D123)</f>
        <v>0.12029999999999999</v>
      </c>
      <c r="E45" s="163">
        <f>SUM(Month!E121:E123)</f>
        <v>6.5873999999999997</v>
      </c>
      <c r="F45" s="163">
        <f>SUM(Month!F121:F123)</f>
        <v>4.2393000000000001</v>
      </c>
      <c r="G45" s="163">
        <f>SUM(Month!G121:G123)</f>
        <v>6.5000000000000002E-2</v>
      </c>
      <c r="H45" s="163" t="s">
        <v>137</v>
      </c>
      <c r="I45" s="163">
        <f>SUM(Month!I121:I123)</f>
        <v>0.14329999999999998</v>
      </c>
      <c r="J45" s="163" t="s">
        <v>137</v>
      </c>
      <c r="K45" s="163">
        <f>SUM(Month!K121:K123)</f>
        <v>4.4474999999999998</v>
      </c>
      <c r="L45" s="163">
        <f>SUM(Month!L121:L123)</f>
        <v>0.20829999999999999</v>
      </c>
      <c r="M45" s="164">
        <f>SUM(Month!M121:M123)</f>
        <v>12.726599999999999</v>
      </c>
    </row>
    <row r="46" spans="1:13">
      <c r="A46" s="162" t="s">
        <v>199</v>
      </c>
      <c r="B46" s="163">
        <f>SUM(Month!B124:B126)</f>
        <v>20.621099999999998</v>
      </c>
      <c r="C46" s="163">
        <f>SUM(Month!C124:C126)</f>
        <v>8.9019999999999992</v>
      </c>
      <c r="D46" s="163">
        <f>SUM(Month!D124:D126)</f>
        <v>0.1633</v>
      </c>
      <c r="E46" s="163">
        <f>SUM(Month!E124:E126)</f>
        <v>6.8936999999999999</v>
      </c>
      <c r="F46" s="163">
        <f>SUM(Month!F124:F126)</f>
        <v>4.3571</v>
      </c>
      <c r="G46" s="163">
        <f>SUM(Month!G124:G126)</f>
        <v>0.11780000000000002</v>
      </c>
      <c r="H46" s="163" t="s">
        <v>137</v>
      </c>
      <c r="I46" s="163">
        <f>SUM(Month!I124:I126)</f>
        <v>0.18720000000000001</v>
      </c>
      <c r="J46" s="163" t="s">
        <v>137</v>
      </c>
      <c r="K46" s="163">
        <f>SUM(Month!K124:K126)</f>
        <v>4.6621000000000006</v>
      </c>
      <c r="L46" s="163">
        <f>SUM(Month!L124:L126)</f>
        <v>0.30499999999999999</v>
      </c>
      <c r="M46" s="164">
        <f>SUM(Month!M124:M126)</f>
        <v>15.959</v>
      </c>
    </row>
    <row r="47" spans="1:13">
      <c r="A47" s="162" t="s">
        <v>200</v>
      </c>
      <c r="B47" s="163">
        <f>SUM(Month!B127:B129)</f>
        <v>21.5718</v>
      </c>
      <c r="C47" s="163">
        <f>SUM(Month!C127:C129)</f>
        <v>9.9548999999999985</v>
      </c>
      <c r="D47" s="163">
        <f>SUM(Month!D127:D129)</f>
        <v>0.25969999999999999</v>
      </c>
      <c r="E47" s="163">
        <f>SUM(Month!E127:E129)</f>
        <v>5.9614999999999991</v>
      </c>
      <c r="F47" s="163">
        <f>SUM(Month!F127:F129)</f>
        <v>5.0559000000000003</v>
      </c>
      <c r="G47" s="163">
        <f>SUM(Month!G127:G129)</f>
        <v>0.11610000000000001</v>
      </c>
      <c r="H47" s="163" t="s">
        <v>137</v>
      </c>
      <c r="I47" s="163">
        <f>SUM(Month!I127:I129)</f>
        <v>0.2238</v>
      </c>
      <c r="J47" s="163" t="s">
        <v>137</v>
      </c>
      <c r="K47" s="163">
        <f>SUM(Month!K127:K129)</f>
        <v>5.3956999999999997</v>
      </c>
      <c r="L47" s="163">
        <f>SUM(Month!L127:L129)</f>
        <v>0.33979999999999999</v>
      </c>
      <c r="M47" s="164">
        <f>SUM(Month!M127:M129)</f>
        <v>16.176000000000002</v>
      </c>
    </row>
    <row r="48" spans="1:13">
      <c r="A48" s="162" t="s">
        <v>201</v>
      </c>
      <c r="B48" s="163">
        <f>SUM(Month!B130:B132)</f>
        <v>17.799799999999998</v>
      </c>
      <c r="C48" s="163">
        <f>SUM(Month!C130:C132)</f>
        <v>6.4157999999999999</v>
      </c>
      <c r="D48" s="163">
        <f>SUM(Month!D130:D132)</f>
        <v>9.8799999999999999E-2</v>
      </c>
      <c r="E48" s="163">
        <f>SUM(Month!E130:E132)</f>
        <v>6.5874999999999995</v>
      </c>
      <c r="F48" s="163">
        <f>SUM(Month!F130:F132)</f>
        <v>4.4566999999999997</v>
      </c>
      <c r="G48" s="163">
        <f>SUM(Month!G130:G132)</f>
        <v>6.6500000000000004E-2</v>
      </c>
      <c r="H48" s="163" t="s">
        <v>137</v>
      </c>
      <c r="I48" s="163">
        <f>SUM(Month!I130:I132)</f>
        <v>0.17470000000000002</v>
      </c>
      <c r="J48" s="163" t="s">
        <v>137</v>
      </c>
      <c r="K48" s="163">
        <f>SUM(Month!K130:K132)</f>
        <v>4.6979000000000006</v>
      </c>
      <c r="L48" s="163">
        <f>SUM(Month!L130:L132)</f>
        <v>0.24110000000000004</v>
      </c>
      <c r="M48" s="164">
        <f>SUM(Month!M130:M132)</f>
        <v>13.102</v>
      </c>
    </row>
    <row r="49" spans="1:13">
      <c r="A49" s="162" t="s">
        <v>202</v>
      </c>
      <c r="B49" s="163">
        <f>SUM(Month!B133:B135)</f>
        <v>17.1479</v>
      </c>
      <c r="C49" s="163">
        <f>SUM(Month!C133:C135)</f>
        <v>5.3495000000000008</v>
      </c>
      <c r="D49" s="163">
        <f>SUM(Month!D133:D135)</f>
        <v>0.1232</v>
      </c>
      <c r="E49" s="163">
        <f>SUM(Month!E133:E135)</f>
        <v>6.8528000000000002</v>
      </c>
      <c r="F49" s="163">
        <f>SUM(Month!F133:F135)</f>
        <v>4.5860000000000003</v>
      </c>
      <c r="G49" s="163">
        <f>SUM(Month!G133:G135)</f>
        <v>4.1800000000000004E-2</v>
      </c>
      <c r="H49" s="163" t="s">
        <v>137</v>
      </c>
      <c r="I49" s="163">
        <f>SUM(Month!I133:I135)</f>
        <v>0.1946</v>
      </c>
      <c r="J49" s="163" t="s">
        <v>137</v>
      </c>
      <c r="K49" s="163">
        <f>SUM(Month!K133:K135)</f>
        <v>4.8223000000000003</v>
      </c>
      <c r="L49" s="163">
        <f>SUM(Month!L133:L135)</f>
        <v>0.2364</v>
      </c>
      <c r="M49" s="164">
        <f>SUM(Month!M133:M135)</f>
        <v>12.3255</v>
      </c>
    </row>
    <row r="50" spans="1:13">
      <c r="A50" s="162" t="s">
        <v>203</v>
      </c>
      <c r="B50" s="163">
        <f>SUM(Month!B136:B138)</f>
        <v>20.956800000000001</v>
      </c>
      <c r="C50" s="163">
        <f>SUM(Month!C136:C138)</f>
        <v>9.9337999999999997</v>
      </c>
      <c r="D50" s="163">
        <f>SUM(Month!D136:D138)</f>
        <v>0.40129999999999999</v>
      </c>
      <c r="E50" s="163">
        <f>SUM(Month!E136:E138)</f>
        <v>6.0189000000000004</v>
      </c>
      <c r="F50" s="163">
        <f>SUM(Month!F136:F138)</f>
        <v>4.2731000000000003</v>
      </c>
      <c r="G50" s="163">
        <f>SUM(Month!G136:G138)</f>
        <v>0.1048</v>
      </c>
      <c r="H50" s="163" t="s">
        <v>137</v>
      </c>
      <c r="I50" s="163">
        <f>SUM(Month!I136:I138)</f>
        <v>0.22520000000000001</v>
      </c>
      <c r="J50" s="163" t="s">
        <v>137</v>
      </c>
      <c r="K50" s="163">
        <f>SUM(Month!K136:K138)</f>
        <v>4.6029</v>
      </c>
      <c r="L50" s="163">
        <f>SUM(Month!L136:L138)</f>
        <v>0.33</v>
      </c>
      <c r="M50" s="164">
        <f>SUM(Month!M136:M138)</f>
        <v>16.353899999999999</v>
      </c>
    </row>
    <row r="51" spans="1:13">
      <c r="A51" s="162" t="s">
        <v>204</v>
      </c>
      <c r="B51" s="163">
        <f>SUM(Month!B139:B141)</f>
        <v>22.701899999999998</v>
      </c>
      <c r="C51" s="163">
        <f>SUM(Month!C139:C141)</f>
        <v>11.6465</v>
      </c>
      <c r="D51" s="163">
        <f>SUM(Month!D139:D141)</f>
        <v>0.55979999999999996</v>
      </c>
      <c r="E51" s="163">
        <f>SUM(Month!E139:E141)</f>
        <v>5.0449999999999999</v>
      </c>
      <c r="F51" s="163">
        <f>SUM(Month!F139:F141)</f>
        <v>5.0784000000000002</v>
      </c>
      <c r="G51" s="163">
        <f>SUM(Month!G139:G141)</f>
        <v>7.5999999999999998E-2</v>
      </c>
      <c r="H51" s="163" t="s">
        <v>137</v>
      </c>
      <c r="I51" s="163">
        <f>SUM(Month!I139:I141)</f>
        <v>0.29620000000000002</v>
      </c>
      <c r="J51" s="163" t="s">
        <v>137</v>
      </c>
      <c r="K51" s="163">
        <f>SUM(Month!K139:K141)</f>
        <v>5.4505999999999997</v>
      </c>
      <c r="L51" s="163">
        <f>SUM(Month!L139:L141)</f>
        <v>0.37219999999999998</v>
      </c>
      <c r="M51" s="164">
        <f>SUM(Month!M139:M141)</f>
        <v>17.251300000000001</v>
      </c>
    </row>
    <row r="52" spans="1:13">
      <c r="A52" s="162" t="s">
        <v>205</v>
      </c>
      <c r="B52" s="163">
        <f>SUM(Month!B142:B144)</f>
        <v>17.611799999999999</v>
      </c>
      <c r="C52" s="163">
        <f>SUM(Month!C142:C144)</f>
        <v>7.0961999999999996</v>
      </c>
      <c r="D52" s="163">
        <f>SUM(Month!D142:D144)</f>
        <v>0.1116</v>
      </c>
      <c r="E52" s="163">
        <f>SUM(Month!E142:E144)</f>
        <v>5.7042000000000002</v>
      </c>
      <c r="F52" s="163">
        <f>SUM(Month!F142:F144)</f>
        <v>4.5042999999999997</v>
      </c>
      <c r="G52" s="163">
        <f>SUM(Month!G142:G144)</f>
        <v>6.5299999999999997E-2</v>
      </c>
      <c r="H52" s="163" t="s">
        <v>137</v>
      </c>
      <c r="I52" s="163">
        <f>SUM(Month!I142:I144)</f>
        <v>0.13</v>
      </c>
      <c r="J52" s="163" t="s">
        <v>137</v>
      </c>
      <c r="K52" s="163">
        <f>SUM(Month!K142:K144)</f>
        <v>4.6997</v>
      </c>
      <c r="L52" s="163">
        <f>SUM(Month!L142:L144)</f>
        <v>0.19520000000000001</v>
      </c>
      <c r="M52" s="164">
        <f>SUM(Month!M142:M144)</f>
        <v>12.912099999999999</v>
      </c>
    </row>
    <row r="53" spans="1:13">
      <c r="A53" s="162" t="s">
        <v>206</v>
      </c>
      <c r="B53" s="163">
        <f>SUM(Month!B145:B147)</f>
        <v>17.379799999999999</v>
      </c>
      <c r="C53" s="163">
        <f>SUM(Month!C145:C147)</f>
        <v>6.5834000000000001</v>
      </c>
      <c r="D53" s="163">
        <f>SUM(Month!D145:D147)</f>
        <v>0.11779999999999999</v>
      </c>
      <c r="E53" s="163">
        <f>SUM(Month!E145:E147)</f>
        <v>6.2412000000000001</v>
      </c>
      <c r="F53" s="163">
        <f>SUM(Month!F145:F147)</f>
        <v>4.2666000000000004</v>
      </c>
      <c r="G53" s="163">
        <f>SUM(Month!G145:G147)</f>
        <v>4.4399999999999995E-2</v>
      </c>
      <c r="H53" s="163" t="s">
        <v>137</v>
      </c>
      <c r="I53" s="163">
        <f>SUM(Month!I145:I147)</f>
        <v>0.12639999999999998</v>
      </c>
      <c r="J53" s="163" t="s">
        <v>137</v>
      </c>
      <c r="K53" s="163">
        <f>SUM(Month!K145:K147)</f>
        <v>4.4374000000000002</v>
      </c>
      <c r="L53" s="163">
        <f>SUM(Month!L145:L147)</f>
        <v>0.17080000000000001</v>
      </c>
      <c r="M53" s="164">
        <f>SUM(Month!M145:M147)</f>
        <v>12.942399999999999</v>
      </c>
    </row>
    <row r="54" spans="1:13">
      <c r="A54" s="162" t="s">
        <v>207</v>
      </c>
      <c r="B54" s="163">
        <f>SUM(Month!B148:B150)</f>
        <v>20.358899999999998</v>
      </c>
      <c r="C54" s="163">
        <f>SUM(Month!C148:C150)</f>
        <v>9.6720000000000006</v>
      </c>
      <c r="D54" s="163">
        <f>SUM(Month!D148:D150)</f>
        <v>0.16889999999999999</v>
      </c>
      <c r="E54" s="163">
        <f>SUM(Month!E148:E150)</f>
        <v>6.9260000000000002</v>
      </c>
      <c r="F54" s="163">
        <f>SUM(Month!F148:F150)</f>
        <v>3.2816999999999998</v>
      </c>
      <c r="G54" s="163">
        <f>SUM(Month!G148:G150)</f>
        <v>0.1318</v>
      </c>
      <c r="H54" s="163" t="s">
        <v>137</v>
      </c>
      <c r="I54" s="163">
        <f>SUM(Month!I148:I150)</f>
        <v>0.17849999999999999</v>
      </c>
      <c r="J54" s="163" t="s">
        <v>137</v>
      </c>
      <c r="K54" s="163">
        <f>SUM(Month!K148:K150)</f>
        <v>3.5919999999999996</v>
      </c>
      <c r="L54" s="163">
        <f>SUM(Month!L148:L150)</f>
        <v>0.31030000000000002</v>
      </c>
      <c r="M54" s="164">
        <f>SUM(Month!M148:M150)</f>
        <v>16.7669</v>
      </c>
    </row>
    <row r="55" spans="1:13">
      <c r="A55" s="162" t="s">
        <v>208</v>
      </c>
      <c r="B55" s="163">
        <f>SUM(Month!B151:B153)</f>
        <v>20.505700000000001</v>
      </c>
      <c r="C55" s="163">
        <f>SUM(Month!C151:C153)</f>
        <v>9.1252999999999993</v>
      </c>
      <c r="D55" s="163">
        <f>SUM(Month!D151:D153)</f>
        <v>0.1661</v>
      </c>
      <c r="E55" s="163">
        <f>SUM(Month!E151:E153)</f>
        <v>7.3207000000000004</v>
      </c>
      <c r="F55" s="163">
        <f>SUM(Month!F151:F153)</f>
        <v>3.4624999999999999</v>
      </c>
      <c r="G55" s="163">
        <f>SUM(Month!G151:G153)</f>
        <v>0.1431</v>
      </c>
      <c r="H55" s="163">
        <f>SUM(Month!H151:H153)</f>
        <v>9.74E-2</v>
      </c>
      <c r="I55" s="163">
        <f>SUM(Month!I151:I153)</f>
        <v>0.19059999999999999</v>
      </c>
      <c r="J55" s="163" t="s">
        <v>137</v>
      </c>
      <c r="K55" s="163">
        <f>SUM(Month!K151:K153)</f>
        <v>3.8934999999999995</v>
      </c>
      <c r="L55" s="163">
        <f>SUM(Month!L151:L153)</f>
        <v>0.43109999999999993</v>
      </c>
      <c r="M55" s="164">
        <f>SUM(Month!M151:M153)</f>
        <v>16.612299999999998</v>
      </c>
    </row>
    <row r="56" spans="1:13">
      <c r="A56" s="162" t="s">
        <v>209</v>
      </c>
      <c r="B56" s="163">
        <f>SUM(Month!B154:B156)</f>
        <v>17.098599999999998</v>
      </c>
      <c r="C56" s="163">
        <f>SUM(Month!C154:C156)</f>
        <v>5.9777000000000005</v>
      </c>
      <c r="D56" s="163">
        <f>SUM(Month!D154:D156)</f>
        <v>0.1132</v>
      </c>
      <c r="E56" s="163">
        <f>SUM(Month!E154:E156)</f>
        <v>7.3914</v>
      </c>
      <c r="F56" s="163">
        <f>SUM(Month!F154:F156)</f>
        <v>3.3665000000000003</v>
      </c>
      <c r="G56" s="163">
        <f>SUM(Month!G154:G156)</f>
        <v>5.7099999999999998E-2</v>
      </c>
      <c r="H56" s="163">
        <f>SUM(Month!H154:H156)</f>
        <v>5.3600000000000009E-2</v>
      </c>
      <c r="I56" s="163">
        <f>SUM(Month!I154:I156)</f>
        <v>0.1394</v>
      </c>
      <c r="J56" s="163" t="s">
        <v>137</v>
      </c>
      <c r="K56" s="163">
        <f>SUM(Month!K154:K156)</f>
        <v>3.6165000000000003</v>
      </c>
      <c r="L56" s="163">
        <f>SUM(Month!L154:L156)</f>
        <v>0.25</v>
      </c>
      <c r="M56" s="164">
        <f>SUM(Month!M154:M156)</f>
        <v>13.482200000000001</v>
      </c>
    </row>
    <row r="57" spans="1:13">
      <c r="A57" s="162" t="s">
        <v>210</v>
      </c>
      <c r="B57" s="163">
        <f>SUM(Month!B157:B159)</f>
        <v>16.8462</v>
      </c>
      <c r="C57" s="163">
        <f>SUM(Month!C157:C159)</f>
        <v>6.4533000000000005</v>
      </c>
      <c r="D57" s="163">
        <f>SUM(Month!D157:D159)</f>
        <v>0.13639999999999999</v>
      </c>
      <c r="E57" s="163">
        <f>SUM(Month!E157:E159)</f>
        <v>6.1495999999999995</v>
      </c>
      <c r="F57" s="163">
        <f>SUM(Month!F157:F159)</f>
        <v>3.8578000000000001</v>
      </c>
      <c r="G57" s="163">
        <f>SUM(Month!G157:G159)</f>
        <v>6.3099999999999989E-2</v>
      </c>
      <c r="H57" s="163">
        <f>SUM(Month!H157:H159)</f>
        <v>6.8699999999999997E-2</v>
      </c>
      <c r="I57" s="163">
        <f>SUM(Month!I157:I159)</f>
        <v>0.1172</v>
      </c>
      <c r="J57" s="163" t="s">
        <v>137</v>
      </c>
      <c r="K57" s="163">
        <f>SUM(Month!K157:K159)</f>
        <v>4.1070000000000002</v>
      </c>
      <c r="L57" s="163">
        <f>SUM(Month!L157:L159)</f>
        <v>0.249</v>
      </c>
      <c r="M57" s="164">
        <f>SUM(Month!M157:M159)</f>
        <v>12.7392</v>
      </c>
    </row>
    <row r="58" spans="1:13">
      <c r="A58" s="162" t="s">
        <v>211</v>
      </c>
      <c r="B58" s="163">
        <f>SUM(Month!B160:B162)</f>
        <v>21.065300000000001</v>
      </c>
      <c r="C58" s="163">
        <f>SUM(Month!C160:C162)</f>
        <v>10.4346</v>
      </c>
      <c r="D58" s="163">
        <f>SUM(Month!D160:D162)</f>
        <v>0.2833</v>
      </c>
      <c r="E58" s="163">
        <f>SUM(Month!E160:E162)</f>
        <v>6.6392999999999995</v>
      </c>
      <c r="F58" s="163">
        <f>SUM(Month!F160:F162)</f>
        <v>3.3498000000000001</v>
      </c>
      <c r="G58" s="163">
        <f>SUM(Month!G160:G162)</f>
        <v>9.3099999999999988E-2</v>
      </c>
      <c r="H58" s="163">
        <f>SUM(Month!H160:H162)</f>
        <v>8.72E-2</v>
      </c>
      <c r="I58" s="163">
        <f>SUM(Month!I160:I162)</f>
        <v>0.17799999999999999</v>
      </c>
      <c r="J58" s="163" t="s">
        <v>137</v>
      </c>
      <c r="K58" s="163">
        <f>SUM(Month!K160:K162)</f>
        <v>3.7082000000000002</v>
      </c>
      <c r="L58" s="163">
        <f>SUM(Month!L160:L162)</f>
        <v>0.35830000000000001</v>
      </c>
      <c r="M58" s="164">
        <f>SUM(Month!M160:M162)</f>
        <v>17.357200000000002</v>
      </c>
    </row>
    <row r="59" spans="1:13">
      <c r="A59" s="162" t="s">
        <v>212</v>
      </c>
      <c r="B59" s="163">
        <f>SUM(Month!B163:B165)</f>
        <v>20.138199999999998</v>
      </c>
      <c r="C59" s="163">
        <f>SUM(Month!C163:C165)</f>
        <v>8.3569999999999993</v>
      </c>
      <c r="D59" s="163">
        <f>SUM(Month!D163:D165)</f>
        <v>0.20400000000000001</v>
      </c>
      <c r="E59" s="163">
        <f>SUM(Month!E163:E165)</f>
        <v>7.8186</v>
      </c>
      <c r="F59" s="163">
        <f>SUM(Month!F163:F165)</f>
        <v>3.2822999999999998</v>
      </c>
      <c r="G59" s="163">
        <f>SUM(Month!G163:G165)</f>
        <v>0.1457</v>
      </c>
      <c r="H59" s="163">
        <f>SUM(Month!H163:H165)</f>
        <v>0.1439</v>
      </c>
      <c r="I59" s="163">
        <f>SUM(Month!I163:I165)</f>
        <v>0.1867</v>
      </c>
      <c r="J59" s="163" t="s">
        <v>137</v>
      </c>
      <c r="K59" s="163">
        <f>SUM(Month!K163:K165)</f>
        <v>3.7585000000000002</v>
      </c>
      <c r="L59" s="163">
        <f>SUM(Month!L163:L165)</f>
        <v>0.47620000000000007</v>
      </c>
      <c r="M59" s="164">
        <f>SUM(Month!M163:M165)</f>
        <v>16.3796</v>
      </c>
    </row>
    <row r="60" spans="1:13">
      <c r="A60" s="162" t="s">
        <v>213</v>
      </c>
      <c r="B60" s="163">
        <f>SUM(Month!B166:B168)</f>
        <v>16.897100000000002</v>
      </c>
      <c r="C60" s="163">
        <f>SUM(Month!C166:C168)</f>
        <v>6.4103999999999992</v>
      </c>
      <c r="D60" s="163">
        <f>SUM(Month!D166:D168)</f>
        <v>0.2072</v>
      </c>
      <c r="E60" s="163">
        <f>SUM(Month!E166:E168)</f>
        <v>7.1891999999999996</v>
      </c>
      <c r="F60" s="163">
        <f>SUM(Month!F166:F168)</f>
        <v>2.7679</v>
      </c>
      <c r="G60" s="163">
        <f>SUM(Month!G166:G168)</f>
        <v>5.6500000000000002E-2</v>
      </c>
      <c r="H60" s="163">
        <f>SUM(Month!H166:H168)</f>
        <v>8.1900000000000001E-2</v>
      </c>
      <c r="I60" s="163">
        <f>SUM(Month!I166:I168)</f>
        <v>0.18410000000000001</v>
      </c>
      <c r="J60" s="163" t="s">
        <v>137</v>
      </c>
      <c r="K60" s="163">
        <f>SUM(Month!K166:K168)</f>
        <v>3.0904000000000003</v>
      </c>
      <c r="L60" s="163">
        <f>SUM(Month!L166:L168)</f>
        <v>0.3226</v>
      </c>
      <c r="M60" s="164">
        <f>SUM(Month!M166:M168)</f>
        <v>13.806699999999999</v>
      </c>
    </row>
    <row r="61" spans="1:13">
      <c r="A61" s="162" t="s">
        <v>214</v>
      </c>
      <c r="B61" s="163">
        <f>SUM(Month!B169:B171)</f>
        <v>16.3795</v>
      </c>
      <c r="C61" s="163">
        <f>SUM(Month!C169:C171)</f>
        <v>5.3468999999999998</v>
      </c>
      <c r="D61" s="163">
        <f>SUM(Month!D169:D171)</f>
        <v>0.26329999999999998</v>
      </c>
      <c r="E61" s="163">
        <f>SUM(Month!E169:E171)</f>
        <v>7.7112999999999996</v>
      </c>
      <c r="F61" s="163">
        <f>SUM(Month!F169:F171)</f>
        <v>2.7388999999999997</v>
      </c>
      <c r="G61" s="163">
        <f>SUM(Month!G169:G171)</f>
        <v>4.7699999999999999E-2</v>
      </c>
      <c r="H61" s="163">
        <f>SUM(Month!H169:H171)</f>
        <v>8.5500000000000007E-2</v>
      </c>
      <c r="I61" s="163">
        <f>SUM(Month!I169:I171)</f>
        <v>0.18579999999999999</v>
      </c>
      <c r="J61" s="163" t="s">
        <v>137</v>
      </c>
      <c r="K61" s="163">
        <f>SUM(Month!K169:K171)</f>
        <v>3.0579999999999998</v>
      </c>
      <c r="L61" s="163">
        <f>SUM(Month!L169:L171)</f>
        <v>0.31909999999999999</v>
      </c>
      <c r="M61" s="164">
        <f>SUM(Month!M169:M171)</f>
        <v>13.3215</v>
      </c>
    </row>
    <row r="62" spans="1:13">
      <c r="A62" s="162" t="s">
        <v>215</v>
      </c>
      <c r="B62" s="163">
        <f>SUM(Month!B172:B174)</f>
        <v>19.8371</v>
      </c>
      <c r="C62" s="163">
        <f>SUM(Month!C172:C174)</f>
        <v>8.8757999999999999</v>
      </c>
      <c r="D62" s="163">
        <f>SUM(Month!D172:D174)</f>
        <v>0.4304</v>
      </c>
      <c r="E62" s="163">
        <f>SUM(Month!E172:E174)</f>
        <v>6.8986000000000001</v>
      </c>
      <c r="F62" s="163">
        <f>SUM(Month!F172:F174)</f>
        <v>3.1203000000000003</v>
      </c>
      <c r="G62" s="163">
        <f>SUM(Month!G172:G174)</f>
        <v>0.1132</v>
      </c>
      <c r="H62" s="163">
        <f>SUM(Month!H172:H174)</f>
        <v>0.152</v>
      </c>
      <c r="I62" s="163">
        <f>SUM(Month!I172:I174)</f>
        <v>0.24680000000000002</v>
      </c>
      <c r="J62" s="163" t="s">
        <v>137</v>
      </c>
      <c r="K62" s="163">
        <f>SUM(Month!K172:K174)</f>
        <v>3.6323999999999996</v>
      </c>
      <c r="L62" s="163">
        <f>SUM(Month!L172:L174)</f>
        <v>0.51200000000000001</v>
      </c>
      <c r="M62" s="164">
        <f>SUM(Month!M172:M174)</f>
        <v>16.204699999999999</v>
      </c>
    </row>
    <row r="63" spans="1:13">
      <c r="A63" s="162" t="s">
        <v>216</v>
      </c>
      <c r="B63" s="163">
        <f>SUM(Month!B175:B177)</f>
        <v>20.2058</v>
      </c>
      <c r="C63" s="163">
        <f>SUM(Month!C175:C177)</f>
        <v>9.1684000000000001</v>
      </c>
      <c r="D63" s="163">
        <f>SUM(Month!D175:D177)</f>
        <v>0.38279999999999997</v>
      </c>
      <c r="E63" s="163">
        <f>SUM(Month!E175:E177)</f>
        <v>6.3872999999999998</v>
      </c>
      <c r="F63" s="163">
        <f>SUM(Month!F175:F177)</f>
        <v>3.7366000000000001</v>
      </c>
      <c r="G63" s="163">
        <f>SUM(Month!G175:G177)</f>
        <v>0.11209999999999999</v>
      </c>
      <c r="H63" s="163">
        <f>SUM(Month!H175:H177)</f>
        <v>0.16849999999999998</v>
      </c>
      <c r="I63" s="163">
        <f>SUM(Month!I175:I177)</f>
        <v>0.25</v>
      </c>
      <c r="J63" s="163" t="s">
        <v>137</v>
      </c>
      <c r="K63" s="163">
        <f>SUM(Month!K175:K177)</f>
        <v>4.2671999999999999</v>
      </c>
      <c r="L63" s="163">
        <f>SUM(Month!L175:L177)</f>
        <v>0.53049999999999997</v>
      </c>
      <c r="M63" s="164">
        <f>SUM(Month!M175:M177)</f>
        <v>15.938700000000001</v>
      </c>
    </row>
    <row r="64" spans="1:13">
      <c r="A64" s="162" t="s">
        <v>217</v>
      </c>
      <c r="B64" s="163">
        <f>SUM(Month!B178:B180)</f>
        <v>15.716799999999999</v>
      </c>
      <c r="C64" s="163">
        <f>SUM(Month!C178:C180)</f>
        <v>4.6650999999999998</v>
      </c>
      <c r="D64" s="163">
        <f>SUM(Month!D178:D180)</f>
        <v>0.18110000000000001</v>
      </c>
      <c r="E64" s="163">
        <f>SUM(Month!E178:E180)</f>
        <v>6.5312999999999999</v>
      </c>
      <c r="F64" s="163">
        <f>SUM(Month!F178:F180)</f>
        <v>3.992</v>
      </c>
      <c r="G64" s="163">
        <f>SUM(Month!G178:G180)</f>
        <v>6.1800000000000008E-2</v>
      </c>
      <c r="H64" s="163">
        <f>SUM(Month!H178:H180)</f>
        <v>0.12759999999999999</v>
      </c>
      <c r="I64" s="163">
        <f>SUM(Month!I178:I180)</f>
        <v>0.15810000000000002</v>
      </c>
      <c r="J64" s="163" t="s">
        <v>137</v>
      </c>
      <c r="K64" s="163">
        <f>SUM(Month!K178:K180)</f>
        <v>4.3393999999999995</v>
      </c>
      <c r="L64" s="163">
        <f>SUM(Month!L178:L180)</f>
        <v>0.34740000000000004</v>
      </c>
      <c r="M64" s="164">
        <f>SUM(Month!M178:M180)</f>
        <v>11.377500000000001</v>
      </c>
    </row>
    <row r="65" spans="1:13">
      <c r="A65" s="162" t="s">
        <v>218</v>
      </c>
      <c r="B65" s="163">
        <f>SUM(Month!B181:B183)</f>
        <v>15.490500000000001</v>
      </c>
      <c r="C65" s="163">
        <f>SUM(Month!C181:C183)</f>
        <v>3.8010000000000002</v>
      </c>
      <c r="D65" s="163">
        <f>SUM(Month!D181:D183)</f>
        <v>0.20419999999999999</v>
      </c>
      <c r="E65" s="163">
        <f>SUM(Month!E181:E183)</f>
        <v>7.2198999999999991</v>
      </c>
      <c r="F65" s="163">
        <f>SUM(Month!F181:F183)</f>
        <v>3.9077000000000002</v>
      </c>
      <c r="G65" s="163">
        <f>SUM(Month!G181:G183)</f>
        <v>7.9199999999999993E-2</v>
      </c>
      <c r="H65" s="163">
        <f>SUM(Month!H181:H183)</f>
        <v>0.13469999999999999</v>
      </c>
      <c r="I65" s="163">
        <f>SUM(Month!I181:I183)</f>
        <v>0.14410000000000001</v>
      </c>
      <c r="J65" s="163" t="s">
        <v>137</v>
      </c>
      <c r="K65" s="163">
        <f>SUM(Month!K181:K183)</f>
        <v>4.2656000000000001</v>
      </c>
      <c r="L65" s="163">
        <f>SUM(Month!L181:L183)</f>
        <v>0.3579</v>
      </c>
      <c r="M65" s="164">
        <f>SUM(Month!M181:M183)</f>
        <v>11.225099999999999</v>
      </c>
    </row>
    <row r="66" spans="1:13">
      <c r="A66" s="162" t="s">
        <v>219</v>
      </c>
      <c r="B66" s="163">
        <f>SUM(Month!B184:B186)</f>
        <v>18.5639</v>
      </c>
      <c r="C66" s="163">
        <f>SUM(Month!C184:C186)</f>
        <v>6.1564999999999994</v>
      </c>
      <c r="D66" s="163">
        <f>SUM(Month!D184:D186)</f>
        <v>0.25719999999999998</v>
      </c>
      <c r="E66" s="163">
        <f>SUM(Month!E184:E186)</f>
        <v>8.085799999999999</v>
      </c>
      <c r="F66" s="163">
        <f>SUM(Month!F184:F186)</f>
        <v>3.5935999999999995</v>
      </c>
      <c r="G66" s="163">
        <f>SUM(Month!G184:G186)</f>
        <v>0.11629999999999999</v>
      </c>
      <c r="H66" s="163">
        <f>SUM(Month!H184:H186)</f>
        <v>0.16289999999999999</v>
      </c>
      <c r="I66" s="163">
        <f>SUM(Month!I184:I186)</f>
        <v>0.19120000000000001</v>
      </c>
      <c r="J66" s="163" t="s">
        <v>137</v>
      </c>
      <c r="K66" s="163">
        <f>SUM(Month!K184:K186)</f>
        <v>4.0640999999999998</v>
      </c>
      <c r="L66" s="163">
        <f>SUM(Month!L184:L186)</f>
        <v>0.47060000000000002</v>
      </c>
      <c r="M66" s="164">
        <f>SUM(Month!M184:M186)</f>
        <v>14.499600000000001</v>
      </c>
    </row>
    <row r="67" spans="1:13">
      <c r="A67" s="162" t="s">
        <v>220</v>
      </c>
      <c r="B67" s="163">
        <f>SUM(Month!B187:B189)</f>
        <v>20.292299999999997</v>
      </c>
      <c r="C67" s="163">
        <f>SUM(Month!C187:C189)</f>
        <v>7.4309000000000003</v>
      </c>
      <c r="D67" s="163">
        <f>SUM(Month!D187:D189)</f>
        <v>0.22089999999999999</v>
      </c>
      <c r="E67" s="163">
        <f>SUM(Month!E187:E189)</f>
        <v>8.1106000000000016</v>
      </c>
      <c r="F67" s="163">
        <f>SUM(Month!F187:F189)</f>
        <v>4.0765000000000002</v>
      </c>
      <c r="G67" s="163">
        <f>SUM(Month!G187:G189)</f>
        <v>5.28E-2</v>
      </c>
      <c r="H67" s="163">
        <f>SUM(Month!H187:H189)</f>
        <v>0.16039999999999999</v>
      </c>
      <c r="I67" s="163">
        <f>SUM(Month!I187:I189)</f>
        <v>0.23980000000000001</v>
      </c>
      <c r="J67" s="163" t="s">
        <v>137</v>
      </c>
      <c r="K67" s="163">
        <f>SUM(Month!K187:K189)</f>
        <v>4.5297000000000001</v>
      </c>
      <c r="L67" s="163">
        <f>SUM(Month!L187:L189)</f>
        <v>0.45319999999999999</v>
      </c>
      <c r="M67" s="164">
        <f>SUM(Month!M187:M189)</f>
        <v>15.762600000000001</v>
      </c>
    </row>
    <row r="68" spans="1:13">
      <c r="A68" s="162" t="s">
        <v>221</v>
      </c>
      <c r="B68" s="163">
        <f>SUM(Month!B190:B192)</f>
        <v>15.875799999999998</v>
      </c>
      <c r="C68" s="163">
        <f>SUM(Month!C190:C192)</f>
        <v>4.4859999999999998</v>
      </c>
      <c r="D68" s="163">
        <f>SUM(Month!D190:D192)</f>
        <v>9.6600000000000005E-2</v>
      </c>
      <c r="E68" s="163">
        <f>SUM(Month!E190:E192)</f>
        <v>7.8103999999999996</v>
      </c>
      <c r="F68" s="163">
        <f>SUM(Month!F190:F192)</f>
        <v>3.1105</v>
      </c>
      <c r="G68" s="163">
        <f>SUM(Month!G190:G192)</f>
        <v>3.9300000000000002E-2</v>
      </c>
      <c r="H68" s="163">
        <f>SUM(Month!H190:H192)</f>
        <v>0.10879999999999999</v>
      </c>
      <c r="I68" s="163">
        <f>SUM(Month!I190:I192)</f>
        <v>0.22420000000000001</v>
      </c>
      <c r="J68" s="163" t="s">
        <v>137</v>
      </c>
      <c r="K68" s="163">
        <f>SUM(Month!K190:K192)</f>
        <v>3.4828000000000001</v>
      </c>
      <c r="L68" s="163">
        <f>SUM(Month!L190:L192)</f>
        <v>0.37230000000000002</v>
      </c>
      <c r="M68" s="164">
        <f>SUM(Month!M190:M192)</f>
        <v>12.393000000000001</v>
      </c>
    </row>
    <row r="69" spans="1:13">
      <c r="A69" s="162" t="s">
        <v>222</v>
      </c>
      <c r="B69" s="163">
        <f>SUM(Month!B193:B195)</f>
        <v>15.146700000000001</v>
      </c>
      <c r="C69" s="163">
        <f>SUM(Month!C193:C195)</f>
        <v>4.6397000000000004</v>
      </c>
      <c r="D69" s="163">
        <f>SUM(Month!D193:D195)</f>
        <v>0.13519999999999999</v>
      </c>
      <c r="E69" s="163">
        <f>SUM(Month!E193:E195)</f>
        <v>6.944</v>
      </c>
      <c r="F69" s="163">
        <f>SUM(Month!F193:F195)</f>
        <v>2.9173</v>
      </c>
      <c r="G69" s="163">
        <f>SUM(Month!G193:G195)</f>
        <v>5.5800000000000002E-2</v>
      </c>
      <c r="H69" s="163">
        <f>SUM(Month!H193:H195)</f>
        <v>0.18430000000000002</v>
      </c>
      <c r="I69" s="163">
        <f>SUM(Month!I193:I195)</f>
        <v>0.27039999999999997</v>
      </c>
      <c r="J69" s="163" t="s">
        <v>137</v>
      </c>
      <c r="K69" s="163">
        <f>SUM(Month!K193:K195)</f>
        <v>3.4278</v>
      </c>
      <c r="L69" s="163">
        <f>SUM(Month!L193:L195)</f>
        <v>0.51059999999999994</v>
      </c>
      <c r="M69" s="164">
        <f>SUM(Month!M193:M195)</f>
        <v>11.718900000000001</v>
      </c>
    </row>
    <row r="70" spans="1:13">
      <c r="A70" s="162" t="s">
        <v>223</v>
      </c>
      <c r="B70" s="163">
        <f>SUM(Month!B196:B198)</f>
        <v>19.6797</v>
      </c>
      <c r="C70" s="163">
        <f>SUM(Month!C196:C198)</f>
        <v>8.2236999999999991</v>
      </c>
      <c r="D70" s="163">
        <f>SUM(Month!D196:D198)</f>
        <v>0.18149999999999999</v>
      </c>
      <c r="E70" s="163">
        <f>SUM(Month!E196:E198)</f>
        <v>6.8584999999999994</v>
      </c>
      <c r="F70" s="163">
        <f>SUM(Month!F196:F198)</f>
        <v>3.8216000000000001</v>
      </c>
      <c r="G70" s="163">
        <f>SUM(Month!G196:G198)</f>
        <v>8.4299999999999986E-2</v>
      </c>
      <c r="H70" s="163">
        <f>SUM(Month!H196:H198)</f>
        <v>0.23180000000000001</v>
      </c>
      <c r="I70" s="163">
        <f>SUM(Month!I196:I198)</f>
        <v>0.27829999999999999</v>
      </c>
      <c r="J70" s="163" t="s">
        <v>137</v>
      </c>
      <c r="K70" s="163">
        <f>SUM(Month!K196:K198)</f>
        <v>4.4161000000000001</v>
      </c>
      <c r="L70" s="163">
        <f>SUM(Month!L196:L198)</f>
        <v>0.59440000000000004</v>
      </c>
      <c r="M70" s="164">
        <f>SUM(Month!M196:M198)</f>
        <v>15.2637</v>
      </c>
    </row>
    <row r="71" spans="1:13">
      <c r="A71" s="162" t="s">
        <v>224</v>
      </c>
      <c r="B71" s="163">
        <f>SUM(Month!B199:B201)</f>
        <v>19.486800000000002</v>
      </c>
      <c r="C71" s="163">
        <f>SUM(Month!C199:C201)</f>
        <v>8.1194000000000006</v>
      </c>
      <c r="D71" s="163">
        <f>SUM(Month!D199:D201)</f>
        <v>0.1236</v>
      </c>
      <c r="E71" s="163">
        <f>SUM(Month!E199:E201)</f>
        <v>6.1882999999999999</v>
      </c>
      <c r="F71" s="163">
        <f>SUM(Month!F199:F201)</f>
        <v>4.4063999999999997</v>
      </c>
      <c r="G71" s="163">
        <f>SUM(Month!G199:G201)</f>
        <v>8.7399999999999992E-2</v>
      </c>
      <c r="H71" s="163">
        <f>SUM(Month!H199:H201)</f>
        <v>0.23600000000000002</v>
      </c>
      <c r="I71" s="163">
        <f>SUM(Month!I199:I201)</f>
        <v>0.32569999999999999</v>
      </c>
      <c r="J71" s="163" t="s">
        <v>137</v>
      </c>
      <c r="K71" s="163">
        <f>SUM(Month!K199:K201)</f>
        <v>5.0554000000000006</v>
      </c>
      <c r="L71" s="163">
        <f>SUM(Month!L199:L201)</f>
        <v>0.64900000000000002</v>
      </c>
      <c r="M71" s="164">
        <f>SUM(Month!M199:M201)</f>
        <v>14.431299999999998</v>
      </c>
    </row>
    <row r="72" spans="1:13">
      <c r="A72" s="162" t="s">
        <v>225</v>
      </c>
      <c r="B72" s="163">
        <f>SUM(Month!B202:B204)</f>
        <v>15.458500000000001</v>
      </c>
      <c r="C72" s="163">
        <f>SUM(Month!C202:C204)</f>
        <v>4.4199000000000002</v>
      </c>
      <c r="D72" s="163">
        <f>SUM(Month!D202:D204)</f>
        <v>5.8599999999999999E-2</v>
      </c>
      <c r="E72" s="163">
        <f>SUM(Month!E202:E204)</f>
        <v>6.0251999999999999</v>
      </c>
      <c r="F72" s="163">
        <f>SUM(Month!F202:F204)</f>
        <v>4.3391000000000002</v>
      </c>
      <c r="G72" s="163">
        <f>SUM(Month!G202:G204)</f>
        <v>7.7800000000000008E-2</v>
      </c>
      <c r="H72" s="163">
        <f>SUM(Month!H202:H204)</f>
        <v>0.25519999999999998</v>
      </c>
      <c r="I72" s="163">
        <f>SUM(Month!I202:I204)</f>
        <v>0.28289999999999998</v>
      </c>
      <c r="J72" s="163" t="s">
        <v>137</v>
      </c>
      <c r="K72" s="163">
        <f>SUM(Month!K202:K204)</f>
        <v>4.9549000000000003</v>
      </c>
      <c r="L72" s="163">
        <f>SUM(Month!L202:L204)</f>
        <v>0.61580000000000001</v>
      </c>
      <c r="M72" s="164">
        <f>SUM(Month!M202:M204)</f>
        <v>10.5037</v>
      </c>
    </row>
    <row r="73" spans="1:13">
      <c r="A73" s="162" t="s">
        <v>226</v>
      </c>
      <c r="B73" s="163">
        <f>SUM(Month!B205:B207)</f>
        <v>15.049800000000001</v>
      </c>
      <c r="C73" s="163">
        <f>SUM(Month!C205:C207)</f>
        <v>4.4881000000000002</v>
      </c>
      <c r="D73" s="163">
        <f>SUM(Month!D205:D207)</f>
        <v>7.1899999999999992E-2</v>
      </c>
      <c r="E73" s="163">
        <f>SUM(Month!E205:E207)</f>
        <v>6.3088000000000006</v>
      </c>
      <c r="F73" s="163">
        <f>SUM(Month!F205:F207)</f>
        <v>3.5697000000000001</v>
      </c>
      <c r="G73" s="163">
        <f>SUM(Month!G205:G207)</f>
        <v>8.4699999999999998E-2</v>
      </c>
      <c r="H73" s="163">
        <f>SUM(Month!H205:H207)</f>
        <v>0.20929999999999999</v>
      </c>
      <c r="I73" s="163">
        <f>SUM(Month!I205:I207)</f>
        <v>0.31730000000000003</v>
      </c>
      <c r="J73" s="163" t="s">
        <v>137</v>
      </c>
      <c r="K73" s="163">
        <f>SUM(Month!K205:K207)</f>
        <v>4.181</v>
      </c>
      <c r="L73" s="163">
        <f>SUM(Month!L205:L207)</f>
        <v>0.61129999999999995</v>
      </c>
      <c r="M73" s="164">
        <f>SUM(Month!M205:M207)</f>
        <v>10.8687</v>
      </c>
    </row>
    <row r="74" spans="1:13">
      <c r="A74" s="162" t="s">
        <v>227</v>
      </c>
      <c r="B74" s="163">
        <f>SUM(Month!B208:B210)</f>
        <v>17.8399</v>
      </c>
      <c r="C74" s="163">
        <f>SUM(Month!C208:C210)</f>
        <v>8.2041000000000004</v>
      </c>
      <c r="D74" s="163">
        <f>SUM(Month!D208:D210)</f>
        <v>9.1899999999999996E-2</v>
      </c>
      <c r="E74" s="163">
        <f>SUM(Month!E208:E210)</f>
        <v>5.3408999999999995</v>
      </c>
      <c r="F74" s="163">
        <f>SUM(Month!F208:F210)</f>
        <v>3.3109000000000002</v>
      </c>
      <c r="G74" s="163">
        <f>SUM(Month!G208:G210)</f>
        <v>0.14510000000000001</v>
      </c>
      <c r="H74" s="163">
        <f>SUM(Month!H208:H210)</f>
        <v>0.4103</v>
      </c>
      <c r="I74" s="163">
        <f>SUM(Month!I208:I210)</f>
        <v>0.33679999999999999</v>
      </c>
      <c r="J74" s="163" t="s">
        <v>137</v>
      </c>
      <c r="K74" s="163">
        <f>SUM(Month!K208:K210)</f>
        <v>4.2032000000000007</v>
      </c>
      <c r="L74" s="163">
        <f>SUM(Month!L208:L210)</f>
        <v>0.89219999999999999</v>
      </c>
      <c r="M74" s="164">
        <f>SUM(Month!M208:M210)</f>
        <v>13.636700000000001</v>
      </c>
    </row>
    <row r="75" spans="1:13">
      <c r="A75" s="162" t="s">
        <v>228</v>
      </c>
      <c r="B75" s="163">
        <f>SUM(Month!B211:B213)</f>
        <v>19.054500000000001</v>
      </c>
      <c r="C75" s="163">
        <f>SUM(Month!C211:C213)</f>
        <v>9.8483000000000001</v>
      </c>
      <c r="D75" s="163">
        <f>SUM(Month!D211:D213)</f>
        <v>0.12590000000000001</v>
      </c>
      <c r="E75" s="163">
        <f>SUM(Month!E211:E213)</f>
        <v>4.3673000000000002</v>
      </c>
      <c r="F75" s="163">
        <f>SUM(Month!F211:F213)</f>
        <v>3.7145999999999999</v>
      </c>
      <c r="G75" s="163">
        <f>SUM(Month!G211:G213)</f>
        <v>0.1298</v>
      </c>
      <c r="H75" s="163">
        <f>SUM(Month!H211:H213)</f>
        <v>0.37290000000000001</v>
      </c>
      <c r="I75" s="163">
        <f>SUM(Month!I211:I213)</f>
        <v>0.49580000000000002</v>
      </c>
      <c r="J75" s="163" t="s">
        <v>137</v>
      </c>
      <c r="K75" s="163">
        <f>SUM(Month!K211:K213)</f>
        <v>4.7130999999999998</v>
      </c>
      <c r="L75" s="163">
        <f>SUM(Month!L211:L213)</f>
        <v>0.99850000000000005</v>
      </c>
      <c r="M75" s="164">
        <f>SUM(Month!M211:M213)</f>
        <v>14.3415</v>
      </c>
    </row>
    <row r="76" spans="1:13">
      <c r="A76" s="162" t="s">
        <v>229</v>
      </c>
      <c r="B76" s="163">
        <f>SUM(Month!B214:B216)</f>
        <v>16.002499999999998</v>
      </c>
      <c r="C76" s="163">
        <f>SUM(Month!C214:C216)</f>
        <v>7.2491000000000003</v>
      </c>
      <c r="D76" s="163">
        <f>SUM(Month!D214:D216)</f>
        <v>9.240000000000001E-2</v>
      </c>
      <c r="E76" s="163">
        <f>SUM(Month!E214:E216)</f>
        <v>3.9876999999999998</v>
      </c>
      <c r="F76" s="163">
        <f>SUM(Month!F214:F216)</f>
        <v>4.0011000000000001</v>
      </c>
      <c r="G76" s="163">
        <f>SUM(Month!G214:G216)</f>
        <v>4.8899999999999999E-2</v>
      </c>
      <c r="H76" s="163">
        <f>SUM(Month!H214:H216)</f>
        <v>0.29039999999999999</v>
      </c>
      <c r="I76" s="163">
        <f>SUM(Month!I214:I216)</f>
        <v>0.33279999999999998</v>
      </c>
      <c r="J76" s="163" t="s">
        <v>137</v>
      </c>
      <c r="K76" s="163">
        <f>SUM(Month!K214:K216)</f>
        <v>4.673</v>
      </c>
      <c r="L76" s="163">
        <f>SUM(Month!L214:L216)</f>
        <v>0.67189999999999994</v>
      </c>
      <c r="M76" s="164">
        <f>SUM(Month!M214:M216)</f>
        <v>11.3292</v>
      </c>
    </row>
    <row r="77" spans="1:13">
      <c r="A77" s="162" t="s">
        <v>230</v>
      </c>
      <c r="B77" s="163">
        <f>SUM(Month!B217:B219)</f>
        <v>15.224899999999998</v>
      </c>
      <c r="C77" s="163">
        <f>SUM(Month!C217:C219)</f>
        <v>6.8902999999999999</v>
      </c>
      <c r="D77" s="163">
        <f>SUM(Month!D217:D219)</f>
        <v>6.83E-2</v>
      </c>
      <c r="E77" s="163">
        <f>SUM(Month!E217:E219)</f>
        <v>3.5575000000000001</v>
      </c>
      <c r="F77" s="163">
        <f>SUM(Month!F217:F219)</f>
        <v>3.8943000000000003</v>
      </c>
      <c r="G77" s="163">
        <f>SUM(Month!G217:G219)</f>
        <v>6.8700000000000011E-2</v>
      </c>
      <c r="H77" s="163">
        <f>SUM(Month!H217:H219)</f>
        <v>0.32350000000000001</v>
      </c>
      <c r="I77" s="163">
        <f>SUM(Month!I217:I219)</f>
        <v>0.42259999999999998</v>
      </c>
      <c r="J77" s="163" t="s">
        <v>137</v>
      </c>
      <c r="K77" s="163">
        <f>SUM(Month!K217:K219)</f>
        <v>4.7088999999999999</v>
      </c>
      <c r="L77" s="163">
        <f>SUM(Month!L217:L219)</f>
        <v>0.81459999999999999</v>
      </c>
      <c r="M77" s="164">
        <f>SUM(Month!M217:M219)</f>
        <v>10.516</v>
      </c>
    </row>
    <row r="78" spans="1:13">
      <c r="A78" s="162" t="s">
        <v>231</v>
      </c>
      <c r="B78" s="163">
        <f>SUM(Month!B220:B222)</f>
        <v>18.444900000000001</v>
      </c>
      <c r="C78" s="163">
        <f>SUM(Month!C220:C222)</f>
        <v>9.6777999999999995</v>
      </c>
      <c r="D78" s="163">
        <f>SUM(Month!D220:D222)</f>
        <v>0.1207</v>
      </c>
      <c r="E78" s="163">
        <f>SUM(Month!E220:E222)</f>
        <v>3.9348999999999998</v>
      </c>
      <c r="F78" s="163">
        <f>SUM(Month!F220:F222)</f>
        <v>3.5959000000000003</v>
      </c>
      <c r="G78" s="163">
        <f>SUM(Month!G220:G222)</f>
        <v>0.11230000000000001</v>
      </c>
      <c r="H78" s="163">
        <f>SUM(Month!H220:H222)</f>
        <v>0.48860000000000003</v>
      </c>
      <c r="I78" s="163">
        <f>SUM(Month!I220:I222)</f>
        <v>0.51449999999999996</v>
      </c>
      <c r="J78" s="163" t="s">
        <v>137</v>
      </c>
      <c r="K78" s="163">
        <f>SUM(Month!K220:K222)</f>
        <v>4.7113999999999994</v>
      </c>
      <c r="L78" s="163">
        <f>SUM(Month!L220:L222)</f>
        <v>1.1154999999999999</v>
      </c>
      <c r="M78" s="164">
        <f>SUM(Month!M220:M222)</f>
        <v>13.733500000000001</v>
      </c>
    </row>
    <row r="79" spans="1:13">
      <c r="A79" s="162" t="s">
        <v>232</v>
      </c>
      <c r="B79" s="163">
        <f>SUM(Month!B223:B225)</f>
        <v>19.351300000000002</v>
      </c>
      <c r="C79" s="163">
        <f>SUM(Month!C223:C225)</f>
        <v>9.891</v>
      </c>
      <c r="D79" s="163">
        <f>SUM(Month!D223:D225)</f>
        <v>7.7699999999999991E-2</v>
      </c>
      <c r="E79" s="163">
        <f>SUM(Month!E223:E225)</f>
        <v>4.2472000000000003</v>
      </c>
      <c r="F79" s="163">
        <f>SUM(Month!F223:F225)</f>
        <v>3.9992000000000001</v>
      </c>
      <c r="G79" s="163">
        <f>SUM(Month!G223:G225)</f>
        <v>8.1100000000000005E-2</v>
      </c>
      <c r="H79" s="163">
        <f>SUM(Month!H223:H225)</f>
        <v>0.5</v>
      </c>
      <c r="I79" s="163">
        <f>SUM(Month!I223:I225)</f>
        <v>0.55510000000000004</v>
      </c>
      <c r="J79" s="163" t="s">
        <v>137</v>
      </c>
      <c r="K79" s="163">
        <f>SUM(Month!K223:K225)</f>
        <v>5.1353999999999997</v>
      </c>
      <c r="L79" s="163">
        <f>SUM(Month!L223:L225)</f>
        <v>1.1362000000000001</v>
      </c>
      <c r="M79" s="164">
        <f>SUM(Month!M223:M225)</f>
        <v>14.215900000000001</v>
      </c>
    </row>
    <row r="80" spans="1:13">
      <c r="A80" s="162" t="s">
        <v>233</v>
      </c>
      <c r="B80" s="163">
        <f>SUM(Month!B226:B228)</f>
        <v>15.333</v>
      </c>
      <c r="C80" s="163">
        <f>SUM(Month!C226:C228)</f>
        <v>6.8673000000000002</v>
      </c>
      <c r="D80" s="163">
        <f>SUM(Month!D226:D228)</f>
        <v>3.95E-2</v>
      </c>
      <c r="E80" s="163">
        <f>SUM(Month!E226:E228)</f>
        <v>3.7911000000000001</v>
      </c>
      <c r="F80" s="163">
        <f>SUM(Month!F226:F228)</f>
        <v>3.3837000000000002</v>
      </c>
      <c r="G80" s="163">
        <f>SUM(Month!G226:G228)</f>
        <v>6.2099999999999995E-2</v>
      </c>
      <c r="H80" s="163">
        <f>SUM(Month!H226:H228)</f>
        <v>0.46920000000000001</v>
      </c>
      <c r="I80" s="163">
        <f>SUM(Month!I226:I228)</f>
        <v>0.72029999999999994</v>
      </c>
      <c r="J80" s="163" t="s">
        <v>137</v>
      </c>
      <c r="K80" s="163">
        <f>SUM(Month!K226:K228)</f>
        <v>4.6352000000000002</v>
      </c>
      <c r="L80" s="163">
        <f>SUM(Month!L226:L228)</f>
        <v>1.2517</v>
      </c>
      <c r="M80" s="164">
        <f>SUM(Month!M226:M228)</f>
        <v>10.697799999999999</v>
      </c>
    </row>
    <row r="81" spans="1:13">
      <c r="A81" s="162" t="s">
        <v>234</v>
      </c>
      <c r="B81" s="163">
        <f>SUM(Month!B229:B231)</f>
        <v>14.925999999999998</v>
      </c>
      <c r="C81" s="163">
        <f>SUM(Month!C229:C231)</f>
        <v>6.4730000000000008</v>
      </c>
      <c r="D81" s="163">
        <f>SUM(Month!D229:D231)</f>
        <v>6.6299999999999998E-2</v>
      </c>
      <c r="E81" s="163">
        <f>SUM(Month!E229:E231)</f>
        <v>3.339</v>
      </c>
      <c r="F81" s="163">
        <f>SUM(Month!F229:F231)</f>
        <v>4.0872999999999999</v>
      </c>
      <c r="G81" s="163">
        <f>SUM(Month!G229:G231)</f>
        <v>4.5100000000000001E-2</v>
      </c>
      <c r="H81" s="163">
        <f>SUM(Month!H229:H231)</f>
        <v>0.34289999999999998</v>
      </c>
      <c r="I81" s="163">
        <f>SUM(Month!I229:I231)</f>
        <v>0.57229999999999992</v>
      </c>
      <c r="J81" s="163" t="s">
        <v>137</v>
      </c>
      <c r="K81" s="163">
        <f>SUM(Month!K229:K231)</f>
        <v>5.0476999999999999</v>
      </c>
      <c r="L81" s="163">
        <f>SUM(Month!L229:L231)</f>
        <v>0.96039999999999992</v>
      </c>
      <c r="M81" s="164">
        <f>SUM(Month!M229:M231)</f>
        <v>9.8783999999999992</v>
      </c>
    </row>
    <row r="82" spans="1:13">
      <c r="A82" s="162" t="s">
        <v>235</v>
      </c>
      <c r="B82" s="163">
        <f>SUM(Month!B232:B234)</f>
        <v>17.2422</v>
      </c>
      <c r="C82" s="163">
        <f>SUM(Month!C232:C234)</f>
        <v>8.0968</v>
      </c>
      <c r="D82" s="163">
        <f>SUM(Month!D232:D234)</f>
        <v>5.5099999999999996E-2</v>
      </c>
      <c r="E82" s="163">
        <f>SUM(Month!E232:E234)</f>
        <v>3.6882000000000001</v>
      </c>
      <c r="F82" s="163">
        <f>SUM(Month!F232:F234)</f>
        <v>3.9727999999999999</v>
      </c>
      <c r="G82" s="163">
        <f>SUM(Month!G232:G234)</f>
        <v>0.122</v>
      </c>
      <c r="H82" s="163">
        <f>SUM(Month!H232:H234)</f>
        <v>0.75419999999999998</v>
      </c>
      <c r="I82" s="163">
        <f>SUM(Month!I232:I234)</f>
        <v>0.55309999999999993</v>
      </c>
      <c r="J82" s="163" t="s">
        <v>137</v>
      </c>
      <c r="K82" s="163">
        <f>SUM(Month!K232:K234)</f>
        <v>5.4020000000000001</v>
      </c>
      <c r="L82" s="163">
        <f>SUM(Month!L232:L234)</f>
        <v>1.4293</v>
      </c>
      <c r="M82" s="164">
        <f>SUM(Month!M232:M234)</f>
        <v>11.840199999999999</v>
      </c>
    </row>
    <row r="83" spans="1:13">
      <c r="A83" s="162" t="s">
        <v>236</v>
      </c>
      <c r="B83" s="163">
        <f>SUM(Month!B235:B237)</f>
        <v>16.871600000000001</v>
      </c>
      <c r="C83" s="163">
        <f>SUM(Month!C235:C237)</f>
        <v>8.2701999999999991</v>
      </c>
      <c r="D83" s="163">
        <f>SUM(Month!D235:D237)</f>
        <v>5.6400000000000006E-2</v>
      </c>
      <c r="E83" s="163">
        <f>SUM(Month!E235:E237)</f>
        <v>3.4309000000000003</v>
      </c>
      <c r="F83" s="163">
        <f>SUM(Month!F235:F237)</f>
        <v>3.5906000000000002</v>
      </c>
      <c r="G83" s="163">
        <f>SUM(Month!G235:G237)</f>
        <v>0.1595</v>
      </c>
      <c r="H83" s="163">
        <f>SUM(Month!H235:H237)</f>
        <v>0.79789999999999994</v>
      </c>
      <c r="I83" s="163">
        <f>SUM(Month!I235:I237)</f>
        <v>0.56600000000000006</v>
      </c>
      <c r="J83" s="163" t="s">
        <v>137</v>
      </c>
      <c r="K83" s="163">
        <f>SUM(Month!K235:K237)</f>
        <v>5.1140999999999996</v>
      </c>
      <c r="L83" s="163">
        <f>SUM(Month!L235:L237)</f>
        <v>1.5235000000000001</v>
      </c>
      <c r="M83" s="164">
        <f>SUM(Month!M235:M237)</f>
        <v>11.7575</v>
      </c>
    </row>
    <row r="84" spans="1:13">
      <c r="A84" s="162" t="s">
        <v>237</v>
      </c>
      <c r="B84" s="163">
        <f>SUM(Month!B238:B240)</f>
        <v>14.117899999999999</v>
      </c>
      <c r="C84" s="163">
        <f>SUM(Month!C238:C240)</f>
        <v>5.2636000000000003</v>
      </c>
      <c r="D84" s="163">
        <f>SUM(Month!D238:D240)</f>
        <v>3.9899999999999998E-2</v>
      </c>
      <c r="E84" s="163">
        <f>SUM(Month!E238:E240)</f>
        <v>3.8119999999999998</v>
      </c>
      <c r="F84" s="163">
        <f>SUM(Month!F238:F240)</f>
        <v>3.8029000000000002</v>
      </c>
      <c r="G84" s="163">
        <f>SUM(Month!G238:G240)</f>
        <v>6.989999999999999E-2</v>
      </c>
      <c r="H84" s="163">
        <f>SUM(Month!H238:H240)</f>
        <v>0.37130000000000002</v>
      </c>
      <c r="I84" s="163">
        <f>SUM(Month!I238:I240)</f>
        <v>0.75819999999999999</v>
      </c>
      <c r="J84" s="163" t="s">
        <v>137</v>
      </c>
      <c r="K84" s="163">
        <f>SUM(Month!K238:K240)</f>
        <v>5.0023999999999997</v>
      </c>
      <c r="L84" s="163">
        <f>SUM(Month!L238:L240)</f>
        <v>1.1995</v>
      </c>
      <c r="M84" s="164">
        <f>SUM(Month!M238:M240)</f>
        <v>9.1157000000000004</v>
      </c>
    </row>
    <row r="85" spans="1:13">
      <c r="A85" s="162" t="s">
        <v>238</v>
      </c>
      <c r="B85" s="163">
        <f>SUM(Month!B241:B243)</f>
        <v>13.3888</v>
      </c>
      <c r="C85" s="163">
        <f>SUM(Month!C241:C243)</f>
        <v>3.8733</v>
      </c>
      <c r="D85" s="163">
        <f>SUM(Month!D241:D243)</f>
        <v>3.7000000000000005E-2</v>
      </c>
      <c r="E85" s="163">
        <f>SUM(Month!E241:E243)</f>
        <v>4.8064</v>
      </c>
      <c r="F85" s="163">
        <f>SUM(Month!F241:F243)</f>
        <v>3.4023000000000003</v>
      </c>
      <c r="G85" s="163">
        <f>SUM(Month!G241:G243)</f>
        <v>4.6199999999999998E-2</v>
      </c>
      <c r="H85" s="163">
        <f>SUM(Month!H241:H243)</f>
        <v>0.36819999999999997</v>
      </c>
      <c r="I85" s="163">
        <f>SUM(Month!I241:I243)</f>
        <v>0.85530000000000006</v>
      </c>
      <c r="J85" s="163" t="s">
        <v>137</v>
      </c>
      <c r="K85" s="163">
        <f>SUM(Month!K241:K243)</f>
        <v>4.6720000000000006</v>
      </c>
      <c r="L85" s="163">
        <f>SUM(Month!L241:L243)</f>
        <v>1.2696000000000001</v>
      </c>
      <c r="M85" s="164">
        <f>SUM(Month!M241:M243)</f>
        <v>8.7166999999999994</v>
      </c>
    </row>
    <row r="86" spans="1:13">
      <c r="A86" s="162" t="s">
        <v>239</v>
      </c>
      <c r="B86" s="163">
        <f>SUM(Month!B244:B246)</f>
        <v>15.793800000000001</v>
      </c>
      <c r="C86" s="163">
        <f>SUM(Month!C244:C246)</f>
        <v>6.5481999999999996</v>
      </c>
      <c r="D86" s="163">
        <f>SUM(Month!D244:D246)</f>
        <v>4.8299999999999996E-2</v>
      </c>
      <c r="E86" s="163">
        <f>SUM(Month!E244:E246)</f>
        <v>4.2805999999999997</v>
      </c>
      <c r="F86" s="163">
        <f>SUM(Month!F244:F246)</f>
        <v>3.0545</v>
      </c>
      <c r="G86" s="163">
        <f>SUM(Month!G244:G246)</f>
        <v>0.1217</v>
      </c>
      <c r="H86" s="163">
        <f>SUM(Month!H244:H246)</f>
        <v>0.76380000000000003</v>
      </c>
      <c r="I86" s="163">
        <f>SUM(Month!I244:I246)</f>
        <v>0.97689999999999988</v>
      </c>
      <c r="J86" s="163" t="s">
        <v>137</v>
      </c>
      <c r="K86" s="163">
        <f>SUM(Month!K244:K246)</f>
        <v>4.9168000000000003</v>
      </c>
      <c r="L86" s="163">
        <f>SUM(Month!L244:L246)</f>
        <v>1.8623000000000003</v>
      </c>
      <c r="M86" s="164">
        <f>SUM(Month!M244:M246)</f>
        <v>10.876999999999999</v>
      </c>
    </row>
    <row r="87" spans="1:13">
      <c r="A87" s="162" t="s">
        <v>240</v>
      </c>
      <c r="B87" s="163">
        <f>SUM(Month!B247:B249)</f>
        <v>16.816500000000001</v>
      </c>
      <c r="C87" s="163">
        <f>SUM(Month!C247:C249)</f>
        <v>7.0518999999999998</v>
      </c>
      <c r="D87" s="163">
        <f>SUM(Month!D247:D249)</f>
        <v>5.1400000000000001E-2</v>
      </c>
      <c r="E87" s="163">
        <f>SUM(Month!E247:E249)</f>
        <v>3.7689999999999997</v>
      </c>
      <c r="F87" s="163">
        <f>SUM(Month!F247:F249)</f>
        <v>3.9991000000000003</v>
      </c>
      <c r="G87" s="163">
        <f>SUM(Month!G247:G249)</f>
        <v>0.1406</v>
      </c>
      <c r="H87" s="163">
        <f>SUM(Month!H247:H249)</f>
        <v>0.84160000000000001</v>
      </c>
      <c r="I87" s="163">
        <f>SUM(Month!I247:I249)</f>
        <v>0.94810000000000005</v>
      </c>
      <c r="J87" s="163">
        <f>SUM(Month!J247:J249)</f>
        <v>1.4800000000000001E-2</v>
      </c>
      <c r="K87" s="163">
        <f>SUM(Month!K247:K249)</f>
        <v>5.9439999999999991</v>
      </c>
      <c r="L87" s="163">
        <f>SUM(Month!L247:L249)</f>
        <v>1.9451000000000001</v>
      </c>
      <c r="M87" s="164">
        <f>SUM(Month!M247:M249)</f>
        <v>10.872400000000001</v>
      </c>
    </row>
    <row r="88" spans="1:13">
      <c r="A88" s="162" t="s">
        <v>241</v>
      </c>
      <c r="B88" s="163">
        <f>SUM(Month!B250:B252)</f>
        <v>13.054199999999998</v>
      </c>
      <c r="C88" s="163">
        <f>SUM(Month!C250:C252)</f>
        <v>3.8456000000000001</v>
      </c>
      <c r="D88" s="163">
        <f>SUM(Month!D250:D252)</f>
        <v>4.4299999999999999E-2</v>
      </c>
      <c r="E88" s="163">
        <f>SUM(Month!E250:E252)</f>
        <v>3.7557</v>
      </c>
      <c r="F88" s="163">
        <f>SUM(Month!F250:F252)</f>
        <v>3.7231000000000005</v>
      </c>
      <c r="G88" s="163">
        <f>SUM(Month!G250:G252)</f>
        <v>9.4099999999999989E-2</v>
      </c>
      <c r="H88" s="163">
        <f>SUM(Month!H250:H252)</f>
        <v>0.59429999999999994</v>
      </c>
      <c r="I88" s="163">
        <f>SUM(Month!I250:I252)</f>
        <v>0.94700000000000006</v>
      </c>
      <c r="J88" s="163">
        <f>SUM(Month!J250:J252)</f>
        <v>5.0199999999999995E-2</v>
      </c>
      <c r="K88" s="163">
        <f>SUM(Month!K250:K252)</f>
        <v>5.4086999999999996</v>
      </c>
      <c r="L88" s="163">
        <f>SUM(Month!L250:L252)</f>
        <v>1.6856</v>
      </c>
      <c r="M88" s="164">
        <f>SUM(Month!M250:M252)</f>
        <v>7.6455000000000002</v>
      </c>
    </row>
    <row r="89" spans="1:13">
      <c r="A89" s="162" t="s">
        <v>242</v>
      </c>
      <c r="B89" s="163">
        <f>SUM(Month!B253:B255)</f>
        <v>12.680699999999998</v>
      </c>
      <c r="C89" s="163">
        <f>SUM(Month!C253:C255)</f>
        <v>3.1497000000000002</v>
      </c>
      <c r="D89" s="163">
        <f>SUM(Month!D253:D255)</f>
        <v>5.8099999999999999E-2</v>
      </c>
      <c r="E89" s="163">
        <f>SUM(Month!E253:E255)</f>
        <v>4.2260000000000009</v>
      </c>
      <c r="F89" s="163">
        <f>SUM(Month!F253:F255)</f>
        <v>3.6444000000000001</v>
      </c>
      <c r="G89" s="163">
        <f>SUM(Month!G253:G255)</f>
        <v>6.3E-2</v>
      </c>
      <c r="H89" s="163">
        <f>SUM(Month!H253:H255)</f>
        <v>0.51839999999999997</v>
      </c>
      <c r="I89" s="163">
        <f>SUM(Month!I253:I255)</f>
        <v>0.97809999999999997</v>
      </c>
      <c r="J89" s="163">
        <f>SUM(Month!J253:J255)</f>
        <v>4.2999999999999997E-2</v>
      </c>
      <c r="K89" s="163">
        <f>SUM(Month!K253:K255)</f>
        <v>5.2469000000000001</v>
      </c>
      <c r="L89" s="163">
        <f>SUM(Month!L253:L255)</f>
        <v>1.6025</v>
      </c>
      <c r="M89" s="164">
        <f>SUM(Month!M253:M255)</f>
        <v>7.4337999999999997</v>
      </c>
    </row>
    <row r="90" spans="1:13">
      <c r="A90" s="162" t="s">
        <v>243</v>
      </c>
      <c r="B90" s="163">
        <f>SUM(Month!B256:B258)</f>
        <v>14.933800000000002</v>
      </c>
      <c r="C90" s="163">
        <f>SUM(Month!C256:C258)</f>
        <v>4.2812000000000001</v>
      </c>
      <c r="D90" s="163">
        <f>SUM(Month!D256:D258)</f>
        <v>7.1800000000000003E-2</v>
      </c>
      <c r="E90" s="163">
        <f>SUM(Month!E256:E258)</f>
        <v>4.2385999999999999</v>
      </c>
      <c r="F90" s="163">
        <f>SUM(Month!F256:F258)</f>
        <v>4.1128</v>
      </c>
      <c r="G90" s="163">
        <f>SUM(Month!G256:G258)</f>
        <v>0.12440000000000001</v>
      </c>
      <c r="H90" s="163">
        <f>SUM(Month!H256:H258)</f>
        <v>0.90529999999999999</v>
      </c>
      <c r="I90" s="163">
        <f>SUM(Month!I256:I258)</f>
        <v>1.1869999999999998</v>
      </c>
      <c r="J90" s="163">
        <f>SUM(Month!J256:J258)</f>
        <v>1.2699999999999999E-2</v>
      </c>
      <c r="K90" s="163">
        <f>SUM(Month!K256:K258)</f>
        <v>6.3422000000000001</v>
      </c>
      <c r="L90" s="163">
        <f>SUM(Month!L256:L258)</f>
        <v>2.2294</v>
      </c>
      <c r="M90" s="164">
        <f>SUM(Month!M256:M258)</f>
        <v>8.5915999999999997</v>
      </c>
    </row>
    <row r="91" spans="1:13">
      <c r="A91" s="162" t="s">
        <v>244</v>
      </c>
      <c r="B91" s="163">
        <f>SUM(Month!B259:B261)</f>
        <v>15.1829</v>
      </c>
      <c r="C91" s="163">
        <f>SUM(Month!C259:C261)</f>
        <v>3.5730000000000004</v>
      </c>
      <c r="D91" s="163">
        <f>SUM(Month!D259:D261)</f>
        <v>7.6100000000000001E-2</v>
      </c>
      <c r="E91" s="163">
        <f>SUM(Month!E259:E261)</f>
        <v>5.5894999999999992</v>
      </c>
      <c r="F91" s="163">
        <f>SUM(Month!F259:F261)</f>
        <v>3.7259000000000002</v>
      </c>
      <c r="G91" s="163">
        <f>SUM(Month!G259:G261)</f>
        <v>0.1401</v>
      </c>
      <c r="H91" s="163">
        <f>SUM(Month!H259:H261)</f>
        <v>0.81699999999999995</v>
      </c>
      <c r="I91" s="163">
        <f>SUM(Month!I259:I261)</f>
        <v>1.236</v>
      </c>
      <c r="J91" s="163">
        <f>SUM(Month!J259:J261)</f>
        <v>2.52E-2</v>
      </c>
      <c r="K91" s="163">
        <f>SUM(Month!K259:K261)</f>
        <v>5.9443000000000001</v>
      </c>
      <c r="L91" s="163">
        <f>SUM(Month!L259:L261)</f>
        <v>2.2183000000000002</v>
      </c>
      <c r="M91" s="164">
        <f>SUM(Month!M259:M261)</f>
        <v>9.2385000000000002</v>
      </c>
    </row>
    <row r="92" spans="1:13">
      <c r="A92" s="162" t="s">
        <v>245</v>
      </c>
      <c r="B92" s="163">
        <f>SUM(Month!B262:B264)</f>
        <v>12.0875</v>
      </c>
      <c r="C92" s="163">
        <f>SUM(Month!C262:C264)</f>
        <v>1.1273</v>
      </c>
      <c r="D92" s="163">
        <f>SUM(Month!D262:D264)</f>
        <v>3.8699999999999998E-2</v>
      </c>
      <c r="E92" s="163">
        <f>SUM(Month!E262:E264)</f>
        <v>5.5930999999999997</v>
      </c>
      <c r="F92" s="163">
        <f>SUM(Month!F262:F264)</f>
        <v>3.5798000000000001</v>
      </c>
      <c r="G92" s="163">
        <f>SUM(Month!G262:G264)</f>
        <v>5.4099999999999995E-2</v>
      </c>
      <c r="H92" s="163">
        <f>SUM(Month!H262:H264)</f>
        <v>0.51439999999999997</v>
      </c>
      <c r="I92" s="163">
        <f>SUM(Month!I262:I264)</f>
        <v>1.1177999999999999</v>
      </c>
      <c r="J92" s="163">
        <f>SUM(Month!J262:J264)</f>
        <v>6.2299999999999994E-2</v>
      </c>
      <c r="K92" s="163">
        <f>SUM(Month!K262:K264)</f>
        <v>5.3282000000000007</v>
      </c>
      <c r="L92" s="163">
        <f>SUM(Month!L262:L264)</f>
        <v>1.7485999999999999</v>
      </c>
      <c r="M92" s="164">
        <f>SUM(Month!M262:M264)</f>
        <v>6.7592999999999996</v>
      </c>
    </row>
    <row r="93" spans="1:13">
      <c r="A93" s="162" t="s">
        <v>246</v>
      </c>
      <c r="B93" s="163">
        <f>SUM(Month!B265:B267)</f>
        <v>11.667100000000001</v>
      </c>
      <c r="C93" s="163">
        <f>SUM(Month!C265:C267)</f>
        <v>0.73910000000000009</v>
      </c>
      <c r="D93" s="163">
        <f>SUM(Month!D265:D267)</f>
        <v>4.4499999999999998E-2</v>
      </c>
      <c r="E93" s="163">
        <f>SUM(Month!E265:E267)</f>
        <v>5.3011999999999997</v>
      </c>
      <c r="F93" s="163">
        <f>SUM(Month!F265:F267)</f>
        <v>4.0525000000000002</v>
      </c>
      <c r="G93" s="163">
        <f>SUM(Month!G265:G267)</f>
        <v>7.0900000000000005E-2</v>
      </c>
      <c r="H93" s="163">
        <f>SUM(Month!H265:H267)</f>
        <v>0.57750000000000001</v>
      </c>
      <c r="I93" s="163">
        <f>SUM(Month!I265:I267)</f>
        <v>0.81780000000000008</v>
      </c>
      <c r="J93" s="163">
        <f>SUM(Month!J265:J267)</f>
        <v>6.3699999999999993E-2</v>
      </c>
      <c r="K93" s="163">
        <f>SUM(Month!K265:K267)</f>
        <v>5.5824999999999996</v>
      </c>
      <c r="L93" s="163">
        <f>SUM(Month!L265:L267)</f>
        <v>1.5299</v>
      </c>
      <c r="M93" s="164">
        <f>SUM(Month!M265:M267)</f>
        <v>6.0846999999999998</v>
      </c>
    </row>
    <row r="94" spans="1:13">
      <c r="A94" s="162" t="s">
        <v>247</v>
      </c>
      <c r="B94" s="163">
        <f>SUM(Month!B268:B270)</f>
        <v>14.959099999999999</v>
      </c>
      <c r="C94" s="163">
        <f>SUM(Month!C268:C270)</f>
        <v>2.0850999999999997</v>
      </c>
      <c r="D94" s="163">
        <f>SUM(Month!D268:D270)</f>
        <v>5.9500000000000004E-2</v>
      </c>
      <c r="E94" s="163">
        <f>SUM(Month!E268:E270)</f>
        <v>6.8663000000000007</v>
      </c>
      <c r="F94" s="163">
        <f>SUM(Month!F268:F270)</f>
        <v>4.0556000000000001</v>
      </c>
      <c r="G94" s="163">
        <f>SUM(Month!G268:G270)</f>
        <v>7.4700000000000003E-2</v>
      </c>
      <c r="H94" s="163">
        <f>SUM(Month!H268:H270)</f>
        <v>0.7319</v>
      </c>
      <c r="I94" s="163">
        <f>SUM(Month!I268:I270)</f>
        <v>1.0623</v>
      </c>
      <c r="J94" s="163">
        <f>SUM(Month!J268:J270)</f>
        <v>2.3800000000000002E-2</v>
      </c>
      <c r="K94" s="163">
        <f>SUM(Month!K268:K270)</f>
        <v>5.9481000000000002</v>
      </c>
      <c r="L94" s="163">
        <f>SUM(Month!L268:L270)</f>
        <v>1.8926000000000001</v>
      </c>
      <c r="M94" s="164">
        <f>SUM(Month!M268:M270)</f>
        <v>9.0107999999999997</v>
      </c>
    </row>
    <row r="95" spans="1:13">
      <c r="A95" s="162" t="s">
        <v>248</v>
      </c>
      <c r="B95" s="163">
        <f>SUM(Month!B271:B273)</f>
        <v>14.797499999999999</v>
      </c>
      <c r="C95" s="163">
        <f>SUM(Month!C271:C273)</f>
        <v>2.4863</v>
      </c>
      <c r="D95" s="163">
        <f>SUM(Month!D271:D273)</f>
        <v>4.4899999999999995E-2</v>
      </c>
      <c r="E95" s="163">
        <f>SUM(Month!E271:E273)</f>
        <v>6.1091999999999995</v>
      </c>
      <c r="F95" s="163">
        <f>SUM(Month!F271:F273)</f>
        <v>3.7938999999999998</v>
      </c>
      <c r="G95" s="163">
        <f>SUM(Month!G271:G273)</f>
        <v>0.11359999999999999</v>
      </c>
      <c r="H95" s="163">
        <f>SUM(Month!H271:H273)</f>
        <v>0.90760000000000007</v>
      </c>
      <c r="I95" s="163">
        <f>SUM(Month!I271:I273)</f>
        <v>1.3062</v>
      </c>
      <c r="J95" s="163">
        <f>SUM(Month!J271:J273)</f>
        <v>3.5900000000000001E-2</v>
      </c>
      <c r="K95" s="163">
        <f>SUM(Month!K271:K273)</f>
        <v>6.157</v>
      </c>
      <c r="L95" s="163">
        <f>SUM(Month!L271:L273)</f>
        <v>2.3631000000000002</v>
      </c>
      <c r="M95" s="164">
        <f>SUM(Month!M271:M273)</f>
        <v>8.6404999999999994</v>
      </c>
    </row>
    <row r="96" spans="1:13">
      <c r="A96" s="162" t="s">
        <v>249</v>
      </c>
      <c r="B96" s="163">
        <f>SUM(Month!B274:B276)</f>
        <v>11.376099999999999</v>
      </c>
      <c r="C96" s="163">
        <f>SUM(Month!C274:C276)</f>
        <v>0.40310000000000001</v>
      </c>
      <c r="D96" s="163">
        <f>SUM(Month!D274:D276)</f>
        <v>2.63E-2</v>
      </c>
      <c r="E96" s="163">
        <f>SUM(Month!E274:E276)</f>
        <v>5.1684999999999999</v>
      </c>
      <c r="F96" s="163">
        <f>SUM(Month!F274:F276)</f>
        <v>3.8343999999999996</v>
      </c>
      <c r="G96" s="163">
        <f>SUM(Month!G274:G276)</f>
        <v>4.53E-2</v>
      </c>
      <c r="H96" s="163">
        <f>SUM(Month!H274:H276)</f>
        <v>0.71460000000000001</v>
      </c>
      <c r="I96" s="163">
        <f>SUM(Month!I274:I276)</f>
        <v>1.0823999999999998</v>
      </c>
      <c r="J96" s="163">
        <f>SUM(Month!J274:J276)</f>
        <v>0.10149999999999999</v>
      </c>
      <c r="K96" s="163">
        <f>SUM(Month!K274:K276)</f>
        <v>5.7782</v>
      </c>
      <c r="L96" s="163">
        <f>SUM(Month!L274:L276)</f>
        <v>1.9439</v>
      </c>
      <c r="M96" s="164">
        <f>SUM(Month!M274:M276)</f>
        <v>5.5979000000000001</v>
      </c>
    </row>
    <row r="97" spans="1:13">
      <c r="A97" s="162" t="s">
        <v>250</v>
      </c>
      <c r="B97" s="163">
        <f>SUM(Month!B277:B279)</f>
        <v>11.2759</v>
      </c>
      <c r="C97" s="163">
        <f>SUM(Month!C277:C279)</f>
        <v>0.54699999999999993</v>
      </c>
      <c r="D97" s="163">
        <f>SUM(Month!D277:D279)</f>
        <v>3.0300000000000001E-2</v>
      </c>
      <c r="E97" s="163">
        <f>SUM(Month!E277:E279)</f>
        <v>4.8783999999999992</v>
      </c>
      <c r="F97" s="163">
        <f>SUM(Month!F277:F279)</f>
        <v>3.9073000000000002</v>
      </c>
      <c r="G97" s="163">
        <f>SUM(Month!G277:G279)</f>
        <v>7.4300000000000005E-2</v>
      </c>
      <c r="H97" s="163">
        <f>SUM(Month!H277:H279)</f>
        <v>0.67659999999999998</v>
      </c>
      <c r="I97" s="163">
        <f>SUM(Month!I277:I279)</f>
        <v>1.0734999999999999</v>
      </c>
      <c r="J97" s="163">
        <f>SUM(Month!J277:J279)</f>
        <v>8.8600000000000012E-2</v>
      </c>
      <c r="K97" s="163">
        <f>SUM(Month!K277:K279)</f>
        <v>5.8203000000000005</v>
      </c>
      <c r="L97" s="163">
        <f>SUM(Month!L277:L279)</f>
        <v>1.9127999999999998</v>
      </c>
      <c r="M97" s="164">
        <f>SUM(Month!M277:M279)</f>
        <v>5.4558</v>
      </c>
    </row>
    <row r="98" spans="1:13">
      <c r="A98" s="162" t="s">
        <v>251</v>
      </c>
      <c r="B98" s="163">
        <f>SUM(Month!B280:B282)</f>
        <v>14.101299999999998</v>
      </c>
      <c r="C98" s="163">
        <f>SUM(Month!C280:C282)</f>
        <v>2.109</v>
      </c>
      <c r="D98" s="163">
        <f>SUM(Month!D280:D282)</f>
        <v>5.4400000000000004E-2</v>
      </c>
      <c r="E98" s="163">
        <f>SUM(Month!E280:E282)</f>
        <v>5.9934000000000003</v>
      </c>
      <c r="F98" s="163">
        <f>SUM(Month!F280:F282)</f>
        <v>3.5882000000000001</v>
      </c>
      <c r="G98" s="163">
        <f>SUM(Month!G280:G282)</f>
        <v>0.12620000000000001</v>
      </c>
      <c r="H98" s="163">
        <f>SUM(Month!H280:H282)</f>
        <v>1.2225999999999999</v>
      </c>
      <c r="I98" s="163">
        <f>SUM(Month!I280:I282)</f>
        <v>0.97730000000000006</v>
      </c>
      <c r="J98" s="163">
        <f>SUM(Month!J280:J282)</f>
        <v>3.0100000000000002E-2</v>
      </c>
      <c r="K98" s="163">
        <f>SUM(Month!K280:K282)</f>
        <v>5.9445999999999994</v>
      </c>
      <c r="L98" s="163">
        <f>SUM(Month!L280:L282)</f>
        <v>2.3563999999999998</v>
      </c>
      <c r="M98" s="164">
        <f>SUM(Month!M280:M282)</f>
        <v>8.1568000000000005</v>
      </c>
    </row>
    <row r="99" spans="1:13">
      <c r="A99" s="162" t="s">
        <v>252</v>
      </c>
      <c r="B99" s="163">
        <f>SUM(Month!B283:B285)</f>
        <v>14.1584</v>
      </c>
      <c r="C99" s="163">
        <f>SUM(Month!C283:C285)</f>
        <v>2.1466000000000003</v>
      </c>
      <c r="D99" s="163">
        <f>SUM(Month!D283:D285)</f>
        <v>5.8999999999999997E-2</v>
      </c>
      <c r="E99" s="163">
        <f>SUM(Month!E283:E285)</f>
        <v>5.9630000000000001</v>
      </c>
      <c r="F99" s="163">
        <f>SUM(Month!F283:F285)</f>
        <v>3.5970000000000004</v>
      </c>
      <c r="G99" s="163">
        <f>SUM(Month!G283:G285)</f>
        <v>9.240000000000001E-2</v>
      </c>
      <c r="H99" s="163">
        <f>SUM(Month!H283:H285)</f>
        <v>1.2589000000000001</v>
      </c>
      <c r="I99" s="163">
        <f>SUM(Month!I283:I285)</f>
        <v>0.99850000000000005</v>
      </c>
      <c r="J99" s="163">
        <f>SUM(Month!J283:J285)</f>
        <v>4.3099999999999999E-2</v>
      </c>
      <c r="K99" s="163">
        <f>SUM(Month!K283:K285)</f>
        <v>5.9899000000000004</v>
      </c>
      <c r="L99" s="163">
        <f>SUM(Month!L283:L285)</f>
        <v>2.3929</v>
      </c>
      <c r="M99" s="164">
        <f>SUM(Month!M283:M285)</f>
        <v>8.1684999999999999</v>
      </c>
    </row>
    <row r="100" spans="1:13">
      <c r="A100" s="162" t="s">
        <v>253</v>
      </c>
      <c r="B100" s="163">
        <f>SUM(Month!B286:B288)</f>
        <v>11.2204</v>
      </c>
      <c r="C100" s="163">
        <f>SUM(Month!C286:C288)</f>
        <v>0.33389999999999997</v>
      </c>
      <c r="D100" s="163">
        <f>SUM(Month!D286:D288)</f>
        <v>4.6600000000000003E-2</v>
      </c>
      <c r="E100" s="163">
        <f>SUM(Month!E286:E288)</f>
        <v>5.1368999999999998</v>
      </c>
      <c r="F100" s="163">
        <f>SUM(Month!F286:F288)</f>
        <v>3.5937000000000001</v>
      </c>
      <c r="G100" s="163">
        <f>SUM(Month!G286:G288)</f>
        <v>5.4800000000000001E-2</v>
      </c>
      <c r="H100" s="163">
        <f>SUM(Month!H286:H288)</f>
        <v>0.73659999999999992</v>
      </c>
      <c r="I100" s="163">
        <f>SUM(Month!I286:I288)</f>
        <v>1.1993</v>
      </c>
      <c r="J100" s="163">
        <f>SUM(Month!J286:J288)</f>
        <v>0.11830000000000002</v>
      </c>
      <c r="K100" s="163">
        <f>SUM(Month!K286:K288)</f>
        <v>5.7028999999999996</v>
      </c>
      <c r="L100" s="163">
        <f>SUM(Month!L286:L288)</f>
        <v>2.1092000000000004</v>
      </c>
      <c r="M100" s="164">
        <f>SUM(Month!M286:M288)</f>
        <v>5.5174000000000003</v>
      </c>
    </row>
    <row r="101" spans="1:13">
      <c r="A101" s="162" t="s">
        <v>254</v>
      </c>
      <c r="B101" s="163">
        <f>SUM(Month!B289:B291)</f>
        <v>11.1021</v>
      </c>
      <c r="C101" s="163">
        <f>SUM(Month!C289:C291)</f>
        <v>0.48170000000000002</v>
      </c>
      <c r="D101" s="163">
        <f>SUM(Month!D289:D291)</f>
        <v>4.2699999999999995E-2</v>
      </c>
      <c r="E101" s="163">
        <f>SUM(Month!E289:E291)</f>
        <v>4.6685999999999996</v>
      </c>
      <c r="F101" s="163">
        <f>SUM(Month!F289:F291)</f>
        <v>3.7272999999999996</v>
      </c>
      <c r="G101" s="163">
        <f>SUM(Month!G289:G291)</f>
        <v>5.16E-2</v>
      </c>
      <c r="H101" s="163">
        <f>SUM(Month!H289:H291)</f>
        <v>0.7641</v>
      </c>
      <c r="I101" s="163">
        <f>SUM(Month!I289:I291)</f>
        <v>1.2593000000000001</v>
      </c>
      <c r="J101" s="163">
        <f>SUM(Month!J289:J291)</f>
        <v>0.10669999999999999</v>
      </c>
      <c r="K101" s="163">
        <f>SUM(Month!K289:K291)</f>
        <v>5.9091000000000005</v>
      </c>
      <c r="L101" s="163">
        <f>SUM(Month!L289:L291)</f>
        <v>2.1818</v>
      </c>
      <c r="M101" s="164">
        <f>SUM(Month!M289:M291)</f>
        <v>5.1928999999999998</v>
      </c>
    </row>
    <row r="102" spans="1:13">
      <c r="A102" s="162" t="s">
        <v>255</v>
      </c>
      <c r="B102" s="163">
        <f>SUM(Month!B292:B294)</f>
        <v>12.824400000000001</v>
      </c>
      <c r="C102" s="163">
        <f>SUM(Month!C292:C294)</f>
        <v>1.2687999999999999</v>
      </c>
      <c r="D102" s="163">
        <f>SUM(Month!D292:D294)</f>
        <v>4.6300000000000001E-2</v>
      </c>
      <c r="E102" s="163">
        <f>SUM(Month!E292:E294)</f>
        <v>5.4076000000000004</v>
      </c>
      <c r="F102" s="163">
        <f>SUM(Month!F292:F294)</f>
        <v>3.1427</v>
      </c>
      <c r="G102" s="163">
        <f>SUM(Month!G292:G294)</f>
        <v>0.12809999999999999</v>
      </c>
      <c r="H102" s="163">
        <f>SUM(Month!H292:H294)</f>
        <v>1.361</v>
      </c>
      <c r="I102" s="163">
        <f>SUM(Month!I292:I294)</f>
        <v>1.4347000000000001</v>
      </c>
      <c r="J102" s="163">
        <f>SUM(Month!J292:J294)</f>
        <v>3.5199999999999995E-2</v>
      </c>
      <c r="K102" s="163">
        <f>SUM(Month!K292:K294)</f>
        <v>6.1017000000000001</v>
      </c>
      <c r="L102" s="163">
        <f>SUM(Month!L292:L294)</f>
        <v>2.9589999999999996</v>
      </c>
      <c r="M102" s="164">
        <f>SUM(Month!M292:M294)</f>
        <v>6.7227000000000006</v>
      </c>
    </row>
    <row r="103" spans="1:13">
      <c r="A103" s="162" t="s">
        <v>256</v>
      </c>
      <c r="B103" s="163">
        <f>SUM(Month!B295:B297)</f>
        <v>12.481199999999999</v>
      </c>
      <c r="C103" s="163">
        <f>SUM(Month!C295:C297)</f>
        <v>0.79209999999999992</v>
      </c>
      <c r="D103" s="163">
        <f>SUM(Month!D295:D297)</f>
        <v>4.6199999999999998E-2</v>
      </c>
      <c r="E103" s="163">
        <f>SUM(Month!E295:E297)</f>
        <v>5.8739000000000008</v>
      </c>
      <c r="F103" s="163">
        <f>SUM(Month!F295:F297)</f>
        <v>2.9916999999999998</v>
      </c>
      <c r="G103" s="163">
        <f>SUM(Month!G295:G297)</f>
        <v>0.11360000000000001</v>
      </c>
      <c r="H103" s="163">
        <f>SUM(Month!H295:H297)</f>
        <v>1.3548</v>
      </c>
      <c r="I103" s="163">
        <f>SUM(Month!I295:I297)</f>
        <v>1.2535000000000001</v>
      </c>
      <c r="J103" s="163">
        <f>SUM(Month!J295:J297)</f>
        <v>5.57E-2</v>
      </c>
      <c r="K103" s="163">
        <f>SUM(Month!K295:K297)</f>
        <v>5.7690999999999999</v>
      </c>
      <c r="L103" s="163">
        <f>SUM(Month!L295:L297)</f>
        <v>2.7774999999999999</v>
      </c>
      <c r="M103" s="164">
        <f>SUM(Month!M295:M297)</f>
        <v>6.7121000000000004</v>
      </c>
    </row>
    <row r="104" spans="1:13">
      <c r="A104" s="162" t="s">
        <v>257</v>
      </c>
      <c r="B104" s="163">
        <f>SUM(Month!B298:B300)</f>
        <v>10.5123</v>
      </c>
      <c r="C104" s="163">
        <f>SUM(Month!C298:C300)</f>
        <v>0.1273</v>
      </c>
      <c r="D104" s="163">
        <f>SUM(Month!D298:D300)</f>
        <v>2.8900000000000002E-2</v>
      </c>
      <c r="E104" s="163">
        <f>SUM(Month!E298:E300)</f>
        <v>5.2379999999999995</v>
      </c>
      <c r="F104" s="163">
        <f>SUM(Month!F298:F300)</f>
        <v>2.8110999999999997</v>
      </c>
      <c r="G104" s="163">
        <f>SUM(Month!G298:G300)</f>
        <v>4.9399999999999999E-2</v>
      </c>
      <c r="H104" s="163">
        <f>SUM(Month!H298:H300)</f>
        <v>0.88969999999999994</v>
      </c>
      <c r="I104" s="163">
        <f>SUM(Month!I298:I300)</f>
        <v>1.2424999999999999</v>
      </c>
      <c r="J104" s="163">
        <f>SUM(Month!J298:J300)</f>
        <v>0.12520000000000001</v>
      </c>
      <c r="K104" s="163">
        <f>SUM(Month!K298:K300)</f>
        <v>5.1178999999999997</v>
      </c>
      <c r="L104" s="163">
        <f>SUM(Month!L298:L300)</f>
        <v>2.3068</v>
      </c>
      <c r="M104" s="164">
        <f>SUM(Month!M298:M300)</f>
        <v>5.3941999999999997</v>
      </c>
    </row>
    <row r="105" spans="1:13">
      <c r="A105" s="162" t="s">
        <v>258</v>
      </c>
      <c r="B105" s="163">
        <f>SUM(Month!B301:B303)</f>
        <v>10.1904</v>
      </c>
      <c r="C105" s="163">
        <f>SUM(Month!C301:C303)</f>
        <v>0.19950000000000001</v>
      </c>
      <c r="D105" s="163">
        <f>SUM(Month!D301:D303)</f>
        <v>3.5500000000000004E-2</v>
      </c>
      <c r="E105" s="163">
        <f>SUM(Month!E301:E303)</f>
        <v>4.5678000000000001</v>
      </c>
      <c r="F105" s="163">
        <f>SUM(Month!F301:F303)</f>
        <v>2.9241999999999999</v>
      </c>
      <c r="G105" s="163">
        <f>SUM(Month!G301:G303)</f>
        <v>8.6999999999999994E-2</v>
      </c>
      <c r="H105" s="163">
        <f>SUM(Month!H301:H303)</f>
        <v>1.0449000000000002</v>
      </c>
      <c r="I105" s="163">
        <f>SUM(Month!I301:I303)</f>
        <v>1.2139</v>
      </c>
      <c r="J105" s="163">
        <f>SUM(Month!J301:J303)</f>
        <v>0.1173</v>
      </c>
      <c r="K105" s="163">
        <f>SUM(Month!K301:K303)</f>
        <v>5.3873999999999995</v>
      </c>
      <c r="L105" s="163">
        <f>SUM(Month!L301:L303)</f>
        <v>2.4630999999999998</v>
      </c>
      <c r="M105" s="164">
        <f>SUM(Month!M301:M303)</f>
        <v>4.8029999999999999</v>
      </c>
    </row>
    <row r="106" spans="1:13">
      <c r="A106" s="162" t="s">
        <v>259</v>
      </c>
      <c r="B106" s="163">
        <f>SUM(Month!B304:B306)</f>
        <v>12.595000000000002</v>
      </c>
      <c r="C106" s="163">
        <f>SUM(Month!C304:C306)</f>
        <v>0.72300000000000009</v>
      </c>
      <c r="D106" s="163">
        <f>SUM(Month!D304:D306)</f>
        <v>4.2999999999999997E-2</v>
      </c>
      <c r="E106" s="163">
        <f>SUM(Month!E304:E306)</f>
        <v>5.3959999999999999</v>
      </c>
      <c r="F106" s="163">
        <f>SUM(Month!F304:F306)</f>
        <v>3.3601000000000001</v>
      </c>
      <c r="G106" s="163">
        <f>SUM(Month!G304:G306)</f>
        <v>0.11030000000000001</v>
      </c>
      <c r="H106" s="163">
        <f>SUM(Month!H304:H306)</f>
        <v>1.4459</v>
      </c>
      <c r="I106" s="163">
        <f>SUM(Month!I304:I306)</f>
        <v>1.4828999999999999</v>
      </c>
      <c r="J106" s="163">
        <f>SUM(Month!J304:J306)</f>
        <v>3.3700000000000001E-2</v>
      </c>
      <c r="K106" s="163">
        <f>SUM(Month!K304:K306)</f>
        <v>6.4329000000000001</v>
      </c>
      <c r="L106" s="163">
        <f>SUM(Month!L304:L306)</f>
        <v>3.0728999999999997</v>
      </c>
      <c r="M106" s="164">
        <f>SUM(Month!M304:M306)</f>
        <v>6.1619999999999999</v>
      </c>
    </row>
    <row r="107" spans="1:13">
      <c r="A107" s="162" t="s">
        <v>260</v>
      </c>
      <c r="B107" s="163">
        <f>SUM(Month!B307:B309)</f>
        <v>11.680299999999999</v>
      </c>
      <c r="C107" s="163">
        <f>SUM(Month!C307:C309)</f>
        <v>0.86220000000000008</v>
      </c>
      <c r="D107" s="163">
        <f>SUM(Month!D307:D309)</f>
        <v>3.9E-2</v>
      </c>
      <c r="E107" s="163">
        <f>SUM(Month!E307:E309)</f>
        <v>4.3677999999999999</v>
      </c>
      <c r="F107" s="163">
        <f>SUM(Month!F307:F309)</f>
        <v>2.7766000000000002</v>
      </c>
      <c r="G107" s="163">
        <f>SUM(Month!G307:G309)</f>
        <v>0.15540000000000001</v>
      </c>
      <c r="H107" s="163">
        <f>SUM(Month!H307:H309)</f>
        <v>1.9704999999999999</v>
      </c>
      <c r="I107" s="163">
        <f>SUM(Month!I307:I309)</f>
        <v>1.4489999999999998</v>
      </c>
      <c r="J107" s="163">
        <f>SUM(Month!J307:J309)</f>
        <v>5.9900000000000002E-2</v>
      </c>
      <c r="K107" s="163">
        <f>SUM(Month!K307:K309)</f>
        <v>6.4112999999999989</v>
      </c>
      <c r="L107" s="163">
        <f>SUM(Month!L307:L309)</f>
        <v>3.6346999999999996</v>
      </c>
      <c r="M107" s="164">
        <f>SUM(Month!M307:M309)</f>
        <v>5.2689000000000004</v>
      </c>
    </row>
    <row r="108" spans="1:13">
      <c r="A108" s="162" t="s">
        <v>261</v>
      </c>
      <c r="B108" s="163">
        <f>SUM(Month!B310:B312)</f>
        <v>8.8856999999999999</v>
      </c>
      <c r="C108" s="163">
        <f>SUM(Month!C310:C312)</f>
        <v>0.10239999999999999</v>
      </c>
      <c r="D108" s="163">
        <f>SUM(Month!D310:D312)</f>
        <v>1.84E-2</v>
      </c>
      <c r="E108" s="163">
        <f>SUM(Month!E310:E312)</f>
        <v>3.6067999999999998</v>
      </c>
      <c r="F108" s="163">
        <f>SUM(Month!F310:F312)</f>
        <v>2.5373000000000001</v>
      </c>
      <c r="G108" s="163">
        <f>SUM(Month!G310:G312)</f>
        <v>6.5299999999999997E-2</v>
      </c>
      <c r="H108" s="163">
        <f>SUM(Month!H310:H312)</f>
        <v>1.0152999999999999</v>
      </c>
      <c r="I108" s="163">
        <f>SUM(Month!I310:I312)</f>
        <v>1.3826999999999998</v>
      </c>
      <c r="J108" s="163">
        <f>SUM(Month!J310:J312)</f>
        <v>0.15759999999999999</v>
      </c>
      <c r="K108" s="163">
        <f>SUM(Month!K310:K312)</f>
        <v>5.1582000000000008</v>
      </c>
      <c r="L108" s="163">
        <f>SUM(Month!L310:L312)</f>
        <v>2.6208999999999998</v>
      </c>
      <c r="M108" s="164">
        <f>SUM(Month!M310:M312)</f>
        <v>3.7275999999999998</v>
      </c>
    </row>
    <row r="109" spans="1:13">
      <c r="A109" s="162" t="s">
        <v>262</v>
      </c>
      <c r="B109" s="163">
        <f>SUM(Month!B313:B315)</f>
        <v>9.8538999999999994</v>
      </c>
      <c r="C109" s="163">
        <f>SUM(Month!C313:C315)</f>
        <v>0.14879999999999999</v>
      </c>
      <c r="D109" s="163">
        <f>SUM(Month!D313:D315)</f>
        <v>2.41E-2</v>
      </c>
      <c r="E109" s="163">
        <f>SUM(Month!E313:E315)</f>
        <v>4.8114999999999997</v>
      </c>
      <c r="F109" s="163">
        <f>SUM(Month!F313:F315)</f>
        <v>2.3542999999999998</v>
      </c>
      <c r="G109" s="163">
        <f>SUM(Month!G313:G315)</f>
        <v>7.3200000000000001E-2</v>
      </c>
      <c r="H109" s="163">
        <f>SUM(Month!H313:H315)</f>
        <v>1.1177999999999999</v>
      </c>
      <c r="I109" s="163">
        <f>SUM(Month!I313:I315)</f>
        <v>1.204</v>
      </c>
      <c r="J109" s="163">
        <f>SUM(Month!J313:J315)</f>
        <v>0.12</v>
      </c>
      <c r="K109" s="163">
        <f>SUM(Month!K313:K315)</f>
        <v>4.8693</v>
      </c>
      <c r="L109" s="163">
        <f>SUM(Month!L313:L315)</f>
        <v>2.5148999999999999</v>
      </c>
      <c r="M109" s="164">
        <f>SUM(Month!M313:M315)</f>
        <v>4.9845000000000006</v>
      </c>
    </row>
    <row r="110" spans="1:13">
      <c r="A110" s="162" t="s">
        <v>263</v>
      </c>
      <c r="B110" s="163">
        <f>SUM(Month!B316:B318)</f>
        <v>11.540800000000001</v>
      </c>
      <c r="C110" s="163">
        <f>SUM(Month!C316:C318)</f>
        <v>0.34770000000000001</v>
      </c>
      <c r="D110" s="163">
        <f>SUM(Month!D316:D318)</f>
        <v>4.3899999999999995E-2</v>
      </c>
      <c r="E110" s="163">
        <f>SUM(Month!E316:E318)</f>
        <v>4.9859999999999998</v>
      </c>
      <c r="F110" s="163">
        <f>SUM(Month!F316:F318)</f>
        <v>3.0434000000000001</v>
      </c>
      <c r="G110" s="163">
        <f>SUM(Month!G316:G318)</f>
        <v>0.13669999999999999</v>
      </c>
      <c r="H110" s="163">
        <f>SUM(Month!H316:H318)</f>
        <v>1.5968</v>
      </c>
      <c r="I110" s="163">
        <f>SUM(Month!I316:I318)</f>
        <v>1.3502000000000001</v>
      </c>
      <c r="J110" s="163">
        <f>SUM(Month!J316:J318)</f>
        <v>3.6000000000000004E-2</v>
      </c>
      <c r="K110" s="163">
        <f>SUM(Month!K316:K318)</f>
        <v>6.1631</v>
      </c>
      <c r="L110" s="163">
        <f>SUM(Month!L316:L318)</f>
        <v>3.1196000000000002</v>
      </c>
      <c r="M110" s="164">
        <f>SUM(Month!M316:M318)</f>
        <v>5.3776999999999999</v>
      </c>
    </row>
    <row r="111" spans="1:13">
      <c r="A111" s="162" t="s">
        <v>264</v>
      </c>
      <c r="B111" s="163">
        <f>SUM(Month!B319:B321)</f>
        <v>11.664899999999999</v>
      </c>
      <c r="C111" s="163">
        <f>SUM(Month!C319:C321)</f>
        <v>0.60119999999999996</v>
      </c>
      <c r="D111" s="163">
        <f>SUM(Month!D319:D321)</f>
        <v>4.4900000000000002E-2</v>
      </c>
      <c r="E111" s="163">
        <f>SUM(Month!E319:E321)</f>
        <v>5.2135999999999996</v>
      </c>
      <c r="F111" s="163">
        <f>SUM(Month!F319:F321)</f>
        <v>2.4924999999999997</v>
      </c>
      <c r="G111" s="163">
        <f>SUM(Month!G319:G321)</f>
        <v>0.1038</v>
      </c>
      <c r="H111" s="163">
        <f>SUM(Month!H319:H321)</f>
        <v>1.6100999999999999</v>
      </c>
      <c r="I111" s="163">
        <f>SUM(Month!I319:I321)</f>
        <v>1.5432000000000001</v>
      </c>
      <c r="J111" s="163">
        <f>SUM(Month!J319:J321)</f>
        <v>5.5399999999999998E-2</v>
      </c>
      <c r="K111" s="163">
        <f>SUM(Month!K319:K321)</f>
        <v>5.8051999999999992</v>
      </c>
      <c r="L111" s="163">
        <f>SUM(Month!L319:L321)</f>
        <v>3.3125</v>
      </c>
      <c r="M111" s="164">
        <f>SUM(Month!M319:M321)</f>
        <v>5.8598000000000008</v>
      </c>
    </row>
    <row r="112" spans="1:13">
      <c r="A112" s="162" t="s">
        <v>265</v>
      </c>
      <c r="B112" s="165">
        <f>SUM(Month!B322:B324)</f>
        <v>10.121</v>
      </c>
      <c r="C112" s="165">
        <f>SUM(Month!C322:C324)</f>
        <v>0.20760000000000001</v>
      </c>
      <c r="D112" s="165">
        <f>SUM(Month!D322:D324)</f>
        <v>3.7000000000000005E-2</v>
      </c>
      <c r="E112" s="165">
        <f>SUM(Month!E322:E324)</f>
        <v>4.9260000000000002</v>
      </c>
      <c r="F112" s="165">
        <f>SUM(Month!F322:F324)</f>
        <v>2.4790000000000001</v>
      </c>
      <c r="G112" s="165">
        <f>SUM(Month!G322:G324)</f>
        <v>6.0599999999999994E-2</v>
      </c>
      <c r="H112" s="165">
        <f>SUM(Month!H322:H324)</f>
        <v>0.87949999999999995</v>
      </c>
      <c r="I112" s="165">
        <f>SUM(Month!I322:I324)</f>
        <v>1.3815</v>
      </c>
      <c r="J112" s="165">
        <f>SUM(Month!J322:J324)</f>
        <v>0.1497</v>
      </c>
      <c r="K112" s="165">
        <f>SUM(Month!K322:K324)</f>
        <v>4.9504000000000001</v>
      </c>
      <c r="L112" s="165">
        <f>SUM(Month!L322:L324)</f>
        <v>2.4714</v>
      </c>
      <c r="M112" s="164">
        <f>SUM(Month!M322:M324)</f>
        <v>5.1707000000000001</v>
      </c>
    </row>
    <row r="113" spans="1:13">
      <c r="A113" s="162" t="s">
        <v>611</v>
      </c>
      <c r="B113" s="165">
        <f>SUM(Month!B325:B327)</f>
        <v>9.6144999999999996</v>
      </c>
      <c r="C113" s="165">
        <f>SUM(Month!C325:C327)</f>
        <v>0.38629999999999998</v>
      </c>
      <c r="D113" s="165">
        <f>SUM(Month!D325:D327)</f>
        <v>4.1000000000000002E-2</v>
      </c>
      <c r="E113" s="165">
        <f>SUM(Month!E325:E327)</f>
        <v>4.6669999999999998</v>
      </c>
      <c r="F113" s="165">
        <f>SUM(Month!F325:F327)</f>
        <v>2.3154000000000003</v>
      </c>
      <c r="G113" s="165">
        <f>SUM(Month!G325:G327)</f>
        <v>3.1399999999999997E-2</v>
      </c>
      <c r="H113" s="165">
        <f>SUM(Month!H325:H327)</f>
        <v>0.7873</v>
      </c>
      <c r="I113" s="165">
        <f>SUM(Month!I325:I327)</f>
        <v>1.2616000000000001</v>
      </c>
      <c r="J113" s="165">
        <f>SUM(Month!J325:J327)</f>
        <v>0.1245</v>
      </c>
      <c r="K113" s="165">
        <f>SUM(Month!K325:K327)</f>
        <v>4.5201000000000002</v>
      </c>
      <c r="L113" s="165">
        <f>SUM(Month!L325:L327)</f>
        <v>2.2046999999999999</v>
      </c>
      <c r="M113" s="164">
        <f>SUM(Month!M325:M327)</f>
        <v>5.0944000000000003</v>
      </c>
    </row>
    <row r="114" spans="1:13">
      <c r="A114" s="186" t="s">
        <v>615</v>
      </c>
      <c r="B114" s="165">
        <f>SUM(Month!B328:B330)</f>
        <v>11.398199999999999</v>
      </c>
      <c r="C114" s="165">
        <f>SUM(Month!C328:C330)</f>
        <v>0.46839999999999998</v>
      </c>
      <c r="D114" s="165">
        <f>SUM(Month!D328:D330)</f>
        <v>5.2499999999999998E-2</v>
      </c>
      <c r="E114" s="165">
        <f>SUM(Month!E328:E330)</f>
        <v>4.8335999999999997</v>
      </c>
      <c r="F114" s="165">
        <f>SUM(Month!F328:F330)</f>
        <v>2.6589</v>
      </c>
      <c r="G114" s="165">
        <f>SUM(Month!G328:G330)</f>
        <v>0.1255</v>
      </c>
      <c r="H114" s="165">
        <f>SUM(Month!H328:H330)</f>
        <v>1.6652999999999998</v>
      </c>
      <c r="I114" s="165">
        <f>SUM(Month!I328:I330)</f>
        <v>1.5536000000000001</v>
      </c>
      <c r="J114" s="165">
        <f>SUM(Month!J328:J330)</f>
        <v>4.0599999999999997E-2</v>
      </c>
      <c r="K114" s="165">
        <f>SUM(Month!K328:K330)</f>
        <v>6.0439999999999996</v>
      </c>
      <c r="L114" s="165">
        <f>SUM(Month!L328:L330)</f>
        <v>3.3849999999999998</v>
      </c>
      <c r="M114" s="164">
        <f>SUM(Month!M328:M330)</f>
        <v>5.3543000000000003</v>
      </c>
    </row>
    <row r="115" spans="1:13">
      <c r="A115" s="186" t="s">
        <v>620</v>
      </c>
      <c r="B115" s="165">
        <f>SUM(Month!B331:B333)</f>
        <v>11.206</v>
      </c>
      <c r="C115" s="165">
        <f>SUM(Month!C331:C333)</f>
        <v>0.60220000000000007</v>
      </c>
      <c r="D115" s="165">
        <f>SUM(Month!D331:D333)</f>
        <v>6.359999999999999E-2</v>
      </c>
      <c r="E115" s="165">
        <f>SUM(Month!E331:E333)</f>
        <v>4.3975</v>
      </c>
      <c r="F115" s="165">
        <f>SUM(Month!F331:F333)</f>
        <v>2.6991000000000001</v>
      </c>
      <c r="G115" s="165">
        <f>SUM(Month!G331:G333)</f>
        <v>0.1172</v>
      </c>
      <c r="H115" s="165">
        <f>SUM(Month!H331:H333)</f>
        <v>1.8561000000000001</v>
      </c>
      <c r="I115" s="165">
        <f>SUM(Month!I331:I333)</f>
        <v>1.4026999999999998</v>
      </c>
      <c r="J115" s="165">
        <f>SUM(Month!J331:J333)</f>
        <v>6.7400000000000002E-2</v>
      </c>
      <c r="K115" s="165">
        <f>SUM(Month!K331:K333)</f>
        <v>6.1426999999999996</v>
      </c>
      <c r="L115" s="165">
        <f>SUM(Month!L331:L333)</f>
        <v>3.4435000000000002</v>
      </c>
      <c r="M115" s="164">
        <f>SUM(Month!M331:M333)</f>
        <v>5.0632999999999999</v>
      </c>
    </row>
    <row r="116" spans="1:13">
      <c r="A116" s="219" t="s">
        <v>636</v>
      </c>
      <c r="B116" s="165">
        <f>SUM(Month!B334:B336)</f>
        <v>10.582700000000001</v>
      </c>
      <c r="C116" s="165">
        <f>SUM(Month!C334:C336)</f>
        <v>0.12190000000000001</v>
      </c>
      <c r="D116" s="165">
        <f>SUM(Month!D334:D336)</f>
        <v>2.9899999999999999E-2</v>
      </c>
      <c r="E116" s="165">
        <f>SUM(Month!E334:E336)</f>
        <v>5.1410999999999998</v>
      </c>
      <c r="F116" s="165">
        <f>SUM(Month!F334:F336)</f>
        <v>2.7921</v>
      </c>
      <c r="G116" s="165">
        <f>SUM(Month!G334:G336)</f>
        <v>5.8599999999999999E-2</v>
      </c>
      <c r="H116" s="165">
        <f>SUM(Month!H334:H336)</f>
        <v>1.248</v>
      </c>
      <c r="I116" s="165">
        <f>SUM(Month!I334:I336)</f>
        <v>1.0381</v>
      </c>
      <c r="J116" s="165">
        <f>SUM(Month!J334:J336)</f>
        <v>0.15310000000000001</v>
      </c>
      <c r="K116" s="165">
        <f>SUM(Month!K334:K336)</f>
        <v>5.2897999999999996</v>
      </c>
      <c r="L116" s="165">
        <f>SUM(Month!L334:L336)</f>
        <v>2.4977</v>
      </c>
      <c r="M116" s="164">
        <f>SUM(Month!M334:M336)</f>
        <v>5.2928999999999995</v>
      </c>
    </row>
    <row r="117" spans="1:13">
      <c r="A117" s="219" t="s">
        <v>640</v>
      </c>
      <c r="B117" s="165">
        <f>SUM(Month!B337:B339)</f>
        <v>10.874700000000001</v>
      </c>
      <c r="C117" s="165">
        <f>SUM(Month!C337:C339)</f>
        <v>0.35739999999999994</v>
      </c>
      <c r="D117" s="165">
        <f>SUM(Month!D337:D339)</f>
        <v>4.5999999999999999E-2</v>
      </c>
      <c r="E117" s="165">
        <f>SUM(Month!E337:E339)</f>
        <v>5.6048</v>
      </c>
      <c r="F117" s="165">
        <f>SUM(Month!F337:F339)</f>
        <v>2.3439999999999999</v>
      </c>
      <c r="G117" s="165">
        <f>SUM(Month!G337:G339)</f>
        <v>4.2800000000000005E-2</v>
      </c>
      <c r="H117" s="165">
        <f>SUM(Month!H337:H339)</f>
        <v>1.0394000000000001</v>
      </c>
      <c r="I117" s="165">
        <f>SUM(Month!I337:I339)</f>
        <v>1.3003</v>
      </c>
      <c r="J117" s="165">
        <f>SUM(Month!J337:J339)</f>
        <v>0.14029999999999998</v>
      </c>
      <c r="K117" s="165">
        <f>SUM(Month!K337:K339)</f>
        <v>4.8666</v>
      </c>
      <c r="L117" s="165">
        <f>SUM(Month!L337:L339)</f>
        <v>2.5226999999999999</v>
      </c>
      <c r="M117" s="164">
        <f>SUM(Month!M337:M339)</f>
        <v>6.0080999999999998</v>
      </c>
    </row>
    <row r="118" spans="1:13">
      <c r="A118" s="218" t="s">
        <v>656</v>
      </c>
      <c r="B118" s="165">
        <f>SUM(Month!B340:B342)</f>
        <v>11.0945</v>
      </c>
      <c r="C118" s="165">
        <f>SUM(Month!C340:C342)</f>
        <v>0.30859999999999999</v>
      </c>
      <c r="D118" s="165">
        <f>SUM(Month!D340:D342)</f>
        <v>5.4199999999999998E-2</v>
      </c>
      <c r="E118" s="165">
        <f>SUM(Month!E340:E342)</f>
        <v>5.0021000000000004</v>
      </c>
      <c r="F118" s="165">
        <f>SUM(Month!F340:F342)</f>
        <v>2.4526000000000003</v>
      </c>
      <c r="G118" s="165">
        <f>SUM(Month!G340:G342)</f>
        <v>0.11799999999999999</v>
      </c>
      <c r="H118" s="165">
        <f>SUM(Month!H340:H342)</f>
        <v>2.0152999999999999</v>
      </c>
      <c r="I118" s="165">
        <f>SUM(Month!I340:I342)</f>
        <v>1.0973000000000002</v>
      </c>
      <c r="J118" s="165">
        <f>SUM(Month!J340:J342)</f>
        <v>4.6399999999999997E-2</v>
      </c>
      <c r="K118" s="165">
        <f>SUM(Month!K340:K342)</f>
        <v>5.7298</v>
      </c>
      <c r="L118" s="165">
        <f>SUM(Month!L340:L342)</f>
        <v>3.2770999999999999</v>
      </c>
      <c r="M118" s="164">
        <f>SUM(Month!M340:M342)</f>
        <v>5.3649000000000004</v>
      </c>
    </row>
    <row r="119" spans="1:13">
      <c r="A119" s="218" t="s">
        <v>659</v>
      </c>
      <c r="B119" s="165">
        <f>SUM(Month!B343:B345)</f>
        <v>9.9583000000000013</v>
      </c>
      <c r="C119" s="165">
        <f>SUM(Month!C343:C345)</f>
        <v>0.29520000000000002</v>
      </c>
      <c r="D119" s="165">
        <f>SUM(Month!D343:D345)</f>
        <v>4.4199999999999996E-2</v>
      </c>
      <c r="E119" s="165">
        <f>SUM(Month!E343:E345)</f>
        <v>4.1851000000000003</v>
      </c>
      <c r="F119" s="165">
        <f>SUM(Month!F343:F345)</f>
        <v>2.1135000000000002</v>
      </c>
      <c r="G119" s="165">
        <f>SUM(Month!G343:G345)</f>
        <v>0.10879999999999999</v>
      </c>
      <c r="H119" s="165">
        <f>SUM(Month!H343:H345)</f>
        <v>1.9600999999999997</v>
      </c>
      <c r="I119" s="165">
        <f>SUM(Month!I343:I345)</f>
        <v>1.1945999999999999</v>
      </c>
      <c r="J119" s="165">
        <f>SUM(Month!J343:J345)</f>
        <v>5.6899999999999999E-2</v>
      </c>
      <c r="K119" s="165">
        <f>SUM(Month!K343:K345)</f>
        <v>5.4339000000000004</v>
      </c>
      <c r="L119" s="165">
        <f>SUM(Month!L343:L345)</f>
        <v>3.3203999999999998</v>
      </c>
      <c r="M119" s="164">
        <f>SUM(Month!M343:M345)</f>
        <v>4.5244</v>
      </c>
    </row>
    <row r="120" spans="1:13">
      <c r="A120" s="218" t="s">
        <v>667</v>
      </c>
      <c r="B120" s="165">
        <f>SUM(Month!B346:B348)</f>
        <v>8.484</v>
      </c>
      <c r="C120" s="165">
        <f>SUM(Month!C346:C348)</f>
        <v>0.08</v>
      </c>
      <c r="D120" s="165">
        <f>SUM(Month!D346:D348)</f>
        <v>2.8799999999999999E-2</v>
      </c>
      <c r="E120" s="165">
        <f>SUM(Month!E346:E348)</f>
        <v>4.0365000000000002</v>
      </c>
      <c r="F120" s="165">
        <f>SUM(Month!F346:F348)</f>
        <v>2.1926999999999999</v>
      </c>
      <c r="G120" s="165">
        <f>SUM(Month!G346:G348)</f>
        <v>3.6699999999999997E-2</v>
      </c>
      <c r="H120" s="165">
        <f>SUM(Month!H346:H348)</f>
        <v>1.0637000000000001</v>
      </c>
      <c r="I120" s="165">
        <f>SUM(Month!I346:I348)</f>
        <v>0.88319999999999999</v>
      </c>
      <c r="J120" s="165">
        <f>SUM(Month!J346:J348)</f>
        <v>0.16239999999999999</v>
      </c>
      <c r="K120" s="165">
        <f>SUM(Month!K346:K348)</f>
        <v>4.3386999999999993</v>
      </c>
      <c r="L120" s="165">
        <f>SUM(Month!L346:L348)</f>
        <v>2.1460999999999997</v>
      </c>
      <c r="M120" s="164">
        <f>SUM(Month!M346:M348)</f>
        <v>4.1452999999999998</v>
      </c>
    </row>
    <row r="121" spans="1:13" ht="15" customHeight="1">
      <c r="A121" s="218" t="s">
        <v>673</v>
      </c>
      <c r="B121" s="165">
        <f>SUM(Month!B349:B351)</f>
        <v>8.7266999999999992</v>
      </c>
      <c r="C121" s="165">
        <f>SUM(Month!C349:C351)</f>
        <v>0.18830000000000002</v>
      </c>
      <c r="D121" s="165">
        <f>SUM(Month!D349:D351)</f>
        <v>3.2399999999999998E-2</v>
      </c>
      <c r="E121" s="165">
        <f>SUM(Month!E349:E351)</f>
        <v>3.7929000000000004</v>
      </c>
      <c r="F121" s="165">
        <f>SUM(Month!F349:F351)</f>
        <v>2.2706</v>
      </c>
      <c r="G121" s="165">
        <f>SUM(Month!G349:G351)</f>
        <v>6.2100000000000002E-2</v>
      </c>
      <c r="H121" s="165">
        <f>SUM(Month!H349:H351)</f>
        <v>1.278</v>
      </c>
      <c r="I121" s="165">
        <f>SUM(Month!I349:I351)</f>
        <v>0.9729000000000001</v>
      </c>
      <c r="J121" s="165">
        <f>SUM(Month!J349:J351)</f>
        <v>0.1295</v>
      </c>
      <c r="K121" s="165">
        <f>SUM(Month!K349:K351)</f>
        <v>4.7132000000000005</v>
      </c>
      <c r="L121" s="165">
        <f>SUM(Month!L349:L351)</f>
        <v>2.4426000000000001</v>
      </c>
      <c r="M121" s="164">
        <f>SUM(Month!M349:M351)</f>
        <v>4.0133000000000001</v>
      </c>
    </row>
    <row r="122" spans="1:13" ht="15.75" customHeight="1">
      <c r="A122" s="218" t="s">
        <v>700</v>
      </c>
      <c r="B122" s="165">
        <f>SUM(Month!B352:B354)</f>
        <v>10.0623</v>
      </c>
      <c r="C122" s="165">
        <f>SUM(Month!C352:C354)</f>
        <v>0.33340000000000003</v>
      </c>
      <c r="D122" s="165">
        <f>SUM(Month!D352:D354)</f>
        <v>3.1300000000000001E-2</v>
      </c>
      <c r="E122" s="165">
        <f>SUM(Month!E352:E354)</f>
        <v>3.8437000000000001</v>
      </c>
      <c r="F122" s="165">
        <f>SUM(Month!F352:F354)</f>
        <v>2.2136</v>
      </c>
      <c r="G122" s="165">
        <f>SUM(Month!G352:G354)</f>
        <v>0.1202</v>
      </c>
      <c r="H122" s="165">
        <f>SUM(Month!H352:H354)</f>
        <v>2.0665</v>
      </c>
      <c r="I122" s="165">
        <f>SUM(Month!I352:I354)</f>
        <v>1.4072</v>
      </c>
      <c r="J122" s="165">
        <f>SUM(Month!J352:J354)</f>
        <v>4.6199999999999998E-2</v>
      </c>
      <c r="K122" s="165">
        <f>SUM(Month!K352:K354)</f>
        <v>5.8539000000000003</v>
      </c>
      <c r="L122" s="165">
        <f>SUM(Month!L352:L354)</f>
        <v>3.6402999999999999</v>
      </c>
      <c r="M122" s="164">
        <f>SUM(Month!M352:M354)</f>
        <v>4.2084999999999999</v>
      </c>
    </row>
    <row r="123" spans="1:13">
      <c r="A123" s="218" t="s">
        <v>703</v>
      </c>
      <c r="B123" s="165">
        <f>SUM(Month!B355:B357)</f>
        <v>9.7125000000000004</v>
      </c>
      <c r="C123" s="165">
        <f>SUM(Month!C355:C357)</f>
        <v>0.27029999999999998</v>
      </c>
      <c r="D123" s="165">
        <f>SUM(Month!D355:D357)</f>
        <v>2.8400000000000002E-2</v>
      </c>
      <c r="E123" s="165">
        <f>SUM(Month!E355:E357)</f>
        <v>3.9806999999999997</v>
      </c>
      <c r="F123" s="165">
        <f>SUM(Month!F355:F357)</f>
        <v>1.7911000000000001</v>
      </c>
      <c r="G123" s="165">
        <f>SUM(Month!G355:G357)</f>
        <v>0.1265</v>
      </c>
      <c r="H123" s="165">
        <f>SUM(Month!H355:H357)</f>
        <v>2.0404999999999998</v>
      </c>
      <c r="I123" s="165">
        <f>SUM(Month!I355:I357)</f>
        <v>1.4046000000000001</v>
      </c>
      <c r="J123" s="165">
        <f>SUM(Month!J355:J357)</f>
        <v>7.0500000000000007E-2</v>
      </c>
      <c r="K123" s="165">
        <f>SUM(Month!K355:K357)</f>
        <v>5.4331999999999994</v>
      </c>
      <c r="L123" s="165">
        <f>SUM(Month!L355:L357)</f>
        <v>3.6419999999999995</v>
      </c>
      <c r="M123" s="164">
        <f>SUM(Month!M355:M357)</f>
        <v>4.2793999999999999</v>
      </c>
    </row>
    <row r="124" spans="1:13">
      <c r="A124" s="218" t="s">
        <v>709</v>
      </c>
      <c r="B124" s="165">
        <f>SUM(Month!B358:B360)</f>
        <v>7.9277999999999995</v>
      </c>
      <c r="C124" s="165">
        <f>SUM(Month!C358:C360)</f>
        <v>8.5199999999999998E-2</v>
      </c>
      <c r="D124" s="165">
        <f>SUM(Month!D358:D360)</f>
        <v>3.3000000000000002E-2</v>
      </c>
      <c r="E124" s="165">
        <f>SUM(Month!E358:E360)</f>
        <v>2.4596</v>
      </c>
      <c r="F124" s="165">
        <f>SUM(Month!F358:F360)</f>
        <v>2.4599000000000002</v>
      </c>
      <c r="G124" s="165">
        <f>SUM(Month!G358:G360)</f>
        <v>6.0799999999999993E-2</v>
      </c>
      <c r="H124" s="165">
        <f>SUM(Month!H358:H360)</f>
        <v>1.3509000000000002</v>
      </c>
      <c r="I124" s="165">
        <f>SUM(Month!I358:I360)</f>
        <v>1.3219000000000001</v>
      </c>
      <c r="J124" s="165">
        <f>SUM(Month!J358:J360)</f>
        <v>0.15639999999999998</v>
      </c>
      <c r="K124" s="165">
        <f>SUM(Month!K358:K360)</f>
        <v>5.3500000000000005</v>
      </c>
      <c r="L124" s="165">
        <f>SUM(Month!L358:L360)</f>
        <v>2.8901000000000003</v>
      </c>
      <c r="M124" s="164">
        <f>SUM(Month!M358:M360)</f>
        <v>2.5778999999999996</v>
      </c>
    </row>
    <row r="125" spans="1:13">
      <c r="A125" s="218" t="s">
        <v>715</v>
      </c>
      <c r="B125" s="165">
        <f>SUM(Month!B361:B363)</f>
        <v>7.9671000000000003</v>
      </c>
      <c r="C125" s="165">
        <f>SUM(Month!C361:C363)</f>
        <v>5.91E-2</v>
      </c>
      <c r="D125" s="165">
        <f>SUM(Month!D361:D363)</f>
        <v>2.9200000000000004E-2</v>
      </c>
      <c r="E125" s="165">
        <f>SUM(Month!E361:E363)</f>
        <v>2.5354000000000001</v>
      </c>
      <c r="F125" s="165">
        <f>SUM(Month!F361:F363)</f>
        <v>2.452</v>
      </c>
      <c r="G125" s="165">
        <f>SUM(Month!G361:G363)</f>
        <v>6.5799999999999997E-2</v>
      </c>
      <c r="H125" s="165">
        <f>SUM(Month!H361:H363)</f>
        <v>1.3100999999999998</v>
      </c>
      <c r="I125" s="165">
        <f>SUM(Month!I361:I363)</f>
        <v>1.3755999999999999</v>
      </c>
      <c r="J125" s="165">
        <f>SUM(Month!J361:J363)</f>
        <v>0.13990000000000002</v>
      </c>
      <c r="K125" s="165">
        <f>SUM(Month!K361:K363)</f>
        <v>5.3433999999999999</v>
      </c>
      <c r="L125" s="165">
        <f>SUM(Month!L361:L363)</f>
        <v>2.8914</v>
      </c>
      <c r="M125" s="164">
        <f>SUM(Month!M361:M363)</f>
        <v>2.6238000000000001</v>
      </c>
    </row>
    <row r="126" spans="1:13">
      <c r="A126" s="223" t="s">
        <v>716</v>
      </c>
      <c r="B126" s="165">
        <f>SUM(Month!B364:B366)</f>
        <v>9.8793000000000006</v>
      </c>
      <c r="C126" s="165">
        <f>SUM(Month!C364:C366)</f>
        <v>0</v>
      </c>
      <c r="D126" s="165">
        <f>SUM(Month!D364:D366)</f>
        <v>2.8499999999999998E-2</v>
      </c>
      <c r="E126" s="165">
        <f>SUM(Month!E364:E366)</f>
        <v>4.2717999999999998</v>
      </c>
      <c r="F126" s="165">
        <f>SUM(Month!F364:F366)</f>
        <v>2.0855999999999999</v>
      </c>
      <c r="G126" s="165">
        <f>SUM(Month!G364:G366)</f>
        <v>9.3600000000000003E-2</v>
      </c>
      <c r="H126" s="165">
        <f>SUM(Month!H364:H366)</f>
        <v>1.8442000000000001</v>
      </c>
      <c r="I126" s="165">
        <f>SUM(Month!I364:I366)</f>
        <v>1.5139</v>
      </c>
      <c r="J126" s="165">
        <f>SUM(Month!J364:J366)</f>
        <v>4.1799999999999997E-2</v>
      </c>
      <c r="K126" s="165">
        <f>SUM(Month!K364:K366)</f>
        <v>5.5790000000000006</v>
      </c>
      <c r="L126" s="165">
        <f>SUM(Month!L364:L366)</f>
        <v>3.4935</v>
      </c>
      <c r="M126" s="164">
        <f>SUM(Month!M364:M366)</f>
        <v>4.3002000000000002</v>
      </c>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B125:M125 B126:M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2"/>
  <sheetViews>
    <sheetView showGridLines="0" zoomScaleNormal="100" workbookViewId="0">
      <pane xSplit="1" ySplit="6" topLeftCell="B363" activePane="bottomRight" state="frozen"/>
      <selection activeCell="A2" sqref="A2"/>
      <selection pane="topRight" activeCell="A2" sqref="A2"/>
      <selection pane="bottomLeft" activeCell="A2" sqref="A2"/>
      <selection pane="bottomRight" activeCell="A363" sqref="A363"/>
    </sheetView>
  </sheetViews>
  <sheetFormatPr defaultColWidth="9.453125" defaultRowHeight="13"/>
  <cols>
    <col min="1" max="1" width="30.54296875" customWidth="1"/>
    <col min="2" max="13" width="13.54296875" customWidth="1"/>
  </cols>
  <sheetData>
    <row r="1" spans="1:16" ht="45" customHeight="1">
      <c r="A1" s="111" t="s">
        <v>591</v>
      </c>
    </row>
    <row r="2" spans="1:16" s="88" customFormat="1" ht="20.25" customHeight="1">
      <c r="A2" s="94" t="s">
        <v>99</v>
      </c>
    </row>
    <row r="3" spans="1:16" s="88" customFormat="1" ht="20.25" customHeight="1">
      <c r="A3" s="104" t="s">
        <v>136</v>
      </c>
    </row>
    <row r="4" spans="1:16" s="88" customFormat="1" ht="20.25" customHeight="1">
      <c r="A4" s="82" t="s">
        <v>159</v>
      </c>
    </row>
    <row r="5" spans="1:16" s="88" customFormat="1" ht="20.25" customHeight="1">
      <c r="A5" s="81" t="s">
        <v>585</v>
      </c>
    </row>
    <row r="6" spans="1:16" ht="45" customHeight="1">
      <c r="A6" s="173" t="s">
        <v>44</v>
      </c>
      <c r="B6" s="147" t="s">
        <v>84</v>
      </c>
      <c r="C6" s="148" t="s">
        <v>3</v>
      </c>
      <c r="D6" s="148" t="s">
        <v>140</v>
      </c>
      <c r="E6" s="148" t="s">
        <v>5</v>
      </c>
      <c r="F6" s="148" t="s">
        <v>54</v>
      </c>
      <c r="G6" s="148" t="s">
        <v>7</v>
      </c>
      <c r="H6" s="148" t="s">
        <v>141</v>
      </c>
      <c r="I6" s="148" t="s">
        <v>142</v>
      </c>
      <c r="J6" s="148" t="s">
        <v>48</v>
      </c>
      <c r="K6" s="148" t="s">
        <v>143</v>
      </c>
      <c r="L6" s="148" t="s">
        <v>144</v>
      </c>
      <c r="M6" s="149" t="s">
        <v>145</v>
      </c>
    </row>
    <row r="7" spans="1:16" ht="15.5">
      <c r="A7" s="183" t="s">
        <v>266</v>
      </c>
      <c r="B7" s="163">
        <v>6.3</v>
      </c>
      <c r="C7" s="163">
        <v>3.4950000000000001</v>
      </c>
      <c r="D7" s="163">
        <v>0.35830000000000001</v>
      </c>
      <c r="E7" s="163">
        <v>0.874</v>
      </c>
      <c r="F7" s="163">
        <v>1.512</v>
      </c>
      <c r="G7" s="163">
        <v>5.0299999999999997E-2</v>
      </c>
      <c r="H7" s="163" t="s">
        <v>137</v>
      </c>
      <c r="I7" s="163" t="s">
        <v>137</v>
      </c>
      <c r="J7" s="163" t="s">
        <v>137</v>
      </c>
      <c r="K7" s="163">
        <v>1.5623</v>
      </c>
      <c r="L7" s="163">
        <v>5.0299999999999997E-2</v>
      </c>
      <c r="M7" s="164">
        <v>4.7272999999999996</v>
      </c>
    </row>
    <row r="8" spans="1:16" ht="15.5">
      <c r="A8" s="184" t="s">
        <v>267</v>
      </c>
      <c r="B8" s="163">
        <v>6.2569999999999997</v>
      </c>
      <c r="C8" s="163">
        <v>3.4369999999999998</v>
      </c>
      <c r="D8" s="163">
        <v>0.34300000000000003</v>
      </c>
      <c r="E8" s="163">
        <v>0.82899999999999996</v>
      </c>
      <c r="F8" s="163">
        <v>1.589</v>
      </c>
      <c r="G8" s="163">
        <v>4.8599999999999997E-2</v>
      </c>
      <c r="H8" s="163" t="s">
        <v>137</v>
      </c>
      <c r="I8" s="163" t="s">
        <v>137</v>
      </c>
      <c r="J8" s="163" t="s">
        <v>137</v>
      </c>
      <c r="K8" s="163">
        <v>1.6375999999999999</v>
      </c>
      <c r="L8" s="163">
        <v>4.8599999999999997E-2</v>
      </c>
      <c r="M8" s="164">
        <v>4.609</v>
      </c>
    </row>
    <row r="9" spans="1:16" ht="15.5">
      <c r="A9" s="184" t="s">
        <v>268</v>
      </c>
      <c r="B9" s="163">
        <v>7.4429999999999996</v>
      </c>
      <c r="C9" s="163">
        <v>4.1390000000000002</v>
      </c>
      <c r="D9" s="163">
        <v>0.38080000000000003</v>
      </c>
      <c r="E9" s="163">
        <v>0.94699999999999995</v>
      </c>
      <c r="F9" s="163">
        <v>1.9119999999999999</v>
      </c>
      <c r="G9" s="163">
        <v>5.0799999999999998E-2</v>
      </c>
      <c r="H9" s="163" t="s">
        <v>137</v>
      </c>
      <c r="I9" s="163" t="s">
        <v>137</v>
      </c>
      <c r="J9" s="163" t="s">
        <v>137</v>
      </c>
      <c r="K9" s="163">
        <v>1.9628000000000001</v>
      </c>
      <c r="L9" s="163">
        <v>5.0799999999999998E-2</v>
      </c>
      <c r="M9" s="164">
        <v>5.4668000000000001</v>
      </c>
    </row>
    <row r="10" spans="1:16" ht="15.5">
      <c r="A10" s="184" t="s">
        <v>269</v>
      </c>
      <c r="B10" s="163">
        <v>5.32</v>
      </c>
      <c r="C10" s="163">
        <v>2.56</v>
      </c>
      <c r="D10" s="163">
        <v>0.17979999999999999</v>
      </c>
      <c r="E10" s="163">
        <v>0.75600000000000001</v>
      </c>
      <c r="F10" s="163">
        <v>1.776</v>
      </c>
      <c r="G10" s="163">
        <v>3.8800000000000001E-2</v>
      </c>
      <c r="H10" s="163" t="s">
        <v>137</v>
      </c>
      <c r="I10" s="163" t="s">
        <v>137</v>
      </c>
      <c r="J10" s="163" t="s">
        <v>137</v>
      </c>
      <c r="K10" s="163">
        <v>1.8148</v>
      </c>
      <c r="L10" s="163">
        <v>3.8800000000000001E-2</v>
      </c>
      <c r="M10" s="164">
        <v>3.4958</v>
      </c>
    </row>
    <row r="11" spans="1:16" ht="15.5">
      <c r="A11" s="184" t="s">
        <v>270</v>
      </c>
      <c r="B11" s="163">
        <v>5.0720000000000001</v>
      </c>
      <c r="C11" s="163">
        <v>2.452</v>
      </c>
      <c r="D11" s="163">
        <v>0.2</v>
      </c>
      <c r="E11" s="163">
        <v>0.84099999999999997</v>
      </c>
      <c r="F11" s="163">
        <v>1.5509999999999999</v>
      </c>
      <c r="G11" s="163">
        <v>1.8800000000000001E-2</v>
      </c>
      <c r="H11" s="163" t="s">
        <v>137</v>
      </c>
      <c r="I11" s="163" t="s">
        <v>137</v>
      </c>
      <c r="J11" s="163" t="s">
        <v>137</v>
      </c>
      <c r="K11" s="163">
        <v>1.5698000000000001</v>
      </c>
      <c r="L11" s="163">
        <v>1.8800000000000001E-2</v>
      </c>
      <c r="M11" s="164">
        <v>3.4929999999999999</v>
      </c>
    </row>
    <row r="12" spans="1:16" ht="15.5">
      <c r="A12" s="184" t="s">
        <v>271</v>
      </c>
      <c r="B12" s="163">
        <v>5.8819999999999997</v>
      </c>
      <c r="C12" s="163">
        <v>2.7170000000000001</v>
      </c>
      <c r="D12" s="163">
        <v>0.20730000000000001</v>
      </c>
      <c r="E12" s="163">
        <v>0.94099999999999995</v>
      </c>
      <c r="F12" s="163">
        <v>1.986</v>
      </c>
      <c r="G12" s="163">
        <v>1.8100000000000002E-2</v>
      </c>
      <c r="H12" s="163" t="s">
        <v>137</v>
      </c>
      <c r="I12" s="163" t="s">
        <v>137</v>
      </c>
      <c r="J12" s="163" t="s">
        <v>137</v>
      </c>
      <c r="K12" s="163">
        <v>2.0041000000000002</v>
      </c>
      <c r="L12" s="163">
        <v>1.8100000000000002E-2</v>
      </c>
      <c r="M12" s="164">
        <v>3.8653</v>
      </c>
    </row>
    <row r="13" spans="1:16" ht="15.5">
      <c r="A13" s="184" t="s">
        <v>272</v>
      </c>
      <c r="B13" s="163">
        <v>4.8</v>
      </c>
      <c r="C13" s="163">
        <v>2.0779999999999998</v>
      </c>
      <c r="D13" s="163">
        <v>0.1681</v>
      </c>
      <c r="E13" s="163">
        <v>0.84799999999999998</v>
      </c>
      <c r="F13" s="163">
        <v>1.6859999999999999</v>
      </c>
      <c r="G13" s="163">
        <v>9.2999999999999992E-3</v>
      </c>
      <c r="H13" s="163" t="s">
        <v>137</v>
      </c>
      <c r="I13" s="163" t="s">
        <v>137</v>
      </c>
      <c r="J13" s="163" t="s">
        <v>137</v>
      </c>
      <c r="K13" s="163">
        <v>1.6953</v>
      </c>
      <c r="L13" s="163">
        <v>9.2999999999999992E-3</v>
      </c>
      <c r="M13" s="164">
        <v>3.0941000000000001</v>
      </c>
      <c r="P13" s="180"/>
    </row>
    <row r="14" spans="1:16" ht="15.5">
      <c r="A14" s="184" t="s">
        <v>273</v>
      </c>
      <c r="B14" s="163">
        <v>4.84</v>
      </c>
      <c r="C14" s="163">
        <v>2.218</v>
      </c>
      <c r="D14" s="163">
        <v>0.16889999999999999</v>
      </c>
      <c r="E14" s="163">
        <v>0.83499999999999996</v>
      </c>
      <c r="F14" s="163">
        <v>1.6</v>
      </c>
      <c r="G14" s="163">
        <v>7.4000000000000003E-3</v>
      </c>
      <c r="H14" s="163" t="s">
        <v>137</v>
      </c>
      <c r="I14" s="163" t="s">
        <v>137</v>
      </c>
      <c r="J14" s="163" t="s">
        <v>137</v>
      </c>
      <c r="K14" s="163">
        <v>1.6073999999999999</v>
      </c>
      <c r="L14" s="163">
        <v>7.4000000000000003E-3</v>
      </c>
      <c r="M14" s="164">
        <v>3.2219000000000002</v>
      </c>
      <c r="P14" s="180"/>
    </row>
    <row r="15" spans="1:16" ht="15.5">
      <c r="A15" s="184" t="s">
        <v>274</v>
      </c>
      <c r="B15" s="163">
        <v>6.0350000000000001</v>
      </c>
      <c r="C15" s="163">
        <v>2.7879999999999998</v>
      </c>
      <c r="D15" s="163">
        <v>0.23569999999999999</v>
      </c>
      <c r="E15" s="163">
        <v>0.99099999999999999</v>
      </c>
      <c r="F15" s="163">
        <v>2.0030000000000001</v>
      </c>
      <c r="G15" s="163">
        <v>5.4000000000000003E-3</v>
      </c>
      <c r="H15" s="163" t="s">
        <v>137</v>
      </c>
      <c r="I15" s="163" t="s">
        <v>137</v>
      </c>
      <c r="J15" s="163" t="s">
        <v>137</v>
      </c>
      <c r="K15" s="163">
        <v>2.0084</v>
      </c>
      <c r="L15" s="163">
        <v>5.4000000000000003E-3</v>
      </c>
      <c r="M15" s="164">
        <v>4.0147000000000004</v>
      </c>
      <c r="P15" s="180"/>
    </row>
    <row r="16" spans="1:16" ht="15.5">
      <c r="A16" s="184" t="s">
        <v>275</v>
      </c>
      <c r="B16" s="163">
        <v>5.3390000000000004</v>
      </c>
      <c r="C16" s="163">
        <v>2.431</v>
      </c>
      <c r="D16" s="163">
        <v>0.23130000000000001</v>
      </c>
      <c r="E16" s="163">
        <v>0.95799999999999996</v>
      </c>
      <c r="F16" s="163">
        <v>1.679</v>
      </c>
      <c r="G16" s="163">
        <v>2.9399999999999999E-2</v>
      </c>
      <c r="H16" s="163" t="s">
        <v>137</v>
      </c>
      <c r="I16" s="163" t="s">
        <v>137</v>
      </c>
      <c r="J16" s="163" t="s">
        <v>137</v>
      </c>
      <c r="K16" s="163">
        <v>1.7083999999999999</v>
      </c>
      <c r="L16" s="163">
        <v>2.9399999999999999E-2</v>
      </c>
      <c r="M16" s="164">
        <v>3.6202999999999999</v>
      </c>
      <c r="P16" s="180"/>
    </row>
    <row r="17" spans="1:16" ht="15.5">
      <c r="A17" s="184" t="s">
        <v>276</v>
      </c>
      <c r="B17" s="163">
        <v>6.0389999999999997</v>
      </c>
      <c r="C17" s="163">
        <v>2.8069999999999999</v>
      </c>
      <c r="D17" s="163">
        <v>0.26340000000000002</v>
      </c>
      <c r="E17" s="163">
        <v>1.208</v>
      </c>
      <c r="F17" s="163">
        <v>1.7190000000000001</v>
      </c>
      <c r="G17" s="163">
        <v>3.1199999999999999E-2</v>
      </c>
      <c r="H17" s="163" t="s">
        <v>137</v>
      </c>
      <c r="I17" s="163" t="s">
        <v>137</v>
      </c>
      <c r="J17" s="163" t="s">
        <v>137</v>
      </c>
      <c r="K17" s="163">
        <v>1.7502</v>
      </c>
      <c r="L17" s="163">
        <v>3.1199999999999999E-2</v>
      </c>
      <c r="M17" s="164">
        <v>4.2784000000000004</v>
      </c>
      <c r="P17" s="180"/>
    </row>
    <row r="18" spans="1:16" ht="15.5">
      <c r="A18" s="184" t="s">
        <v>277</v>
      </c>
      <c r="B18" s="163">
        <v>7.98</v>
      </c>
      <c r="C18" s="163">
        <v>3.8940000000000001</v>
      </c>
      <c r="D18" s="163">
        <v>0.39419999999999999</v>
      </c>
      <c r="E18" s="163">
        <v>1.4059999999999999</v>
      </c>
      <c r="F18" s="163">
        <v>2.2400000000000002</v>
      </c>
      <c r="G18" s="163">
        <v>3.2099999999999997E-2</v>
      </c>
      <c r="H18" s="163" t="s">
        <v>137</v>
      </c>
      <c r="I18" s="163" t="s">
        <v>137</v>
      </c>
      <c r="J18" s="163" t="s">
        <v>137</v>
      </c>
      <c r="K18" s="163">
        <v>2.2721</v>
      </c>
      <c r="L18" s="163">
        <v>3.2099999999999997E-2</v>
      </c>
      <c r="M18" s="164">
        <v>5.6942000000000004</v>
      </c>
      <c r="P18" s="180"/>
    </row>
    <row r="19" spans="1:16" ht="15.5">
      <c r="A19" s="184" t="s">
        <v>278</v>
      </c>
      <c r="B19" s="163">
        <v>6.4029999999999996</v>
      </c>
      <c r="C19" s="163">
        <v>3.0259999999999998</v>
      </c>
      <c r="D19" s="163">
        <v>0.30099999999999999</v>
      </c>
      <c r="E19" s="163">
        <v>1.204</v>
      </c>
      <c r="F19" s="163">
        <v>1.8140000000000001</v>
      </c>
      <c r="G19" s="163">
        <v>3.1399999999999997E-2</v>
      </c>
      <c r="H19" s="163" t="s">
        <v>137</v>
      </c>
      <c r="I19" s="163" t="s">
        <v>137</v>
      </c>
      <c r="J19" s="163" t="s">
        <v>137</v>
      </c>
      <c r="K19" s="163">
        <v>1.8453999999999999</v>
      </c>
      <c r="L19" s="163">
        <v>3.1399999999999997E-2</v>
      </c>
      <c r="M19" s="164">
        <v>4.5309999999999997</v>
      </c>
      <c r="P19" s="180"/>
    </row>
    <row r="20" spans="1:16" ht="15.5">
      <c r="A20" s="184" t="s">
        <v>279</v>
      </c>
      <c r="B20" s="163">
        <v>6.7480000000000002</v>
      </c>
      <c r="C20" s="163">
        <v>3.528</v>
      </c>
      <c r="D20" s="163">
        <v>0.31090000000000001</v>
      </c>
      <c r="E20" s="163">
        <v>1.1739999999999999</v>
      </c>
      <c r="F20" s="163">
        <v>1.698</v>
      </c>
      <c r="G20" s="163">
        <v>1.5900000000000001E-2</v>
      </c>
      <c r="H20" s="163" t="s">
        <v>137</v>
      </c>
      <c r="I20" s="163" t="s">
        <v>137</v>
      </c>
      <c r="J20" s="163" t="s">
        <v>137</v>
      </c>
      <c r="K20" s="163">
        <v>1.7139</v>
      </c>
      <c r="L20" s="163">
        <v>1.5900000000000001E-2</v>
      </c>
      <c r="M20" s="164">
        <v>5.0129000000000001</v>
      </c>
      <c r="P20" s="180"/>
    </row>
    <row r="21" spans="1:16" ht="15.5">
      <c r="A21" s="184" t="s">
        <v>280</v>
      </c>
      <c r="B21" s="163">
        <v>7.8579999999999997</v>
      </c>
      <c r="C21" s="163">
        <v>4.141</v>
      </c>
      <c r="D21" s="163">
        <v>0.309</v>
      </c>
      <c r="E21" s="163">
        <v>1.3380000000000001</v>
      </c>
      <c r="F21" s="163">
        <v>2.0739999999999998</v>
      </c>
      <c r="G21" s="163">
        <v>1.4E-2</v>
      </c>
      <c r="H21" s="163" t="s">
        <v>137</v>
      </c>
      <c r="I21" s="163" t="s">
        <v>137</v>
      </c>
      <c r="J21" s="163" t="s">
        <v>137</v>
      </c>
      <c r="K21" s="163">
        <v>2.0880000000000001</v>
      </c>
      <c r="L21" s="163">
        <v>1.4E-2</v>
      </c>
      <c r="M21" s="164">
        <v>5.7880000000000003</v>
      </c>
      <c r="P21" s="180"/>
    </row>
    <row r="22" spans="1:16" ht="15.5">
      <c r="A22" s="184" t="s">
        <v>281</v>
      </c>
      <c r="B22" s="163">
        <v>5.492</v>
      </c>
      <c r="C22" s="163">
        <v>2.5299999999999998</v>
      </c>
      <c r="D22" s="163">
        <v>0.19189999999999999</v>
      </c>
      <c r="E22" s="163">
        <v>0.997</v>
      </c>
      <c r="F22" s="163">
        <v>1.73</v>
      </c>
      <c r="G22" s="163">
        <v>1.84E-2</v>
      </c>
      <c r="H22" s="163" t="s">
        <v>137</v>
      </c>
      <c r="I22" s="163" t="s">
        <v>137</v>
      </c>
      <c r="J22" s="163" t="s">
        <v>137</v>
      </c>
      <c r="K22" s="163">
        <v>1.7484</v>
      </c>
      <c r="L22" s="163">
        <v>1.84E-2</v>
      </c>
      <c r="M22" s="164">
        <v>3.7189000000000001</v>
      </c>
      <c r="P22" s="180"/>
    </row>
    <row r="23" spans="1:16" ht="15.5">
      <c r="A23" s="184" t="s">
        <v>282</v>
      </c>
      <c r="B23" s="163">
        <v>5.2919999999999998</v>
      </c>
      <c r="C23" s="163">
        <v>2.222</v>
      </c>
      <c r="D23" s="163">
        <v>0.20630000000000001</v>
      </c>
      <c r="E23" s="163">
        <v>1.0489999999999999</v>
      </c>
      <c r="F23" s="163">
        <v>1.778</v>
      </c>
      <c r="G23" s="163">
        <v>1.5800000000000002E-2</v>
      </c>
      <c r="H23" s="163" t="s">
        <v>137</v>
      </c>
      <c r="I23" s="163" t="s">
        <v>137</v>
      </c>
      <c r="J23" s="163" t="s">
        <v>137</v>
      </c>
      <c r="K23" s="163">
        <v>1.7938000000000001</v>
      </c>
      <c r="L23" s="163">
        <v>1.5800000000000002E-2</v>
      </c>
      <c r="M23" s="164">
        <v>3.4773000000000001</v>
      </c>
      <c r="P23" s="180"/>
    </row>
    <row r="24" spans="1:16" ht="15.5">
      <c r="A24" s="184" t="s">
        <v>283</v>
      </c>
      <c r="B24" s="163">
        <v>5.9960000000000004</v>
      </c>
      <c r="C24" s="163">
        <v>2.4049999999999998</v>
      </c>
      <c r="D24" s="163">
        <v>0.2606</v>
      </c>
      <c r="E24" s="163">
        <v>1.3069999999999999</v>
      </c>
      <c r="F24" s="163">
        <v>2.0169999999999999</v>
      </c>
      <c r="G24" s="163">
        <v>1.6899999999999998E-2</v>
      </c>
      <c r="H24" s="163" t="s">
        <v>137</v>
      </c>
      <c r="I24" s="163" t="s">
        <v>137</v>
      </c>
      <c r="J24" s="163" t="s">
        <v>137</v>
      </c>
      <c r="K24" s="163">
        <v>2.0339</v>
      </c>
      <c r="L24" s="163">
        <v>1.6899999999999998E-2</v>
      </c>
      <c r="M24" s="164">
        <v>3.9725999999999999</v>
      </c>
      <c r="P24" s="180"/>
    </row>
    <row r="25" spans="1:16" ht="15.5">
      <c r="A25" s="184" t="s">
        <v>284</v>
      </c>
      <c r="B25" s="163">
        <v>4.7759999999999998</v>
      </c>
      <c r="C25" s="163">
        <v>2.04</v>
      </c>
      <c r="D25" s="163">
        <v>0.18920000000000001</v>
      </c>
      <c r="E25" s="163">
        <v>1.127</v>
      </c>
      <c r="F25" s="163">
        <v>1.3879999999999999</v>
      </c>
      <c r="G25" s="163">
        <v>7.1999999999999998E-3</v>
      </c>
      <c r="H25" s="163" t="s">
        <v>137</v>
      </c>
      <c r="I25" s="163" t="s">
        <v>137</v>
      </c>
      <c r="J25" s="163" t="s">
        <v>137</v>
      </c>
      <c r="K25" s="163">
        <v>1.3952</v>
      </c>
      <c r="L25" s="163">
        <v>7.1999999999999998E-3</v>
      </c>
      <c r="M25" s="164">
        <v>3.3561999999999999</v>
      </c>
      <c r="P25" s="180"/>
    </row>
    <row r="26" spans="1:16" ht="15.5">
      <c r="A26" s="184" t="s">
        <v>285</v>
      </c>
      <c r="B26" s="163">
        <v>4.7439999999999998</v>
      </c>
      <c r="C26" s="163">
        <v>1.992</v>
      </c>
      <c r="D26" s="163">
        <v>0.2233</v>
      </c>
      <c r="E26" s="163">
        <v>1.071</v>
      </c>
      <c r="F26" s="163">
        <v>1.423</v>
      </c>
      <c r="G26" s="163">
        <v>7.6E-3</v>
      </c>
      <c r="H26" s="163" t="s">
        <v>137</v>
      </c>
      <c r="I26" s="163" t="s">
        <v>137</v>
      </c>
      <c r="J26" s="163" t="s">
        <v>137</v>
      </c>
      <c r="K26" s="163">
        <v>1.4306000000000001</v>
      </c>
      <c r="L26" s="163">
        <v>7.6E-3</v>
      </c>
      <c r="M26" s="164">
        <v>3.2863000000000002</v>
      </c>
      <c r="P26" s="180"/>
    </row>
    <row r="27" spans="1:16" ht="15.5">
      <c r="A27" s="184" t="s">
        <v>286</v>
      </c>
      <c r="B27" s="163">
        <v>6.4050000000000002</v>
      </c>
      <c r="C27" s="163">
        <v>2.4700000000000002</v>
      </c>
      <c r="D27" s="163">
        <v>0.2944</v>
      </c>
      <c r="E27" s="163">
        <v>1.5349999999999999</v>
      </c>
      <c r="F27" s="163">
        <v>2.1</v>
      </c>
      <c r="G27" s="163">
        <v>1.2800000000000001E-2</v>
      </c>
      <c r="H27" s="163" t="s">
        <v>137</v>
      </c>
      <c r="I27" s="163" t="s">
        <v>137</v>
      </c>
      <c r="J27" s="163" t="s">
        <v>137</v>
      </c>
      <c r="K27" s="163">
        <v>2.1128</v>
      </c>
      <c r="L27" s="163">
        <v>1.2800000000000001E-2</v>
      </c>
      <c r="M27" s="164">
        <v>4.2994000000000003</v>
      </c>
      <c r="P27" s="180"/>
    </row>
    <row r="28" spans="1:16" ht="15.5">
      <c r="A28" s="184" t="s">
        <v>287</v>
      </c>
      <c r="B28" s="163">
        <v>5.4530000000000003</v>
      </c>
      <c r="C28" s="163">
        <v>2.085</v>
      </c>
      <c r="D28" s="163">
        <v>0.22159999999999999</v>
      </c>
      <c r="E28" s="163">
        <v>1.323</v>
      </c>
      <c r="F28" s="163">
        <v>1.77</v>
      </c>
      <c r="G28" s="163">
        <v>2.3400000000000001E-2</v>
      </c>
      <c r="H28" s="163" t="s">
        <v>137</v>
      </c>
      <c r="I28" s="163" t="s">
        <v>137</v>
      </c>
      <c r="J28" s="163" t="s">
        <v>137</v>
      </c>
      <c r="K28" s="163">
        <v>1.7934000000000001</v>
      </c>
      <c r="L28" s="163">
        <v>2.3400000000000001E-2</v>
      </c>
      <c r="M28" s="164">
        <v>3.6295999999999999</v>
      </c>
      <c r="P28" s="180"/>
    </row>
    <row r="29" spans="1:16" ht="15.5">
      <c r="A29" s="184" t="s">
        <v>288</v>
      </c>
      <c r="B29" s="163">
        <v>6.04</v>
      </c>
      <c r="C29" s="163">
        <v>2.4460000000000002</v>
      </c>
      <c r="D29" s="163">
        <v>0.21859999999999999</v>
      </c>
      <c r="E29" s="163">
        <v>1.3720000000000001</v>
      </c>
      <c r="F29" s="163">
        <v>1.927</v>
      </c>
      <c r="G29" s="163">
        <v>4.3400000000000001E-2</v>
      </c>
      <c r="H29" s="163" t="s">
        <v>137</v>
      </c>
      <c r="I29" s="163" t="s">
        <v>137</v>
      </c>
      <c r="J29" s="163" t="s">
        <v>137</v>
      </c>
      <c r="K29" s="163">
        <v>1.9703999999999999</v>
      </c>
      <c r="L29" s="163">
        <v>4.3400000000000001E-2</v>
      </c>
      <c r="M29" s="164">
        <v>4.0366</v>
      </c>
      <c r="P29" s="180"/>
    </row>
    <row r="30" spans="1:16" ht="15.5">
      <c r="A30" s="184" t="s">
        <v>289</v>
      </c>
      <c r="B30" s="163">
        <v>7.9640000000000004</v>
      </c>
      <c r="C30" s="163">
        <v>3.5150000000000001</v>
      </c>
      <c r="D30" s="163">
        <v>0.29520000000000002</v>
      </c>
      <c r="E30" s="163">
        <v>1.69</v>
      </c>
      <c r="F30" s="163">
        <v>2.46</v>
      </c>
      <c r="G30" s="163">
        <v>4.19E-2</v>
      </c>
      <c r="H30" s="163" t="s">
        <v>137</v>
      </c>
      <c r="I30" s="163" t="s">
        <v>137</v>
      </c>
      <c r="J30" s="163" t="s">
        <v>137</v>
      </c>
      <c r="K30" s="163">
        <v>2.5019</v>
      </c>
      <c r="L30" s="163">
        <v>4.19E-2</v>
      </c>
      <c r="M30" s="164">
        <v>5.5002000000000004</v>
      </c>
      <c r="P30" s="180"/>
    </row>
    <row r="31" spans="1:16" ht="15.5">
      <c r="A31" s="184" t="s">
        <v>290</v>
      </c>
      <c r="B31" s="163">
        <v>6.5585000000000004</v>
      </c>
      <c r="C31" s="163">
        <v>2.9588999999999999</v>
      </c>
      <c r="D31" s="163">
        <v>0.27610000000000001</v>
      </c>
      <c r="E31" s="163">
        <v>1.4240999999999999</v>
      </c>
      <c r="F31" s="163">
        <v>1.8449</v>
      </c>
      <c r="G31" s="163">
        <v>3.8600000000000002E-2</v>
      </c>
      <c r="H31" s="163" t="s">
        <v>137</v>
      </c>
      <c r="I31" s="163">
        <v>1.5900000000000001E-2</v>
      </c>
      <c r="J31" s="163" t="s">
        <v>137</v>
      </c>
      <c r="K31" s="163">
        <v>1.8994</v>
      </c>
      <c r="L31" s="163">
        <v>5.45E-2</v>
      </c>
      <c r="M31" s="164">
        <v>4.6590999999999996</v>
      </c>
      <c r="P31" s="180"/>
    </row>
    <row r="32" spans="1:16" ht="15.5">
      <c r="A32" s="184" t="s">
        <v>291</v>
      </c>
      <c r="B32" s="163">
        <v>6.3067000000000002</v>
      </c>
      <c r="C32" s="163">
        <v>2.5337999999999998</v>
      </c>
      <c r="D32" s="163">
        <v>0.15040000000000001</v>
      </c>
      <c r="E32" s="163">
        <v>1.6587000000000001</v>
      </c>
      <c r="F32" s="163">
        <v>1.9222999999999999</v>
      </c>
      <c r="G32" s="163">
        <v>2.8400000000000002E-2</v>
      </c>
      <c r="H32" s="163" t="s">
        <v>137</v>
      </c>
      <c r="I32" s="163">
        <v>1.3100000000000001E-2</v>
      </c>
      <c r="J32" s="163" t="s">
        <v>137</v>
      </c>
      <c r="K32" s="163">
        <v>1.9638</v>
      </c>
      <c r="L32" s="163">
        <v>4.1500000000000002E-2</v>
      </c>
      <c r="M32" s="164">
        <v>4.343</v>
      </c>
      <c r="P32" s="180"/>
    </row>
    <row r="33" spans="1:16" ht="15.5">
      <c r="A33" s="184" t="s">
        <v>292</v>
      </c>
      <c r="B33" s="163">
        <v>7.0006000000000004</v>
      </c>
      <c r="C33" s="163">
        <v>2.7282999999999999</v>
      </c>
      <c r="D33" s="163">
        <v>0.13009999999999999</v>
      </c>
      <c r="E33" s="163">
        <v>1.9251</v>
      </c>
      <c r="F33" s="163">
        <v>2.1408999999999998</v>
      </c>
      <c r="G33" s="163">
        <v>6.2300000000000001E-2</v>
      </c>
      <c r="H33" s="163" t="s">
        <v>137</v>
      </c>
      <c r="I33" s="163">
        <v>1.4E-2</v>
      </c>
      <c r="J33" s="163" t="s">
        <v>137</v>
      </c>
      <c r="K33" s="163">
        <v>2.2170999999999998</v>
      </c>
      <c r="L33" s="163">
        <v>7.6200000000000004E-2</v>
      </c>
      <c r="M33" s="164">
        <v>4.7835000000000001</v>
      </c>
      <c r="P33" s="180"/>
    </row>
    <row r="34" spans="1:16" ht="15.5">
      <c r="A34" s="184" t="s">
        <v>293</v>
      </c>
      <c r="B34" s="163">
        <v>5.0807000000000002</v>
      </c>
      <c r="C34" s="163">
        <v>1.7668999999999999</v>
      </c>
      <c r="D34" s="163">
        <v>5.9799999999999999E-2</v>
      </c>
      <c r="E34" s="163">
        <v>1.4456</v>
      </c>
      <c r="F34" s="163">
        <v>1.7688999999999999</v>
      </c>
      <c r="G34" s="163">
        <v>2.6100000000000002E-2</v>
      </c>
      <c r="H34" s="163" t="s">
        <v>137</v>
      </c>
      <c r="I34" s="163">
        <v>1.35E-2</v>
      </c>
      <c r="J34" s="163" t="s">
        <v>137</v>
      </c>
      <c r="K34" s="163">
        <v>1.8084</v>
      </c>
      <c r="L34" s="163">
        <v>3.9600000000000003E-2</v>
      </c>
      <c r="M34" s="164">
        <v>3.2722000000000002</v>
      </c>
      <c r="P34" s="180"/>
    </row>
    <row r="35" spans="1:16" ht="15.5">
      <c r="A35" s="184" t="s">
        <v>294</v>
      </c>
      <c r="B35" s="163">
        <v>4.9862000000000002</v>
      </c>
      <c r="C35" s="163">
        <v>1.5407</v>
      </c>
      <c r="D35" s="163">
        <v>6.1499999999999999E-2</v>
      </c>
      <c r="E35" s="163">
        <v>1.5036</v>
      </c>
      <c r="F35" s="163">
        <v>1.8471</v>
      </c>
      <c r="G35" s="163">
        <v>1.89E-2</v>
      </c>
      <c r="H35" s="163" t="s">
        <v>137</v>
      </c>
      <c r="I35" s="163">
        <v>1.4500000000000001E-2</v>
      </c>
      <c r="J35" s="163" t="s">
        <v>137</v>
      </c>
      <c r="K35" s="163">
        <v>1.8805000000000001</v>
      </c>
      <c r="L35" s="163">
        <v>3.3399999999999999E-2</v>
      </c>
      <c r="M35" s="164">
        <v>3.1057000000000001</v>
      </c>
      <c r="P35" s="180"/>
    </row>
    <row r="36" spans="1:16" ht="15.5">
      <c r="A36" s="184" t="s">
        <v>295</v>
      </c>
      <c r="B36" s="163">
        <v>5.9290000000000003</v>
      </c>
      <c r="C36" s="163">
        <v>1.9471000000000001</v>
      </c>
      <c r="D36" s="163">
        <v>0.1114</v>
      </c>
      <c r="E36" s="163">
        <v>1.7297</v>
      </c>
      <c r="F36" s="163">
        <v>2.113</v>
      </c>
      <c r="G36" s="163">
        <v>1.5100000000000001E-2</v>
      </c>
      <c r="H36" s="163" t="s">
        <v>137</v>
      </c>
      <c r="I36" s="163">
        <v>1.2800000000000001E-2</v>
      </c>
      <c r="J36" s="163" t="s">
        <v>137</v>
      </c>
      <c r="K36" s="163">
        <v>2.1408999999999998</v>
      </c>
      <c r="L36" s="163">
        <v>2.7900000000000001E-2</v>
      </c>
      <c r="M36" s="164">
        <v>3.7881</v>
      </c>
      <c r="P36" s="180"/>
    </row>
    <row r="37" spans="1:16" ht="15.5">
      <c r="A37" s="184" t="s">
        <v>296</v>
      </c>
      <c r="B37" s="163">
        <v>4.7798999999999996</v>
      </c>
      <c r="C37" s="163">
        <v>1.5251999999999999</v>
      </c>
      <c r="D37" s="163">
        <v>7.0599999999999996E-2</v>
      </c>
      <c r="E37" s="163">
        <v>1.4743999999999999</v>
      </c>
      <c r="F37" s="163">
        <v>1.6867000000000001</v>
      </c>
      <c r="G37" s="163">
        <v>1.0699999999999999E-2</v>
      </c>
      <c r="H37" s="163" t="s">
        <v>137</v>
      </c>
      <c r="I37" s="163">
        <v>1.2200000000000001E-2</v>
      </c>
      <c r="J37" s="163" t="s">
        <v>137</v>
      </c>
      <c r="K37" s="163">
        <v>1.7096</v>
      </c>
      <c r="L37" s="163">
        <v>2.29E-2</v>
      </c>
      <c r="M37" s="164">
        <v>3.0703</v>
      </c>
      <c r="P37" s="180"/>
    </row>
    <row r="38" spans="1:16" ht="15.5">
      <c r="A38" s="184" t="s">
        <v>297</v>
      </c>
      <c r="B38" s="163">
        <v>4.6571999999999996</v>
      </c>
      <c r="C38" s="163">
        <v>1.6194999999999999</v>
      </c>
      <c r="D38" s="163">
        <v>6.8199999999999997E-2</v>
      </c>
      <c r="E38" s="163">
        <v>1.3525</v>
      </c>
      <c r="F38" s="163">
        <v>1.5946</v>
      </c>
      <c r="G38" s="163">
        <v>1.01E-2</v>
      </c>
      <c r="H38" s="163" t="s">
        <v>137</v>
      </c>
      <c r="I38" s="163">
        <v>1.2200000000000001E-2</v>
      </c>
      <c r="J38" s="163" t="s">
        <v>137</v>
      </c>
      <c r="K38" s="163">
        <v>1.617</v>
      </c>
      <c r="L38" s="163">
        <v>2.24E-2</v>
      </c>
      <c r="M38" s="164">
        <v>3.0402</v>
      </c>
      <c r="P38" s="180"/>
    </row>
    <row r="39" spans="1:16" ht="15.5">
      <c r="A39" s="184" t="s">
        <v>298</v>
      </c>
      <c r="B39" s="163">
        <v>6.1360999999999999</v>
      </c>
      <c r="C39" s="163">
        <v>2.4918999999999998</v>
      </c>
      <c r="D39" s="163">
        <v>8.3199999999999996E-2</v>
      </c>
      <c r="E39" s="163">
        <v>1.75</v>
      </c>
      <c r="F39" s="163">
        <v>1.7756000000000001</v>
      </c>
      <c r="G39" s="163">
        <v>2.3800000000000002E-2</v>
      </c>
      <c r="H39" s="163" t="s">
        <v>137</v>
      </c>
      <c r="I39" s="163">
        <v>1.14E-2</v>
      </c>
      <c r="J39" s="163" t="s">
        <v>137</v>
      </c>
      <c r="K39" s="163">
        <v>1.8109</v>
      </c>
      <c r="L39" s="163">
        <v>3.5299999999999998E-2</v>
      </c>
      <c r="M39" s="164">
        <v>4.3251999999999997</v>
      </c>
      <c r="P39" s="180"/>
    </row>
    <row r="40" spans="1:16" ht="15.5">
      <c r="A40" s="184" t="s">
        <v>299</v>
      </c>
      <c r="B40" s="163">
        <v>5.2839999999999998</v>
      </c>
      <c r="C40" s="163">
        <v>2.2305999999999999</v>
      </c>
      <c r="D40" s="163">
        <v>6.2799999999999995E-2</v>
      </c>
      <c r="E40" s="163">
        <v>1.4836</v>
      </c>
      <c r="F40" s="163">
        <v>1.4761</v>
      </c>
      <c r="G40" s="163">
        <v>1.5900000000000001E-2</v>
      </c>
      <c r="H40" s="163" t="s">
        <v>137</v>
      </c>
      <c r="I40" s="163">
        <v>1.5100000000000001E-2</v>
      </c>
      <c r="J40" s="163" t="s">
        <v>137</v>
      </c>
      <c r="K40" s="163">
        <v>1.5071000000000001</v>
      </c>
      <c r="L40" s="163">
        <v>3.1E-2</v>
      </c>
      <c r="M40" s="164">
        <v>3.7770000000000001</v>
      </c>
      <c r="P40" s="180"/>
    </row>
    <row r="41" spans="1:16" ht="15.5">
      <c r="A41" s="184" t="s">
        <v>300</v>
      </c>
      <c r="B41" s="163">
        <v>5.8905000000000003</v>
      </c>
      <c r="C41" s="163">
        <v>2.4197000000000002</v>
      </c>
      <c r="D41" s="163">
        <v>6.0400000000000002E-2</v>
      </c>
      <c r="E41" s="163">
        <v>1.6180000000000001</v>
      </c>
      <c r="F41" s="163">
        <v>1.7601</v>
      </c>
      <c r="G41" s="163">
        <v>1.77E-2</v>
      </c>
      <c r="H41" s="163" t="s">
        <v>137</v>
      </c>
      <c r="I41" s="163">
        <v>1.4500000000000001E-2</v>
      </c>
      <c r="J41" s="163" t="s">
        <v>137</v>
      </c>
      <c r="K41" s="163">
        <v>1.7923</v>
      </c>
      <c r="L41" s="163">
        <v>3.2199999999999999E-2</v>
      </c>
      <c r="M41" s="164">
        <v>4.0980999999999996</v>
      </c>
      <c r="P41" s="180"/>
    </row>
    <row r="42" spans="1:16" ht="15.5">
      <c r="A42" s="184" t="s">
        <v>301</v>
      </c>
      <c r="B42" s="163">
        <v>7.4561000000000002</v>
      </c>
      <c r="C42" s="163">
        <v>3.3014000000000001</v>
      </c>
      <c r="D42" s="163">
        <v>9.7500000000000003E-2</v>
      </c>
      <c r="E42" s="163">
        <v>1.9507000000000001</v>
      </c>
      <c r="F42" s="163">
        <v>2.0528</v>
      </c>
      <c r="G42" s="163">
        <v>3.78E-2</v>
      </c>
      <c r="H42" s="163" t="s">
        <v>137</v>
      </c>
      <c r="I42" s="163">
        <v>1.5900000000000001E-2</v>
      </c>
      <c r="J42" s="163" t="s">
        <v>137</v>
      </c>
      <c r="K42" s="163">
        <v>2.1065</v>
      </c>
      <c r="L42" s="163">
        <v>5.3699999999999998E-2</v>
      </c>
      <c r="M42" s="164">
        <v>5.3495999999999997</v>
      </c>
      <c r="P42" s="180"/>
    </row>
    <row r="43" spans="1:16" ht="15.5">
      <c r="A43" s="184" t="s">
        <v>302</v>
      </c>
      <c r="B43" s="163">
        <v>6.2991000000000001</v>
      </c>
      <c r="C43" s="163">
        <v>2.5806</v>
      </c>
      <c r="D43" s="163">
        <v>7.0300000000000001E-2</v>
      </c>
      <c r="E43" s="163">
        <v>1.633</v>
      </c>
      <c r="F43" s="163">
        <v>1.9590000000000001</v>
      </c>
      <c r="G43" s="163">
        <v>4.4499999999999998E-2</v>
      </c>
      <c r="H43" s="163" t="s">
        <v>137</v>
      </c>
      <c r="I43" s="163">
        <v>1.17E-2</v>
      </c>
      <c r="J43" s="163" t="s">
        <v>137</v>
      </c>
      <c r="K43" s="163">
        <v>2.0152000000000001</v>
      </c>
      <c r="L43" s="163">
        <v>5.62E-2</v>
      </c>
      <c r="M43" s="164">
        <v>4.2839</v>
      </c>
      <c r="P43" s="180"/>
    </row>
    <row r="44" spans="1:16" ht="15.5">
      <c r="A44" s="184" t="s">
        <v>303</v>
      </c>
      <c r="B44" s="163">
        <v>6.2803000000000004</v>
      </c>
      <c r="C44" s="163">
        <v>2.7099000000000002</v>
      </c>
      <c r="D44" s="163">
        <v>8.0199999999999994E-2</v>
      </c>
      <c r="E44" s="163">
        <v>1.6164000000000001</v>
      </c>
      <c r="F44" s="163">
        <v>1.8249</v>
      </c>
      <c r="G44" s="163">
        <v>3.8899999999999997E-2</v>
      </c>
      <c r="H44" s="163" t="s">
        <v>137</v>
      </c>
      <c r="I44" s="163">
        <v>0.01</v>
      </c>
      <c r="J44" s="163" t="s">
        <v>137</v>
      </c>
      <c r="K44" s="163">
        <v>1.8737999999999999</v>
      </c>
      <c r="L44" s="163">
        <v>4.8899999999999999E-2</v>
      </c>
      <c r="M44" s="164">
        <v>4.4065000000000003</v>
      </c>
      <c r="P44" s="180"/>
    </row>
    <row r="45" spans="1:16" ht="15.5">
      <c r="A45" s="184" t="s">
        <v>304</v>
      </c>
      <c r="B45" s="163">
        <v>7.5815000000000001</v>
      </c>
      <c r="C45" s="163">
        <v>3.1137000000000001</v>
      </c>
      <c r="D45" s="163">
        <v>8.3699999999999997E-2</v>
      </c>
      <c r="E45" s="163">
        <v>2.0720000000000001</v>
      </c>
      <c r="F45" s="163">
        <v>2.2479</v>
      </c>
      <c r="G45" s="163">
        <v>5.5300000000000002E-2</v>
      </c>
      <c r="H45" s="163" t="s">
        <v>137</v>
      </c>
      <c r="I45" s="163">
        <v>8.8999999999999999E-3</v>
      </c>
      <c r="J45" s="163" t="s">
        <v>137</v>
      </c>
      <c r="K45" s="163">
        <v>2.3121</v>
      </c>
      <c r="L45" s="163">
        <v>6.4199999999999993E-2</v>
      </c>
      <c r="M45" s="164">
        <v>5.2694000000000001</v>
      </c>
      <c r="P45" s="180"/>
    </row>
    <row r="46" spans="1:16" ht="15.5">
      <c r="A46" s="184" t="s">
        <v>305</v>
      </c>
      <c r="B46" s="163">
        <v>5.7210999999999999</v>
      </c>
      <c r="C46" s="163">
        <v>2.3875999999999999</v>
      </c>
      <c r="D46" s="163">
        <v>5.21E-2</v>
      </c>
      <c r="E46" s="163">
        <v>1.5089999999999999</v>
      </c>
      <c r="F46" s="163">
        <v>1.7356</v>
      </c>
      <c r="G46" s="163">
        <v>2.5700000000000001E-2</v>
      </c>
      <c r="H46" s="163" t="s">
        <v>137</v>
      </c>
      <c r="I46" s="163">
        <v>1.12E-2</v>
      </c>
      <c r="J46" s="163" t="s">
        <v>137</v>
      </c>
      <c r="K46" s="163">
        <v>1.7724</v>
      </c>
      <c r="L46" s="163">
        <v>3.6799999999999999E-2</v>
      </c>
      <c r="M46" s="164">
        <v>3.9487000000000001</v>
      </c>
      <c r="P46" s="180"/>
    </row>
    <row r="47" spans="1:16" ht="15.5">
      <c r="A47" s="184" t="s">
        <v>306</v>
      </c>
      <c r="B47" s="163">
        <v>5.2514000000000003</v>
      </c>
      <c r="C47" s="163">
        <v>2.0569999999999999</v>
      </c>
      <c r="D47" s="163">
        <v>7.4099999999999999E-2</v>
      </c>
      <c r="E47" s="163">
        <v>1.4078999999999999</v>
      </c>
      <c r="F47" s="163">
        <v>1.6859999999999999</v>
      </c>
      <c r="G47" s="163">
        <v>1.67E-2</v>
      </c>
      <c r="H47" s="163" t="s">
        <v>137</v>
      </c>
      <c r="I47" s="163">
        <v>9.7000000000000003E-3</v>
      </c>
      <c r="J47" s="163" t="s">
        <v>137</v>
      </c>
      <c r="K47" s="163">
        <v>1.7123999999999999</v>
      </c>
      <c r="L47" s="163">
        <v>2.64E-2</v>
      </c>
      <c r="M47" s="164">
        <v>3.5388999999999999</v>
      </c>
      <c r="P47" s="180"/>
    </row>
    <row r="48" spans="1:16" ht="15.5">
      <c r="A48" s="184" t="s">
        <v>307</v>
      </c>
      <c r="B48" s="163">
        <v>6.1688000000000001</v>
      </c>
      <c r="C48" s="163">
        <v>2.1875</v>
      </c>
      <c r="D48" s="163">
        <v>7.8700000000000006E-2</v>
      </c>
      <c r="E48" s="163">
        <v>1.8117000000000001</v>
      </c>
      <c r="F48" s="163">
        <v>2.0695000000000001</v>
      </c>
      <c r="G48" s="163">
        <v>1.0699999999999999E-2</v>
      </c>
      <c r="H48" s="163" t="s">
        <v>137</v>
      </c>
      <c r="I48" s="163">
        <v>1.0699999999999999E-2</v>
      </c>
      <c r="J48" s="163" t="s">
        <v>137</v>
      </c>
      <c r="K48" s="163">
        <v>2.0909</v>
      </c>
      <c r="L48" s="163">
        <v>2.1399999999999999E-2</v>
      </c>
      <c r="M48" s="164">
        <v>4.0778999999999996</v>
      </c>
      <c r="P48" s="180"/>
    </row>
    <row r="49" spans="1:16" ht="15.5">
      <c r="A49" s="184" t="s">
        <v>308</v>
      </c>
      <c r="B49" s="163">
        <v>5.1863999999999999</v>
      </c>
      <c r="C49" s="163">
        <v>2.0722</v>
      </c>
      <c r="D49" s="163">
        <v>5.5300000000000002E-2</v>
      </c>
      <c r="E49" s="163">
        <v>1.5577000000000001</v>
      </c>
      <c r="F49" s="163">
        <v>1.4781</v>
      </c>
      <c r="G49" s="163">
        <v>1.04E-2</v>
      </c>
      <c r="H49" s="163" t="s">
        <v>137</v>
      </c>
      <c r="I49" s="163">
        <v>1.26E-2</v>
      </c>
      <c r="J49" s="163" t="s">
        <v>137</v>
      </c>
      <c r="K49" s="163">
        <v>1.5011000000000001</v>
      </c>
      <c r="L49" s="163">
        <v>2.3E-2</v>
      </c>
      <c r="M49" s="164">
        <v>3.6852999999999998</v>
      </c>
      <c r="P49" s="180"/>
    </row>
    <row r="50" spans="1:16" ht="15.5">
      <c r="A50" s="184" t="s">
        <v>309</v>
      </c>
      <c r="B50" s="163">
        <v>5.0038999999999998</v>
      </c>
      <c r="C50" s="163">
        <v>1.8290999999999999</v>
      </c>
      <c r="D50" s="163">
        <v>4.6600000000000003E-2</v>
      </c>
      <c r="E50" s="163">
        <v>1.4300999999999999</v>
      </c>
      <c r="F50" s="163">
        <v>1.6653</v>
      </c>
      <c r="G50" s="163">
        <v>2.2200000000000001E-2</v>
      </c>
      <c r="H50" s="163" t="s">
        <v>137</v>
      </c>
      <c r="I50" s="163">
        <v>1.06E-2</v>
      </c>
      <c r="J50" s="163" t="s">
        <v>137</v>
      </c>
      <c r="K50" s="163">
        <v>1.6980999999999999</v>
      </c>
      <c r="L50" s="163">
        <v>3.2800000000000003E-2</v>
      </c>
      <c r="M50" s="164">
        <v>3.3058000000000001</v>
      </c>
      <c r="P50" s="180"/>
    </row>
    <row r="51" spans="1:16" ht="15.5">
      <c r="A51" s="184" t="s">
        <v>310</v>
      </c>
      <c r="B51" s="163">
        <v>6.5548000000000002</v>
      </c>
      <c r="C51" s="163">
        <v>2.5467</v>
      </c>
      <c r="D51" s="163">
        <v>6.4699999999999994E-2</v>
      </c>
      <c r="E51" s="163">
        <v>1.7214</v>
      </c>
      <c r="F51" s="163">
        <v>2.1852999999999998</v>
      </c>
      <c r="G51" s="163">
        <v>2.6499999999999999E-2</v>
      </c>
      <c r="H51" s="163" t="s">
        <v>137</v>
      </c>
      <c r="I51" s="163">
        <v>1.0200000000000001E-2</v>
      </c>
      <c r="J51" s="163" t="s">
        <v>137</v>
      </c>
      <c r="K51" s="163">
        <v>2.222</v>
      </c>
      <c r="L51" s="163">
        <v>3.6700000000000003E-2</v>
      </c>
      <c r="M51" s="164">
        <v>4.3327999999999998</v>
      </c>
      <c r="P51" s="180"/>
    </row>
    <row r="52" spans="1:16" ht="15.5">
      <c r="A52" s="184" t="s">
        <v>311</v>
      </c>
      <c r="B52" s="163">
        <v>5.7415000000000003</v>
      </c>
      <c r="C52" s="163">
        <v>2.3500999999999999</v>
      </c>
      <c r="D52" s="163">
        <v>0.08</v>
      </c>
      <c r="E52" s="163">
        <v>1.486</v>
      </c>
      <c r="F52" s="163">
        <v>1.7964</v>
      </c>
      <c r="G52" s="163">
        <v>1.84E-2</v>
      </c>
      <c r="H52" s="163" t="s">
        <v>137</v>
      </c>
      <c r="I52" s="163">
        <v>1.06E-2</v>
      </c>
      <c r="J52" s="163" t="s">
        <v>137</v>
      </c>
      <c r="K52" s="163">
        <v>1.8252999999999999</v>
      </c>
      <c r="L52" s="163">
        <v>2.8899999999999999E-2</v>
      </c>
      <c r="M52" s="164">
        <v>3.9161999999999999</v>
      </c>
      <c r="P52" s="180"/>
    </row>
    <row r="53" spans="1:16" ht="15.5">
      <c r="A53" s="184" t="s">
        <v>312</v>
      </c>
      <c r="B53" s="163">
        <v>6.2625999999999999</v>
      </c>
      <c r="C53" s="163">
        <v>2.3191999999999999</v>
      </c>
      <c r="D53" s="163">
        <v>7.3300000000000004E-2</v>
      </c>
      <c r="E53" s="163">
        <v>1.7685</v>
      </c>
      <c r="F53" s="163">
        <v>2.0440999999999998</v>
      </c>
      <c r="G53" s="163">
        <v>4.3400000000000001E-2</v>
      </c>
      <c r="H53" s="163" t="s">
        <v>137</v>
      </c>
      <c r="I53" s="163">
        <v>1.41E-2</v>
      </c>
      <c r="J53" s="163" t="s">
        <v>137</v>
      </c>
      <c r="K53" s="163">
        <v>2.1017000000000001</v>
      </c>
      <c r="L53" s="163">
        <v>5.7599999999999998E-2</v>
      </c>
      <c r="M53" s="164">
        <v>4.1608999999999998</v>
      </c>
      <c r="P53" s="180"/>
    </row>
    <row r="54" spans="1:16" ht="15.5">
      <c r="A54" s="184" t="s">
        <v>313</v>
      </c>
      <c r="B54" s="163">
        <v>7.6212999999999997</v>
      </c>
      <c r="C54" s="163">
        <v>2.7404000000000002</v>
      </c>
      <c r="D54" s="163">
        <v>8.6800000000000002E-2</v>
      </c>
      <c r="E54" s="163">
        <v>2.3058999999999998</v>
      </c>
      <c r="F54" s="163">
        <v>2.4264000000000001</v>
      </c>
      <c r="G54" s="163">
        <v>5.16E-2</v>
      </c>
      <c r="H54" s="163" t="s">
        <v>137</v>
      </c>
      <c r="I54" s="163">
        <v>1.03E-2</v>
      </c>
      <c r="J54" s="163" t="s">
        <v>137</v>
      </c>
      <c r="K54" s="163">
        <v>2.4883000000000002</v>
      </c>
      <c r="L54" s="163">
        <v>6.1899999999999997E-2</v>
      </c>
      <c r="M54" s="164">
        <v>5.133</v>
      </c>
      <c r="P54" s="180"/>
    </row>
    <row r="55" spans="1:16" ht="15.5">
      <c r="A55" s="184" t="s">
        <v>314</v>
      </c>
      <c r="B55" s="163">
        <v>6.4420999999999999</v>
      </c>
      <c r="C55" s="163">
        <v>2.2970000000000002</v>
      </c>
      <c r="D55" s="163">
        <v>7.6899999999999996E-2</v>
      </c>
      <c r="E55" s="163">
        <v>1.9626999999999999</v>
      </c>
      <c r="F55" s="163">
        <v>2.0430000000000001</v>
      </c>
      <c r="G55" s="163">
        <v>4.82E-2</v>
      </c>
      <c r="H55" s="163" t="s">
        <v>137</v>
      </c>
      <c r="I55" s="163">
        <v>1.4200000000000001E-2</v>
      </c>
      <c r="J55" s="163" t="s">
        <v>137</v>
      </c>
      <c r="K55" s="163">
        <v>2.1053999999999999</v>
      </c>
      <c r="L55" s="163">
        <v>6.2399999999999997E-2</v>
      </c>
      <c r="M55" s="164">
        <v>4.3367000000000004</v>
      </c>
      <c r="P55" s="180"/>
    </row>
    <row r="56" spans="1:16" ht="15.5">
      <c r="A56" s="184" t="s">
        <v>315</v>
      </c>
      <c r="B56" s="163">
        <v>6.2888999999999999</v>
      </c>
      <c r="C56" s="163">
        <v>2.2044999999999999</v>
      </c>
      <c r="D56" s="163">
        <v>7.4700000000000003E-2</v>
      </c>
      <c r="E56" s="163">
        <v>2.0396999999999998</v>
      </c>
      <c r="F56" s="163">
        <v>1.9176</v>
      </c>
      <c r="G56" s="163">
        <v>4.07E-2</v>
      </c>
      <c r="H56" s="163" t="s">
        <v>137</v>
      </c>
      <c r="I56" s="163">
        <v>1.15E-2</v>
      </c>
      <c r="J56" s="163" t="s">
        <v>137</v>
      </c>
      <c r="K56" s="163">
        <v>1.9699</v>
      </c>
      <c r="L56" s="163">
        <v>5.2299999999999999E-2</v>
      </c>
      <c r="M56" s="164">
        <v>4.319</v>
      </c>
      <c r="P56" s="180"/>
    </row>
    <row r="57" spans="1:16" ht="15.5">
      <c r="A57" s="184" t="s">
        <v>316</v>
      </c>
      <c r="B57" s="163">
        <v>7.2609000000000004</v>
      </c>
      <c r="C57" s="163">
        <v>2.6073</v>
      </c>
      <c r="D57" s="163">
        <v>7.6999999999999999E-2</v>
      </c>
      <c r="E57" s="163">
        <v>2.3391000000000002</v>
      </c>
      <c r="F57" s="163">
        <v>2.1673</v>
      </c>
      <c r="G57" s="163">
        <v>4.9299999999999997E-2</v>
      </c>
      <c r="H57" s="163" t="s">
        <v>137</v>
      </c>
      <c r="I57" s="163">
        <v>2.0899999999999998E-2</v>
      </c>
      <c r="J57" s="163" t="s">
        <v>137</v>
      </c>
      <c r="K57" s="163">
        <v>2.2374999999999998</v>
      </c>
      <c r="L57" s="163">
        <v>7.0199999999999999E-2</v>
      </c>
      <c r="M57" s="164">
        <v>5.0233999999999996</v>
      </c>
      <c r="P57" s="180"/>
    </row>
    <row r="58" spans="1:16" ht="15.5">
      <c r="A58" s="184" t="s">
        <v>317</v>
      </c>
      <c r="B58" s="163">
        <v>5.4756</v>
      </c>
      <c r="C58" s="163">
        <v>1.8859999999999999</v>
      </c>
      <c r="D58" s="163">
        <v>4.4600000000000001E-2</v>
      </c>
      <c r="E58" s="163">
        <v>1.7726</v>
      </c>
      <c r="F58" s="163">
        <v>1.7188000000000001</v>
      </c>
      <c r="G58" s="163">
        <v>3.7400000000000003E-2</v>
      </c>
      <c r="H58" s="163" t="s">
        <v>137</v>
      </c>
      <c r="I58" s="163">
        <v>1.61E-2</v>
      </c>
      <c r="J58" s="163" t="s">
        <v>137</v>
      </c>
      <c r="K58" s="163">
        <v>1.7723</v>
      </c>
      <c r="L58" s="163">
        <v>5.3499999999999999E-2</v>
      </c>
      <c r="M58" s="164">
        <v>3.7031999999999998</v>
      </c>
      <c r="P58" s="180"/>
    </row>
    <row r="59" spans="1:16" ht="15.5">
      <c r="A59" s="184" t="s">
        <v>318</v>
      </c>
      <c r="B59" s="163">
        <v>5.2762000000000002</v>
      </c>
      <c r="C59" s="163">
        <v>1.6297999999999999</v>
      </c>
      <c r="D59" s="163">
        <v>4.9099999999999998E-2</v>
      </c>
      <c r="E59" s="163">
        <v>1.748</v>
      </c>
      <c r="F59" s="163">
        <v>1.8151999999999999</v>
      </c>
      <c r="G59" s="163">
        <v>1.78E-2</v>
      </c>
      <c r="H59" s="163" t="s">
        <v>137</v>
      </c>
      <c r="I59" s="163">
        <v>1.6299999999999999E-2</v>
      </c>
      <c r="J59" s="163" t="s">
        <v>137</v>
      </c>
      <c r="K59" s="163">
        <v>1.8492999999999999</v>
      </c>
      <c r="L59" s="163">
        <v>3.4099999999999998E-2</v>
      </c>
      <c r="M59" s="164">
        <v>3.4268999999999998</v>
      </c>
      <c r="P59" s="180"/>
    </row>
    <row r="60" spans="1:16" ht="15.5">
      <c r="A60" s="184" t="s">
        <v>319</v>
      </c>
      <c r="B60" s="163">
        <v>6.1116999999999999</v>
      </c>
      <c r="C60" s="163">
        <v>1.7077</v>
      </c>
      <c r="D60" s="163">
        <v>5.9200000000000003E-2</v>
      </c>
      <c r="E60" s="163">
        <v>2.0918999999999999</v>
      </c>
      <c r="F60" s="163">
        <v>2.2225000000000001</v>
      </c>
      <c r="G60" s="163">
        <v>1.89E-2</v>
      </c>
      <c r="H60" s="163" t="s">
        <v>137</v>
      </c>
      <c r="I60" s="163">
        <v>1.15E-2</v>
      </c>
      <c r="J60" s="163" t="s">
        <v>137</v>
      </c>
      <c r="K60" s="163">
        <v>2.2528999999999999</v>
      </c>
      <c r="L60" s="163">
        <v>3.0300000000000001E-2</v>
      </c>
      <c r="M60" s="164">
        <v>3.8588</v>
      </c>
      <c r="P60" s="180"/>
    </row>
    <row r="61" spans="1:16" ht="15.5">
      <c r="A61" s="184" t="s">
        <v>320</v>
      </c>
      <c r="B61" s="163">
        <v>5.0346000000000002</v>
      </c>
      <c r="C61" s="163">
        <v>1.5511999999999999</v>
      </c>
      <c r="D61" s="163">
        <v>5.1900000000000002E-2</v>
      </c>
      <c r="E61" s="163">
        <v>1.8154999999999999</v>
      </c>
      <c r="F61" s="163">
        <v>1.5815999999999999</v>
      </c>
      <c r="G61" s="163">
        <v>1.83E-2</v>
      </c>
      <c r="H61" s="163" t="s">
        <v>137</v>
      </c>
      <c r="I61" s="163">
        <v>1.6E-2</v>
      </c>
      <c r="J61" s="163" t="s">
        <v>137</v>
      </c>
      <c r="K61" s="163">
        <v>1.6160000000000001</v>
      </c>
      <c r="L61" s="163">
        <v>3.4299999999999997E-2</v>
      </c>
      <c r="M61" s="164">
        <v>3.4186000000000001</v>
      </c>
      <c r="P61" s="180"/>
    </row>
    <row r="62" spans="1:16" ht="15.5">
      <c r="A62" s="184" t="s">
        <v>321</v>
      </c>
      <c r="B62" s="163">
        <v>4.9954000000000001</v>
      </c>
      <c r="C62" s="163">
        <v>1.5044</v>
      </c>
      <c r="D62" s="163">
        <v>5.04E-2</v>
      </c>
      <c r="E62" s="163">
        <v>1.7401</v>
      </c>
      <c r="F62" s="163">
        <v>1.6739999999999999</v>
      </c>
      <c r="G62" s="163">
        <v>1.0200000000000001E-2</v>
      </c>
      <c r="H62" s="163" t="s">
        <v>137</v>
      </c>
      <c r="I62" s="163">
        <v>1.6400000000000001E-2</v>
      </c>
      <c r="J62" s="163" t="s">
        <v>137</v>
      </c>
      <c r="K62" s="163">
        <v>1.7005999999999999</v>
      </c>
      <c r="L62" s="163">
        <v>2.6599999999999999E-2</v>
      </c>
      <c r="M62" s="164">
        <v>3.2948</v>
      </c>
      <c r="P62" s="180"/>
    </row>
    <row r="63" spans="1:16" ht="15.5">
      <c r="A63" s="184" t="s">
        <v>322</v>
      </c>
      <c r="B63" s="163">
        <v>6.1546000000000003</v>
      </c>
      <c r="C63" s="163">
        <v>2.1713</v>
      </c>
      <c r="D63" s="163">
        <v>7.7899999999999997E-2</v>
      </c>
      <c r="E63" s="163">
        <v>2.1046999999999998</v>
      </c>
      <c r="F63" s="163">
        <v>1.7657</v>
      </c>
      <c r="G63" s="163">
        <v>1.9800000000000002E-2</v>
      </c>
      <c r="H63" s="163" t="s">
        <v>137</v>
      </c>
      <c r="I63" s="163">
        <v>1.52E-2</v>
      </c>
      <c r="J63" s="163" t="s">
        <v>137</v>
      </c>
      <c r="K63" s="163">
        <v>1.8007</v>
      </c>
      <c r="L63" s="163">
        <v>3.5000000000000003E-2</v>
      </c>
      <c r="M63" s="164">
        <v>4.3539000000000003</v>
      </c>
      <c r="P63" s="180"/>
    </row>
    <row r="64" spans="1:16" ht="15.5">
      <c r="A64" s="184" t="s">
        <v>323</v>
      </c>
      <c r="B64" s="163">
        <v>5.798</v>
      </c>
      <c r="C64" s="163">
        <v>1.9921</v>
      </c>
      <c r="D64" s="163">
        <v>6.7000000000000004E-2</v>
      </c>
      <c r="E64" s="163">
        <v>1.9663999999999999</v>
      </c>
      <c r="F64" s="163">
        <v>1.7343999999999999</v>
      </c>
      <c r="G64" s="163">
        <v>2.52E-2</v>
      </c>
      <c r="H64" s="163" t="s">
        <v>137</v>
      </c>
      <c r="I64" s="163">
        <v>1.29E-2</v>
      </c>
      <c r="J64" s="163" t="s">
        <v>137</v>
      </c>
      <c r="K64" s="163">
        <v>1.7726</v>
      </c>
      <c r="L64" s="163">
        <v>3.8199999999999998E-2</v>
      </c>
      <c r="M64" s="164">
        <v>4.0254000000000003</v>
      </c>
      <c r="P64" s="180"/>
    </row>
    <row r="65" spans="1:16" ht="15.5">
      <c r="A65" s="184" t="s">
        <v>324</v>
      </c>
      <c r="B65" s="163">
        <v>6.0922999999999998</v>
      </c>
      <c r="C65" s="163">
        <v>2.0752000000000002</v>
      </c>
      <c r="D65" s="163">
        <v>7.1099999999999997E-2</v>
      </c>
      <c r="E65" s="163">
        <v>2.1629</v>
      </c>
      <c r="F65" s="163">
        <v>1.7305999999999999</v>
      </c>
      <c r="G65" s="163">
        <v>3.6700000000000003E-2</v>
      </c>
      <c r="H65" s="163" t="s">
        <v>137</v>
      </c>
      <c r="I65" s="163">
        <v>1.5800000000000002E-2</v>
      </c>
      <c r="J65" s="163" t="s">
        <v>137</v>
      </c>
      <c r="K65" s="163">
        <v>1.7829999999999999</v>
      </c>
      <c r="L65" s="163">
        <v>5.2499999999999998E-2</v>
      </c>
      <c r="M65" s="164">
        <v>4.3093000000000004</v>
      </c>
      <c r="P65" s="180"/>
    </row>
    <row r="66" spans="1:16" ht="15.5">
      <c r="A66" s="184" t="s">
        <v>325</v>
      </c>
      <c r="B66" s="163">
        <v>7.4194000000000004</v>
      </c>
      <c r="C66" s="163">
        <v>2.8795000000000002</v>
      </c>
      <c r="D66" s="163">
        <v>0.11700000000000001</v>
      </c>
      <c r="E66" s="163">
        <v>2.5028999999999999</v>
      </c>
      <c r="F66" s="163">
        <v>1.8453999999999999</v>
      </c>
      <c r="G66" s="163">
        <v>5.8400000000000001E-2</v>
      </c>
      <c r="H66" s="163" t="s">
        <v>137</v>
      </c>
      <c r="I66" s="163">
        <v>1.61E-2</v>
      </c>
      <c r="J66" s="163" t="s">
        <v>137</v>
      </c>
      <c r="K66" s="163">
        <v>1.92</v>
      </c>
      <c r="L66" s="163">
        <v>7.4499999999999997E-2</v>
      </c>
      <c r="M66" s="164">
        <v>5.4993999999999996</v>
      </c>
      <c r="P66" s="180"/>
    </row>
    <row r="67" spans="1:16" ht="15.5">
      <c r="A67" s="184" t="s">
        <v>326</v>
      </c>
      <c r="B67" s="163">
        <v>6.6135999999999999</v>
      </c>
      <c r="C67" s="163">
        <v>2.6049000000000002</v>
      </c>
      <c r="D67" s="163">
        <v>7.85E-2</v>
      </c>
      <c r="E67" s="163">
        <v>2.0838999999999999</v>
      </c>
      <c r="F67" s="163">
        <v>1.7737000000000001</v>
      </c>
      <c r="G67" s="163">
        <v>5.3999999999999999E-2</v>
      </c>
      <c r="H67" s="163" t="s">
        <v>137</v>
      </c>
      <c r="I67" s="163">
        <v>1.8599999999999998E-2</v>
      </c>
      <c r="J67" s="163" t="s">
        <v>137</v>
      </c>
      <c r="K67" s="163">
        <v>1.8462000000000001</v>
      </c>
      <c r="L67" s="163">
        <v>7.2499999999999995E-2</v>
      </c>
      <c r="M67" s="164">
        <v>4.7674000000000003</v>
      </c>
      <c r="P67" s="180"/>
    </row>
    <row r="68" spans="1:16" ht="15.5">
      <c r="A68" s="184" t="s">
        <v>327</v>
      </c>
      <c r="B68" s="163">
        <v>6.3047000000000004</v>
      </c>
      <c r="C68" s="163">
        <v>2.4670999999999998</v>
      </c>
      <c r="D68" s="163">
        <v>6.1899999999999997E-2</v>
      </c>
      <c r="E68" s="163">
        <v>2.0709</v>
      </c>
      <c r="F68" s="163">
        <v>1.6311</v>
      </c>
      <c r="G68" s="163">
        <v>5.45E-2</v>
      </c>
      <c r="H68" s="163" t="s">
        <v>137</v>
      </c>
      <c r="I68" s="163">
        <v>1.9199999999999998E-2</v>
      </c>
      <c r="J68" s="163" t="s">
        <v>137</v>
      </c>
      <c r="K68" s="163">
        <v>1.7048000000000001</v>
      </c>
      <c r="L68" s="163">
        <v>7.3700000000000002E-2</v>
      </c>
      <c r="M68" s="164">
        <v>4.5998999999999999</v>
      </c>
      <c r="P68" s="180"/>
    </row>
    <row r="69" spans="1:16" ht="15.5">
      <c r="A69" s="184" t="s">
        <v>328</v>
      </c>
      <c r="B69" s="163">
        <v>6.9653</v>
      </c>
      <c r="C69" s="163">
        <v>2.3952</v>
      </c>
      <c r="D69" s="163">
        <v>5.6399999999999999E-2</v>
      </c>
      <c r="E69" s="163">
        <v>2.5482</v>
      </c>
      <c r="F69" s="163">
        <v>1.8979999999999999</v>
      </c>
      <c r="G69" s="163">
        <v>5.0599999999999999E-2</v>
      </c>
      <c r="H69" s="163" t="s">
        <v>137</v>
      </c>
      <c r="I69" s="163">
        <v>1.6799999999999999E-2</v>
      </c>
      <c r="J69" s="163" t="s">
        <v>137</v>
      </c>
      <c r="K69" s="163">
        <v>1.9654</v>
      </c>
      <c r="L69" s="163">
        <v>6.7400000000000002E-2</v>
      </c>
      <c r="M69" s="164">
        <v>4.9997999999999996</v>
      </c>
      <c r="P69" s="180"/>
    </row>
    <row r="70" spans="1:16" ht="15.5">
      <c r="A70" s="184" t="s">
        <v>329</v>
      </c>
      <c r="B70" s="163">
        <v>5.7451999999999996</v>
      </c>
      <c r="C70" s="163">
        <v>2.1124000000000001</v>
      </c>
      <c r="D70" s="163">
        <v>5.62E-2</v>
      </c>
      <c r="E70" s="163">
        <v>1.9583999999999999</v>
      </c>
      <c r="F70" s="163">
        <v>1.5802</v>
      </c>
      <c r="G70" s="163">
        <v>2.3400000000000001E-2</v>
      </c>
      <c r="H70" s="163" t="s">
        <v>137</v>
      </c>
      <c r="I70" s="163">
        <v>1.4500000000000001E-2</v>
      </c>
      <c r="J70" s="163" t="s">
        <v>137</v>
      </c>
      <c r="K70" s="163">
        <v>1.6181000000000001</v>
      </c>
      <c r="L70" s="163">
        <v>3.7900000000000003E-2</v>
      </c>
      <c r="M70" s="164">
        <v>4.1271000000000004</v>
      </c>
      <c r="P70" s="180"/>
    </row>
    <row r="71" spans="1:16" ht="15.5">
      <c r="A71" s="184" t="s">
        <v>330</v>
      </c>
      <c r="B71" s="163">
        <v>5.5540000000000003</v>
      </c>
      <c r="C71" s="163">
        <v>2.0064000000000002</v>
      </c>
      <c r="D71" s="163">
        <v>6.3399999999999998E-2</v>
      </c>
      <c r="E71" s="163">
        <v>1.7952999999999999</v>
      </c>
      <c r="F71" s="163">
        <v>1.655</v>
      </c>
      <c r="G71" s="163">
        <v>1.21E-2</v>
      </c>
      <c r="H71" s="163" t="s">
        <v>137</v>
      </c>
      <c r="I71" s="163">
        <v>2.18E-2</v>
      </c>
      <c r="J71" s="163" t="s">
        <v>137</v>
      </c>
      <c r="K71" s="163">
        <v>1.6889000000000001</v>
      </c>
      <c r="L71" s="163">
        <v>3.39E-2</v>
      </c>
      <c r="M71" s="164">
        <v>3.8651</v>
      </c>
      <c r="P71" s="180"/>
    </row>
    <row r="72" spans="1:16" ht="15.5">
      <c r="A72" s="184" t="s">
        <v>331</v>
      </c>
      <c r="B72" s="163">
        <v>5.8240999999999996</v>
      </c>
      <c r="C72" s="163">
        <v>2.0142000000000002</v>
      </c>
      <c r="D72" s="163">
        <v>5.96E-2</v>
      </c>
      <c r="E72" s="163">
        <v>2.0899000000000001</v>
      </c>
      <c r="F72" s="163">
        <v>1.6291</v>
      </c>
      <c r="G72" s="163">
        <v>1.11E-2</v>
      </c>
      <c r="H72" s="163" t="s">
        <v>137</v>
      </c>
      <c r="I72" s="163">
        <v>2.0199999999999999E-2</v>
      </c>
      <c r="J72" s="163" t="s">
        <v>137</v>
      </c>
      <c r="K72" s="163">
        <v>1.6604000000000001</v>
      </c>
      <c r="L72" s="163">
        <v>3.1300000000000001E-2</v>
      </c>
      <c r="M72" s="164">
        <v>4.1637000000000004</v>
      </c>
      <c r="P72" s="180"/>
    </row>
    <row r="73" spans="1:16" ht="15.5">
      <c r="A73" s="184" t="s">
        <v>332</v>
      </c>
      <c r="B73" s="163">
        <v>5.1132999999999997</v>
      </c>
      <c r="C73" s="163">
        <v>1.7296</v>
      </c>
      <c r="D73" s="163">
        <v>4.0300000000000002E-2</v>
      </c>
      <c r="E73" s="163">
        <v>1.8716999999999999</v>
      </c>
      <c r="F73" s="163">
        <v>1.4399</v>
      </c>
      <c r="G73" s="163">
        <v>8.3999999999999995E-3</v>
      </c>
      <c r="H73" s="163" t="s">
        <v>137</v>
      </c>
      <c r="I73" s="163">
        <v>2.3400000000000001E-2</v>
      </c>
      <c r="J73" s="163" t="s">
        <v>137</v>
      </c>
      <c r="K73" s="163">
        <v>1.4717</v>
      </c>
      <c r="L73" s="163">
        <v>3.1699999999999999E-2</v>
      </c>
      <c r="M73" s="164">
        <v>3.6415999999999999</v>
      </c>
      <c r="P73" s="180"/>
    </row>
    <row r="74" spans="1:16" ht="15.5">
      <c r="A74" s="184" t="s">
        <v>333</v>
      </c>
      <c r="B74" s="163">
        <v>5.1703000000000001</v>
      </c>
      <c r="C74" s="163">
        <v>1.8619000000000001</v>
      </c>
      <c r="D74" s="163">
        <v>5.0700000000000002E-2</v>
      </c>
      <c r="E74" s="163">
        <v>1.6813</v>
      </c>
      <c r="F74" s="163">
        <v>1.5444</v>
      </c>
      <c r="G74" s="163">
        <v>1.0800000000000001E-2</v>
      </c>
      <c r="H74" s="163" t="s">
        <v>137</v>
      </c>
      <c r="I74" s="163">
        <v>2.1100000000000001E-2</v>
      </c>
      <c r="J74" s="163" t="s">
        <v>137</v>
      </c>
      <c r="K74" s="163">
        <v>1.5764</v>
      </c>
      <c r="L74" s="163">
        <v>3.1899999999999998E-2</v>
      </c>
      <c r="M74" s="164">
        <v>3.5939000000000001</v>
      </c>
      <c r="P74" s="180"/>
    </row>
    <row r="75" spans="1:16" ht="15.5">
      <c r="A75" s="184" t="s">
        <v>334</v>
      </c>
      <c r="B75" s="163">
        <v>6.1585000000000001</v>
      </c>
      <c r="C75" s="163">
        <v>2.4405999999999999</v>
      </c>
      <c r="D75" s="163">
        <v>7.2599999999999998E-2</v>
      </c>
      <c r="E75" s="163">
        <v>2.0415000000000001</v>
      </c>
      <c r="F75" s="163">
        <v>1.5643</v>
      </c>
      <c r="G75" s="163">
        <v>2.0899999999999998E-2</v>
      </c>
      <c r="H75" s="163" t="s">
        <v>137</v>
      </c>
      <c r="I75" s="163">
        <v>1.8599999999999998E-2</v>
      </c>
      <c r="J75" s="163" t="s">
        <v>137</v>
      </c>
      <c r="K75" s="163">
        <v>1.6037999999999999</v>
      </c>
      <c r="L75" s="163">
        <v>3.9399999999999998E-2</v>
      </c>
      <c r="M75" s="164">
        <v>4.5547000000000004</v>
      </c>
      <c r="P75" s="180"/>
    </row>
    <row r="76" spans="1:16" ht="15.5">
      <c r="A76" s="184" t="s">
        <v>335</v>
      </c>
      <c r="B76" s="163">
        <v>5.9306999999999999</v>
      </c>
      <c r="C76" s="163">
        <v>2.5065</v>
      </c>
      <c r="D76" s="163">
        <v>6.1499999999999999E-2</v>
      </c>
      <c r="E76" s="163">
        <v>1.8349</v>
      </c>
      <c r="F76" s="163">
        <v>1.47</v>
      </c>
      <c r="G76" s="163">
        <v>3.6200000000000003E-2</v>
      </c>
      <c r="H76" s="163" t="s">
        <v>137</v>
      </c>
      <c r="I76" s="163">
        <v>2.1600000000000001E-2</v>
      </c>
      <c r="J76" s="163" t="s">
        <v>137</v>
      </c>
      <c r="K76" s="163">
        <v>1.5278</v>
      </c>
      <c r="L76" s="163">
        <v>5.7799999999999997E-2</v>
      </c>
      <c r="M76" s="164">
        <v>4.4028999999999998</v>
      </c>
      <c r="P76" s="180"/>
    </row>
    <row r="77" spans="1:16" ht="15.5">
      <c r="A77" s="184" t="s">
        <v>336</v>
      </c>
      <c r="B77" s="163">
        <v>6.4386999999999999</v>
      </c>
      <c r="C77" s="163">
        <v>2.7103999999999999</v>
      </c>
      <c r="D77" s="163">
        <v>7.8100000000000003E-2</v>
      </c>
      <c r="E77" s="163">
        <v>1.9718</v>
      </c>
      <c r="F77" s="163">
        <v>1.6177999999999999</v>
      </c>
      <c r="G77" s="163">
        <v>3.9600000000000003E-2</v>
      </c>
      <c r="H77" s="163" t="s">
        <v>137</v>
      </c>
      <c r="I77" s="163">
        <v>2.1000000000000001E-2</v>
      </c>
      <c r="J77" s="163" t="s">
        <v>137</v>
      </c>
      <c r="K77" s="163">
        <v>1.6783999999999999</v>
      </c>
      <c r="L77" s="163">
        <v>6.0600000000000001E-2</v>
      </c>
      <c r="M77" s="164">
        <v>4.7603</v>
      </c>
      <c r="P77" s="180"/>
    </row>
    <row r="78" spans="1:16" ht="15.5">
      <c r="A78" s="184" t="s">
        <v>337</v>
      </c>
      <c r="B78" s="163">
        <v>7.3654000000000002</v>
      </c>
      <c r="C78" s="163">
        <v>2.9161000000000001</v>
      </c>
      <c r="D78" s="163">
        <v>9.2999999999999999E-2</v>
      </c>
      <c r="E78" s="163">
        <v>2.4531000000000001</v>
      </c>
      <c r="F78" s="163">
        <v>1.8315999999999999</v>
      </c>
      <c r="G78" s="163">
        <v>5.0900000000000001E-2</v>
      </c>
      <c r="H78" s="163" t="s">
        <v>137</v>
      </c>
      <c r="I78" s="163">
        <v>2.07E-2</v>
      </c>
      <c r="J78" s="163" t="s">
        <v>137</v>
      </c>
      <c r="K78" s="163">
        <v>1.9032</v>
      </c>
      <c r="L78" s="163">
        <v>7.1599999999999997E-2</v>
      </c>
      <c r="M78" s="164">
        <v>5.4622000000000002</v>
      </c>
      <c r="P78" s="180"/>
    </row>
    <row r="79" spans="1:16" ht="15.5">
      <c r="A79" s="184" t="s">
        <v>338</v>
      </c>
      <c r="B79" s="163">
        <v>6.9847000000000001</v>
      </c>
      <c r="C79" s="163">
        <v>3.0419999999999998</v>
      </c>
      <c r="D79" s="163">
        <v>8.6900000000000005E-2</v>
      </c>
      <c r="E79" s="163">
        <v>2.0251999999999999</v>
      </c>
      <c r="F79" s="163">
        <v>1.7806</v>
      </c>
      <c r="G79" s="163">
        <v>2.7900000000000001E-2</v>
      </c>
      <c r="H79" s="163" t="s">
        <v>137</v>
      </c>
      <c r="I79" s="163">
        <v>2.2200000000000001E-2</v>
      </c>
      <c r="J79" s="163" t="s">
        <v>137</v>
      </c>
      <c r="K79" s="163">
        <v>1.8306</v>
      </c>
      <c r="L79" s="163">
        <v>5.0099999999999999E-2</v>
      </c>
      <c r="M79" s="164">
        <v>5.1540999999999997</v>
      </c>
      <c r="P79" s="180"/>
    </row>
    <row r="80" spans="1:16" ht="15.5">
      <c r="A80" s="184" t="s">
        <v>339</v>
      </c>
      <c r="B80" s="163">
        <v>6.7127999999999997</v>
      </c>
      <c r="C80" s="163">
        <v>2.9762</v>
      </c>
      <c r="D80" s="163">
        <v>6.9000000000000006E-2</v>
      </c>
      <c r="E80" s="163">
        <v>1.9596</v>
      </c>
      <c r="F80" s="163">
        <v>1.6646000000000001</v>
      </c>
      <c r="G80" s="163">
        <v>2.3599999999999999E-2</v>
      </c>
      <c r="H80" s="163" t="s">
        <v>137</v>
      </c>
      <c r="I80" s="163">
        <v>1.9800000000000002E-2</v>
      </c>
      <c r="J80" s="163" t="s">
        <v>137</v>
      </c>
      <c r="K80" s="163">
        <v>1.708</v>
      </c>
      <c r="L80" s="163">
        <v>4.3400000000000001E-2</v>
      </c>
      <c r="M80" s="164">
        <v>5.0048000000000004</v>
      </c>
      <c r="P80" s="180"/>
    </row>
    <row r="81" spans="1:16" ht="15.5">
      <c r="A81" s="184" t="s">
        <v>340</v>
      </c>
      <c r="B81" s="163">
        <v>7.7289000000000003</v>
      </c>
      <c r="C81" s="163">
        <v>3.4653999999999998</v>
      </c>
      <c r="D81" s="163">
        <v>0.12239999999999999</v>
      </c>
      <c r="E81" s="163">
        <v>2.2970999999999999</v>
      </c>
      <c r="F81" s="163">
        <v>1.8062</v>
      </c>
      <c r="G81" s="163">
        <v>1.9599999999999999E-2</v>
      </c>
      <c r="H81" s="163" t="s">
        <v>137</v>
      </c>
      <c r="I81" s="163">
        <v>1.8100000000000002E-2</v>
      </c>
      <c r="J81" s="163" t="s">
        <v>137</v>
      </c>
      <c r="K81" s="163">
        <v>1.8439000000000001</v>
      </c>
      <c r="L81" s="163">
        <v>3.78E-2</v>
      </c>
      <c r="M81" s="164">
        <v>5.8849</v>
      </c>
      <c r="P81" s="180"/>
    </row>
    <row r="82" spans="1:16" ht="15.5">
      <c r="A82" s="184" t="s">
        <v>341</v>
      </c>
      <c r="B82" s="163">
        <v>6.1135999999999999</v>
      </c>
      <c r="C82" s="163">
        <v>2.4140999999999999</v>
      </c>
      <c r="D82" s="163">
        <v>7.0599999999999996E-2</v>
      </c>
      <c r="E82" s="163">
        <v>1.9505999999999999</v>
      </c>
      <c r="F82" s="163">
        <v>1.6442000000000001</v>
      </c>
      <c r="G82" s="163">
        <v>1.61E-2</v>
      </c>
      <c r="H82" s="163" t="s">
        <v>137</v>
      </c>
      <c r="I82" s="163">
        <v>1.7899999999999999E-2</v>
      </c>
      <c r="J82" s="163" t="s">
        <v>137</v>
      </c>
      <c r="K82" s="163">
        <v>1.6781999999999999</v>
      </c>
      <c r="L82" s="163">
        <v>3.4000000000000002E-2</v>
      </c>
      <c r="M82" s="164">
        <v>4.4353999999999996</v>
      </c>
      <c r="P82" s="180"/>
    </row>
    <row r="83" spans="1:16" ht="15.5">
      <c r="A83" s="184" t="s">
        <v>342</v>
      </c>
      <c r="B83" s="163">
        <v>5.4608999999999996</v>
      </c>
      <c r="C83" s="163">
        <v>2.1089000000000002</v>
      </c>
      <c r="D83" s="163">
        <v>5.2600000000000001E-2</v>
      </c>
      <c r="E83" s="163">
        <v>1.81</v>
      </c>
      <c r="F83" s="163">
        <v>1.4612000000000001</v>
      </c>
      <c r="G83" s="163">
        <v>9.4000000000000004E-3</v>
      </c>
      <c r="H83" s="163" t="s">
        <v>137</v>
      </c>
      <c r="I83" s="163">
        <v>1.8800000000000001E-2</v>
      </c>
      <c r="J83" s="163" t="s">
        <v>137</v>
      </c>
      <c r="K83" s="163">
        <v>1.4893000000000001</v>
      </c>
      <c r="L83" s="163">
        <v>2.8199999999999999E-2</v>
      </c>
      <c r="M83" s="164">
        <v>3.9714999999999998</v>
      </c>
      <c r="P83" s="180"/>
    </row>
    <row r="84" spans="1:16" ht="15.5">
      <c r="A84" s="184" t="s">
        <v>343</v>
      </c>
      <c r="B84" s="163">
        <v>6.1866000000000003</v>
      </c>
      <c r="C84" s="163">
        <v>2.3193999999999999</v>
      </c>
      <c r="D84" s="163">
        <v>5.5899999999999998E-2</v>
      </c>
      <c r="E84" s="163">
        <v>2.2322000000000002</v>
      </c>
      <c r="F84" s="163">
        <v>1.5474000000000001</v>
      </c>
      <c r="G84" s="163">
        <v>0.01</v>
      </c>
      <c r="H84" s="163" t="s">
        <v>137</v>
      </c>
      <c r="I84" s="163">
        <v>2.1600000000000001E-2</v>
      </c>
      <c r="J84" s="163" t="s">
        <v>137</v>
      </c>
      <c r="K84" s="163">
        <v>1.579</v>
      </c>
      <c r="L84" s="163">
        <v>3.1600000000000003E-2</v>
      </c>
      <c r="M84" s="164">
        <v>4.6075999999999997</v>
      </c>
      <c r="P84" s="180"/>
    </row>
    <row r="85" spans="1:16" ht="15.5">
      <c r="A85" s="184" t="s">
        <v>344</v>
      </c>
      <c r="B85" s="163">
        <v>5.2602000000000002</v>
      </c>
      <c r="C85" s="163">
        <v>1.8622000000000001</v>
      </c>
      <c r="D85" s="163">
        <v>4.0099999999999997E-2</v>
      </c>
      <c r="E85" s="163">
        <v>1.7395</v>
      </c>
      <c r="F85" s="163">
        <v>1.5852999999999999</v>
      </c>
      <c r="G85" s="163">
        <v>1.09E-2</v>
      </c>
      <c r="H85" s="163" t="s">
        <v>137</v>
      </c>
      <c r="I85" s="163">
        <v>2.2100000000000002E-2</v>
      </c>
      <c r="J85" s="163" t="s">
        <v>137</v>
      </c>
      <c r="K85" s="163">
        <v>1.6183000000000001</v>
      </c>
      <c r="L85" s="163">
        <v>3.3000000000000002E-2</v>
      </c>
      <c r="M85" s="164">
        <v>3.6417999999999999</v>
      </c>
      <c r="P85" s="180"/>
    </row>
    <row r="86" spans="1:16" ht="15.5">
      <c r="A86" s="184" t="s">
        <v>345</v>
      </c>
      <c r="B86" s="163">
        <v>5.2561</v>
      </c>
      <c r="C86" s="163">
        <v>1.8069</v>
      </c>
      <c r="D86" s="163">
        <v>4.9799999999999997E-2</v>
      </c>
      <c r="E86" s="163">
        <v>1.629</v>
      </c>
      <c r="F86" s="163">
        <v>1.7361</v>
      </c>
      <c r="G86" s="163">
        <v>1.3299999999999999E-2</v>
      </c>
      <c r="H86" s="163" t="s">
        <v>137</v>
      </c>
      <c r="I86" s="163">
        <v>2.1000000000000001E-2</v>
      </c>
      <c r="J86" s="163" t="s">
        <v>137</v>
      </c>
      <c r="K86" s="163">
        <v>1.7705</v>
      </c>
      <c r="L86" s="163">
        <v>3.4299999999999997E-2</v>
      </c>
      <c r="M86" s="164">
        <v>3.4857</v>
      </c>
      <c r="P86" s="180"/>
    </row>
    <row r="87" spans="1:16" ht="15.5">
      <c r="A87" s="184" t="s">
        <v>346</v>
      </c>
      <c r="B87" s="163">
        <v>6.5242000000000004</v>
      </c>
      <c r="C87" s="163">
        <v>2.4399000000000002</v>
      </c>
      <c r="D87" s="163">
        <v>6.3E-2</v>
      </c>
      <c r="E87" s="163">
        <v>2.1442999999999999</v>
      </c>
      <c r="F87" s="163">
        <v>1.8384</v>
      </c>
      <c r="G87" s="163">
        <v>1.55E-2</v>
      </c>
      <c r="H87" s="163" t="s">
        <v>137</v>
      </c>
      <c r="I87" s="163">
        <v>2.3099999999999999E-2</v>
      </c>
      <c r="J87" s="163" t="s">
        <v>137</v>
      </c>
      <c r="K87" s="163">
        <v>1.877</v>
      </c>
      <c r="L87" s="163">
        <v>3.8600000000000002E-2</v>
      </c>
      <c r="M87" s="164">
        <v>4.6471999999999998</v>
      </c>
      <c r="P87" s="180"/>
    </row>
    <row r="88" spans="1:16" ht="15.5">
      <c r="A88" s="184" t="s">
        <v>347</v>
      </c>
      <c r="B88" s="163">
        <v>5.7821999999999996</v>
      </c>
      <c r="C88" s="163">
        <v>1.9955000000000001</v>
      </c>
      <c r="D88" s="163">
        <v>5.28E-2</v>
      </c>
      <c r="E88" s="163">
        <v>1.837</v>
      </c>
      <c r="F88" s="163">
        <v>1.8295999999999999</v>
      </c>
      <c r="G88" s="163">
        <v>4.65E-2</v>
      </c>
      <c r="H88" s="163" t="s">
        <v>137</v>
      </c>
      <c r="I88" s="163">
        <v>2.07E-2</v>
      </c>
      <c r="J88" s="163" t="s">
        <v>137</v>
      </c>
      <c r="K88" s="163">
        <v>1.8968</v>
      </c>
      <c r="L88" s="163">
        <v>6.7199999999999996E-2</v>
      </c>
      <c r="M88" s="164">
        <v>3.8853</v>
      </c>
      <c r="P88" s="180"/>
    </row>
    <row r="89" spans="1:16" ht="15.5">
      <c r="A89" s="184" t="s">
        <v>348</v>
      </c>
      <c r="B89" s="163">
        <v>6.4554999999999998</v>
      </c>
      <c r="C89" s="163">
        <v>2.5674000000000001</v>
      </c>
      <c r="D89" s="163">
        <v>5.1999999999999998E-2</v>
      </c>
      <c r="E89" s="163">
        <v>1.9556</v>
      </c>
      <c r="F89" s="163">
        <v>1.8143</v>
      </c>
      <c r="G89" s="163">
        <v>4.36E-2</v>
      </c>
      <c r="H89" s="163" t="s">
        <v>137</v>
      </c>
      <c r="I89" s="163">
        <v>2.2800000000000001E-2</v>
      </c>
      <c r="J89" s="163" t="s">
        <v>137</v>
      </c>
      <c r="K89" s="163">
        <v>1.8806</v>
      </c>
      <c r="L89" s="163">
        <v>6.6299999999999998E-2</v>
      </c>
      <c r="M89" s="164">
        <v>4.5750000000000002</v>
      </c>
      <c r="P89" s="180"/>
    </row>
    <row r="90" spans="1:16" ht="15.5">
      <c r="A90" s="184" t="s">
        <v>349</v>
      </c>
      <c r="B90" s="163">
        <v>8.0221</v>
      </c>
      <c r="C90" s="163">
        <v>3.5766</v>
      </c>
      <c r="D90" s="163">
        <v>0.1023</v>
      </c>
      <c r="E90" s="163">
        <v>2.2172999999999998</v>
      </c>
      <c r="F90" s="163">
        <v>2.0606</v>
      </c>
      <c r="G90" s="163">
        <v>3.9899999999999998E-2</v>
      </c>
      <c r="H90" s="163" t="s">
        <v>137</v>
      </c>
      <c r="I90" s="163">
        <v>2.5399999999999999E-2</v>
      </c>
      <c r="J90" s="163" t="s">
        <v>137</v>
      </c>
      <c r="K90" s="163">
        <v>2.1259000000000001</v>
      </c>
      <c r="L90" s="163">
        <v>6.5299999999999997E-2</v>
      </c>
      <c r="M90" s="164">
        <v>5.8960999999999997</v>
      </c>
      <c r="P90" s="180"/>
    </row>
    <row r="91" spans="1:16" ht="15.5">
      <c r="A91" s="184" t="s">
        <v>350</v>
      </c>
      <c r="B91" s="163">
        <v>6.8891999999999998</v>
      </c>
      <c r="C91" s="163">
        <v>3.0729000000000002</v>
      </c>
      <c r="D91" s="163">
        <v>9.0200000000000002E-2</v>
      </c>
      <c r="E91" s="163">
        <v>1.9008</v>
      </c>
      <c r="F91" s="163">
        <v>1.7589999999999999</v>
      </c>
      <c r="G91" s="163">
        <v>4.3700000000000003E-2</v>
      </c>
      <c r="H91" s="163" t="s">
        <v>137</v>
      </c>
      <c r="I91" s="163">
        <v>2.2700000000000001E-2</v>
      </c>
      <c r="J91" s="163" t="s">
        <v>137</v>
      </c>
      <c r="K91" s="163">
        <v>1.8252999999999999</v>
      </c>
      <c r="L91" s="163">
        <v>6.6299999999999998E-2</v>
      </c>
      <c r="M91" s="164">
        <v>5.0639000000000003</v>
      </c>
      <c r="P91" s="180"/>
    </row>
    <row r="92" spans="1:16" ht="15.5">
      <c r="A92" s="184" t="s">
        <v>351</v>
      </c>
      <c r="B92" s="163">
        <v>6.4570999999999996</v>
      </c>
      <c r="C92" s="163">
        <v>2.6366000000000001</v>
      </c>
      <c r="D92" s="163">
        <v>5.4100000000000002E-2</v>
      </c>
      <c r="E92" s="163">
        <v>1.9</v>
      </c>
      <c r="F92" s="163">
        <v>1.7899</v>
      </c>
      <c r="G92" s="163">
        <v>5.5300000000000002E-2</v>
      </c>
      <c r="H92" s="163" t="s">
        <v>137</v>
      </c>
      <c r="I92" s="163">
        <v>2.12E-2</v>
      </c>
      <c r="J92" s="163" t="s">
        <v>137</v>
      </c>
      <c r="K92" s="163">
        <v>1.8665</v>
      </c>
      <c r="L92" s="163">
        <v>7.6499999999999999E-2</v>
      </c>
      <c r="M92" s="164">
        <v>4.5907</v>
      </c>
      <c r="P92" s="180"/>
    </row>
    <row r="93" spans="1:16" ht="15.5">
      <c r="A93" s="184" t="s">
        <v>352</v>
      </c>
      <c r="B93" s="163">
        <v>7.6524000000000001</v>
      </c>
      <c r="C93" s="163">
        <v>2.9607000000000001</v>
      </c>
      <c r="D93" s="163">
        <v>7.0900000000000005E-2</v>
      </c>
      <c r="E93" s="163">
        <v>2.4862000000000002</v>
      </c>
      <c r="F93" s="163">
        <v>2.0682999999999998</v>
      </c>
      <c r="G93" s="163">
        <v>4.5999999999999999E-2</v>
      </c>
      <c r="H93" s="163" t="s">
        <v>137</v>
      </c>
      <c r="I93" s="163">
        <v>2.0299999999999999E-2</v>
      </c>
      <c r="J93" s="163" t="s">
        <v>137</v>
      </c>
      <c r="K93" s="163">
        <v>2.1345999999999998</v>
      </c>
      <c r="L93" s="163">
        <v>6.6299999999999998E-2</v>
      </c>
      <c r="M93" s="164">
        <v>5.5178000000000003</v>
      </c>
      <c r="P93" s="180"/>
    </row>
    <row r="94" spans="1:16" ht="15.5">
      <c r="A94" s="184" t="s">
        <v>353</v>
      </c>
      <c r="B94" s="163">
        <v>5.5701999999999998</v>
      </c>
      <c r="C94" s="163">
        <v>1.7814000000000001</v>
      </c>
      <c r="D94" s="163">
        <v>4.3999999999999997E-2</v>
      </c>
      <c r="E94" s="163">
        <v>1.9957</v>
      </c>
      <c r="F94" s="163">
        <v>1.7087000000000001</v>
      </c>
      <c r="G94" s="163">
        <v>2.35E-2</v>
      </c>
      <c r="H94" s="163" t="s">
        <v>137</v>
      </c>
      <c r="I94" s="163">
        <v>1.6899999999999998E-2</v>
      </c>
      <c r="J94" s="163" t="s">
        <v>137</v>
      </c>
      <c r="K94" s="163">
        <v>1.7491000000000001</v>
      </c>
      <c r="L94" s="163">
        <v>4.0399999999999998E-2</v>
      </c>
      <c r="M94" s="164">
        <v>3.8210999999999999</v>
      </c>
      <c r="P94" s="180"/>
    </row>
    <row r="95" spans="1:16" ht="15.5">
      <c r="A95" s="184" t="s">
        <v>354</v>
      </c>
      <c r="B95" s="163">
        <v>5.2720000000000002</v>
      </c>
      <c r="C95" s="163">
        <v>1.7948</v>
      </c>
      <c r="D95" s="163">
        <v>4.8899999999999999E-2</v>
      </c>
      <c r="E95" s="163">
        <v>1.9634</v>
      </c>
      <c r="F95" s="163">
        <v>1.417</v>
      </c>
      <c r="G95" s="163">
        <v>2.7E-2</v>
      </c>
      <c r="H95" s="163" t="s">
        <v>137</v>
      </c>
      <c r="I95" s="163">
        <v>2.0899999999999998E-2</v>
      </c>
      <c r="J95" s="163" t="s">
        <v>137</v>
      </c>
      <c r="K95" s="163">
        <v>1.4649000000000001</v>
      </c>
      <c r="L95" s="163">
        <v>4.7899999999999998E-2</v>
      </c>
      <c r="M95" s="164">
        <v>3.8071000000000002</v>
      </c>
      <c r="P95" s="180"/>
    </row>
    <row r="96" spans="1:16" ht="15.5">
      <c r="A96" s="184" t="s">
        <v>355</v>
      </c>
      <c r="B96" s="163">
        <v>6.1769999999999996</v>
      </c>
      <c r="C96" s="163">
        <v>1.9379999999999999</v>
      </c>
      <c r="D96" s="163">
        <v>4.8300000000000003E-2</v>
      </c>
      <c r="E96" s="163">
        <v>2.3338000000000001</v>
      </c>
      <c r="F96" s="163">
        <v>1.8049999999999999</v>
      </c>
      <c r="G96" s="163">
        <v>2.9499999999999998E-2</v>
      </c>
      <c r="H96" s="163" t="s">
        <v>137</v>
      </c>
      <c r="I96" s="163">
        <v>2.24E-2</v>
      </c>
      <c r="J96" s="163" t="s">
        <v>137</v>
      </c>
      <c r="K96" s="163">
        <v>1.8569</v>
      </c>
      <c r="L96" s="163">
        <v>5.1900000000000002E-2</v>
      </c>
      <c r="M96" s="164">
        <v>4.3201999999999998</v>
      </c>
      <c r="P96" s="180"/>
    </row>
    <row r="97" spans="1:16" ht="15.5">
      <c r="A97" s="184" t="s">
        <v>356</v>
      </c>
      <c r="B97" s="163">
        <v>5.2389000000000001</v>
      </c>
      <c r="C97" s="163">
        <v>1.764</v>
      </c>
      <c r="D97" s="163">
        <v>3.3700000000000001E-2</v>
      </c>
      <c r="E97" s="163">
        <v>1.9181999999999999</v>
      </c>
      <c r="F97" s="163">
        <v>1.4850000000000001</v>
      </c>
      <c r="G97" s="163">
        <v>1.72E-2</v>
      </c>
      <c r="H97" s="163" t="s">
        <v>137</v>
      </c>
      <c r="I97" s="163">
        <v>2.0799999999999999E-2</v>
      </c>
      <c r="J97" s="163" t="s">
        <v>137</v>
      </c>
      <c r="K97" s="163">
        <v>1.5229999999999999</v>
      </c>
      <c r="L97" s="163">
        <v>3.7900000000000003E-2</v>
      </c>
      <c r="M97" s="164">
        <v>3.7159</v>
      </c>
      <c r="P97" s="180"/>
    </row>
    <row r="98" spans="1:16" ht="15.5">
      <c r="A98" s="184" t="s">
        <v>357</v>
      </c>
      <c r="B98" s="163">
        <v>5.2321</v>
      </c>
      <c r="C98" s="163">
        <v>1.645</v>
      </c>
      <c r="D98" s="163">
        <v>3.8699999999999998E-2</v>
      </c>
      <c r="E98" s="163">
        <v>1.9674</v>
      </c>
      <c r="F98" s="163">
        <v>1.5508</v>
      </c>
      <c r="G98" s="163">
        <v>1.1299999999999999E-2</v>
      </c>
      <c r="H98" s="163" t="s">
        <v>137</v>
      </c>
      <c r="I98" s="163">
        <v>1.9E-2</v>
      </c>
      <c r="J98" s="163" t="s">
        <v>137</v>
      </c>
      <c r="K98" s="163">
        <v>1.581</v>
      </c>
      <c r="L98" s="163">
        <v>3.0300000000000001E-2</v>
      </c>
      <c r="M98" s="164">
        <v>3.6511</v>
      </c>
      <c r="P98" s="180"/>
    </row>
    <row r="99" spans="1:16" ht="15.5">
      <c r="A99" s="184" t="s">
        <v>358</v>
      </c>
      <c r="B99" s="163">
        <v>6.5537000000000001</v>
      </c>
      <c r="C99" s="163">
        <v>2.3738999999999999</v>
      </c>
      <c r="D99" s="163">
        <v>6.1100000000000002E-2</v>
      </c>
      <c r="E99" s="163">
        <v>2.4013</v>
      </c>
      <c r="F99" s="163">
        <v>1.6830000000000001</v>
      </c>
      <c r="G99" s="163">
        <v>1.26E-2</v>
      </c>
      <c r="H99" s="163" t="s">
        <v>137</v>
      </c>
      <c r="I99" s="163">
        <v>2.1899999999999999E-2</v>
      </c>
      <c r="J99" s="163" t="s">
        <v>137</v>
      </c>
      <c r="K99" s="163">
        <v>1.7175</v>
      </c>
      <c r="L99" s="163">
        <v>3.4500000000000003E-2</v>
      </c>
      <c r="M99" s="164">
        <v>4.8361999999999998</v>
      </c>
      <c r="P99" s="180"/>
    </row>
    <row r="100" spans="1:16" ht="15.5">
      <c r="A100" s="184" t="s">
        <v>359</v>
      </c>
      <c r="B100" s="163">
        <v>5.9866999999999999</v>
      </c>
      <c r="C100" s="163">
        <v>2.6341000000000001</v>
      </c>
      <c r="D100" s="163">
        <v>6.1199999999999997E-2</v>
      </c>
      <c r="E100" s="163">
        <v>1.9335</v>
      </c>
      <c r="F100" s="163">
        <v>1.3178000000000001</v>
      </c>
      <c r="G100" s="163">
        <v>1.55E-2</v>
      </c>
      <c r="H100" s="163" t="s">
        <v>137</v>
      </c>
      <c r="I100" s="163">
        <v>2.46E-2</v>
      </c>
      <c r="J100" s="163" t="s">
        <v>137</v>
      </c>
      <c r="K100" s="163">
        <v>1.3579000000000001</v>
      </c>
      <c r="L100" s="163">
        <v>4.0099999999999997E-2</v>
      </c>
      <c r="M100" s="164">
        <v>4.6288</v>
      </c>
      <c r="P100" s="180"/>
    </row>
    <row r="101" spans="1:16" ht="15.5">
      <c r="A101" s="184" t="s">
        <v>360</v>
      </c>
      <c r="B101" s="163">
        <v>6.3029000000000002</v>
      </c>
      <c r="C101" s="163">
        <v>2.7913000000000001</v>
      </c>
      <c r="D101" s="163">
        <v>6.2899999999999998E-2</v>
      </c>
      <c r="E101" s="163">
        <v>1.9320999999999999</v>
      </c>
      <c r="F101" s="163">
        <v>1.4427000000000001</v>
      </c>
      <c r="G101" s="163">
        <v>3.2899999999999999E-2</v>
      </c>
      <c r="H101" s="163" t="s">
        <v>137</v>
      </c>
      <c r="I101" s="163">
        <v>4.0899999999999999E-2</v>
      </c>
      <c r="J101" s="163" t="s">
        <v>137</v>
      </c>
      <c r="K101" s="163">
        <v>1.5165</v>
      </c>
      <c r="L101" s="163">
        <v>7.3800000000000004E-2</v>
      </c>
      <c r="M101" s="164">
        <v>4.7864000000000004</v>
      </c>
      <c r="P101" s="180"/>
    </row>
    <row r="102" spans="1:16" ht="15.5">
      <c r="A102" s="184" t="s">
        <v>361</v>
      </c>
      <c r="B102" s="163">
        <v>7.7358000000000002</v>
      </c>
      <c r="C102" s="163">
        <v>3.2305999999999999</v>
      </c>
      <c r="D102" s="163">
        <v>7.4800000000000005E-2</v>
      </c>
      <c r="E102" s="163">
        <v>2.3117999999999999</v>
      </c>
      <c r="F102" s="163">
        <v>2.073</v>
      </c>
      <c r="G102" s="163">
        <v>2.3199999999999998E-2</v>
      </c>
      <c r="H102" s="163" t="s">
        <v>137</v>
      </c>
      <c r="I102" s="163">
        <v>2.24E-2</v>
      </c>
      <c r="J102" s="163" t="s">
        <v>137</v>
      </c>
      <c r="K102" s="163">
        <v>2.1185999999999998</v>
      </c>
      <c r="L102" s="163">
        <v>4.5600000000000002E-2</v>
      </c>
      <c r="M102" s="164">
        <v>5.6172000000000004</v>
      </c>
      <c r="P102" s="180"/>
    </row>
    <row r="103" spans="1:16" ht="15.5">
      <c r="A103" s="184" t="s">
        <v>362</v>
      </c>
      <c r="B103" s="163">
        <v>6.8251999999999997</v>
      </c>
      <c r="C103" s="163">
        <v>2.9712999999999998</v>
      </c>
      <c r="D103" s="163">
        <v>8.6699999999999999E-2</v>
      </c>
      <c r="E103" s="163">
        <v>1.9180999999999999</v>
      </c>
      <c r="F103" s="163">
        <v>1.7908999999999999</v>
      </c>
      <c r="G103" s="163">
        <v>2.63E-2</v>
      </c>
      <c r="H103" s="163" t="s">
        <v>137</v>
      </c>
      <c r="I103" s="163">
        <v>3.1899999999999998E-2</v>
      </c>
      <c r="J103" s="163" t="s">
        <v>137</v>
      </c>
      <c r="K103" s="163">
        <v>1.849</v>
      </c>
      <c r="L103" s="163">
        <v>5.8200000000000002E-2</v>
      </c>
      <c r="M103" s="164">
        <v>4.9760999999999997</v>
      </c>
      <c r="P103" s="180"/>
    </row>
    <row r="104" spans="1:16" ht="15.5">
      <c r="A104" s="184" t="s">
        <v>363</v>
      </c>
      <c r="B104" s="163">
        <v>6.8419999999999996</v>
      </c>
      <c r="C104" s="163">
        <v>3.0935000000000001</v>
      </c>
      <c r="D104" s="163">
        <v>7.9299999999999995E-2</v>
      </c>
      <c r="E104" s="163">
        <v>1.8494999999999999</v>
      </c>
      <c r="F104" s="163">
        <v>1.7699</v>
      </c>
      <c r="G104" s="163">
        <v>2.1899999999999999E-2</v>
      </c>
      <c r="H104" s="163" t="s">
        <v>137</v>
      </c>
      <c r="I104" s="163">
        <v>2.7900000000000001E-2</v>
      </c>
      <c r="J104" s="163" t="s">
        <v>137</v>
      </c>
      <c r="K104" s="163">
        <v>1.8197000000000001</v>
      </c>
      <c r="L104" s="163">
        <v>4.9700000000000001E-2</v>
      </c>
      <c r="M104" s="164">
        <v>5.0223000000000004</v>
      </c>
      <c r="P104" s="180"/>
    </row>
    <row r="105" spans="1:16" ht="15.5">
      <c r="A105" s="184" t="s">
        <v>364</v>
      </c>
      <c r="B105" s="163">
        <v>7.5670000000000002</v>
      </c>
      <c r="C105" s="163">
        <v>3.2743000000000002</v>
      </c>
      <c r="D105" s="163">
        <v>5.6000000000000001E-2</v>
      </c>
      <c r="E105" s="163">
        <v>2.2111000000000001</v>
      </c>
      <c r="F105" s="163">
        <v>1.9797</v>
      </c>
      <c r="G105" s="163">
        <v>1.9599999999999999E-2</v>
      </c>
      <c r="H105" s="163" t="s">
        <v>137</v>
      </c>
      <c r="I105" s="163">
        <v>2.63E-2</v>
      </c>
      <c r="J105" s="163" t="s">
        <v>137</v>
      </c>
      <c r="K105" s="163">
        <v>2.0255999999999998</v>
      </c>
      <c r="L105" s="163">
        <v>4.5999999999999999E-2</v>
      </c>
      <c r="M105" s="164">
        <v>5.5414000000000003</v>
      </c>
      <c r="P105" s="180"/>
    </row>
    <row r="106" spans="1:16" ht="15.5">
      <c r="A106" s="184" t="s">
        <v>365</v>
      </c>
      <c r="B106" s="163">
        <v>5.9504999999999999</v>
      </c>
      <c r="C106" s="163">
        <v>2.5556000000000001</v>
      </c>
      <c r="D106" s="163">
        <v>3.5999999999999997E-2</v>
      </c>
      <c r="E106" s="163">
        <v>1.7110000000000001</v>
      </c>
      <c r="F106" s="163">
        <v>1.6091</v>
      </c>
      <c r="G106" s="163">
        <v>7.4999999999999997E-3</v>
      </c>
      <c r="H106" s="163" t="s">
        <v>137</v>
      </c>
      <c r="I106" s="163">
        <v>3.1300000000000001E-2</v>
      </c>
      <c r="J106" s="163" t="s">
        <v>137</v>
      </c>
      <c r="K106" s="163">
        <v>1.6477999999999999</v>
      </c>
      <c r="L106" s="163">
        <v>3.8800000000000001E-2</v>
      </c>
      <c r="M106" s="164">
        <v>4.3026</v>
      </c>
      <c r="P106" s="180"/>
    </row>
    <row r="107" spans="1:16" ht="15.5">
      <c r="A107" s="184" t="s">
        <v>366</v>
      </c>
      <c r="B107" s="163">
        <v>5.5593000000000004</v>
      </c>
      <c r="C107" s="163">
        <v>2.0933999999999999</v>
      </c>
      <c r="D107" s="163">
        <v>2.9700000000000001E-2</v>
      </c>
      <c r="E107" s="163">
        <v>1.8037000000000001</v>
      </c>
      <c r="F107" s="163">
        <v>1.5791999999999999</v>
      </c>
      <c r="G107" s="163">
        <v>2.4799999999999999E-2</v>
      </c>
      <c r="H107" s="163" t="s">
        <v>137</v>
      </c>
      <c r="I107" s="163">
        <v>2.8400000000000002E-2</v>
      </c>
      <c r="J107" s="163" t="s">
        <v>137</v>
      </c>
      <c r="K107" s="163">
        <v>1.6324000000000001</v>
      </c>
      <c r="L107" s="163">
        <v>5.3199999999999997E-2</v>
      </c>
      <c r="M107" s="164">
        <v>3.9268999999999998</v>
      </c>
      <c r="P107" s="180"/>
    </row>
    <row r="108" spans="1:16" ht="15.5">
      <c r="A108" s="184" t="s">
        <v>367</v>
      </c>
      <c r="B108" s="163">
        <v>6.4604999999999997</v>
      </c>
      <c r="C108" s="163">
        <v>2.2111999999999998</v>
      </c>
      <c r="D108" s="163">
        <v>4.6100000000000002E-2</v>
      </c>
      <c r="E108" s="163">
        <v>2.2784</v>
      </c>
      <c r="F108" s="163">
        <v>1.8835999999999999</v>
      </c>
      <c r="G108" s="163">
        <v>1.2699999999999999E-2</v>
      </c>
      <c r="H108" s="163" t="s">
        <v>137</v>
      </c>
      <c r="I108" s="163">
        <v>2.8400000000000002E-2</v>
      </c>
      <c r="J108" s="163" t="s">
        <v>137</v>
      </c>
      <c r="K108" s="163">
        <v>1.9248000000000001</v>
      </c>
      <c r="L108" s="163">
        <v>4.1099999999999998E-2</v>
      </c>
      <c r="M108" s="164">
        <v>4.5357000000000003</v>
      </c>
      <c r="P108" s="180"/>
    </row>
    <row r="109" spans="1:16" ht="15.5">
      <c r="A109" s="184" t="s">
        <v>368</v>
      </c>
      <c r="B109" s="163">
        <v>5.5147000000000004</v>
      </c>
      <c r="C109" s="163">
        <v>2.1692</v>
      </c>
      <c r="D109" s="163">
        <v>4.6199999999999998E-2</v>
      </c>
      <c r="E109" s="163">
        <v>1.9231</v>
      </c>
      <c r="F109" s="163">
        <v>1.3359000000000001</v>
      </c>
      <c r="G109" s="163">
        <v>1.1599999999999999E-2</v>
      </c>
      <c r="H109" s="163" t="s">
        <v>137</v>
      </c>
      <c r="I109" s="163">
        <v>2.86E-2</v>
      </c>
      <c r="J109" s="163" t="s">
        <v>137</v>
      </c>
      <c r="K109" s="163">
        <v>1.3761000000000001</v>
      </c>
      <c r="L109" s="163">
        <v>4.02E-2</v>
      </c>
      <c r="M109" s="164">
        <v>4.1386000000000003</v>
      </c>
      <c r="P109" s="180"/>
    </row>
    <row r="110" spans="1:16" ht="15.5">
      <c r="A110" s="184" t="s">
        <v>369</v>
      </c>
      <c r="B110" s="163">
        <v>5.3045999999999998</v>
      </c>
      <c r="C110" s="163">
        <v>1.9314</v>
      </c>
      <c r="D110" s="163">
        <v>3.8699999999999998E-2</v>
      </c>
      <c r="E110" s="163">
        <v>1.8883000000000001</v>
      </c>
      <c r="F110" s="163">
        <v>1.4054</v>
      </c>
      <c r="G110" s="163">
        <v>1.12E-2</v>
      </c>
      <c r="H110" s="163" t="s">
        <v>137</v>
      </c>
      <c r="I110" s="163">
        <v>2.9600000000000001E-2</v>
      </c>
      <c r="J110" s="163" t="s">
        <v>137</v>
      </c>
      <c r="K110" s="163">
        <v>1.4461999999999999</v>
      </c>
      <c r="L110" s="163">
        <v>4.07E-2</v>
      </c>
      <c r="M110" s="164">
        <v>3.8584999999999998</v>
      </c>
      <c r="P110" s="180"/>
    </row>
    <row r="111" spans="1:16" ht="15.5">
      <c r="A111" s="184" t="s">
        <v>370</v>
      </c>
      <c r="B111" s="163">
        <v>6.6981999999999999</v>
      </c>
      <c r="C111" s="163">
        <v>2.1627000000000001</v>
      </c>
      <c r="D111" s="163">
        <v>4.7100000000000003E-2</v>
      </c>
      <c r="E111" s="163">
        <v>2.4784000000000002</v>
      </c>
      <c r="F111" s="163">
        <v>1.9661999999999999</v>
      </c>
      <c r="G111" s="163">
        <v>1.01E-2</v>
      </c>
      <c r="H111" s="163" t="s">
        <v>137</v>
      </c>
      <c r="I111" s="163">
        <v>3.3799999999999997E-2</v>
      </c>
      <c r="J111" s="163" t="s">
        <v>137</v>
      </c>
      <c r="K111" s="163">
        <v>2.0101</v>
      </c>
      <c r="L111" s="163">
        <v>4.3799999999999999E-2</v>
      </c>
      <c r="M111" s="164">
        <v>4.6882000000000001</v>
      </c>
      <c r="P111" s="180"/>
    </row>
    <row r="112" spans="1:16" ht="15.5">
      <c r="A112" s="184" t="s">
        <v>371</v>
      </c>
      <c r="B112" s="163">
        <v>6.2652999999999999</v>
      </c>
      <c r="C112" s="163">
        <v>2.7292000000000001</v>
      </c>
      <c r="D112" s="163">
        <v>5.4699999999999999E-2</v>
      </c>
      <c r="E112" s="163">
        <v>2.0264000000000002</v>
      </c>
      <c r="F112" s="163">
        <v>1.4027000000000001</v>
      </c>
      <c r="G112" s="163">
        <v>1.55E-2</v>
      </c>
      <c r="H112" s="163" t="s">
        <v>137</v>
      </c>
      <c r="I112" s="163">
        <v>3.6999999999999998E-2</v>
      </c>
      <c r="J112" s="163" t="s">
        <v>137</v>
      </c>
      <c r="K112" s="163">
        <v>1.4551000000000001</v>
      </c>
      <c r="L112" s="163">
        <v>5.2400000000000002E-2</v>
      </c>
      <c r="M112" s="164">
        <v>4.8102999999999998</v>
      </c>
      <c r="P112" s="180"/>
    </row>
    <row r="113" spans="1:16" ht="15.5">
      <c r="A113" s="184" t="s">
        <v>372</v>
      </c>
      <c r="B113" s="163">
        <v>6.4249999999999998</v>
      </c>
      <c r="C113" s="163">
        <v>2.8475999999999999</v>
      </c>
      <c r="D113" s="163">
        <v>5.16E-2</v>
      </c>
      <c r="E113" s="163">
        <v>2.0167000000000002</v>
      </c>
      <c r="F113" s="163">
        <v>1.4509000000000001</v>
      </c>
      <c r="G113" s="163">
        <v>2.3400000000000001E-2</v>
      </c>
      <c r="H113" s="163" t="s">
        <v>137</v>
      </c>
      <c r="I113" s="163">
        <v>3.4799999999999998E-2</v>
      </c>
      <c r="J113" s="163" t="s">
        <v>137</v>
      </c>
      <c r="K113" s="163">
        <v>1.5089999999999999</v>
      </c>
      <c r="L113" s="163">
        <v>5.8099999999999999E-2</v>
      </c>
      <c r="M113" s="164">
        <v>4.9158999999999997</v>
      </c>
      <c r="P113" s="180"/>
    </row>
    <row r="114" spans="1:16" ht="15.5">
      <c r="A114" s="184" t="s">
        <v>373</v>
      </c>
      <c r="B114" s="163">
        <v>7.9317000000000002</v>
      </c>
      <c r="C114" s="163">
        <v>3.5306999999999999</v>
      </c>
      <c r="D114" s="163">
        <v>8.1799999999999998E-2</v>
      </c>
      <c r="E114" s="163">
        <v>2.3717000000000001</v>
      </c>
      <c r="F114" s="163">
        <v>1.8675999999999999</v>
      </c>
      <c r="G114" s="163">
        <v>3.6200000000000003E-2</v>
      </c>
      <c r="H114" s="163" t="s">
        <v>137</v>
      </c>
      <c r="I114" s="163">
        <v>4.3499999999999997E-2</v>
      </c>
      <c r="J114" s="163" t="s">
        <v>137</v>
      </c>
      <c r="K114" s="163">
        <v>1.9474</v>
      </c>
      <c r="L114" s="163">
        <v>7.9799999999999996E-2</v>
      </c>
      <c r="M114" s="164">
        <v>5.9842000000000004</v>
      </c>
      <c r="P114" s="180"/>
    </row>
    <row r="115" spans="1:16" ht="15.5">
      <c r="A115" s="184" t="s">
        <v>374</v>
      </c>
      <c r="B115" s="163">
        <v>6.8422999999999998</v>
      </c>
      <c r="C115" s="163">
        <v>3.1190000000000002</v>
      </c>
      <c r="D115" s="163">
        <v>6.6799999999999998E-2</v>
      </c>
      <c r="E115" s="163">
        <v>1.9437</v>
      </c>
      <c r="F115" s="163">
        <v>1.6347</v>
      </c>
      <c r="G115" s="163">
        <v>4.7199999999999999E-2</v>
      </c>
      <c r="H115" s="163" t="s">
        <v>137</v>
      </c>
      <c r="I115" s="163">
        <v>3.0800000000000001E-2</v>
      </c>
      <c r="J115" s="163" t="s">
        <v>137</v>
      </c>
      <c r="K115" s="163">
        <v>1.7126999999999999</v>
      </c>
      <c r="L115" s="163">
        <v>7.8E-2</v>
      </c>
      <c r="M115" s="164">
        <v>5.1295999999999999</v>
      </c>
      <c r="P115" s="180"/>
    </row>
    <row r="116" spans="1:16" ht="15.5">
      <c r="A116" s="184" t="s">
        <v>375</v>
      </c>
      <c r="B116" s="163">
        <v>6.7601000000000004</v>
      </c>
      <c r="C116" s="163">
        <v>2.9594999999999998</v>
      </c>
      <c r="D116" s="163">
        <v>4.5900000000000003E-2</v>
      </c>
      <c r="E116" s="163">
        <v>2.0712000000000002</v>
      </c>
      <c r="F116" s="163">
        <v>1.6152</v>
      </c>
      <c r="G116" s="163">
        <v>3.7199999999999997E-2</v>
      </c>
      <c r="H116" s="163" t="s">
        <v>137</v>
      </c>
      <c r="I116" s="163">
        <v>3.1099999999999999E-2</v>
      </c>
      <c r="J116" s="163" t="s">
        <v>137</v>
      </c>
      <c r="K116" s="163">
        <v>1.6835</v>
      </c>
      <c r="L116" s="163">
        <v>6.83E-2</v>
      </c>
      <c r="M116" s="164">
        <v>5.0766</v>
      </c>
      <c r="P116" s="180"/>
    </row>
    <row r="117" spans="1:16" ht="15.5">
      <c r="A117" s="184" t="s">
        <v>376</v>
      </c>
      <c r="B117" s="163">
        <v>8.1625999999999994</v>
      </c>
      <c r="C117" s="163">
        <v>3.4863</v>
      </c>
      <c r="D117" s="163">
        <v>6.1199999999999997E-2</v>
      </c>
      <c r="E117" s="163">
        <v>2.4592999999999998</v>
      </c>
      <c r="F117" s="163">
        <v>2.0939999999999999</v>
      </c>
      <c r="G117" s="163">
        <v>2.53E-2</v>
      </c>
      <c r="H117" s="163" t="s">
        <v>137</v>
      </c>
      <c r="I117" s="163">
        <v>3.6400000000000002E-2</v>
      </c>
      <c r="J117" s="163" t="s">
        <v>137</v>
      </c>
      <c r="K117" s="163">
        <v>2.1556999999999999</v>
      </c>
      <c r="L117" s="163">
        <v>6.1699999999999998E-2</v>
      </c>
      <c r="M117" s="164">
        <v>6.0068999999999999</v>
      </c>
      <c r="P117" s="180"/>
    </row>
    <row r="118" spans="1:16" ht="15.5">
      <c r="A118" s="184" t="s">
        <v>377</v>
      </c>
      <c r="B118" s="163">
        <v>5.8933</v>
      </c>
      <c r="C118" s="163">
        <v>2.3174000000000001</v>
      </c>
      <c r="D118" s="163">
        <v>3.9E-2</v>
      </c>
      <c r="E118" s="163">
        <v>2.0356999999999998</v>
      </c>
      <c r="F118" s="163">
        <v>1.4432</v>
      </c>
      <c r="G118" s="163">
        <v>2.0799999999999999E-2</v>
      </c>
      <c r="H118" s="163" t="s">
        <v>137</v>
      </c>
      <c r="I118" s="163">
        <v>3.7199999999999997E-2</v>
      </c>
      <c r="J118" s="163" t="s">
        <v>137</v>
      </c>
      <c r="K118" s="163">
        <v>1.5012000000000001</v>
      </c>
      <c r="L118" s="163">
        <v>5.8000000000000003E-2</v>
      </c>
      <c r="M118" s="164">
        <v>4.3921000000000001</v>
      </c>
      <c r="P118" s="180"/>
    </row>
    <row r="119" spans="1:16" ht="15.5">
      <c r="A119" s="184" t="s">
        <v>378</v>
      </c>
      <c r="B119" s="163">
        <v>5.4306000000000001</v>
      </c>
      <c r="C119" s="163">
        <v>1.974</v>
      </c>
      <c r="D119" s="163">
        <v>3.7900000000000003E-2</v>
      </c>
      <c r="E119" s="163">
        <v>2.0581</v>
      </c>
      <c r="F119" s="163">
        <v>1.3079000000000001</v>
      </c>
      <c r="G119" s="163">
        <v>1.3899999999999999E-2</v>
      </c>
      <c r="H119" s="163" t="s">
        <v>137</v>
      </c>
      <c r="I119" s="163">
        <v>3.8800000000000001E-2</v>
      </c>
      <c r="J119" s="163" t="s">
        <v>137</v>
      </c>
      <c r="K119" s="163">
        <v>1.3606</v>
      </c>
      <c r="L119" s="163">
        <v>5.2699999999999997E-2</v>
      </c>
      <c r="M119" s="164">
        <v>4.07</v>
      </c>
      <c r="P119" s="180"/>
    </row>
    <row r="120" spans="1:16" ht="15.5">
      <c r="A120" s="184" t="s">
        <v>379</v>
      </c>
      <c r="B120" s="163">
        <v>5.2911999999999999</v>
      </c>
      <c r="C120" s="163">
        <v>1.5974999999999999</v>
      </c>
      <c r="D120" s="163">
        <v>4.2200000000000001E-2</v>
      </c>
      <c r="E120" s="163">
        <v>2.133</v>
      </c>
      <c r="F120" s="163">
        <v>1.4726999999999999</v>
      </c>
      <c r="G120" s="163">
        <v>1.04E-2</v>
      </c>
      <c r="H120" s="163" t="s">
        <v>137</v>
      </c>
      <c r="I120" s="163">
        <v>3.5400000000000001E-2</v>
      </c>
      <c r="J120" s="163" t="s">
        <v>137</v>
      </c>
      <c r="K120" s="163">
        <v>1.5185</v>
      </c>
      <c r="L120" s="163">
        <v>4.58E-2</v>
      </c>
      <c r="M120" s="164">
        <v>3.7728000000000002</v>
      </c>
      <c r="P120" s="180"/>
    </row>
    <row r="121" spans="1:16" ht="15.5">
      <c r="A121" s="184" t="s">
        <v>380</v>
      </c>
      <c r="B121" s="163">
        <v>5.5086000000000004</v>
      </c>
      <c r="C121" s="163">
        <v>1.6460999999999999</v>
      </c>
      <c r="D121" s="163">
        <v>4.2099999999999999E-2</v>
      </c>
      <c r="E121" s="163">
        <v>2.3121999999999998</v>
      </c>
      <c r="F121" s="163">
        <v>1.4562999999999999</v>
      </c>
      <c r="G121" s="163">
        <v>1.23E-2</v>
      </c>
      <c r="H121" s="163" t="s">
        <v>137</v>
      </c>
      <c r="I121" s="163">
        <v>3.9699999999999999E-2</v>
      </c>
      <c r="J121" s="163" t="s">
        <v>137</v>
      </c>
      <c r="K121" s="163">
        <v>1.5082</v>
      </c>
      <c r="L121" s="163">
        <v>5.1999999999999998E-2</v>
      </c>
      <c r="M121" s="164">
        <v>4.0004</v>
      </c>
      <c r="P121" s="180"/>
    </row>
    <row r="122" spans="1:16" ht="15.5">
      <c r="A122" s="184" t="s">
        <v>381</v>
      </c>
      <c r="B122" s="163">
        <v>5.7572999999999999</v>
      </c>
      <c r="C122" s="163">
        <v>1.9904999999999999</v>
      </c>
      <c r="D122" s="163">
        <v>4.5100000000000001E-2</v>
      </c>
      <c r="E122" s="163">
        <v>2.2766999999999999</v>
      </c>
      <c r="F122" s="163">
        <v>1.3783000000000001</v>
      </c>
      <c r="G122" s="163">
        <v>0.02</v>
      </c>
      <c r="H122" s="163" t="s">
        <v>137</v>
      </c>
      <c r="I122" s="163">
        <v>4.6800000000000001E-2</v>
      </c>
      <c r="J122" s="163" t="s">
        <v>137</v>
      </c>
      <c r="K122" s="163">
        <v>1.4451000000000001</v>
      </c>
      <c r="L122" s="163">
        <v>6.6799999999999998E-2</v>
      </c>
      <c r="M122" s="164">
        <v>4.3121999999999998</v>
      </c>
      <c r="P122" s="180"/>
    </row>
    <row r="123" spans="1:16" ht="15.5">
      <c r="A123" s="184" t="s">
        <v>382</v>
      </c>
      <c r="B123" s="163">
        <v>5.9081000000000001</v>
      </c>
      <c r="C123" s="163">
        <v>2.3822999999999999</v>
      </c>
      <c r="D123" s="163">
        <v>3.3099999999999997E-2</v>
      </c>
      <c r="E123" s="163">
        <v>1.9984999999999999</v>
      </c>
      <c r="F123" s="163">
        <v>1.4047000000000001</v>
      </c>
      <c r="G123" s="163">
        <v>3.27E-2</v>
      </c>
      <c r="H123" s="163" t="s">
        <v>137</v>
      </c>
      <c r="I123" s="163">
        <v>5.6800000000000003E-2</v>
      </c>
      <c r="J123" s="163" t="s">
        <v>137</v>
      </c>
      <c r="K123" s="163">
        <v>1.4942</v>
      </c>
      <c r="L123" s="163">
        <v>8.9499999999999996E-2</v>
      </c>
      <c r="M123" s="164">
        <v>4.4139999999999997</v>
      </c>
      <c r="P123" s="180"/>
    </row>
    <row r="124" spans="1:16" ht="15.5">
      <c r="A124" s="184" t="s">
        <v>383</v>
      </c>
      <c r="B124" s="163">
        <v>6.3893000000000004</v>
      </c>
      <c r="C124" s="163">
        <v>2.4958999999999998</v>
      </c>
      <c r="D124" s="163">
        <v>5.67E-2</v>
      </c>
      <c r="E124" s="163">
        <v>2.3734000000000002</v>
      </c>
      <c r="F124" s="163">
        <v>1.3622000000000001</v>
      </c>
      <c r="G124" s="163">
        <v>4.3400000000000001E-2</v>
      </c>
      <c r="H124" s="163" t="s">
        <v>137</v>
      </c>
      <c r="I124" s="163">
        <v>5.7700000000000001E-2</v>
      </c>
      <c r="J124" s="163" t="s">
        <v>137</v>
      </c>
      <c r="K124" s="163">
        <v>1.4633</v>
      </c>
      <c r="L124" s="163">
        <v>0.1011</v>
      </c>
      <c r="M124" s="164">
        <v>4.9260000000000002</v>
      </c>
      <c r="P124" s="180"/>
    </row>
    <row r="125" spans="1:16" ht="15.5">
      <c r="A125" s="184" t="s">
        <v>384</v>
      </c>
      <c r="B125" s="163">
        <v>6.8699000000000003</v>
      </c>
      <c r="C125" s="163">
        <v>3.0356000000000001</v>
      </c>
      <c r="D125" s="163">
        <v>5.5399999999999998E-2</v>
      </c>
      <c r="E125" s="163">
        <v>2.2968999999999999</v>
      </c>
      <c r="F125" s="163">
        <v>1.3851</v>
      </c>
      <c r="G125" s="163">
        <v>3.3399999999999999E-2</v>
      </c>
      <c r="H125" s="163" t="s">
        <v>137</v>
      </c>
      <c r="I125" s="163">
        <v>6.3500000000000001E-2</v>
      </c>
      <c r="J125" s="163" t="s">
        <v>137</v>
      </c>
      <c r="K125" s="163">
        <v>1.482</v>
      </c>
      <c r="L125" s="163">
        <v>9.69E-2</v>
      </c>
      <c r="M125" s="164">
        <v>5.3879000000000001</v>
      </c>
      <c r="P125" s="180"/>
    </row>
    <row r="126" spans="1:16" ht="15.5">
      <c r="A126" s="184" t="s">
        <v>385</v>
      </c>
      <c r="B126" s="163">
        <v>7.3619000000000003</v>
      </c>
      <c r="C126" s="163">
        <v>3.3704999999999998</v>
      </c>
      <c r="D126" s="163">
        <v>5.1200000000000002E-2</v>
      </c>
      <c r="E126" s="163">
        <v>2.2233999999999998</v>
      </c>
      <c r="F126" s="163">
        <v>1.6097999999999999</v>
      </c>
      <c r="G126" s="163">
        <v>4.1000000000000002E-2</v>
      </c>
      <c r="H126" s="163" t="s">
        <v>137</v>
      </c>
      <c r="I126" s="163">
        <v>6.6000000000000003E-2</v>
      </c>
      <c r="J126" s="163" t="s">
        <v>137</v>
      </c>
      <c r="K126" s="163">
        <v>1.7168000000000001</v>
      </c>
      <c r="L126" s="163">
        <v>0.107</v>
      </c>
      <c r="M126" s="164">
        <v>5.6451000000000002</v>
      </c>
      <c r="P126" s="180"/>
    </row>
    <row r="127" spans="1:16" ht="15.5">
      <c r="A127" s="184" t="s">
        <v>386</v>
      </c>
      <c r="B127" s="163">
        <v>7.3071999999999999</v>
      </c>
      <c r="C127" s="163">
        <v>3.218</v>
      </c>
      <c r="D127" s="163">
        <v>4.1200000000000001E-2</v>
      </c>
      <c r="E127" s="163">
        <v>2.0459999999999998</v>
      </c>
      <c r="F127" s="163">
        <v>1.8691</v>
      </c>
      <c r="G127" s="163">
        <v>5.3400000000000003E-2</v>
      </c>
      <c r="H127" s="163" t="s">
        <v>137</v>
      </c>
      <c r="I127" s="163">
        <v>7.9399999999999998E-2</v>
      </c>
      <c r="J127" s="163" t="s">
        <v>137</v>
      </c>
      <c r="K127" s="163">
        <v>2.0019999999999998</v>
      </c>
      <c r="L127" s="163">
        <v>0.13289999999999999</v>
      </c>
      <c r="M127" s="164">
        <v>5.3052000000000001</v>
      </c>
      <c r="P127" s="180"/>
    </row>
    <row r="128" spans="1:16" ht="15.5">
      <c r="A128" s="184" t="s">
        <v>387</v>
      </c>
      <c r="B128" s="163">
        <v>6.9726999999999997</v>
      </c>
      <c r="C128" s="163">
        <v>3.3279999999999998</v>
      </c>
      <c r="D128" s="163">
        <v>9.5600000000000004E-2</v>
      </c>
      <c r="E128" s="163">
        <v>1.8836999999999999</v>
      </c>
      <c r="F128" s="163">
        <v>1.5537000000000001</v>
      </c>
      <c r="G128" s="163">
        <v>3.5299999999999998E-2</v>
      </c>
      <c r="H128" s="163" t="s">
        <v>137</v>
      </c>
      <c r="I128" s="163">
        <v>7.6600000000000001E-2</v>
      </c>
      <c r="J128" s="163" t="s">
        <v>137</v>
      </c>
      <c r="K128" s="163">
        <v>1.6655</v>
      </c>
      <c r="L128" s="163">
        <v>0.1118</v>
      </c>
      <c r="M128" s="164">
        <v>5.3071999999999999</v>
      </c>
      <c r="P128" s="180"/>
    </row>
    <row r="129" spans="1:16" ht="15.5">
      <c r="A129" s="184" t="s">
        <v>388</v>
      </c>
      <c r="B129" s="163">
        <v>7.2919</v>
      </c>
      <c r="C129" s="163">
        <v>3.4089</v>
      </c>
      <c r="D129" s="163">
        <v>0.1229</v>
      </c>
      <c r="E129" s="163">
        <v>2.0318000000000001</v>
      </c>
      <c r="F129" s="163">
        <v>1.6331</v>
      </c>
      <c r="G129" s="163">
        <v>2.7400000000000001E-2</v>
      </c>
      <c r="H129" s="163" t="s">
        <v>137</v>
      </c>
      <c r="I129" s="163">
        <v>6.7799999999999999E-2</v>
      </c>
      <c r="J129" s="163" t="s">
        <v>137</v>
      </c>
      <c r="K129" s="163">
        <v>1.7282</v>
      </c>
      <c r="L129" s="163">
        <v>9.5100000000000004E-2</v>
      </c>
      <c r="M129" s="164">
        <v>5.5636000000000001</v>
      </c>
      <c r="P129" s="180"/>
    </row>
    <row r="130" spans="1:16" ht="15.5">
      <c r="A130" s="184" t="s">
        <v>389</v>
      </c>
      <c r="B130" s="163">
        <v>6.234</v>
      </c>
      <c r="C130" s="163">
        <v>2.4952000000000001</v>
      </c>
      <c r="D130" s="163">
        <v>3.1E-2</v>
      </c>
      <c r="E130" s="163">
        <v>2.2149999999999999</v>
      </c>
      <c r="F130" s="163">
        <v>1.4065000000000001</v>
      </c>
      <c r="G130" s="163">
        <v>2.5100000000000001E-2</v>
      </c>
      <c r="H130" s="163" t="s">
        <v>137</v>
      </c>
      <c r="I130" s="163">
        <v>6.1199999999999997E-2</v>
      </c>
      <c r="J130" s="163" t="s">
        <v>137</v>
      </c>
      <c r="K130" s="163">
        <v>1.4927999999999999</v>
      </c>
      <c r="L130" s="163">
        <v>8.6300000000000002E-2</v>
      </c>
      <c r="M130" s="164">
        <v>4.7412999999999998</v>
      </c>
      <c r="P130" s="180"/>
    </row>
    <row r="131" spans="1:16" ht="15.5">
      <c r="A131" s="184" t="s">
        <v>390</v>
      </c>
      <c r="B131" s="163">
        <v>5.8395999999999999</v>
      </c>
      <c r="C131" s="163">
        <v>1.9867999999999999</v>
      </c>
      <c r="D131" s="163">
        <v>2.93E-2</v>
      </c>
      <c r="E131" s="163">
        <v>2.2425000000000002</v>
      </c>
      <c r="F131" s="163">
        <v>1.4956</v>
      </c>
      <c r="G131" s="163">
        <v>2.23E-2</v>
      </c>
      <c r="H131" s="163" t="s">
        <v>137</v>
      </c>
      <c r="I131" s="163">
        <v>6.3200000000000006E-2</v>
      </c>
      <c r="J131" s="163" t="s">
        <v>137</v>
      </c>
      <c r="K131" s="163">
        <v>1.5810999999999999</v>
      </c>
      <c r="L131" s="163">
        <v>8.5400000000000004E-2</v>
      </c>
      <c r="M131" s="164">
        <v>4.2584999999999997</v>
      </c>
      <c r="P131" s="180"/>
    </row>
    <row r="132" spans="1:16" ht="15.5">
      <c r="A132" s="184" t="s">
        <v>391</v>
      </c>
      <c r="B132" s="163">
        <v>5.7262000000000004</v>
      </c>
      <c r="C132" s="163">
        <v>1.9338</v>
      </c>
      <c r="D132" s="163">
        <v>3.85E-2</v>
      </c>
      <c r="E132" s="163">
        <v>2.13</v>
      </c>
      <c r="F132" s="163">
        <v>1.5546</v>
      </c>
      <c r="G132" s="163">
        <v>1.9099999999999999E-2</v>
      </c>
      <c r="H132" s="163" t="s">
        <v>137</v>
      </c>
      <c r="I132" s="163">
        <v>5.0299999999999997E-2</v>
      </c>
      <c r="J132" s="163" t="s">
        <v>137</v>
      </c>
      <c r="K132" s="163">
        <v>1.6240000000000001</v>
      </c>
      <c r="L132" s="163">
        <v>6.9400000000000003E-2</v>
      </c>
      <c r="M132" s="164">
        <v>4.1021999999999998</v>
      </c>
      <c r="P132" s="180"/>
    </row>
    <row r="133" spans="1:16" ht="15.5">
      <c r="A133" s="184" t="s">
        <v>392</v>
      </c>
      <c r="B133" s="163">
        <v>5.7027000000000001</v>
      </c>
      <c r="C133" s="163">
        <v>1.7252000000000001</v>
      </c>
      <c r="D133" s="163">
        <v>3.9100000000000003E-2</v>
      </c>
      <c r="E133" s="163">
        <v>2.3018000000000001</v>
      </c>
      <c r="F133" s="163">
        <v>1.5663</v>
      </c>
      <c r="G133" s="163">
        <v>1.01E-2</v>
      </c>
      <c r="H133" s="163" t="s">
        <v>137</v>
      </c>
      <c r="I133" s="163">
        <v>6.0299999999999999E-2</v>
      </c>
      <c r="J133" s="163" t="s">
        <v>137</v>
      </c>
      <c r="K133" s="163">
        <v>1.6366000000000001</v>
      </c>
      <c r="L133" s="163">
        <v>7.0400000000000004E-2</v>
      </c>
      <c r="M133" s="164">
        <v>4.0659999999999998</v>
      </c>
      <c r="P133" s="180"/>
    </row>
    <row r="134" spans="1:16" ht="15.5">
      <c r="A134" s="184" t="s">
        <v>393</v>
      </c>
      <c r="B134" s="163">
        <v>5.6532999999999998</v>
      </c>
      <c r="C134" s="163">
        <v>1.7297</v>
      </c>
      <c r="D134" s="163">
        <v>3.8199999999999998E-2</v>
      </c>
      <c r="E134" s="163">
        <v>2.1269</v>
      </c>
      <c r="F134" s="163">
        <v>1.6891</v>
      </c>
      <c r="G134" s="163">
        <v>1.0800000000000001E-2</v>
      </c>
      <c r="H134" s="163" t="s">
        <v>137</v>
      </c>
      <c r="I134" s="163">
        <v>5.8599999999999999E-2</v>
      </c>
      <c r="J134" s="163" t="s">
        <v>137</v>
      </c>
      <c r="K134" s="163">
        <v>1.7585</v>
      </c>
      <c r="L134" s="163">
        <v>6.9400000000000003E-2</v>
      </c>
      <c r="M134" s="164">
        <v>3.8948</v>
      </c>
      <c r="P134" s="180"/>
    </row>
    <row r="135" spans="1:16" ht="15.5">
      <c r="A135" s="184" t="s">
        <v>394</v>
      </c>
      <c r="B135" s="163">
        <v>5.7919</v>
      </c>
      <c r="C135" s="163">
        <v>1.8946000000000001</v>
      </c>
      <c r="D135" s="163">
        <v>4.5900000000000003E-2</v>
      </c>
      <c r="E135" s="163">
        <v>2.4241000000000001</v>
      </c>
      <c r="F135" s="163">
        <v>1.3306</v>
      </c>
      <c r="G135" s="163">
        <v>2.0899999999999998E-2</v>
      </c>
      <c r="H135" s="163" t="s">
        <v>137</v>
      </c>
      <c r="I135" s="163">
        <v>7.5700000000000003E-2</v>
      </c>
      <c r="J135" s="163" t="s">
        <v>137</v>
      </c>
      <c r="K135" s="163">
        <v>1.4272</v>
      </c>
      <c r="L135" s="163">
        <v>9.6600000000000005E-2</v>
      </c>
      <c r="M135" s="164">
        <v>4.3647</v>
      </c>
      <c r="P135" s="180"/>
    </row>
    <row r="136" spans="1:16" ht="15.5">
      <c r="A136" s="184" t="s">
        <v>395</v>
      </c>
      <c r="B136" s="163">
        <v>6.2085999999999997</v>
      </c>
      <c r="C136" s="163">
        <v>2.3782999999999999</v>
      </c>
      <c r="D136" s="163">
        <v>5.3100000000000001E-2</v>
      </c>
      <c r="E136" s="163">
        <v>2.4199000000000002</v>
      </c>
      <c r="F136" s="163">
        <v>1.2541</v>
      </c>
      <c r="G136" s="163">
        <v>3.49E-2</v>
      </c>
      <c r="H136" s="163" t="s">
        <v>137</v>
      </c>
      <c r="I136" s="163">
        <v>6.8500000000000005E-2</v>
      </c>
      <c r="J136" s="163" t="s">
        <v>137</v>
      </c>
      <c r="K136" s="163">
        <v>1.3573999999999999</v>
      </c>
      <c r="L136" s="163">
        <v>0.10340000000000001</v>
      </c>
      <c r="M136" s="164">
        <v>4.8512000000000004</v>
      </c>
      <c r="P136" s="180"/>
    </row>
    <row r="137" spans="1:16" ht="15.5">
      <c r="A137" s="184" t="s">
        <v>396</v>
      </c>
      <c r="B137" s="163">
        <v>7.1249000000000002</v>
      </c>
      <c r="C137" s="163">
        <v>3.4775999999999998</v>
      </c>
      <c r="D137" s="163">
        <v>0.16950000000000001</v>
      </c>
      <c r="E137" s="163">
        <v>1.9274</v>
      </c>
      <c r="F137" s="163">
        <v>1.4291</v>
      </c>
      <c r="G137" s="163">
        <v>4.0300000000000002E-2</v>
      </c>
      <c r="H137" s="163" t="s">
        <v>137</v>
      </c>
      <c r="I137" s="163">
        <v>8.1000000000000003E-2</v>
      </c>
      <c r="J137" s="163" t="s">
        <v>137</v>
      </c>
      <c r="K137" s="163">
        <v>1.5504</v>
      </c>
      <c r="L137" s="163">
        <v>0.12130000000000001</v>
      </c>
      <c r="M137" s="164">
        <v>5.5744999999999996</v>
      </c>
      <c r="P137" s="180"/>
    </row>
    <row r="138" spans="1:16" ht="15.5">
      <c r="A138" s="184" t="s">
        <v>397</v>
      </c>
      <c r="B138" s="163">
        <v>7.6233000000000004</v>
      </c>
      <c r="C138" s="163">
        <v>4.0778999999999996</v>
      </c>
      <c r="D138" s="163">
        <v>0.1787</v>
      </c>
      <c r="E138" s="163">
        <v>1.6716</v>
      </c>
      <c r="F138" s="163">
        <v>1.5899000000000001</v>
      </c>
      <c r="G138" s="163">
        <v>2.9600000000000001E-2</v>
      </c>
      <c r="H138" s="163" t="s">
        <v>137</v>
      </c>
      <c r="I138" s="163">
        <v>7.5700000000000003E-2</v>
      </c>
      <c r="J138" s="163" t="s">
        <v>137</v>
      </c>
      <c r="K138" s="163">
        <v>1.6951000000000001</v>
      </c>
      <c r="L138" s="163">
        <v>0.1053</v>
      </c>
      <c r="M138" s="164">
        <v>5.9282000000000004</v>
      </c>
      <c r="P138" s="180"/>
    </row>
    <row r="139" spans="1:16" ht="15.5">
      <c r="A139" s="184" t="s">
        <v>398</v>
      </c>
      <c r="B139" s="163">
        <v>7.8559999999999999</v>
      </c>
      <c r="C139" s="163">
        <v>4.0609000000000002</v>
      </c>
      <c r="D139" s="163">
        <v>0.16259999999999999</v>
      </c>
      <c r="E139" s="163">
        <v>1.7596000000000001</v>
      </c>
      <c r="F139" s="163">
        <v>1.7553000000000001</v>
      </c>
      <c r="G139" s="163">
        <v>3.2899999999999999E-2</v>
      </c>
      <c r="H139" s="163" t="s">
        <v>137</v>
      </c>
      <c r="I139" s="163">
        <v>8.4699999999999998E-2</v>
      </c>
      <c r="J139" s="163" t="s">
        <v>137</v>
      </c>
      <c r="K139" s="163">
        <v>1.8729</v>
      </c>
      <c r="L139" s="163">
        <v>0.1176</v>
      </c>
      <c r="M139" s="164">
        <v>5.9831000000000003</v>
      </c>
      <c r="P139" s="180"/>
    </row>
    <row r="140" spans="1:16" ht="15.5">
      <c r="A140" s="184" t="s">
        <v>399</v>
      </c>
      <c r="B140" s="163">
        <v>7.1521999999999997</v>
      </c>
      <c r="C140" s="163">
        <v>3.6191</v>
      </c>
      <c r="D140" s="163">
        <v>0.1502</v>
      </c>
      <c r="E140" s="163">
        <v>1.6826000000000001</v>
      </c>
      <c r="F140" s="163">
        <v>1.5470999999999999</v>
      </c>
      <c r="G140" s="163">
        <v>2.1299999999999999E-2</v>
      </c>
      <c r="H140" s="163" t="s">
        <v>137</v>
      </c>
      <c r="I140" s="163">
        <v>0.13189999999999999</v>
      </c>
      <c r="J140" s="163" t="s">
        <v>137</v>
      </c>
      <c r="K140" s="163">
        <v>1.7002999999999999</v>
      </c>
      <c r="L140" s="163">
        <v>0.1532</v>
      </c>
      <c r="M140" s="164">
        <v>5.4519000000000002</v>
      </c>
      <c r="P140" s="180"/>
    </row>
    <row r="141" spans="1:16" ht="15.5">
      <c r="A141" s="184" t="s">
        <v>400</v>
      </c>
      <c r="B141" s="163">
        <v>7.6936999999999998</v>
      </c>
      <c r="C141" s="163">
        <v>3.9664999999999999</v>
      </c>
      <c r="D141" s="163">
        <v>0.247</v>
      </c>
      <c r="E141" s="163">
        <v>1.6028</v>
      </c>
      <c r="F141" s="163">
        <v>1.776</v>
      </c>
      <c r="G141" s="163">
        <v>2.18E-2</v>
      </c>
      <c r="H141" s="163" t="s">
        <v>137</v>
      </c>
      <c r="I141" s="163">
        <v>7.9600000000000004E-2</v>
      </c>
      <c r="J141" s="163" t="s">
        <v>137</v>
      </c>
      <c r="K141" s="163">
        <v>1.8774</v>
      </c>
      <c r="L141" s="163">
        <v>0.1014</v>
      </c>
      <c r="M141" s="164">
        <v>5.8163</v>
      </c>
      <c r="P141" s="180"/>
    </row>
    <row r="142" spans="1:16" ht="15.5">
      <c r="A142" s="184" t="s">
        <v>401</v>
      </c>
      <c r="B142" s="163">
        <v>6.0614999999999997</v>
      </c>
      <c r="C142" s="163">
        <v>2.4870000000000001</v>
      </c>
      <c r="D142" s="163">
        <v>3.6600000000000001E-2</v>
      </c>
      <c r="E142" s="163">
        <v>1.8978999999999999</v>
      </c>
      <c r="F142" s="163">
        <v>1.5679000000000001</v>
      </c>
      <c r="G142" s="163">
        <v>2.7E-2</v>
      </c>
      <c r="H142" s="163" t="s">
        <v>137</v>
      </c>
      <c r="I142" s="163">
        <v>4.4999999999999998E-2</v>
      </c>
      <c r="J142" s="163" t="s">
        <v>137</v>
      </c>
      <c r="K142" s="163">
        <v>1.6398999999999999</v>
      </c>
      <c r="L142" s="163">
        <v>7.1999999999999995E-2</v>
      </c>
      <c r="M142" s="164">
        <v>4.4215999999999998</v>
      </c>
      <c r="P142" s="180"/>
    </row>
    <row r="143" spans="1:16" ht="15.5">
      <c r="A143" s="184" t="s">
        <v>402</v>
      </c>
      <c r="B143" s="163">
        <v>5.9421999999999997</v>
      </c>
      <c r="C143" s="163">
        <v>2.5007999999999999</v>
      </c>
      <c r="D143" s="163">
        <v>3.5099999999999999E-2</v>
      </c>
      <c r="E143" s="163">
        <v>1.7957000000000001</v>
      </c>
      <c r="F143" s="163">
        <v>1.5426</v>
      </c>
      <c r="G143" s="163">
        <v>2.3599999999999999E-2</v>
      </c>
      <c r="H143" s="163" t="s">
        <v>137</v>
      </c>
      <c r="I143" s="163">
        <v>4.4499999999999998E-2</v>
      </c>
      <c r="J143" s="163" t="s">
        <v>137</v>
      </c>
      <c r="K143" s="163">
        <v>1.6107</v>
      </c>
      <c r="L143" s="163">
        <v>6.8000000000000005E-2</v>
      </c>
      <c r="M143" s="164">
        <v>4.3315000000000001</v>
      </c>
      <c r="P143" s="180"/>
    </row>
    <row r="144" spans="1:16" ht="15.5">
      <c r="A144" s="184" t="s">
        <v>403</v>
      </c>
      <c r="B144" s="163">
        <v>5.6081000000000003</v>
      </c>
      <c r="C144" s="163">
        <v>2.1084000000000001</v>
      </c>
      <c r="D144" s="163">
        <v>3.9899999999999998E-2</v>
      </c>
      <c r="E144" s="163">
        <v>2.0106000000000002</v>
      </c>
      <c r="F144" s="163">
        <v>1.3937999999999999</v>
      </c>
      <c r="G144" s="163">
        <v>1.47E-2</v>
      </c>
      <c r="H144" s="163" t="s">
        <v>137</v>
      </c>
      <c r="I144" s="163">
        <v>4.0500000000000001E-2</v>
      </c>
      <c r="J144" s="163" t="s">
        <v>137</v>
      </c>
      <c r="K144" s="163">
        <v>1.4491000000000001</v>
      </c>
      <c r="L144" s="163">
        <v>5.5199999999999999E-2</v>
      </c>
      <c r="M144" s="164">
        <v>4.1589999999999998</v>
      </c>
      <c r="P144" s="180"/>
    </row>
    <row r="145" spans="1:16" ht="15.5">
      <c r="A145" s="184" t="s">
        <v>404</v>
      </c>
      <c r="B145" s="163">
        <v>5.9208999999999996</v>
      </c>
      <c r="C145" s="163">
        <v>2.3622000000000001</v>
      </c>
      <c r="D145" s="163">
        <v>5.96E-2</v>
      </c>
      <c r="E145" s="163">
        <v>1.9966999999999999</v>
      </c>
      <c r="F145" s="163">
        <v>1.4450000000000001</v>
      </c>
      <c r="G145" s="163">
        <v>1.0699999999999999E-2</v>
      </c>
      <c r="H145" s="163" t="s">
        <v>137</v>
      </c>
      <c r="I145" s="163">
        <v>4.6699999999999998E-2</v>
      </c>
      <c r="J145" s="163" t="s">
        <v>137</v>
      </c>
      <c r="K145" s="163">
        <v>1.5024</v>
      </c>
      <c r="L145" s="163">
        <v>5.74E-2</v>
      </c>
      <c r="M145" s="164">
        <v>4.4184999999999999</v>
      </c>
      <c r="P145" s="180"/>
    </row>
    <row r="146" spans="1:16" ht="15.5">
      <c r="A146" s="184" t="s">
        <v>405</v>
      </c>
      <c r="B146" s="163">
        <v>5.6608000000000001</v>
      </c>
      <c r="C146" s="163">
        <v>2.0924</v>
      </c>
      <c r="D146" s="163">
        <v>2.8899999999999999E-2</v>
      </c>
      <c r="E146" s="163">
        <v>1.954</v>
      </c>
      <c r="F146" s="163">
        <v>1.5375000000000001</v>
      </c>
      <c r="G146" s="163">
        <v>1.0699999999999999E-2</v>
      </c>
      <c r="H146" s="163" t="s">
        <v>137</v>
      </c>
      <c r="I146" s="163">
        <v>3.73E-2</v>
      </c>
      <c r="J146" s="163" t="s">
        <v>137</v>
      </c>
      <c r="K146" s="163">
        <v>1.5854999999999999</v>
      </c>
      <c r="L146" s="163">
        <v>4.8000000000000001E-2</v>
      </c>
      <c r="M146" s="164">
        <v>4.0753000000000004</v>
      </c>
      <c r="P146" s="180"/>
    </row>
    <row r="147" spans="1:16" ht="15.5">
      <c r="A147" s="184" t="s">
        <v>406</v>
      </c>
      <c r="B147" s="163">
        <v>5.7980999999999998</v>
      </c>
      <c r="C147" s="163">
        <v>2.1288</v>
      </c>
      <c r="D147" s="163">
        <v>2.93E-2</v>
      </c>
      <c r="E147" s="163">
        <v>2.2905000000000002</v>
      </c>
      <c r="F147" s="163">
        <v>1.2841</v>
      </c>
      <c r="G147" s="163">
        <v>2.3E-2</v>
      </c>
      <c r="H147" s="163" t="s">
        <v>137</v>
      </c>
      <c r="I147" s="163">
        <v>4.24E-2</v>
      </c>
      <c r="J147" s="163" t="s">
        <v>137</v>
      </c>
      <c r="K147" s="163">
        <v>1.3494999999999999</v>
      </c>
      <c r="L147" s="163">
        <v>6.54E-2</v>
      </c>
      <c r="M147" s="164">
        <v>4.4485999999999999</v>
      </c>
      <c r="P147" s="180"/>
    </row>
    <row r="148" spans="1:16" ht="15.5">
      <c r="A148" s="184" t="s">
        <v>407</v>
      </c>
      <c r="B148" s="163">
        <v>6.2007000000000003</v>
      </c>
      <c r="C148" s="163">
        <v>2.4737</v>
      </c>
      <c r="D148" s="163">
        <v>5.6000000000000001E-2</v>
      </c>
      <c r="E148" s="163">
        <v>2.5897000000000001</v>
      </c>
      <c r="F148" s="163">
        <v>1.0004</v>
      </c>
      <c r="G148" s="163">
        <v>3.3000000000000002E-2</v>
      </c>
      <c r="H148" s="163" t="s">
        <v>137</v>
      </c>
      <c r="I148" s="163">
        <v>4.7899999999999998E-2</v>
      </c>
      <c r="J148" s="163" t="s">
        <v>137</v>
      </c>
      <c r="K148" s="163">
        <v>1.0812999999999999</v>
      </c>
      <c r="L148" s="163">
        <v>8.09E-2</v>
      </c>
      <c r="M148" s="164">
        <v>5.1193999999999997</v>
      </c>
      <c r="P148" s="180"/>
    </row>
    <row r="149" spans="1:16" ht="15.5">
      <c r="A149" s="184" t="s">
        <v>408</v>
      </c>
      <c r="B149" s="163">
        <v>6.9645999999999999</v>
      </c>
      <c r="C149" s="163">
        <v>3.5632999999999999</v>
      </c>
      <c r="D149" s="163">
        <v>5.7700000000000001E-2</v>
      </c>
      <c r="E149" s="163">
        <v>2.1629999999999998</v>
      </c>
      <c r="F149" s="163">
        <v>1.0680000000000001</v>
      </c>
      <c r="G149" s="163">
        <v>4.3999999999999997E-2</v>
      </c>
      <c r="H149" s="163" t="s">
        <v>137</v>
      </c>
      <c r="I149" s="163">
        <v>6.8599999999999994E-2</v>
      </c>
      <c r="J149" s="163" t="s">
        <v>137</v>
      </c>
      <c r="K149" s="163">
        <v>1.1806000000000001</v>
      </c>
      <c r="L149" s="163">
        <v>0.11260000000000001</v>
      </c>
      <c r="M149" s="164">
        <v>5.7839999999999998</v>
      </c>
      <c r="P149" s="180"/>
    </row>
    <row r="150" spans="1:16" ht="15.5">
      <c r="A150" s="184" t="s">
        <v>409</v>
      </c>
      <c r="B150" s="163">
        <v>7.1936</v>
      </c>
      <c r="C150" s="163">
        <v>3.6349999999999998</v>
      </c>
      <c r="D150" s="163">
        <v>5.5199999999999999E-2</v>
      </c>
      <c r="E150" s="163">
        <v>2.1732999999999998</v>
      </c>
      <c r="F150" s="163">
        <v>1.2133</v>
      </c>
      <c r="G150" s="163">
        <v>5.4800000000000001E-2</v>
      </c>
      <c r="H150" s="163" t="s">
        <v>137</v>
      </c>
      <c r="I150" s="163">
        <v>6.2E-2</v>
      </c>
      <c r="J150" s="163" t="s">
        <v>137</v>
      </c>
      <c r="K150" s="163">
        <v>1.3301000000000001</v>
      </c>
      <c r="L150" s="163">
        <v>0.1168</v>
      </c>
      <c r="M150" s="164">
        <v>5.8635000000000002</v>
      </c>
      <c r="P150" s="180"/>
    </row>
    <row r="151" spans="1:16" ht="15.5">
      <c r="A151" s="184" t="s">
        <v>410</v>
      </c>
      <c r="B151" s="163">
        <v>7.32</v>
      </c>
      <c r="C151" s="163">
        <v>3.6269999999999998</v>
      </c>
      <c r="D151" s="163">
        <v>5.7299999999999997E-2</v>
      </c>
      <c r="E151" s="163">
        <v>2.2288999999999999</v>
      </c>
      <c r="F151" s="163">
        <v>1.2329000000000001</v>
      </c>
      <c r="G151" s="163">
        <v>5.7200000000000001E-2</v>
      </c>
      <c r="H151" s="163">
        <v>4.0399999999999998E-2</v>
      </c>
      <c r="I151" s="163">
        <v>7.6300000000000007E-2</v>
      </c>
      <c r="J151" s="163" t="s">
        <v>137</v>
      </c>
      <c r="K151" s="163">
        <v>1.4068000000000001</v>
      </c>
      <c r="L151" s="163">
        <v>0.1739</v>
      </c>
      <c r="M151" s="164">
        <v>5.9132999999999996</v>
      </c>
      <c r="P151" s="180"/>
    </row>
    <row r="152" spans="1:16" ht="15.5">
      <c r="A152" s="184" t="s">
        <v>411</v>
      </c>
      <c r="B152" s="163">
        <v>6.4798999999999998</v>
      </c>
      <c r="C152" s="163">
        <v>2.7105000000000001</v>
      </c>
      <c r="D152" s="163">
        <v>5.0799999999999998E-2</v>
      </c>
      <c r="E152" s="163">
        <v>2.4927000000000001</v>
      </c>
      <c r="F152" s="163">
        <v>1.1002000000000001</v>
      </c>
      <c r="G152" s="163">
        <v>3.6400000000000002E-2</v>
      </c>
      <c r="H152" s="163">
        <v>2.4500000000000001E-2</v>
      </c>
      <c r="I152" s="163">
        <v>6.4899999999999999E-2</v>
      </c>
      <c r="J152" s="163" t="s">
        <v>137</v>
      </c>
      <c r="K152" s="163">
        <v>1.2259</v>
      </c>
      <c r="L152" s="163">
        <v>0.1258</v>
      </c>
      <c r="M152" s="164">
        <v>5.2539999999999996</v>
      </c>
      <c r="P152" s="180"/>
    </row>
    <row r="153" spans="1:16" ht="15.5">
      <c r="A153" s="184" t="s">
        <v>412</v>
      </c>
      <c r="B153" s="163">
        <v>6.7058</v>
      </c>
      <c r="C153" s="163">
        <v>2.7877999999999998</v>
      </c>
      <c r="D153" s="163">
        <v>5.8000000000000003E-2</v>
      </c>
      <c r="E153" s="163">
        <v>2.5991</v>
      </c>
      <c r="F153" s="163">
        <v>1.1294</v>
      </c>
      <c r="G153" s="163">
        <v>4.9500000000000002E-2</v>
      </c>
      <c r="H153" s="163">
        <v>3.2500000000000001E-2</v>
      </c>
      <c r="I153" s="163">
        <v>4.9399999999999999E-2</v>
      </c>
      <c r="J153" s="163" t="s">
        <v>137</v>
      </c>
      <c r="K153" s="163">
        <v>1.2607999999999999</v>
      </c>
      <c r="L153" s="163">
        <v>0.13139999999999999</v>
      </c>
      <c r="M153" s="164">
        <v>5.4450000000000003</v>
      </c>
      <c r="P153" s="180"/>
    </row>
    <row r="154" spans="1:16" ht="15.5">
      <c r="A154" s="184" t="s">
        <v>413</v>
      </c>
      <c r="B154" s="163">
        <v>5.7549999999999999</v>
      </c>
      <c r="C154" s="163">
        <v>1.9333</v>
      </c>
      <c r="D154" s="163">
        <v>3.6700000000000003E-2</v>
      </c>
      <c r="E154" s="163">
        <v>2.6364000000000001</v>
      </c>
      <c r="F154" s="163">
        <v>1.0702</v>
      </c>
      <c r="G154" s="163">
        <v>1.9900000000000001E-2</v>
      </c>
      <c r="H154" s="163">
        <v>1.7100000000000001E-2</v>
      </c>
      <c r="I154" s="163">
        <v>4.1500000000000002E-2</v>
      </c>
      <c r="J154" s="163" t="s">
        <v>137</v>
      </c>
      <c r="K154" s="163">
        <v>1.1487000000000001</v>
      </c>
      <c r="L154" s="163">
        <v>7.85E-2</v>
      </c>
      <c r="M154" s="164">
        <v>4.6063999999999998</v>
      </c>
      <c r="P154" s="180"/>
    </row>
    <row r="155" spans="1:16" ht="15.5">
      <c r="A155" s="184" t="s">
        <v>414</v>
      </c>
      <c r="B155" s="163">
        <v>5.8884999999999996</v>
      </c>
      <c r="C155" s="163">
        <v>2.2961</v>
      </c>
      <c r="D155" s="163">
        <v>3.1600000000000003E-2</v>
      </c>
      <c r="E155" s="163">
        <v>2.3795999999999999</v>
      </c>
      <c r="F155" s="163">
        <v>1.0851999999999999</v>
      </c>
      <c r="G155" s="163">
        <v>2.12E-2</v>
      </c>
      <c r="H155" s="163">
        <v>2.23E-2</v>
      </c>
      <c r="I155" s="163">
        <v>5.2600000000000001E-2</v>
      </c>
      <c r="J155" s="163" t="s">
        <v>137</v>
      </c>
      <c r="K155" s="163">
        <v>1.1813</v>
      </c>
      <c r="L155" s="163">
        <v>9.6100000000000005E-2</v>
      </c>
      <c r="M155" s="164">
        <v>4.7072000000000003</v>
      </c>
      <c r="P155" s="180"/>
    </row>
    <row r="156" spans="1:16" ht="15.5">
      <c r="A156" s="184" t="s">
        <v>415</v>
      </c>
      <c r="B156" s="163">
        <v>5.4550999999999998</v>
      </c>
      <c r="C156" s="163">
        <v>1.7483</v>
      </c>
      <c r="D156" s="163">
        <v>4.4900000000000002E-2</v>
      </c>
      <c r="E156" s="163">
        <v>2.3754</v>
      </c>
      <c r="F156" s="163">
        <v>1.2111000000000001</v>
      </c>
      <c r="G156" s="163">
        <v>1.6E-2</v>
      </c>
      <c r="H156" s="163">
        <v>1.4200000000000001E-2</v>
      </c>
      <c r="I156" s="163">
        <v>4.53E-2</v>
      </c>
      <c r="J156" s="163" t="s">
        <v>137</v>
      </c>
      <c r="K156" s="163">
        <v>1.2865</v>
      </c>
      <c r="L156" s="163">
        <v>7.5399999999999995E-2</v>
      </c>
      <c r="M156" s="164">
        <v>4.1685999999999996</v>
      </c>
      <c r="P156" s="180"/>
    </row>
    <row r="157" spans="1:16" ht="15.5">
      <c r="A157" s="184" t="s">
        <v>416</v>
      </c>
      <c r="B157" s="163">
        <v>5.6791</v>
      </c>
      <c r="C157" s="163">
        <v>2.1815000000000002</v>
      </c>
      <c r="D157" s="163">
        <v>4.1700000000000001E-2</v>
      </c>
      <c r="E157" s="163">
        <v>2.0112999999999999</v>
      </c>
      <c r="F157" s="163">
        <v>1.3614999999999999</v>
      </c>
      <c r="G157" s="163">
        <v>1.95E-2</v>
      </c>
      <c r="H157" s="163">
        <v>2.0299999999999999E-2</v>
      </c>
      <c r="I157" s="163">
        <v>4.3299999999999998E-2</v>
      </c>
      <c r="J157" s="163" t="s">
        <v>137</v>
      </c>
      <c r="K157" s="163">
        <v>1.4446000000000001</v>
      </c>
      <c r="L157" s="163">
        <v>8.3000000000000004E-2</v>
      </c>
      <c r="M157" s="164">
        <v>4.2344999999999997</v>
      </c>
      <c r="P157" s="180"/>
    </row>
    <row r="158" spans="1:16" ht="15.5">
      <c r="A158" s="184" t="s">
        <v>417</v>
      </c>
      <c r="B158" s="163">
        <v>5.5574000000000003</v>
      </c>
      <c r="C158" s="163">
        <v>2.1364000000000001</v>
      </c>
      <c r="D158" s="163">
        <v>4.7800000000000002E-2</v>
      </c>
      <c r="E158" s="163">
        <v>2.0661999999999998</v>
      </c>
      <c r="F158" s="163">
        <v>1.2231000000000001</v>
      </c>
      <c r="G158" s="163">
        <v>2.1600000000000001E-2</v>
      </c>
      <c r="H158" s="163">
        <v>2.3800000000000002E-2</v>
      </c>
      <c r="I158" s="163">
        <v>3.85E-2</v>
      </c>
      <c r="J158" s="163" t="s">
        <v>137</v>
      </c>
      <c r="K158" s="163">
        <v>1.3070999999999999</v>
      </c>
      <c r="L158" s="163">
        <v>8.4000000000000005E-2</v>
      </c>
      <c r="M158" s="164">
        <v>4.2503000000000002</v>
      </c>
      <c r="P158" s="180"/>
    </row>
    <row r="159" spans="1:16" ht="15.5">
      <c r="A159" s="184" t="s">
        <v>418</v>
      </c>
      <c r="B159" s="163">
        <v>5.6097000000000001</v>
      </c>
      <c r="C159" s="163">
        <v>2.1354000000000002</v>
      </c>
      <c r="D159" s="163">
        <v>4.6899999999999997E-2</v>
      </c>
      <c r="E159" s="163">
        <v>2.0720999999999998</v>
      </c>
      <c r="F159" s="163">
        <v>1.2732000000000001</v>
      </c>
      <c r="G159" s="163">
        <v>2.1999999999999999E-2</v>
      </c>
      <c r="H159" s="163">
        <v>2.46E-2</v>
      </c>
      <c r="I159" s="163">
        <v>3.5400000000000001E-2</v>
      </c>
      <c r="J159" s="163" t="s">
        <v>137</v>
      </c>
      <c r="K159" s="163">
        <v>1.3552999999999999</v>
      </c>
      <c r="L159" s="163">
        <v>8.2000000000000003E-2</v>
      </c>
      <c r="M159" s="164">
        <v>4.2544000000000004</v>
      </c>
      <c r="P159" s="180"/>
    </row>
    <row r="160" spans="1:16" ht="15.5">
      <c r="A160" s="184" t="s">
        <v>419</v>
      </c>
      <c r="B160" s="163">
        <v>6.5551000000000004</v>
      </c>
      <c r="C160" s="163">
        <v>2.9552999999999998</v>
      </c>
      <c r="D160" s="163">
        <v>9.4799999999999995E-2</v>
      </c>
      <c r="E160" s="163">
        <v>2.3077000000000001</v>
      </c>
      <c r="F160" s="163">
        <v>1.1005</v>
      </c>
      <c r="G160" s="163">
        <v>2.1499999999999998E-2</v>
      </c>
      <c r="H160" s="163">
        <v>1.9800000000000002E-2</v>
      </c>
      <c r="I160" s="163">
        <v>5.5500000000000001E-2</v>
      </c>
      <c r="J160" s="163" t="s">
        <v>137</v>
      </c>
      <c r="K160" s="163">
        <v>1.1973</v>
      </c>
      <c r="L160" s="163">
        <v>9.6799999999999997E-2</v>
      </c>
      <c r="M160" s="164">
        <v>5.3578000000000001</v>
      </c>
      <c r="P160" s="180"/>
    </row>
    <row r="161" spans="1:16" ht="15.5">
      <c r="A161" s="184" t="s">
        <v>420</v>
      </c>
      <c r="B161" s="163">
        <v>7.0914000000000001</v>
      </c>
      <c r="C161" s="163">
        <v>3.5893999999999999</v>
      </c>
      <c r="D161" s="163">
        <v>0.1053</v>
      </c>
      <c r="E161" s="163">
        <v>2.1635</v>
      </c>
      <c r="F161" s="163">
        <v>1.1135999999999999</v>
      </c>
      <c r="G161" s="163">
        <v>3.15E-2</v>
      </c>
      <c r="H161" s="163">
        <v>2.8799999999999999E-2</v>
      </c>
      <c r="I161" s="163">
        <v>5.9400000000000001E-2</v>
      </c>
      <c r="J161" s="163" t="s">
        <v>137</v>
      </c>
      <c r="K161" s="163">
        <v>1.2333000000000001</v>
      </c>
      <c r="L161" s="163">
        <v>0.1197</v>
      </c>
      <c r="M161" s="164">
        <v>5.8582000000000001</v>
      </c>
      <c r="P161" s="180"/>
    </row>
    <row r="162" spans="1:16" ht="15.5">
      <c r="A162" s="184" t="s">
        <v>421</v>
      </c>
      <c r="B162" s="163">
        <v>7.4188000000000001</v>
      </c>
      <c r="C162" s="163">
        <v>3.8898999999999999</v>
      </c>
      <c r="D162" s="163">
        <v>8.3199999999999996E-2</v>
      </c>
      <c r="E162" s="163">
        <v>2.1680999999999999</v>
      </c>
      <c r="F162" s="163">
        <v>1.1356999999999999</v>
      </c>
      <c r="G162" s="163">
        <v>4.0099999999999997E-2</v>
      </c>
      <c r="H162" s="163">
        <v>3.8600000000000002E-2</v>
      </c>
      <c r="I162" s="163">
        <v>6.3100000000000003E-2</v>
      </c>
      <c r="J162" s="163" t="s">
        <v>137</v>
      </c>
      <c r="K162" s="163">
        <v>1.2776000000000001</v>
      </c>
      <c r="L162" s="163">
        <v>0.14180000000000001</v>
      </c>
      <c r="M162" s="164">
        <v>6.1412000000000004</v>
      </c>
      <c r="P162" s="180"/>
    </row>
    <row r="163" spans="1:16" ht="15.5">
      <c r="A163" s="184" t="s">
        <v>422</v>
      </c>
      <c r="B163" s="163">
        <v>6.8318000000000003</v>
      </c>
      <c r="C163" s="163">
        <v>2.948</v>
      </c>
      <c r="D163" s="163">
        <v>7.8299999999999995E-2</v>
      </c>
      <c r="E163" s="163">
        <v>2.4819</v>
      </c>
      <c r="F163" s="163">
        <v>1.1512</v>
      </c>
      <c r="G163" s="163">
        <v>5.3499999999999999E-2</v>
      </c>
      <c r="H163" s="163">
        <v>5.5399999999999998E-2</v>
      </c>
      <c r="I163" s="163">
        <v>6.3500000000000001E-2</v>
      </c>
      <c r="J163" s="163" t="s">
        <v>137</v>
      </c>
      <c r="K163" s="163">
        <v>1.3234999999999999</v>
      </c>
      <c r="L163" s="163">
        <v>0.17230000000000001</v>
      </c>
      <c r="M163" s="164">
        <v>5.5082000000000004</v>
      </c>
      <c r="P163" s="180"/>
    </row>
    <row r="164" spans="1:16" ht="15.5">
      <c r="A164" s="184" t="s">
        <v>423</v>
      </c>
      <c r="B164" s="163">
        <v>6.6105</v>
      </c>
      <c r="C164" s="163">
        <v>2.6448999999999998</v>
      </c>
      <c r="D164" s="163">
        <v>6.6600000000000006E-2</v>
      </c>
      <c r="E164" s="163">
        <v>2.6284000000000001</v>
      </c>
      <c r="F164" s="163">
        <v>1.1187</v>
      </c>
      <c r="G164" s="163">
        <v>4.48E-2</v>
      </c>
      <c r="H164" s="163">
        <v>4.0599999999999997E-2</v>
      </c>
      <c r="I164" s="163">
        <v>6.6500000000000004E-2</v>
      </c>
      <c r="J164" s="163" t="s">
        <v>137</v>
      </c>
      <c r="K164" s="163">
        <v>1.2706</v>
      </c>
      <c r="L164" s="163">
        <v>0.15190000000000001</v>
      </c>
      <c r="M164" s="164">
        <v>5.3399000000000001</v>
      </c>
      <c r="P164" s="180"/>
    </row>
    <row r="165" spans="1:16" ht="15.5">
      <c r="A165" s="184" t="s">
        <v>424</v>
      </c>
      <c r="B165" s="163">
        <v>6.6959</v>
      </c>
      <c r="C165" s="163">
        <v>2.7641</v>
      </c>
      <c r="D165" s="163">
        <v>5.91E-2</v>
      </c>
      <c r="E165" s="163">
        <v>2.7082999999999999</v>
      </c>
      <c r="F165" s="163">
        <v>1.0124</v>
      </c>
      <c r="G165" s="163">
        <v>4.7399999999999998E-2</v>
      </c>
      <c r="H165" s="163">
        <v>4.7899999999999998E-2</v>
      </c>
      <c r="I165" s="163">
        <v>5.67E-2</v>
      </c>
      <c r="J165" s="163" t="s">
        <v>137</v>
      </c>
      <c r="K165" s="163">
        <v>1.1644000000000001</v>
      </c>
      <c r="L165" s="163">
        <v>0.152</v>
      </c>
      <c r="M165" s="164">
        <v>5.5315000000000003</v>
      </c>
      <c r="P165" s="180"/>
    </row>
    <row r="166" spans="1:16" ht="15.5">
      <c r="A166" s="184" t="s">
        <v>425</v>
      </c>
      <c r="B166" s="163">
        <v>6.2027000000000001</v>
      </c>
      <c r="C166" s="163">
        <v>2.7614999999999998</v>
      </c>
      <c r="D166" s="163">
        <v>7.2700000000000001E-2</v>
      </c>
      <c r="E166" s="163">
        <v>2.4386999999999999</v>
      </c>
      <c r="F166" s="163">
        <v>0.80310000000000004</v>
      </c>
      <c r="G166" s="163">
        <v>3.2199999999999999E-2</v>
      </c>
      <c r="H166" s="163">
        <v>3.1E-2</v>
      </c>
      <c r="I166" s="163">
        <v>6.3500000000000001E-2</v>
      </c>
      <c r="J166" s="163" t="s">
        <v>137</v>
      </c>
      <c r="K166" s="163">
        <v>0.92979999999999996</v>
      </c>
      <c r="L166" s="163">
        <v>0.1268</v>
      </c>
      <c r="M166" s="164">
        <v>5.2728999999999999</v>
      </c>
      <c r="P166" s="180"/>
    </row>
    <row r="167" spans="1:16" ht="15.5">
      <c r="A167" s="184" t="s">
        <v>426</v>
      </c>
      <c r="B167" s="163">
        <v>5.4739000000000004</v>
      </c>
      <c r="C167" s="163">
        <v>1.8915</v>
      </c>
      <c r="D167" s="163">
        <v>6.4299999999999996E-2</v>
      </c>
      <c r="E167" s="163">
        <v>2.4344000000000001</v>
      </c>
      <c r="F167" s="163">
        <v>0.98550000000000004</v>
      </c>
      <c r="G167" s="163">
        <v>1.5100000000000001E-2</v>
      </c>
      <c r="H167" s="163">
        <v>2.35E-2</v>
      </c>
      <c r="I167" s="163">
        <v>5.9700000000000003E-2</v>
      </c>
      <c r="J167" s="163" t="s">
        <v>137</v>
      </c>
      <c r="K167" s="163">
        <v>1.0838000000000001</v>
      </c>
      <c r="L167" s="163">
        <v>9.8299999999999998E-2</v>
      </c>
      <c r="M167" s="164">
        <v>4.3901000000000003</v>
      </c>
      <c r="P167" s="180"/>
    </row>
    <row r="168" spans="1:16" ht="15.5">
      <c r="A168" s="184" t="s">
        <v>427</v>
      </c>
      <c r="B168" s="163">
        <v>5.2205000000000004</v>
      </c>
      <c r="C168" s="163">
        <v>1.7574000000000001</v>
      </c>
      <c r="D168" s="163">
        <v>7.0199999999999999E-2</v>
      </c>
      <c r="E168" s="163">
        <v>2.3161</v>
      </c>
      <c r="F168" s="163">
        <v>0.97929999999999995</v>
      </c>
      <c r="G168" s="163">
        <v>9.1999999999999998E-3</v>
      </c>
      <c r="H168" s="163">
        <v>2.7400000000000001E-2</v>
      </c>
      <c r="I168" s="163">
        <v>6.0900000000000003E-2</v>
      </c>
      <c r="J168" s="163" t="s">
        <v>137</v>
      </c>
      <c r="K168" s="163">
        <v>1.0768</v>
      </c>
      <c r="L168" s="163">
        <v>9.7500000000000003E-2</v>
      </c>
      <c r="M168" s="164">
        <v>4.1436999999999999</v>
      </c>
      <c r="P168" s="180"/>
    </row>
    <row r="169" spans="1:16" ht="15.5">
      <c r="A169" s="184" t="s">
        <v>428</v>
      </c>
      <c r="B169" s="163">
        <v>5.3606999999999996</v>
      </c>
      <c r="C169" s="163">
        <v>1.8429</v>
      </c>
      <c r="D169" s="163">
        <v>6.7299999999999999E-2</v>
      </c>
      <c r="E169" s="163">
        <v>2.4514999999999998</v>
      </c>
      <c r="F169" s="163">
        <v>0.89859999999999995</v>
      </c>
      <c r="G169" s="163">
        <v>1.09E-2</v>
      </c>
      <c r="H169" s="163">
        <v>2.9899999999999999E-2</v>
      </c>
      <c r="I169" s="163">
        <v>5.9499999999999997E-2</v>
      </c>
      <c r="J169" s="163" t="s">
        <v>137</v>
      </c>
      <c r="K169" s="163">
        <v>0.999</v>
      </c>
      <c r="L169" s="163">
        <v>0.1004</v>
      </c>
      <c r="M169" s="164">
        <v>4.3616999999999999</v>
      </c>
      <c r="P169" s="180"/>
    </row>
    <row r="170" spans="1:16" ht="15.5">
      <c r="A170" s="184" t="s">
        <v>429</v>
      </c>
      <c r="B170" s="163">
        <v>5.2819000000000003</v>
      </c>
      <c r="C170" s="163">
        <v>1.4832000000000001</v>
      </c>
      <c r="D170" s="163">
        <v>7.0400000000000004E-2</v>
      </c>
      <c r="E170" s="163">
        <v>2.6499000000000001</v>
      </c>
      <c r="F170" s="163">
        <v>0.97399999999999998</v>
      </c>
      <c r="G170" s="163">
        <v>1.6500000000000001E-2</v>
      </c>
      <c r="H170" s="163">
        <v>2.8799999999999999E-2</v>
      </c>
      <c r="I170" s="163">
        <v>5.91E-2</v>
      </c>
      <c r="J170" s="163" t="s">
        <v>137</v>
      </c>
      <c r="K170" s="163">
        <v>1.0784</v>
      </c>
      <c r="L170" s="163">
        <v>0.10440000000000001</v>
      </c>
      <c r="M170" s="164">
        <v>4.2035</v>
      </c>
      <c r="P170" s="180"/>
    </row>
    <row r="171" spans="1:16" ht="15.5">
      <c r="A171" s="184" t="s">
        <v>430</v>
      </c>
      <c r="B171" s="163">
        <v>5.7369000000000003</v>
      </c>
      <c r="C171" s="163">
        <v>2.0207999999999999</v>
      </c>
      <c r="D171" s="163">
        <v>0.12559999999999999</v>
      </c>
      <c r="E171" s="163">
        <v>2.6099000000000001</v>
      </c>
      <c r="F171" s="163">
        <v>0.86629999999999996</v>
      </c>
      <c r="G171" s="163">
        <v>2.0299999999999999E-2</v>
      </c>
      <c r="H171" s="163">
        <v>2.6800000000000001E-2</v>
      </c>
      <c r="I171" s="163">
        <v>6.7199999999999996E-2</v>
      </c>
      <c r="J171" s="163" t="s">
        <v>137</v>
      </c>
      <c r="K171" s="163">
        <v>0.98060000000000003</v>
      </c>
      <c r="L171" s="163">
        <v>0.1143</v>
      </c>
      <c r="M171" s="164">
        <v>4.7563000000000004</v>
      </c>
      <c r="P171" s="180"/>
    </row>
    <row r="172" spans="1:16" ht="15.5">
      <c r="A172" s="184" t="s">
        <v>431</v>
      </c>
      <c r="B172" s="163">
        <v>6.2013999999999996</v>
      </c>
      <c r="C172" s="163">
        <v>2.5392999999999999</v>
      </c>
      <c r="D172" s="163">
        <v>0.1103</v>
      </c>
      <c r="E172" s="163">
        <v>2.4178999999999999</v>
      </c>
      <c r="F172" s="163">
        <v>0.96260000000000001</v>
      </c>
      <c r="G172" s="163">
        <v>3.6299999999999999E-2</v>
      </c>
      <c r="H172" s="163">
        <v>5.5399999999999998E-2</v>
      </c>
      <c r="I172" s="163">
        <v>7.9600000000000004E-2</v>
      </c>
      <c r="J172" s="163" t="s">
        <v>137</v>
      </c>
      <c r="K172" s="163">
        <v>1.1338999999999999</v>
      </c>
      <c r="L172" s="163">
        <v>0.17130000000000001</v>
      </c>
      <c r="M172" s="164">
        <v>5.0674000000000001</v>
      </c>
      <c r="P172" s="180"/>
    </row>
    <row r="173" spans="1:16" ht="15.5">
      <c r="A173" s="184" t="s">
        <v>432</v>
      </c>
      <c r="B173" s="163">
        <v>6.5423</v>
      </c>
      <c r="C173" s="163">
        <v>3.0042</v>
      </c>
      <c r="D173" s="163">
        <v>0.1449</v>
      </c>
      <c r="E173" s="163">
        <v>2.2644000000000002</v>
      </c>
      <c r="F173" s="163">
        <v>0.96230000000000004</v>
      </c>
      <c r="G173" s="163">
        <v>3.78E-2</v>
      </c>
      <c r="H173" s="163">
        <v>5.1700000000000003E-2</v>
      </c>
      <c r="I173" s="163">
        <v>7.6999999999999999E-2</v>
      </c>
      <c r="J173" s="163" t="s">
        <v>137</v>
      </c>
      <c r="K173" s="163">
        <v>1.1289</v>
      </c>
      <c r="L173" s="163">
        <v>0.1666</v>
      </c>
      <c r="M173" s="164">
        <v>5.4135</v>
      </c>
      <c r="P173" s="180"/>
    </row>
    <row r="174" spans="1:16" ht="15.5">
      <c r="A174" s="184" t="s">
        <v>433</v>
      </c>
      <c r="B174" s="163">
        <v>7.0933999999999999</v>
      </c>
      <c r="C174" s="163">
        <v>3.3323</v>
      </c>
      <c r="D174" s="163">
        <v>0.17519999999999999</v>
      </c>
      <c r="E174" s="163">
        <v>2.2162999999999999</v>
      </c>
      <c r="F174" s="163">
        <v>1.1954</v>
      </c>
      <c r="G174" s="163">
        <v>3.9100000000000003E-2</v>
      </c>
      <c r="H174" s="163">
        <v>4.4900000000000002E-2</v>
      </c>
      <c r="I174" s="163">
        <v>9.0200000000000002E-2</v>
      </c>
      <c r="J174" s="163" t="s">
        <v>137</v>
      </c>
      <c r="K174" s="163">
        <v>1.3695999999999999</v>
      </c>
      <c r="L174" s="163">
        <v>0.1741</v>
      </c>
      <c r="M174" s="164">
        <v>5.7237999999999998</v>
      </c>
      <c r="P174" s="180"/>
    </row>
    <row r="175" spans="1:16" ht="15.5">
      <c r="A175" s="184" t="s">
        <v>434</v>
      </c>
      <c r="B175" s="163">
        <v>7.2632000000000003</v>
      </c>
      <c r="C175" s="163">
        <v>3.6960000000000002</v>
      </c>
      <c r="D175" s="163">
        <v>0.1741</v>
      </c>
      <c r="E175" s="163">
        <v>2.2147999999999999</v>
      </c>
      <c r="F175" s="163">
        <v>0.97719999999999996</v>
      </c>
      <c r="G175" s="163">
        <v>4.1799999999999997E-2</v>
      </c>
      <c r="H175" s="163">
        <v>6.4799999999999996E-2</v>
      </c>
      <c r="I175" s="163">
        <v>9.4500000000000001E-2</v>
      </c>
      <c r="J175" s="163" t="s">
        <v>137</v>
      </c>
      <c r="K175" s="163">
        <v>1.1781999999999999</v>
      </c>
      <c r="L175" s="163">
        <v>0.20100000000000001</v>
      </c>
      <c r="M175" s="164">
        <v>6.085</v>
      </c>
      <c r="P175" s="180"/>
    </row>
    <row r="176" spans="1:16" ht="15.5">
      <c r="A176" s="184" t="s">
        <v>435</v>
      </c>
      <c r="B176" s="163">
        <v>6.5206</v>
      </c>
      <c r="C176" s="163">
        <v>3.0442999999999998</v>
      </c>
      <c r="D176" s="163">
        <v>0.1164</v>
      </c>
      <c r="E176" s="163">
        <v>1.9379999999999999</v>
      </c>
      <c r="F176" s="163">
        <v>1.2678</v>
      </c>
      <c r="G176" s="163">
        <v>2.7699999999999999E-2</v>
      </c>
      <c r="H176" s="163">
        <v>4.3200000000000002E-2</v>
      </c>
      <c r="I176" s="163">
        <v>8.3099999999999993E-2</v>
      </c>
      <c r="J176" s="163" t="s">
        <v>137</v>
      </c>
      <c r="K176" s="163">
        <v>1.4218999999999999</v>
      </c>
      <c r="L176" s="163">
        <v>0.154</v>
      </c>
      <c r="M176" s="164">
        <v>5.0987999999999998</v>
      </c>
      <c r="P176" s="180"/>
    </row>
    <row r="177" spans="1:16" ht="15.5">
      <c r="A177" s="184" t="s">
        <v>436</v>
      </c>
      <c r="B177" s="163">
        <v>6.4219999999999997</v>
      </c>
      <c r="C177" s="163">
        <v>2.4281000000000001</v>
      </c>
      <c r="D177" s="163">
        <v>9.2299999999999993E-2</v>
      </c>
      <c r="E177" s="163">
        <v>2.2345000000000002</v>
      </c>
      <c r="F177" s="163">
        <v>1.4916</v>
      </c>
      <c r="G177" s="163">
        <v>4.2599999999999999E-2</v>
      </c>
      <c r="H177" s="163">
        <v>6.0499999999999998E-2</v>
      </c>
      <c r="I177" s="163">
        <v>7.2400000000000006E-2</v>
      </c>
      <c r="J177" s="163" t="s">
        <v>137</v>
      </c>
      <c r="K177" s="163">
        <v>1.6671</v>
      </c>
      <c r="L177" s="163">
        <v>0.17549999999999999</v>
      </c>
      <c r="M177" s="164">
        <v>4.7549000000000001</v>
      </c>
      <c r="P177" s="180"/>
    </row>
    <row r="178" spans="1:16" ht="15.5">
      <c r="A178" s="184" t="s">
        <v>437</v>
      </c>
      <c r="B178" s="163">
        <v>5.3777999999999997</v>
      </c>
      <c r="C178" s="163">
        <v>1.6444000000000001</v>
      </c>
      <c r="D178" s="163">
        <v>5.9200000000000003E-2</v>
      </c>
      <c r="E178" s="163">
        <v>2.1358999999999999</v>
      </c>
      <c r="F178" s="163">
        <v>1.4224000000000001</v>
      </c>
      <c r="G178" s="163">
        <v>2.7300000000000001E-2</v>
      </c>
      <c r="H178" s="163">
        <v>3.78E-2</v>
      </c>
      <c r="I178" s="163">
        <v>5.0900000000000001E-2</v>
      </c>
      <c r="J178" s="163" t="s">
        <v>137</v>
      </c>
      <c r="K178" s="163">
        <v>1.5384</v>
      </c>
      <c r="L178" s="163">
        <v>0.11600000000000001</v>
      </c>
      <c r="M178" s="164">
        <v>3.8395000000000001</v>
      </c>
      <c r="P178" s="180"/>
    </row>
    <row r="179" spans="1:16" ht="15.5">
      <c r="A179" s="184" t="s">
        <v>438</v>
      </c>
      <c r="B179" s="163">
        <v>5.1300999999999997</v>
      </c>
      <c r="C179" s="163">
        <v>1.5148999999999999</v>
      </c>
      <c r="D179" s="163">
        <v>6.6199999999999995E-2</v>
      </c>
      <c r="E179" s="163">
        <v>2.2244999999999999</v>
      </c>
      <c r="F179" s="163">
        <v>1.1921999999999999</v>
      </c>
      <c r="G179" s="163">
        <v>2.3800000000000002E-2</v>
      </c>
      <c r="H179" s="163">
        <v>5.7200000000000001E-2</v>
      </c>
      <c r="I179" s="163">
        <v>5.1400000000000001E-2</v>
      </c>
      <c r="J179" s="163" t="s">
        <v>137</v>
      </c>
      <c r="K179" s="163">
        <v>1.3245</v>
      </c>
      <c r="L179" s="163">
        <v>0.1323</v>
      </c>
      <c r="M179" s="164">
        <v>3.8056000000000001</v>
      </c>
      <c r="P179" s="180"/>
    </row>
    <row r="180" spans="1:16" ht="15.5">
      <c r="A180" s="184" t="s">
        <v>439</v>
      </c>
      <c r="B180" s="163">
        <v>5.2088999999999999</v>
      </c>
      <c r="C180" s="163">
        <v>1.5058</v>
      </c>
      <c r="D180" s="163">
        <v>5.57E-2</v>
      </c>
      <c r="E180" s="163">
        <v>2.1709000000000001</v>
      </c>
      <c r="F180" s="163">
        <v>1.3774</v>
      </c>
      <c r="G180" s="163">
        <v>1.0699999999999999E-2</v>
      </c>
      <c r="H180" s="163">
        <v>3.2599999999999997E-2</v>
      </c>
      <c r="I180" s="163">
        <v>5.5800000000000002E-2</v>
      </c>
      <c r="J180" s="163" t="s">
        <v>137</v>
      </c>
      <c r="K180" s="163">
        <v>1.4764999999999999</v>
      </c>
      <c r="L180" s="163">
        <v>9.9099999999999994E-2</v>
      </c>
      <c r="M180" s="164">
        <v>3.7324000000000002</v>
      </c>
      <c r="P180" s="180"/>
    </row>
    <row r="181" spans="1:16" ht="15.5">
      <c r="A181" s="184" t="s">
        <v>440</v>
      </c>
      <c r="B181" s="163">
        <v>5.1858000000000004</v>
      </c>
      <c r="C181" s="163">
        <v>1.3170999999999999</v>
      </c>
      <c r="D181" s="163">
        <v>6.8199999999999997E-2</v>
      </c>
      <c r="E181" s="163">
        <v>2.3102999999999998</v>
      </c>
      <c r="F181" s="163">
        <v>1.3880999999999999</v>
      </c>
      <c r="G181" s="163">
        <v>1.32E-2</v>
      </c>
      <c r="H181" s="163">
        <v>3.5000000000000003E-2</v>
      </c>
      <c r="I181" s="163">
        <v>5.4100000000000002E-2</v>
      </c>
      <c r="J181" s="163" t="s">
        <v>137</v>
      </c>
      <c r="K181" s="163">
        <v>1.4903</v>
      </c>
      <c r="L181" s="163">
        <v>0.1022</v>
      </c>
      <c r="M181" s="164">
        <v>3.6956000000000002</v>
      </c>
      <c r="P181" s="180"/>
    </row>
    <row r="182" spans="1:16" ht="15.5">
      <c r="A182" s="184" t="s">
        <v>441</v>
      </c>
      <c r="B182" s="163">
        <v>5.0772000000000004</v>
      </c>
      <c r="C182" s="163">
        <v>1.1299999999999999</v>
      </c>
      <c r="D182" s="163">
        <v>5.8700000000000002E-2</v>
      </c>
      <c r="E182" s="163">
        <v>2.4178999999999999</v>
      </c>
      <c r="F182" s="163">
        <v>1.3424</v>
      </c>
      <c r="G182" s="163">
        <v>2.9000000000000001E-2</v>
      </c>
      <c r="H182" s="163">
        <v>5.04E-2</v>
      </c>
      <c r="I182" s="163">
        <v>4.8899999999999999E-2</v>
      </c>
      <c r="J182" s="163" t="s">
        <v>137</v>
      </c>
      <c r="K182" s="163">
        <v>1.4706999999999999</v>
      </c>
      <c r="L182" s="163">
        <v>0.1283</v>
      </c>
      <c r="M182" s="164">
        <v>3.6065999999999998</v>
      </c>
      <c r="P182" s="180"/>
    </row>
    <row r="183" spans="1:16" ht="15.5">
      <c r="A183" s="184" t="s">
        <v>442</v>
      </c>
      <c r="B183" s="163">
        <v>5.2275</v>
      </c>
      <c r="C183" s="163">
        <v>1.3539000000000001</v>
      </c>
      <c r="D183" s="163">
        <v>7.7299999999999994E-2</v>
      </c>
      <c r="E183" s="163">
        <v>2.4916999999999998</v>
      </c>
      <c r="F183" s="163">
        <v>1.1772</v>
      </c>
      <c r="G183" s="163">
        <v>3.6999999999999998E-2</v>
      </c>
      <c r="H183" s="163">
        <v>4.9299999999999997E-2</v>
      </c>
      <c r="I183" s="163">
        <v>4.1099999999999998E-2</v>
      </c>
      <c r="J183" s="163" t="s">
        <v>137</v>
      </c>
      <c r="K183" s="163">
        <v>1.3046</v>
      </c>
      <c r="L183" s="163">
        <v>0.12740000000000001</v>
      </c>
      <c r="M183" s="164">
        <v>3.9228999999999998</v>
      </c>
      <c r="P183" s="180"/>
    </row>
    <row r="184" spans="1:16" ht="15.5">
      <c r="A184" s="184" t="s">
        <v>443</v>
      </c>
      <c r="B184" s="163">
        <v>5.8973000000000004</v>
      </c>
      <c r="C184" s="163">
        <v>2.0131999999999999</v>
      </c>
      <c r="D184" s="163">
        <v>8.5800000000000001E-2</v>
      </c>
      <c r="E184" s="163">
        <v>2.5632999999999999</v>
      </c>
      <c r="F184" s="163">
        <v>1.0973999999999999</v>
      </c>
      <c r="G184" s="163">
        <v>3.2199999999999999E-2</v>
      </c>
      <c r="H184" s="163">
        <v>4.6600000000000003E-2</v>
      </c>
      <c r="I184" s="163">
        <v>5.8599999999999999E-2</v>
      </c>
      <c r="J184" s="163" t="s">
        <v>137</v>
      </c>
      <c r="K184" s="163">
        <v>1.2349000000000001</v>
      </c>
      <c r="L184" s="163">
        <v>0.13750000000000001</v>
      </c>
      <c r="M184" s="164">
        <v>4.6623000000000001</v>
      </c>
      <c r="P184" s="180"/>
    </row>
    <row r="185" spans="1:16" ht="15.5">
      <c r="A185" s="184" t="s">
        <v>444</v>
      </c>
      <c r="B185" s="163">
        <v>6.0190000000000001</v>
      </c>
      <c r="C185" s="163">
        <v>1.81</v>
      </c>
      <c r="D185" s="163">
        <v>9.0200000000000002E-2</v>
      </c>
      <c r="E185" s="163">
        <v>2.7098</v>
      </c>
      <c r="F185" s="163">
        <v>1.2274</v>
      </c>
      <c r="G185" s="163">
        <v>4.9299999999999997E-2</v>
      </c>
      <c r="H185" s="163">
        <v>6.6500000000000004E-2</v>
      </c>
      <c r="I185" s="163">
        <v>6.5600000000000006E-2</v>
      </c>
      <c r="J185" s="163" t="s">
        <v>137</v>
      </c>
      <c r="K185" s="163">
        <v>1.4088000000000001</v>
      </c>
      <c r="L185" s="163">
        <v>0.18149999999999999</v>
      </c>
      <c r="M185" s="164">
        <v>4.6101000000000001</v>
      </c>
      <c r="P185" s="180"/>
    </row>
    <row r="186" spans="1:16" ht="15.5">
      <c r="A186" s="184" t="s">
        <v>445</v>
      </c>
      <c r="B186" s="163">
        <v>6.6475999999999997</v>
      </c>
      <c r="C186" s="163">
        <v>2.3332999999999999</v>
      </c>
      <c r="D186" s="163">
        <v>8.1199999999999994E-2</v>
      </c>
      <c r="E186" s="163">
        <v>2.8127</v>
      </c>
      <c r="F186" s="163">
        <v>1.2687999999999999</v>
      </c>
      <c r="G186" s="163">
        <v>3.4799999999999998E-2</v>
      </c>
      <c r="H186" s="163">
        <v>4.9799999999999997E-2</v>
      </c>
      <c r="I186" s="163">
        <v>6.7000000000000004E-2</v>
      </c>
      <c r="J186" s="163" t="s">
        <v>137</v>
      </c>
      <c r="K186" s="163">
        <v>1.4204000000000001</v>
      </c>
      <c r="L186" s="163">
        <v>0.15160000000000001</v>
      </c>
      <c r="M186" s="164">
        <v>5.2271999999999998</v>
      </c>
      <c r="P186" s="180"/>
    </row>
    <row r="187" spans="1:16" ht="15.5">
      <c r="A187" s="184" t="s">
        <v>446</v>
      </c>
      <c r="B187" s="163">
        <v>7.3723999999999998</v>
      </c>
      <c r="C187" s="163">
        <v>2.9451999999999998</v>
      </c>
      <c r="D187" s="163">
        <v>9.3200000000000005E-2</v>
      </c>
      <c r="E187" s="163">
        <v>2.7412000000000001</v>
      </c>
      <c r="F187" s="163">
        <v>1.4235</v>
      </c>
      <c r="G187" s="163">
        <v>1.9400000000000001E-2</v>
      </c>
      <c r="H187" s="163">
        <v>6.1800000000000001E-2</v>
      </c>
      <c r="I187" s="163">
        <v>8.7900000000000006E-2</v>
      </c>
      <c r="J187" s="163" t="s">
        <v>137</v>
      </c>
      <c r="K187" s="163">
        <v>1.5927</v>
      </c>
      <c r="L187" s="163">
        <v>0.16919999999999999</v>
      </c>
      <c r="M187" s="164">
        <v>5.7797000000000001</v>
      </c>
      <c r="P187" s="180"/>
    </row>
    <row r="188" spans="1:16" ht="15.5">
      <c r="A188" s="184" t="s">
        <v>447</v>
      </c>
      <c r="B188" s="163">
        <v>6.4482999999999997</v>
      </c>
      <c r="C188" s="163">
        <v>2.5632000000000001</v>
      </c>
      <c r="D188" s="163">
        <v>6.5600000000000006E-2</v>
      </c>
      <c r="E188" s="163">
        <v>2.4659</v>
      </c>
      <c r="F188" s="163">
        <v>1.2312000000000001</v>
      </c>
      <c r="G188" s="163">
        <v>1.38E-2</v>
      </c>
      <c r="H188" s="163">
        <v>3.7499999999999999E-2</v>
      </c>
      <c r="I188" s="163">
        <v>7.0900000000000005E-2</v>
      </c>
      <c r="J188" s="163" t="s">
        <v>137</v>
      </c>
      <c r="K188" s="163">
        <v>1.3534999999999999</v>
      </c>
      <c r="L188" s="163">
        <v>0.12230000000000001</v>
      </c>
      <c r="M188" s="164">
        <v>5.0948000000000002</v>
      </c>
      <c r="P188" s="180"/>
    </row>
    <row r="189" spans="1:16" ht="15.5">
      <c r="A189" s="184" t="s">
        <v>448</v>
      </c>
      <c r="B189" s="163">
        <v>6.4715999999999996</v>
      </c>
      <c r="C189" s="163">
        <v>1.9225000000000001</v>
      </c>
      <c r="D189" s="163">
        <v>6.2100000000000002E-2</v>
      </c>
      <c r="E189" s="163">
        <v>2.9035000000000002</v>
      </c>
      <c r="F189" s="163">
        <v>1.4218</v>
      </c>
      <c r="G189" s="163">
        <v>1.9599999999999999E-2</v>
      </c>
      <c r="H189" s="163">
        <v>6.1100000000000002E-2</v>
      </c>
      <c r="I189" s="163">
        <v>8.1000000000000003E-2</v>
      </c>
      <c r="J189" s="163" t="s">
        <v>137</v>
      </c>
      <c r="K189" s="163">
        <v>1.5834999999999999</v>
      </c>
      <c r="L189" s="163">
        <v>0.16170000000000001</v>
      </c>
      <c r="M189" s="164">
        <v>4.8880999999999997</v>
      </c>
      <c r="P189" s="180"/>
    </row>
    <row r="190" spans="1:16" ht="15.5">
      <c r="A190" s="184" t="s">
        <v>449</v>
      </c>
      <c r="B190" s="163">
        <v>5.5401999999999996</v>
      </c>
      <c r="C190" s="163">
        <v>1.5559000000000001</v>
      </c>
      <c r="D190" s="163">
        <v>3.27E-2</v>
      </c>
      <c r="E190" s="163">
        <v>2.6585000000000001</v>
      </c>
      <c r="F190" s="163">
        <v>1.1503000000000001</v>
      </c>
      <c r="G190" s="163">
        <v>2.2100000000000002E-2</v>
      </c>
      <c r="H190" s="163">
        <v>4.4999999999999998E-2</v>
      </c>
      <c r="I190" s="163">
        <v>7.5700000000000003E-2</v>
      </c>
      <c r="J190" s="163" t="s">
        <v>137</v>
      </c>
      <c r="K190" s="163">
        <v>1.2930999999999999</v>
      </c>
      <c r="L190" s="163">
        <v>0.14280000000000001</v>
      </c>
      <c r="M190" s="164">
        <v>4.2470999999999997</v>
      </c>
      <c r="P190" s="180"/>
    </row>
    <row r="191" spans="1:16" ht="15.5">
      <c r="A191" s="184" t="s">
        <v>450</v>
      </c>
      <c r="B191" s="163">
        <v>5.3518999999999997</v>
      </c>
      <c r="C191" s="163">
        <v>1.48</v>
      </c>
      <c r="D191" s="163">
        <v>2.8500000000000001E-2</v>
      </c>
      <c r="E191" s="163">
        <v>2.7334000000000001</v>
      </c>
      <c r="F191" s="163">
        <v>0.99480000000000002</v>
      </c>
      <c r="G191" s="163">
        <v>1.06E-2</v>
      </c>
      <c r="H191" s="163">
        <v>3.3799999999999997E-2</v>
      </c>
      <c r="I191" s="163">
        <v>7.0800000000000002E-2</v>
      </c>
      <c r="J191" s="163" t="s">
        <v>137</v>
      </c>
      <c r="K191" s="163">
        <v>1.1100000000000001</v>
      </c>
      <c r="L191" s="163">
        <v>0.1152</v>
      </c>
      <c r="M191" s="164">
        <v>4.2419000000000002</v>
      </c>
      <c r="P191" s="180"/>
    </row>
    <row r="192" spans="1:16" ht="15.5">
      <c r="A192" s="184" t="s">
        <v>451</v>
      </c>
      <c r="B192" s="163">
        <v>4.9836999999999998</v>
      </c>
      <c r="C192" s="163">
        <v>1.4500999999999999</v>
      </c>
      <c r="D192" s="163">
        <v>3.5400000000000001E-2</v>
      </c>
      <c r="E192" s="163">
        <v>2.4184999999999999</v>
      </c>
      <c r="F192" s="163">
        <v>0.96540000000000004</v>
      </c>
      <c r="G192" s="163">
        <v>6.6E-3</v>
      </c>
      <c r="H192" s="163">
        <v>0.03</v>
      </c>
      <c r="I192" s="163">
        <v>7.7700000000000005E-2</v>
      </c>
      <c r="J192" s="163" t="s">
        <v>137</v>
      </c>
      <c r="K192" s="163">
        <v>1.0797000000000001</v>
      </c>
      <c r="L192" s="163">
        <v>0.1143</v>
      </c>
      <c r="M192" s="164">
        <v>3.9039999999999999</v>
      </c>
      <c r="P192" s="180"/>
    </row>
    <row r="193" spans="1:16" ht="15.5">
      <c r="A193" s="184" t="s">
        <v>452</v>
      </c>
      <c r="B193" s="163">
        <v>5.0997000000000003</v>
      </c>
      <c r="C193" s="163">
        <v>1.6204000000000001</v>
      </c>
      <c r="D193" s="163">
        <v>4.5699999999999998E-2</v>
      </c>
      <c r="E193" s="163">
        <v>2.2946</v>
      </c>
      <c r="F193" s="163">
        <v>0.98199999999999998</v>
      </c>
      <c r="G193" s="163">
        <v>1.6400000000000001E-2</v>
      </c>
      <c r="H193" s="163">
        <v>6.0999999999999999E-2</v>
      </c>
      <c r="I193" s="163">
        <v>7.9600000000000004E-2</v>
      </c>
      <c r="J193" s="163" t="s">
        <v>137</v>
      </c>
      <c r="K193" s="163">
        <v>1.139</v>
      </c>
      <c r="L193" s="163">
        <v>0.15709999999999999</v>
      </c>
      <c r="M193" s="164">
        <v>3.9607000000000001</v>
      </c>
      <c r="P193" s="180"/>
    </row>
    <row r="194" spans="1:16" ht="15.5">
      <c r="A194" s="184" t="s">
        <v>453</v>
      </c>
      <c r="B194" s="163">
        <v>4.8771000000000004</v>
      </c>
      <c r="C194" s="163">
        <v>1.3075000000000001</v>
      </c>
      <c r="D194" s="163">
        <v>3.7999999999999999E-2</v>
      </c>
      <c r="E194" s="163">
        <v>2.3620000000000001</v>
      </c>
      <c r="F194" s="163">
        <v>1.0025999999999999</v>
      </c>
      <c r="G194" s="163">
        <v>1.6E-2</v>
      </c>
      <c r="H194" s="163">
        <v>5.3400000000000003E-2</v>
      </c>
      <c r="I194" s="163">
        <v>9.7500000000000003E-2</v>
      </c>
      <c r="J194" s="163" t="s">
        <v>137</v>
      </c>
      <c r="K194" s="163">
        <v>1.1695</v>
      </c>
      <c r="L194" s="163">
        <v>0.16689999999999999</v>
      </c>
      <c r="M194" s="164">
        <v>3.7075999999999998</v>
      </c>
      <c r="P194" s="180"/>
    </row>
    <row r="195" spans="1:16" ht="15.5">
      <c r="A195" s="184" t="s">
        <v>454</v>
      </c>
      <c r="B195" s="163">
        <v>5.1699000000000002</v>
      </c>
      <c r="C195" s="163">
        <v>1.7118</v>
      </c>
      <c r="D195" s="163">
        <v>5.1499999999999997E-2</v>
      </c>
      <c r="E195" s="163">
        <v>2.2873999999999999</v>
      </c>
      <c r="F195" s="163">
        <v>0.93269999999999997</v>
      </c>
      <c r="G195" s="163">
        <v>2.3400000000000001E-2</v>
      </c>
      <c r="H195" s="163">
        <v>6.9900000000000004E-2</v>
      </c>
      <c r="I195" s="163">
        <v>9.3299999999999994E-2</v>
      </c>
      <c r="J195" s="163" t="s">
        <v>137</v>
      </c>
      <c r="K195" s="163">
        <v>1.1193</v>
      </c>
      <c r="L195" s="163">
        <v>0.18659999999999999</v>
      </c>
      <c r="M195" s="164">
        <v>4.0506000000000002</v>
      </c>
      <c r="P195" s="180"/>
    </row>
    <row r="196" spans="1:16" ht="15.5">
      <c r="A196" s="184" t="s">
        <v>455</v>
      </c>
      <c r="B196" s="163">
        <v>5.9676999999999998</v>
      </c>
      <c r="C196" s="163">
        <v>2.1972999999999998</v>
      </c>
      <c r="D196" s="163">
        <v>6.1499999999999999E-2</v>
      </c>
      <c r="E196" s="163">
        <v>2.1838000000000002</v>
      </c>
      <c r="F196" s="163">
        <v>1.3055000000000001</v>
      </c>
      <c r="G196" s="163">
        <v>3.2199999999999999E-2</v>
      </c>
      <c r="H196" s="163">
        <v>9.0399999999999994E-2</v>
      </c>
      <c r="I196" s="163">
        <v>9.7000000000000003E-2</v>
      </c>
      <c r="J196" s="163" t="s">
        <v>137</v>
      </c>
      <c r="K196" s="163">
        <v>1.5250999999999999</v>
      </c>
      <c r="L196" s="163">
        <v>0.2195</v>
      </c>
      <c r="M196" s="164">
        <v>4.4425999999999997</v>
      </c>
      <c r="P196" s="180"/>
    </row>
    <row r="197" spans="1:16" ht="15.5">
      <c r="A197" s="184" t="s">
        <v>456</v>
      </c>
      <c r="B197" s="163">
        <v>6.3257000000000003</v>
      </c>
      <c r="C197" s="163">
        <v>2.6391</v>
      </c>
      <c r="D197" s="163">
        <v>6.5000000000000002E-2</v>
      </c>
      <c r="E197" s="163">
        <v>2.2942999999999998</v>
      </c>
      <c r="F197" s="163">
        <v>1.1083000000000001</v>
      </c>
      <c r="G197" s="163">
        <v>3.8199999999999998E-2</v>
      </c>
      <c r="H197" s="163">
        <v>8.5599999999999996E-2</v>
      </c>
      <c r="I197" s="163">
        <v>9.5200000000000007E-2</v>
      </c>
      <c r="J197" s="163" t="s">
        <v>137</v>
      </c>
      <c r="K197" s="163">
        <v>1.3273999999999999</v>
      </c>
      <c r="L197" s="163">
        <v>0.21909999999999999</v>
      </c>
      <c r="M197" s="164">
        <v>4.9984000000000002</v>
      </c>
      <c r="P197" s="180"/>
    </row>
    <row r="198" spans="1:16" ht="15.5">
      <c r="A198" s="184" t="s">
        <v>457</v>
      </c>
      <c r="B198" s="163">
        <v>7.3863000000000003</v>
      </c>
      <c r="C198" s="163">
        <v>3.3873000000000002</v>
      </c>
      <c r="D198" s="163">
        <v>5.5E-2</v>
      </c>
      <c r="E198" s="163">
        <v>2.3803999999999998</v>
      </c>
      <c r="F198" s="163">
        <v>1.4077999999999999</v>
      </c>
      <c r="G198" s="163">
        <v>1.3899999999999999E-2</v>
      </c>
      <c r="H198" s="163">
        <v>5.5800000000000002E-2</v>
      </c>
      <c r="I198" s="163">
        <v>8.6099999999999996E-2</v>
      </c>
      <c r="J198" s="163" t="s">
        <v>137</v>
      </c>
      <c r="K198" s="163">
        <v>1.5636000000000001</v>
      </c>
      <c r="L198" s="163">
        <v>0.15579999999999999</v>
      </c>
      <c r="M198" s="164">
        <v>5.8227000000000002</v>
      </c>
      <c r="P198" s="180"/>
    </row>
    <row r="199" spans="1:16" ht="15.5">
      <c r="A199" s="184" t="s">
        <v>458</v>
      </c>
      <c r="B199" s="163">
        <v>6.9496000000000002</v>
      </c>
      <c r="C199" s="163">
        <v>2.8633999999999999</v>
      </c>
      <c r="D199" s="163">
        <v>4.6300000000000001E-2</v>
      </c>
      <c r="E199" s="163">
        <v>2.3088000000000002</v>
      </c>
      <c r="F199" s="163">
        <v>1.4907999999999999</v>
      </c>
      <c r="G199" s="163">
        <v>2.5399999999999999E-2</v>
      </c>
      <c r="H199" s="163">
        <v>8.4400000000000003E-2</v>
      </c>
      <c r="I199" s="163">
        <v>0.13039999999999999</v>
      </c>
      <c r="J199" s="163" t="s">
        <v>137</v>
      </c>
      <c r="K199" s="163">
        <v>1.7310000000000001</v>
      </c>
      <c r="L199" s="163">
        <v>0.2402</v>
      </c>
      <c r="M199" s="164">
        <v>5.2184999999999997</v>
      </c>
      <c r="P199" s="180"/>
    </row>
    <row r="200" spans="1:16" ht="15.5">
      <c r="A200" s="184" t="s">
        <v>459</v>
      </c>
      <c r="B200" s="163">
        <v>6.0364000000000004</v>
      </c>
      <c r="C200" s="163">
        <v>2.5108000000000001</v>
      </c>
      <c r="D200" s="163">
        <v>4.3900000000000002E-2</v>
      </c>
      <c r="E200" s="163">
        <v>1.8951</v>
      </c>
      <c r="F200" s="163">
        <v>1.3615999999999999</v>
      </c>
      <c r="G200" s="163">
        <v>3.7199999999999997E-2</v>
      </c>
      <c r="H200" s="163">
        <v>9.0800000000000006E-2</v>
      </c>
      <c r="I200" s="163">
        <v>9.7100000000000006E-2</v>
      </c>
      <c r="J200" s="163" t="s">
        <v>137</v>
      </c>
      <c r="K200" s="163">
        <v>1.5866</v>
      </c>
      <c r="L200" s="163">
        <v>0.22500000000000001</v>
      </c>
      <c r="M200" s="164">
        <v>4.4497999999999998</v>
      </c>
      <c r="P200" s="180"/>
    </row>
    <row r="201" spans="1:16" ht="15.5">
      <c r="A201" s="184" t="s">
        <v>460</v>
      </c>
      <c r="B201" s="163">
        <v>6.5007999999999999</v>
      </c>
      <c r="C201" s="163">
        <v>2.7452000000000001</v>
      </c>
      <c r="D201" s="163">
        <v>3.3399999999999999E-2</v>
      </c>
      <c r="E201" s="163">
        <v>1.9843999999999999</v>
      </c>
      <c r="F201" s="163">
        <v>1.554</v>
      </c>
      <c r="G201" s="163">
        <v>2.4799999999999999E-2</v>
      </c>
      <c r="H201" s="163">
        <v>6.08E-2</v>
      </c>
      <c r="I201" s="163">
        <v>9.8199999999999996E-2</v>
      </c>
      <c r="J201" s="163" t="s">
        <v>137</v>
      </c>
      <c r="K201" s="163">
        <v>1.7378</v>
      </c>
      <c r="L201" s="163">
        <v>0.18379999999999999</v>
      </c>
      <c r="M201" s="164">
        <v>4.7629999999999999</v>
      </c>
      <c r="P201" s="180"/>
    </row>
    <row r="202" spans="1:16" ht="15.5">
      <c r="A202" s="184" t="s">
        <v>461</v>
      </c>
      <c r="B202" s="163">
        <v>5.1299000000000001</v>
      </c>
      <c r="C202" s="163">
        <v>1.4033</v>
      </c>
      <c r="D202" s="163">
        <v>1.7299999999999999E-2</v>
      </c>
      <c r="E202" s="163">
        <v>2.0329999999999999</v>
      </c>
      <c r="F202" s="163">
        <v>1.4771000000000001</v>
      </c>
      <c r="G202" s="163">
        <v>2.8299999999999999E-2</v>
      </c>
      <c r="H202" s="163">
        <v>7.3200000000000001E-2</v>
      </c>
      <c r="I202" s="163">
        <v>9.7799999999999998E-2</v>
      </c>
      <c r="J202" s="163" t="s">
        <v>137</v>
      </c>
      <c r="K202" s="163">
        <v>1.6763999999999999</v>
      </c>
      <c r="L202" s="163">
        <v>0.1993</v>
      </c>
      <c r="M202" s="164">
        <v>3.4535999999999998</v>
      </c>
      <c r="P202" s="180"/>
    </row>
    <row r="203" spans="1:16" ht="15.5">
      <c r="A203" s="184" t="s">
        <v>462</v>
      </c>
      <c r="B203" s="163">
        <v>5.2366000000000001</v>
      </c>
      <c r="C203" s="163">
        <v>1.4486000000000001</v>
      </c>
      <c r="D203" s="163">
        <v>2.0299999999999999E-2</v>
      </c>
      <c r="E203" s="163">
        <v>2.0669</v>
      </c>
      <c r="F203" s="163">
        <v>1.4636</v>
      </c>
      <c r="G203" s="163">
        <v>2.6200000000000001E-2</v>
      </c>
      <c r="H203" s="163">
        <v>0.1215</v>
      </c>
      <c r="I203" s="163">
        <v>8.9499999999999996E-2</v>
      </c>
      <c r="J203" s="163" t="s">
        <v>137</v>
      </c>
      <c r="K203" s="163">
        <v>1.7008000000000001</v>
      </c>
      <c r="L203" s="163">
        <v>0.23719999999999999</v>
      </c>
      <c r="M203" s="164">
        <v>3.5358000000000001</v>
      </c>
      <c r="P203" s="180"/>
    </row>
    <row r="204" spans="1:16" ht="15.5">
      <c r="A204" s="184" t="s">
        <v>463</v>
      </c>
      <c r="B204" s="163">
        <v>5.0919999999999996</v>
      </c>
      <c r="C204" s="163">
        <v>1.5680000000000001</v>
      </c>
      <c r="D204" s="163">
        <v>2.1000000000000001E-2</v>
      </c>
      <c r="E204" s="163">
        <v>1.9253</v>
      </c>
      <c r="F204" s="163">
        <v>1.3984000000000001</v>
      </c>
      <c r="G204" s="163">
        <v>2.3300000000000001E-2</v>
      </c>
      <c r="H204" s="163">
        <v>6.0499999999999998E-2</v>
      </c>
      <c r="I204" s="163">
        <v>9.5600000000000004E-2</v>
      </c>
      <c r="J204" s="163" t="s">
        <v>137</v>
      </c>
      <c r="K204" s="163">
        <v>1.5777000000000001</v>
      </c>
      <c r="L204" s="163">
        <v>0.17929999999999999</v>
      </c>
      <c r="M204" s="164">
        <v>3.5143</v>
      </c>
      <c r="P204" s="180"/>
    </row>
    <row r="205" spans="1:16" ht="15.5">
      <c r="A205" s="184" t="s">
        <v>464</v>
      </c>
      <c r="B205" s="163">
        <v>4.9732000000000003</v>
      </c>
      <c r="C205" s="163">
        <v>1.3588</v>
      </c>
      <c r="D205" s="163">
        <v>2.4400000000000002E-2</v>
      </c>
      <c r="E205" s="163">
        <v>2.1417000000000002</v>
      </c>
      <c r="F205" s="163">
        <v>1.2781</v>
      </c>
      <c r="G205" s="163">
        <v>2.0899999999999998E-2</v>
      </c>
      <c r="H205" s="163">
        <v>4.7899999999999998E-2</v>
      </c>
      <c r="I205" s="163">
        <v>0.1014</v>
      </c>
      <c r="J205" s="163" t="s">
        <v>137</v>
      </c>
      <c r="K205" s="163">
        <v>1.4482999999999999</v>
      </c>
      <c r="L205" s="163">
        <v>0.17019999999999999</v>
      </c>
      <c r="M205" s="164">
        <v>3.5249000000000001</v>
      </c>
      <c r="P205" s="180"/>
    </row>
    <row r="206" spans="1:16" ht="15.5">
      <c r="A206" s="184" t="s">
        <v>465</v>
      </c>
      <c r="B206" s="163">
        <v>5.0305</v>
      </c>
      <c r="C206" s="163">
        <v>1.5173000000000001</v>
      </c>
      <c r="D206" s="163">
        <v>2.5000000000000001E-2</v>
      </c>
      <c r="E206" s="163">
        <v>2.0569000000000002</v>
      </c>
      <c r="F206" s="163">
        <v>1.2323999999999999</v>
      </c>
      <c r="G206" s="163">
        <v>2.5899999999999999E-2</v>
      </c>
      <c r="H206" s="163">
        <v>5.7599999999999998E-2</v>
      </c>
      <c r="I206" s="163">
        <v>0.1154</v>
      </c>
      <c r="J206" s="163" t="s">
        <v>137</v>
      </c>
      <c r="K206" s="163">
        <v>1.4313</v>
      </c>
      <c r="L206" s="163">
        <v>0.19889999999999999</v>
      </c>
      <c r="M206" s="164">
        <v>3.5991</v>
      </c>
      <c r="P206" s="180"/>
    </row>
    <row r="207" spans="1:16" ht="15.5">
      <c r="A207" s="184" t="s">
        <v>466</v>
      </c>
      <c r="B207" s="163">
        <v>5.0461</v>
      </c>
      <c r="C207" s="163">
        <v>1.6120000000000001</v>
      </c>
      <c r="D207" s="163">
        <v>2.2499999999999999E-2</v>
      </c>
      <c r="E207" s="163">
        <v>2.1101999999999999</v>
      </c>
      <c r="F207" s="163">
        <v>1.0591999999999999</v>
      </c>
      <c r="G207" s="163">
        <v>3.7900000000000003E-2</v>
      </c>
      <c r="H207" s="163">
        <v>0.1038</v>
      </c>
      <c r="I207" s="163">
        <v>0.10050000000000001</v>
      </c>
      <c r="J207" s="163" t="s">
        <v>137</v>
      </c>
      <c r="K207" s="163">
        <v>1.3013999999999999</v>
      </c>
      <c r="L207" s="163">
        <v>0.2422</v>
      </c>
      <c r="M207" s="164">
        <v>3.7446999999999999</v>
      </c>
      <c r="P207" s="180"/>
    </row>
    <row r="208" spans="1:16" ht="15.5">
      <c r="A208" s="184" t="s">
        <v>467</v>
      </c>
      <c r="B208" s="163">
        <v>5.4882999999999997</v>
      </c>
      <c r="C208" s="163">
        <v>2.0844999999999998</v>
      </c>
      <c r="D208" s="163">
        <v>2.7E-2</v>
      </c>
      <c r="E208" s="163">
        <v>2.0794999999999999</v>
      </c>
      <c r="F208" s="163">
        <v>1.0118</v>
      </c>
      <c r="G208" s="163">
        <v>4.58E-2</v>
      </c>
      <c r="H208" s="163">
        <v>0.1275</v>
      </c>
      <c r="I208" s="163">
        <v>0.1123</v>
      </c>
      <c r="J208" s="163" t="s">
        <v>137</v>
      </c>
      <c r="K208" s="163">
        <v>1.2974000000000001</v>
      </c>
      <c r="L208" s="163">
        <v>0.28560000000000002</v>
      </c>
      <c r="M208" s="164">
        <v>4.1909000000000001</v>
      </c>
      <c r="P208" s="180"/>
    </row>
    <row r="209" spans="1:16" ht="15.5">
      <c r="A209" s="184" t="s">
        <v>468</v>
      </c>
      <c r="B209" s="163">
        <v>6.0785</v>
      </c>
      <c r="C209" s="163">
        <v>2.9664999999999999</v>
      </c>
      <c r="D209" s="163">
        <v>3.2000000000000001E-2</v>
      </c>
      <c r="E209" s="163">
        <v>1.7564</v>
      </c>
      <c r="F209" s="163">
        <v>1.0478000000000001</v>
      </c>
      <c r="G209" s="163">
        <v>4.2099999999999999E-2</v>
      </c>
      <c r="H209" s="163">
        <v>0.1215</v>
      </c>
      <c r="I209" s="163">
        <v>0.11219999999999999</v>
      </c>
      <c r="J209" s="163" t="s">
        <v>137</v>
      </c>
      <c r="K209" s="163">
        <v>1.3236000000000001</v>
      </c>
      <c r="L209" s="163">
        <v>0.27579999999999999</v>
      </c>
      <c r="M209" s="164">
        <v>4.7549000000000001</v>
      </c>
      <c r="P209" s="180"/>
    </row>
    <row r="210" spans="1:16" ht="15.5">
      <c r="A210" s="184" t="s">
        <v>469</v>
      </c>
      <c r="B210" s="163">
        <v>6.2731000000000003</v>
      </c>
      <c r="C210" s="163">
        <v>3.1530999999999998</v>
      </c>
      <c r="D210" s="163">
        <v>3.2899999999999999E-2</v>
      </c>
      <c r="E210" s="163">
        <v>1.5049999999999999</v>
      </c>
      <c r="F210" s="163">
        <v>1.2513000000000001</v>
      </c>
      <c r="G210" s="163">
        <v>5.7200000000000001E-2</v>
      </c>
      <c r="H210" s="163">
        <v>0.1613</v>
      </c>
      <c r="I210" s="163">
        <v>0.1123</v>
      </c>
      <c r="J210" s="163" t="s">
        <v>137</v>
      </c>
      <c r="K210" s="163">
        <v>1.5822000000000001</v>
      </c>
      <c r="L210" s="163">
        <v>0.33079999999999998</v>
      </c>
      <c r="M210" s="164">
        <v>4.6909000000000001</v>
      </c>
      <c r="P210" s="180"/>
    </row>
    <row r="211" spans="1:16" ht="15.5">
      <c r="A211" s="184" t="s">
        <v>470</v>
      </c>
      <c r="B211" s="163">
        <v>6.3802000000000003</v>
      </c>
      <c r="C211" s="163">
        <v>3.0811000000000002</v>
      </c>
      <c r="D211" s="163">
        <v>4.8899999999999999E-2</v>
      </c>
      <c r="E211" s="163">
        <v>1.5233000000000001</v>
      </c>
      <c r="F211" s="163">
        <v>1.3132999999999999</v>
      </c>
      <c r="G211" s="163">
        <v>5.6800000000000003E-2</v>
      </c>
      <c r="H211" s="163">
        <v>0.15029999999999999</v>
      </c>
      <c r="I211" s="163">
        <v>0.20649999999999999</v>
      </c>
      <c r="J211" s="163" t="s">
        <v>137</v>
      </c>
      <c r="K211" s="163">
        <v>1.7270000000000001</v>
      </c>
      <c r="L211" s="163">
        <v>0.41360000000000002</v>
      </c>
      <c r="M211" s="164">
        <v>4.6532</v>
      </c>
      <c r="P211" s="180"/>
    </row>
    <row r="212" spans="1:16" ht="15.5">
      <c r="A212" s="184" t="s">
        <v>471</v>
      </c>
      <c r="B212" s="163">
        <v>6.6283000000000003</v>
      </c>
      <c r="C212" s="163">
        <v>3.431</v>
      </c>
      <c r="D212" s="163">
        <v>4.2700000000000002E-2</v>
      </c>
      <c r="E212" s="163">
        <v>1.4787999999999999</v>
      </c>
      <c r="F212" s="163">
        <v>1.3354999999999999</v>
      </c>
      <c r="G212" s="163">
        <v>4.07E-2</v>
      </c>
      <c r="H212" s="163">
        <v>0.1255</v>
      </c>
      <c r="I212" s="163">
        <v>0.1741</v>
      </c>
      <c r="J212" s="163" t="s">
        <v>137</v>
      </c>
      <c r="K212" s="163">
        <v>1.6758</v>
      </c>
      <c r="L212" s="163">
        <v>0.34029999999999999</v>
      </c>
      <c r="M212" s="164">
        <v>4.9526000000000003</v>
      </c>
      <c r="P212" s="180"/>
    </row>
    <row r="213" spans="1:16" ht="15.5">
      <c r="A213" s="184" t="s">
        <v>472</v>
      </c>
      <c r="B213" s="163">
        <v>6.0460000000000003</v>
      </c>
      <c r="C213" s="163">
        <v>3.3361999999999998</v>
      </c>
      <c r="D213" s="163">
        <v>3.4299999999999997E-2</v>
      </c>
      <c r="E213" s="163">
        <v>1.3652</v>
      </c>
      <c r="F213" s="163">
        <v>1.0658000000000001</v>
      </c>
      <c r="G213" s="163">
        <v>3.2300000000000002E-2</v>
      </c>
      <c r="H213" s="163">
        <v>9.7100000000000006E-2</v>
      </c>
      <c r="I213" s="163">
        <v>0.1152</v>
      </c>
      <c r="J213" s="163" t="s">
        <v>137</v>
      </c>
      <c r="K213" s="163">
        <v>1.3103</v>
      </c>
      <c r="L213" s="163">
        <v>0.24460000000000001</v>
      </c>
      <c r="M213" s="164">
        <v>4.7356999999999996</v>
      </c>
      <c r="P213" s="180"/>
    </row>
    <row r="214" spans="1:16" ht="15.5">
      <c r="A214" s="184" t="s">
        <v>473</v>
      </c>
      <c r="B214" s="163">
        <v>5.5831999999999997</v>
      </c>
      <c r="C214" s="163">
        <v>2.7764000000000002</v>
      </c>
      <c r="D214" s="163">
        <v>3.3599999999999998E-2</v>
      </c>
      <c r="E214" s="163">
        <v>1.2118</v>
      </c>
      <c r="F214" s="163">
        <v>1.3380000000000001</v>
      </c>
      <c r="G214" s="163">
        <v>1.6899999999999998E-2</v>
      </c>
      <c r="H214" s="163">
        <v>0.1009</v>
      </c>
      <c r="I214" s="163">
        <v>0.1056</v>
      </c>
      <c r="J214" s="163" t="s">
        <v>137</v>
      </c>
      <c r="K214" s="163">
        <v>1.5612999999999999</v>
      </c>
      <c r="L214" s="163">
        <v>0.2233</v>
      </c>
      <c r="M214" s="164">
        <v>4.0217999999999998</v>
      </c>
      <c r="P214" s="180"/>
    </row>
    <row r="215" spans="1:16" ht="15.5">
      <c r="A215" s="184" t="s">
        <v>474</v>
      </c>
      <c r="B215" s="163">
        <v>5.4630000000000001</v>
      </c>
      <c r="C215" s="163">
        <v>2.4365999999999999</v>
      </c>
      <c r="D215" s="163">
        <v>2.75E-2</v>
      </c>
      <c r="E215" s="163">
        <v>1.4129</v>
      </c>
      <c r="F215" s="163">
        <v>1.3632</v>
      </c>
      <c r="G215" s="163">
        <v>1.72E-2</v>
      </c>
      <c r="H215" s="163">
        <v>9.06E-2</v>
      </c>
      <c r="I215" s="163">
        <v>0.115</v>
      </c>
      <c r="J215" s="163" t="s">
        <v>137</v>
      </c>
      <c r="K215" s="163">
        <v>1.5859000000000001</v>
      </c>
      <c r="L215" s="163">
        <v>0.22270000000000001</v>
      </c>
      <c r="M215" s="164">
        <v>3.8769999999999998</v>
      </c>
      <c r="P215" s="180"/>
    </row>
    <row r="216" spans="1:16" ht="15.5">
      <c r="A216" s="184" t="s">
        <v>475</v>
      </c>
      <c r="B216" s="163">
        <v>4.9562999999999997</v>
      </c>
      <c r="C216" s="163">
        <v>2.0360999999999998</v>
      </c>
      <c r="D216" s="163">
        <v>3.1300000000000001E-2</v>
      </c>
      <c r="E216" s="163">
        <v>1.363</v>
      </c>
      <c r="F216" s="163">
        <v>1.2999000000000001</v>
      </c>
      <c r="G216" s="163">
        <v>1.4800000000000001E-2</v>
      </c>
      <c r="H216" s="163">
        <v>9.8900000000000002E-2</v>
      </c>
      <c r="I216" s="163">
        <v>0.11219999999999999</v>
      </c>
      <c r="J216" s="163" t="s">
        <v>137</v>
      </c>
      <c r="K216" s="163">
        <v>1.5258</v>
      </c>
      <c r="L216" s="163">
        <v>0.22589999999999999</v>
      </c>
      <c r="M216" s="164">
        <v>3.4304000000000001</v>
      </c>
      <c r="P216" s="180"/>
    </row>
    <row r="217" spans="1:16" ht="15.5">
      <c r="A217" s="184" t="s">
        <v>476</v>
      </c>
      <c r="B217" s="163">
        <v>5.0728</v>
      </c>
      <c r="C217" s="163">
        <v>2.2299000000000002</v>
      </c>
      <c r="D217" s="163">
        <v>1.89E-2</v>
      </c>
      <c r="E217" s="163">
        <v>1.3663000000000001</v>
      </c>
      <c r="F217" s="163">
        <v>1.2238</v>
      </c>
      <c r="G217" s="163">
        <v>2.06E-2</v>
      </c>
      <c r="H217" s="163">
        <v>7.7200000000000005E-2</v>
      </c>
      <c r="I217" s="163">
        <v>0.13619999999999999</v>
      </c>
      <c r="J217" s="163" t="s">
        <v>137</v>
      </c>
      <c r="K217" s="163">
        <v>1.4577</v>
      </c>
      <c r="L217" s="163">
        <v>0.2339</v>
      </c>
      <c r="M217" s="164">
        <v>3.6151</v>
      </c>
      <c r="P217" s="180"/>
    </row>
    <row r="218" spans="1:16" ht="15.5">
      <c r="A218" s="184" t="s">
        <v>477</v>
      </c>
      <c r="B218" s="163">
        <v>5.0891999999999999</v>
      </c>
      <c r="C218" s="163">
        <v>2.1631999999999998</v>
      </c>
      <c r="D218" s="163">
        <v>2.1399999999999999E-2</v>
      </c>
      <c r="E218" s="163">
        <v>1.2499</v>
      </c>
      <c r="F218" s="163">
        <v>1.4159999999999999</v>
      </c>
      <c r="G218" s="163">
        <v>1.9800000000000002E-2</v>
      </c>
      <c r="H218" s="163">
        <v>8.6400000000000005E-2</v>
      </c>
      <c r="I218" s="163">
        <v>0.1326</v>
      </c>
      <c r="J218" s="163" t="s">
        <v>137</v>
      </c>
      <c r="K218" s="163">
        <v>1.6547000000000001</v>
      </c>
      <c r="L218" s="163">
        <v>0.2387</v>
      </c>
      <c r="M218" s="164">
        <v>3.4344999999999999</v>
      </c>
      <c r="P218" s="180"/>
    </row>
    <row r="219" spans="1:16" ht="15.5">
      <c r="A219" s="184" t="s">
        <v>478</v>
      </c>
      <c r="B219" s="163">
        <v>5.0629</v>
      </c>
      <c r="C219" s="163">
        <v>2.4971999999999999</v>
      </c>
      <c r="D219" s="163">
        <v>2.8000000000000001E-2</v>
      </c>
      <c r="E219" s="163">
        <v>0.94130000000000003</v>
      </c>
      <c r="F219" s="163">
        <v>1.2544999999999999</v>
      </c>
      <c r="G219" s="163">
        <v>2.8299999999999999E-2</v>
      </c>
      <c r="H219" s="163">
        <v>0.15989999999999999</v>
      </c>
      <c r="I219" s="163">
        <v>0.15379999999999999</v>
      </c>
      <c r="J219" s="163" t="s">
        <v>137</v>
      </c>
      <c r="K219" s="163">
        <v>1.5965</v>
      </c>
      <c r="L219" s="163">
        <v>0.34200000000000003</v>
      </c>
      <c r="M219" s="164">
        <v>3.4664000000000001</v>
      </c>
      <c r="P219" s="180"/>
    </row>
    <row r="220" spans="1:16" ht="15.5">
      <c r="A220" s="184" t="s">
        <v>479</v>
      </c>
      <c r="B220" s="163">
        <v>5.9981999999999998</v>
      </c>
      <c r="C220" s="163">
        <v>3.1694</v>
      </c>
      <c r="D220" s="163">
        <v>3.0099999999999998E-2</v>
      </c>
      <c r="E220" s="163">
        <v>1.3246</v>
      </c>
      <c r="F220" s="163">
        <v>1.165</v>
      </c>
      <c r="G220" s="163">
        <v>3.2800000000000003E-2</v>
      </c>
      <c r="H220" s="163">
        <v>0.11650000000000001</v>
      </c>
      <c r="I220" s="163">
        <v>0.15970000000000001</v>
      </c>
      <c r="J220" s="163" t="s">
        <v>137</v>
      </c>
      <c r="K220" s="163">
        <v>1.4741</v>
      </c>
      <c r="L220" s="163">
        <v>0.30909999999999999</v>
      </c>
      <c r="M220" s="164">
        <v>4.5240999999999998</v>
      </c>
      <c r="P220" s="180"/>
    </row>
    <row r="221" spans="1:16" ht="15.5">
      <c r="A221" s="184" t="s">
        <v>480</v>
      </c>
      <c r="B221" s="163">
        <v>6.0255000000000001</v>
      </c>
      <c r="C221" s="163">
        <v>3.1953999999999998</v>
      </c>
      <c r="D221" s="163">
        <v>3.32E-2</v>
      </c>
      <c r="E221" s="163">
        <v>1.3413999999999999</v>
      </c>
      <c r="F221" s="163">
        <v>1.0749</v>
      </c>
      <c r="G221" s="163">
        <v>4.02E-2</v>
      </c>
      <c r="H221" s="163">
        <v>0.16309999999999999</v>
      </c>
      <c r="I221" s="163">
        <v>0.17730000000000001</v>
      </c>
      <c r="J221" s="163" t="s">
        <v>137</v>
      </c>
      <c r="K221" s="163">
        <v>1.4555</v>
      </c>
      <c r="L221" s="163">
        <v>0.38059999999999999</v>
      </c>
      <c r="M221" s="164">
        <v>4.57</v>
      </c>
      <c r="P221" s="180"/>
    </row>
    <row r="222" spans="1:16" ht="15.5">
      <c r="A222" s="184" t="s">
        <v>481</v>
      </c>
      <c r="B222" s="163">
        <v>6.4211999999999998</v>
      </c>
      <c r="C222" s="163">
        <v>3.3130000000000002</v>
      </c>
      <c r="D222" s="163">
        <v>5.74E-2</v>
      </c>
      <c r="E222" s="163">
        <v>1.2688999999999999</v>
      </c>
      <c r="F222" s="163">
        <v>1.3560000000000001</v>
      </c>
      <c r="G222" s="163">
        <v>3.9300000000000002E-2</v>
      </c>
      <c r="H222" s="163">
        <v>0.20899999999999999</v>
      </c>
      <c r="I222" s="163">
        <v>0.17749999999999999</v>
      </c>
      <c r="J222" s="163" t="s">
        <v>137</v>
      </c>
      <c r="K222" s="163">
        <v>1.7818000000000001</v>
      </c>
      <c r="L222" s="163">
        <v>0.42580000000000001</v>
      </c>
      <c r="M222" s="164">
        <v>4.6394000000000002</v>
      </c>
      <c r="P222" s="180"/>
    </row>
    <row r="223" spans="1:16" ht="15.5">
      <c r="A223" s="184" t="s">
        <v>482</v>
      </c>
      <c r="B223" s="163">
        <v>6.7572999999999999</v>
      </c>
      <c r="C223" s="163">
        <v>3.4335</v>
      </c>
      <c r="D223" s="163">
        <v>3.5299999999999998E-2</v>
      </c>
      <c r="E223" s="163">
        <v>1.3668</v>
      </c>
      <c r="F223" s="163">
        <v>1.5155000000000001</v>
      </c>
      <c r="G223" s="163">
        <v>3.7900000000000003E-2</v>
      </c>
      <c r="H223" s="163">
        <v>0.1774</v>
      </c>
      <c r="I223" s="163">
        <v>0.191</v>
      </c>
      <c r="J223" s="163" t="s">
        <v>137</v>
      </c>
      <c r="K223" s="163">
        <v>1.9217</v>
      </c>
      <c r="L223" s="163">
        <v>0.40629999999999999</v>
      </c>
      <c r="M223" s="164">
        <v>4.8356000000000003</v>
      </c>
      <c r="P223" s="180"/>
    </row>
    <row r="224" spans="1:16" ht="15.5">
      <c r="A224" s="184" t="s">
        <v>483</v>
      </c>
      <c r="B224" s="163">
        <v>6.0795000000000003</v>
      </c>
      <c r="C224" s="163">
        <v>3.0939000000000001</v>
      </c>
      <c r="D224" s="163">
        <v>2.0199999999999999E-2</v>
      </c>
      <c r="E224" s="163">
        <v>1.3956999999999999</v>
      </c>
      <c r="F224" s="163">
        <v>1.2228000000000001</v>
      </c>
      <c r="G224" s="163">
        <v>3.0700000000000002E-2</v>
      </c>
      <c r="H224" s="163">
        <v>0.14960000000000001</v>
      </c>
      <c r="I224" s="163">
        <v>0.1666</v>
      </c>
      <c r="J224" s="163" t="s">
        <v>137</v>
      </c>
      <c r="K224" s="163">
        <v>1.5697000000000001</v>
      </c>
      <c r="L224" s="163">
        <v>0.34689999999999999</v>
      </c>
      <c r="M224" s="164">
        <v>4.5098000000000003</v>
      </c>
      <c r="P224" s="180"/>
    </row>
    <row r="225" spans="1:16" ht="15.5">
      <c r="A225" s="184" t="s">
        <v>484</v>
      </c>
      <c r="B225" s="163">
        <v>6.5145</v>
      </c>
      <c r="C225" s="163">
        <v>3.3635999999999999</v>
      </c>
      <c r="D225" s="163">
        <v>2.2200000000000001E-2</v>
      </c>
      <c r="E225" s="163">
        <v>1.4846999999999999</v>
      </c>
      <c r="F225" s="163">
        <v>1.2608999999999999</v>
      </c>
      <c r="G225" s="163">
        <v>1.2500000000000001E-2</v>
      </c>
      <c r="H225" s="163">
        <v>0.17299999999999999</v>
      </c>
      <c r="I225" s="163">
        <v>0.19750000000000001</v>
      </c>
      <c r="J225" s="163" t="s">
        <v>137</v>
      </c>
      <c r="K225" s="163">
        <v>1.6439999999999999</v>
      </c>
      <c r="L225" s="163">
        <v>0.38300000000000001</v>
      </c>
      <c r="M225" s="164">
        <v>4.8704999999999998</v>
      </c>
      <c r="P225" s="180"/>
    </row>
    <row r="226" spans="1:16" ht="15.5">
      <c r="A226" s="184" t="s">
        <v>485</v>
      </c>
      <c r="B226" s="163">
        <v>5.5582000000000003</v>
      </c>
      <c r="C226" s="163">
        <v>2.6</v>
      </c>
      <c r="D226" s="163">
        <v>1.67E-2</v>
      </c>
      <c r="E226" s="163">
        <v>1.2007000000000001</v>
      </c>
      <c r="F226" s="163">
        <v>1.2925</v>
      </c>
      <c r="G226" s="163">
        <v>2.1899999999999999E-2</v>
      </c>
      <c r="H226" s="163">
        <v>0.18129999999999999</v>
      </c>
      <c r="I226" s="163">
        <v>0.2452</v>
      </c>
      <c r="J226" s="163" t="s">
        <v>137</v>
      </c>
      <c r="K226" s="163">
        <v>1.7407999999999999</v>
      </c>
      <c r="L226" s="163">
        <v>0.44840000000000002</v>
      </c>
      <c r="M226" s="164">
        <v>3.8172999999999999</v>
      </c>
      <c r="P226" s="180"/>
    </row>
    <row r="227" spans="1:16" ht="15.5">
      <c r="A227" s="184" t="s">
        <v>486</v>
      </c>
      <c r="B227" s="163">
        <v>5.1040000000000001</v>
      </c>
      <c r="C227" s="163">
        <v>2.3980000000000001</v>
      </c>
      <c r="D227" s="163">
        <v>1.2200000000000001E-2</v>
      </c>
      <c r="E227" s="163">
        <v>1.2024999999999999</v>
      </c>
      <c r="F227" s="163">
        <v>1.0305</v>
      </c>
      <c r="G227" s="163">
        <v>2.8299999999999999E-2</v>
      </c>
      <c r="H227" s="163">
        <v>0.1666</v>
      </c>
      <c r="I227" s="163">
        <v>0.26600000000000001</v>
      </c>
      <c r="J227" s="163" t="s">
        <v>137</v>
      </c>
      <c r="K227" s="163">
        <v>1.4913000000000001</v>
      </c>
      <c r="L227" s="163">
        <v>0.46089999999999998</v>
      </c>
      <c r="M227" s="164">
        <v>3.6126999999999998</v>
      </c>
      <c r="P227" s="180"/>
    </row>
    <row r="228" spans="1:16" ht="15.5">
      <c r="A228" s="184" t="s">
        <v>487</v>
      </c>
      <c r="B228" s="163">
        <v>4.6707999999999998</v>
      </c>
      <c r="C228" s="163">
        <v>1.8693</v>
      </c>
      <c r="D228" s="163">
        <v>1.06E-2</v>
      </c>
      <c r="E228" s="163">
        <v>1.3878999999999999</v>
      </c>
      <c r="F228" s="163">
        <v>1.0607</v>
      </c>
      <c r="G228" s="163">
        <v>1.1900000000000001E-2</v>
      </c>
      <c r="H228" s="163">
        <v>0.12130000000000001</v>
      </c>
      <c r="I228" s="163">
        <v>0.20910000000000001</v>
      </c>
      <c r="J228" s="163" t="s">
        <v>137</v>
      </c>
      <c r="K228" s="163">
        <v>1.4031</v>
      </c>
      <c r="L228" s="163">
        <v>0.34239999999999998</v>
      </c>
      <c r="M228" s="164">
        <v>3.2677999999999998</v>
      </c>
      <c r="P228" s="180"/>
    </row>
    <row r="229" spans="1:16" ht="15.5">
      <c r="A229" s="184" t="s">
        <v>488</v>
      </c>
      <c r="B229" s="163">
        <v>4.9696999999999996</v>
      </c>
      <c r="C229" s="163">
        <v>2.0167000000000002</v>
      </c>
      <c r="D229" s="163">
        <v>1.43E-2</v>
      </c>
      <c r="E229" s="163">
        <v>1.2396</v>
      </c>
      <c r="F229" s="163">
        <v>1.3740000000000001</v>
      </c>
      <c r="G229" s="163">
        <v>1.09E-2</v>
      </c>
      <c r="H229" s="163">
        <v>8.0600000000000005E-2</v>
      </c>
      <c r="I229" s="163">
        <v>0.2336</v>
      </c>
      <c r="J229" s="163" t="s">
        <v>137</v>
      </c>
      <c r="K229" s="163">
        <v>1.6991000000000001</v>
      </c>
      <c r="L229" s="163">
        <v>0.3251</v>
      </c>
      <c r="M229" s="164">
        <v>3.2706</v>
      </c>
      <c r="P229" s="180"/>
    </row>
    <row r="230" spans="1:16" ht="15.5">
      <c r="A230" s="184" t="s">
        <v>489</v>
      </c>
      <c r="B230" s="163">
        <v>4.944</v>
      </c>
      <c r="C230" s="163">
        <v>2.1355</v>
      </c>
      <c r="D230" s="163">
        <v>2.4299999999999999E-2</v>
      </c>
      <c r="E230" s="163">
        <v>0.98599999999999999</v>
      </c>
      <c r="F230" s="163">
        <v>1.4983</v>
      </c>
      <c r="G230" s="163">
        <v>1.44E-2</v>
      </c>
      <c r="H230" s="163">
        <v>0.11360000000000001</v>
      </c>
      <c r="I230" s="163">
        <v>0.17199999999999999</v>
      </c>
      <c r="J230" s="163" t="s">
        <v>137</v>
      </c>
      <c r="K230" s="163">
        <v>1.7983</v>
      </c>
      <c r="L230" s="163">
        <v>0.3</v>
      </c>
      <c r="M230" s="164">
        <v>3.1457999999999999</v>
      </c>
      <c r="P230" s="180"/>
    </row>
    <row r="231" spans="1:16" ht="15.5">
      <c r="A231" s="184" t="s">
        <v>490</v>
      </c>
      <c r="B231" s="163">
        <v>5.0122999999999998</v>
      </c>
      <c r="C231" s="163">
        <v>2.3208000000000002</v>
      </c>
      <c r="D231" s="163">
        <v>2.7699999999999999E-2</v>
      </c>
      <c r="E231" s="163">
        <v>1.1133999999999999</v>
      </c>
      <c r="F231" s="163">
        <v>1.2150000000000001</v>
      </c>
      <c r="G231" s="163">
        <v>1.9800000000000002E-2</v>
      </c>
      <c r="H231" s="163">
        <v>0.1487</v>
      </c>
      <c r="I231" s="163">
        <v>0.16669999999999999</v>
      </c>
      <c r="J231" s="163" t="s">
        <v>137</v>
      </c>
      <c r="K231" s="163">
        <v>1.5503</v>
      </c>
      <c r="L231" s="163">
        <v>0.33529999999999999</v>
      </c>
      <c r="M231" s="164">
        <v>3.4620000000000002</v>
      </c>
      <c r="P231" s="180"/>
    </row>
    <row r="232" spans="1:16" ht="15.5">
      <c r="A232" s="184" t="s">
        <v>491</v>
      </c>
      <c r="B232" s="163">
        <v>5.4805999999999999</v>
      </c>
      <c r="C232" s="163">
        <v>2.6091000000000002</v>
      </c>
      <c r="D232" s="163">
        <v>2.12E-2</v>
      </c>
      <c r="E232" s="163">
        <v>1.0884</v>
      </c>
      <c r="F232" s="163">
        <v>1.3008999999999999</v>
      </c>
      <c r="G232" s="163">
        <v>3.1399999999999997E-2</v>
      </c>
      <c r="H232" s="163">
        <v>0.23980000000000001</v>
      </c>
      <c r="I232" s="163">
        <v>0.18990000000000001</v>
      </c>
      <c r="J232" s="163" t="s">
        <v>137</v>
      </c>
      <c r="K232" s="163">
        <v>1.7619</v>
      </c>
      <c r="L232" s="163">
        <v>0.46110000000000001</v>
      </c>
      <c r="M232" s="164">
        <v>3.7187000000000001</v>
      </c>
      <c r="P232" s="180"/>
    </row>
    <row r="233" spans="1:16" ht="15.5">
      <c r="A233" s="184" t="s">
        <v>492</v>
      </c>
      <c r="B233" s="163">
        <v>5.8295000000000003</v>
      </c>
      <c r="C233" s="163">
        <v>2.7037</v>
      </c>
      <c r="D233" s="163">
        <v>1.7999999999999999E-2</v>
      </c>
      <c r="E233" s="163">
        <v>1.4268000000000001</v>
      </c>
      <c r="F233" s="163">
        <v>1.2643</v>
      </c>
      <c r="G233" s="163">
        <v>3.8800000000000001E-2</v>
      </c>
      <c r="H233" s="163">
        <v>0.2026</v>
      </c>
      <c r="I233" s="163">
        <v>0.17519999999999999</v>
      </c>
      <c r="J233" s="163" t="s">
        <v>137</v>
      </c>
      <c r="K233" s="163">
        <v>1.6809000000000001</v>
      </c>
      <c r="L233" s="163">
        <v>0.41660000000000003</v>
      </c>
      <c r="M233" s="164">
        <v>4.1486000000000001</v>
      </c>
      <c r="P233" s="180"/>
    </row>
    <row r="234" spans="1:16" ht="15.5">
      <c r="A234" s="184" t="s">
        <v>493</v>
      </c>
      <c r="B234" s="163">
        <v>5.9321000000000002</v>
      </c>
      <c r="C234" s="163">
        <v>2.7839999999999998</v>
      </c>
      <c r="D234" s="163">
        <v>1.5900000000000001E-2</v>
      </c>
      <c r="E234" s="163">
        <v>1.173</v>
      </c>
      <c r="F234" s="163">
        <v>1.4076</v>
      </c>
      <c r="G234" s="163">
        <v>5.1799999999999999E-2</v>
      </c>
      <c r="H234" s="163">
        <v>0.31180000000000002</v>
      </c>
      <c r="I234" s="163">
        <v>0.188</v>
      </c>
      <c r="J234" s="163" t="s">
        <v>137</v>
      </c>
      <c r="K234" s="163">
        <v>1.9592000000000001</v>
      </c>
      <c r="L234" s="163">
        <v>0.55159999999999998</v>
      </c>
      <c r="M234" s="164">
        <v>3.9729000000000001</v>
      </c>
      <c r="P234" s="180"/>
    </row>
    <row r="235" spans="1:16" ht="15.5">
      <c r="A235" s="184" t="s">
        <v>494</v>
      </c>
      <c r="B235" s="163">
        <v>6.0019</v>
      </c>
      <c r="C235" s="163">
        <v>2.9598</v>
      </c>
      <c r="D235" s="163">
        <v>2.3400000000000001E-2</v>
      </c>
      <c r="E235" s="163">
        <v>1.1733</v>
      </c>
      <c r="F235" s="163">
        <v>1.3259000000000001</v>
      </c>
      <c r="G235" s="163">
        <v>5.7500000000000002E-2</v>
      </c>
      <c r="H235" s="163">
        <v>0.27050000000000002</v>
      </c>
      <c r="I235" s="163">
        <v>0.19139999999999999</v>
      </c>
      <c r="J235" s="163" t="s">
        <v>137</v>
      </c>
      <c r="K235" s="163">
        <v>1.8453999999999999</v>
      </c>
      <c r="L235" s="163">
        <v>0.51949999999999996</v>
      </c>
      <c r="M235" s="164">
        <v>4.1565000000000003</v>
      </c>
      <c r="P235" s="180"/>
    </row>
    <row r="236" spans="1:16" ht="15.5">
      <c r="A236" s="184" t="s">
        <v>495</v>
      </c>
      <c r="B236" s="163">
        <v>5.2611999999999997</v>
      </c>
      <c r="C236" s="163">
        <v>2.5785999999999998</v>
      </c>
      <c r="D236" s="163">
        <v>1.7600000000000001E-2</v>
      </c>
      <c r="E236" s="163">
        <v>1.0472999999999999</v>
      </c>
      <c r="F236" s="163">
        <v>1.1114999999999999</v>
      </c>
      <c r="G236" s="163">
        <v>4.99E-2</v>
      </c>
      <c r="H236" s="163">
        <v>0.2984</v>
      </c>
      <c r="I236" s="163">
        <v>0.15790000000000001</v>
      </c>
      <c r="J236" s="163" t="s">
        <v>137</v>
      </c>
      <c r="K236" s="163">
        <v>1.6176999999999999</v>
      </c>
      <c r="L236" s="163">
        <v>0.50619999999999998</v>
      </c>
      <c r="M236" s="164">
        <v>3.6435</v>
      </c>
      <c r="P236" s="180"/>
    </row>
    <row r="237" spans="1:16" ht="15.5">
      <c r="A237" s="184" t="s">
        <v>496</v>
      </c>
      <c r="B237" s="163">
        <v>5.6085000000000003</v>
      </c>
      <c r="C237" s="163">
        <v>2.7317999999999998</v>
      </c>
      <c r="D237" s="163">
        <v>1.54E-2</v>
      </c>
      <c r="E237" s="163">
        <v>1.2102999999999999</v>
      </c>
      <c r="F237" s="163">
        <v>1.1532</v>
      </c>
      <c r="G237" s="163">
        <v>5.21E-2</v>
      </c>
      <c r="H237" s="163">
        <v>0.22900000000000001</v>
      </c>
      <c r="I237" s="163">
        <v>0.2167</v>
      </c>
      <c r="J237" s="163" t="s">
        <v>137</v>
      </c>
      <c r="K237" s="163">
        <v>1.651</v>
      </c>
      <c r="L237" s="163">
        <v>0.49780000000000002</v>
      </c>
      <c r="M237" s="164">
        <v>3.9575</v>
      </c>
      <c r="P237" s="180"/>
    </row>
    <row r="238" spans="1:16" ht="15.5">
      <c r="A238" s="184" t="s">
        <v>497</v>
      </c>
      <c r="B238" s="163">
        <v>4.9238999999999997</v>
      </c>
      <c r="C238" s="163">
        <v>2.2919999999999998</v>
      </c>
      <c r="D238" s="163">
        <v>1.2699999999999999E-2</v>
      </c>
      <c r="E238" s="163">
        <v>0.96919999999999995</v>
      </c>
      <c r="F238" s="163">
        <v>1.2290000000000001</v>
      </c>
      <c r="G238" s="163">
        <v>3.49E-2</v>
      </c>
      <c r="H238" s="163">
        <v>0.1628</v>
      </c>
      <c r="I238" s="163">
        <v>0.2233</v>
      </c>
      <c r="J238" s="163" t="s">
        <v>137</v>
      </c>
      <c r="K238" s="163">
        <v>1.6500999999999999</v>
      </c>
      <c r="L238" s="163">
        <v>0.42099999999999999</v>
      </c>
      <c r="M238" s="164">
        <v>3.2738999999999998</v>
      </c>
      <c r="P238" s="180"/>
    </row>
    <row r="239" spans="1:16" ht="15.5">
      <c r="A239" s="184" t="s">
        <v>498</v>
      </c>
      <c r="B239" s="163">
        <v>4.7423000000000002</v>
      </c>
      <c r="C239" s="163">
        <v>1.8078000000000001</v>
      </c>
      <c r="D239" s="163">
        <v>1.44E-2</v>
      </c>
      <c r="E239" s="163">
        <v>1.2725</v>
      </c>
      <c r="F239" s="163">
        <v>1.2515000000000001</v>
      </c>
      <c r="G239" s="163">
        <v>2.1700000000000001E-2</v>
      </c>
      <c r="H239" s="163">
        <v>0.13439999999999999</v>
      </c>
      <c r="I239" s="163">
        <v>0.2399</v>
      </c>
      <c r="J239" s="163" t="s">
        <v>137</v>
      </c>
      <c r="K239" s="163">
        <v>1.6475</v>
      </c>
      <c r="L239" s="163">
        <v>0.39610000000000001</v>
      </c>
      <c r="M239" s="164">
        <v>3.0948000000000002</v>
      </c>
      <c r="P239" s="180"/>
    </row>
    <row r="240" spans="1:16" ht="15.5">
      <c r="A240" s="184" t="s">
        <v>499</v>
      </c>
      <c r="B240" s="163">
        <v>4.4516999999999998</v>
      </c>
      <c r="C240" s="163">
        <v>1.1637999999999999</v>
      </c>
      <c r="D240" s="163">
        <v>1.2800000000000001E-2</v>
      </c>
      <c r="E240" s="163">
        <v>1.5703</v>
      </c>
      <c r="F240" s="163">
        <v>1.3224</v>
      </c>
      <c r="G240" s="163">
        <v>1.3299999999999999E-2</v>
      </c>
      <c r="H240" s="163">
        <v>7.4099999999999999E-2</v>
      </c>
      <c r="I240" s="163">
        <v>0.29499999999999998</v>
      </c>
      <c r="J240" s="163" t="s">
        <v>137</v>
      </c>
      <c r="K240" s="163">
        <v>1.7048000000000001</v>
      </c>
      <c r="L240" s="163">
        <v>0.38240000000000002</v>
      </c>
      <c r="M240" s="164">
        <v>2.7469999999999999</v>
      </c>
      <c r="P240" s="180"/>
    </row>
    <row r="241" spans="1:16" ht="15.5">
      <c r="A241" s="184" t="s">
        <v>500</v>
      </c>
      <c r="B241" s="163">
        <v>4.4469000000000003</v>
      </c>
      <c r="C241" s="163">
        <v>1.0104</v>
      </c>
      <c r="D241" s="163">
        <v>0.01</v>
      </c>
      <c r="E241" s="163">
        <v>1.7655000000000001</v>
      </c>
      <c r="F241" s="163">
        <v>1.2679</v>
      </c>
      <c r="G241" s="163">
        <v>8.3999999999999995E-3</v>
      </c>
      <c r="H241" s="163">
        <v>0.1072</v>
      </c>
      <c r="I241" s="163">
        <v>0.27760000000000001</v>
      </c>
      <c r="J241" s="163" t="s">
        <v>137</v>
      </c>
      <c r="K241" s="163">
        <v>1.661</v>
      </c>
      <c r="L241" s="163">
        <v>0.3931</v>
      </c>
      <c r="M241" s="164">
        <v>2.7858999999999998</v>
      </c>
      <c r="P241" s="180"/>
    </row>
    <row r="242" spans="1:16" ht="15.5">
      <c r="A242" s="184" t="s">
        <v>501</v>
      </c>
      <c r="B242" s="163">
        <v>4.1999000000000004</v>
      </c>
      <c r="C242" s="163">
        <v>0.97219999999999995</v>
      </c>
      <c r="D242" s="163">
        <v>1.26E-2</v>
      </c>
      <c r="E242" s="163">
        <v>1.5902000000000001</v>
      </c>
      <c r="F242" s="163">
        <v>1.1208</v>
      </c>
      <c r="G242" s="163">
        <v>2.2800000000000001E-2</v>
      </c>
      <c r="H242" s="163">
        <v>0.1847</v>
      </c>
      <c r="I242" s="163">
        <v>0.2964</v>
      </c>
      <c r="J242" s="163" t="s">
        <v>137</v>
      </c>
      <c r="K242" s="163">
        <v>1.6248</v>
      </c>
      <c r="L242" s="163">
        <v>0.504</v>
      </c>
      <c r="M242" s="164">
        <v>2.5750000000000002</v>
      </c>
      <c r="P242" s="180"/>
    </row>
    <row r="243" spans="1:16" ht="15.5">
      <c r="A243" s="184" t="s">
        <v>502</v>
      </c>
      <c r="B243" s="163">
        <v>4.742</v>
      </c>
      <c r="C243" s="163">
        <v>1.8907</v>
      </c>
      <c r="D243" s="163">
        <v>1.44E-2</v>
      </c>
      <c r="E243" s="163">
        <v>1.4507000000000001</v>
      </c>
      <c r="F243" s="163">
        <v>1.0136000000000001</v>
      </c>
      <c r="G243" s="163">
        <v>1.4999999999999999E-2</v>
      </c>
      <c r="H243" s="163">
        <v>7.6300000000000007E-2</v>
      </c>
      <c r="I243" s="163">
        <v>0.28129999999999999</v>
      </c>
      <c r="J243" s="163" t="s">
        <v>137</v>
      </c>
      <c r="K243" s="163">
        <v>1.3862000000000001</v>
      </c>
      <c r="L243" s="163">
        <v>0.3725</v>
      </c>
      <c r="M243" s="164">
        <v>3.3557999999999999</v>
      </c>
      <c r="P243" s="180"/>
    </row>
    <row r="244" spans="1:16" ht="15.5">
      <c r="A244" s="184" t="s">
        <v>503</v>
      </c>
      <c r="B244" s="163">
        <v>4.9394999999999998</v>
      </c>
      <c r="C244" s="163">
        <v>1.9459</v>
      </c>
      <c r="D244" s="163">
        <v>1.5699999999999999E-2</v>
      </c>
      <c r="E244" s="163">
        <v>1.4807999999999999</v>
      </c>
      <c r="F244" s="163">
        <v>0.874</v>
      </c>
      <c r="G244" s="163">
        <v>3.09E-2</v>
      </c>
      <c r="H244" s="163">
        <v>0.26019999999999999</v>
      </c>
      <c r="I244" s="163">
        <v>0.33210000000000001</v>
      </c>
      <c r="J244" s="163" t="s">
        <v>137</v>
      </c>
      <c r="K244" s="163">
        <v>1.4972000000000001</v>
      </c>
      <c r="L244" s="163">
        <v>0.62319999999999998</v>
      </c>
      <c r="M244" s="164">
        <v>3.4422999999999999</v>
      </c>
      <c r="P244" s="180"/>
    </row>
    <row r="245" spans="1:16" ht="15.5">
      <c r="A245" s="184" t="s">
        <v>504</v>
      </c>
      <c r="B245" s="163">
        <v>5.2476000000000003</v>
      </c>
      <c r="C245" s="163">
        <v>2.2827000000000002</v>
      </c>
      <c r="D245" s="163">
        <v>1.3599999999999999E-2</v>
      </c>
      <c r="E245" s="163">
        <v>1.5339</v>
      </c>
      <c r="F245" s="163">
        <v>0.86439999999999995</v>
      </c>
      <c r="G245" s="163">
        <v>4.3200000000000002E-2</v>
      </c>
      <c r="H245" s="163">
        <v>0.19220000000000001</v>
      </c>
      <c r="I245" s="163">
        <v>0.31759999999999999</v>
      </c>
      <c r="J245" s="163" t="s">
        <v>137</v>
      </c>
      <c r="K245" s="163">
        <v>1.4174</v>
      </c>
      <c r="L245" s="163">
        <v>0.55300000000000005</v>
      </c>
      <c r="M245" s="164">
        <v>3.8302</v>
      </c>
      <c r="P245" s="180"/>
    </row>
    <row r="246" spans="1:16" ht="15.5">
      <c r="A246" s="184" t="s">
        <v>505</v>
      </c>
      <c r="B246" s="163">
        <v>5.6067</v>
      </c>
      <c r="C246" s="163">
        <v>2.3195999999999999</v>
      </c>
      <c r="D246" s="163">
        <v>1.9E-2</v>
      </c>
      <c r="E246" s="163">
        <v>1.2659</v>
      </c>
      <c r="F246" s="163">
        <v>1.3161</v>
      </c>
      <c r="G246" s="163">
        <v>4.7600000000000003E-2</v>
      </c>
      <c r="H246" s="163">
        <v>0.31140000000000001</v>
      </c>
      <c r="I246" s="163">
        <v>0.32719999999999999</v>
      </c>
      <c r="J246" s="163" t="s">
        <v>137</v>
      </c>
      <c r="K246" s="163">
        <v>2.0022000000000002</v>
      </c>
      <c r="L246" s="163">
        <v>0.68610000000000004</v>
      </c>
      <c r="M246" s="164">
        <v>3.6044999999999998</v>
      </c>
      <c r="P246" s="180"/>
    </row>
    <row r="247" spans="1:16" ht="15.5">
      <c r="A247" s="184" t="s">
        <v>506</v>
      </c>
      <c r="B247" s="163">
        <v>5.8872999999999998</v>
      </c>
      <c r="C247" s="163">
        <v>2.4359000000000002</v>
      </c>
      <c r="D247" s="163">
        <v>2.07E-2</v>
      </c>
      <c r="E247" s="163">
        <v>1.2644</v>
      </c>
      <c r="F247" s="163">
        <v>1.4563999999999999</v>
      </c>
      <c r="G247" s="163">
        <v>5.5199999999999999E-2</v>
      </c>
      <c r="H247" s="163">
        <v>0.33529999999999999</v>
      </c>
      <c r="I247" s="163">
        <v>0.31690000000000002</v>
      </c>
      <c r="J247" s="163">
        <v>2.5000000000000001E-3</v>
      </c>
      <c r="K247" s="163">
        <v>2.1661999999999999</v>
      </c>
      <c r="L247" s="163">
        <v>0.70989999999999998</v>
      </c>
      <c r="M247" s="164">
        <v>3.7210000000000001</v>
      </c>
      <c r="P247" s="180"/>
    </row>
    <row r="248" spans="1:16" ht="15.5">
      <c r="A248" s="184" t="s">
        <v>507</v>
      </c>
      <c r="B248" s="163">
        <v>5.4465000000000003</v>
      </c>
      <c r="C248" s="163">
        <v>2.2723</v>
      </c>
      <c r="D248" s="163">
        <v>1.3599999999999999E-2</v>
      </c>
      <c r="E248" s="163">
        <v>1.2845</v>
      </c>
      <c r="F248" s="163">
        <v>1.2935000000000001</v>
      </c>
      <c r="G248" s="163">
        <v>3.9899999999999998E-2</v>
      </c>
      <c r="H248" s="163">
        <v>0.23089999999999999</v>
      </c>
      <c r="I248" s="163">
        <v>0.30759999999999998</v>
      </c>
      <c r="J248" s="163">
        <v>4.1000000000000003E-3</v>
      </c>
      <c r="K248" s="163">
        <v>1.8758999999999999</v>
      </c>
      <c r="L248" s="163">
        <v>0.58250000000000002</v>
      </c>
      <c r="M248" s="164">
        <v>3.5705</v>
      </c>
      <c r="P248" s="180"/>
    </row>
    <row r="249" spans="1:16" ht="15.5">
      <c r="A249" s="184" t="s">
        <v>508</v>
      </c>
      <c r="B249" s="163">
        <v>5.4827000000000004</v>
      </c>
      <c r="C249" s="163">
        <v>2.3437000000000001</v>
      </c>
      <c r="D249" s="163">
        <v>1.7100000000000001E-2</v>
      </c>
      <c r="E249" s="163">
        <v>1.2201</v>
      </c>
      <c r="F249" s="163">
        <v>1.2492000000000001</v>
      </c>
      <c r="G249" s="163">
        <v>4.5499999999999999E-2</v>
      </c>
      <c r="H249" s="163">
        <v>0.27539999999999998</v>
      </c>
      <c r="I249" s="163">
        <v>0.3236</v>
      </c>
      <c r="J249" s="163">
        <v>8.2000000000000007E-3</v>
      </c>
      <c r="K249" s="163">
        <v>1.9018999999999999</v>
      </c>
      <c r="L249" s="163">
        <v>0.65269999999999995</v>
      </c>
      <c r="M249" s="164">
        <v>3.5809000000000002</v>
      </c>
      <c r="P249" s="180"/>
    </row>
    <row r="250" spans="1:16" ht="15.5">
      <c r="A250" s="184" t="s">
        <v>509</v>
      </c>
      <c r="B250" s="163">
        <v>4.6158999999999999</v>
      </c>
      <c r="C250" s="163">
        <v>1.6698</v>
      </c>
      <c r="D250" s="163">
        <v>1.5299999999999999E-2</v>
      </c>
      <c r="E250" s="163">
        <v>1.1552</v>
      </c>
      <c r="F250" s="163">
        <v>1.2412000000000001</v>
      </c>
      <c r="G250" s="163">
        <v>3.27E-2</v>
      </c>
      <c r="H250" s="163">
        <v>0.16589999999999999</v>
      </c>
      <c r="I250" s="163">
        <v>0.31990000000000002</v>
      </c>
      <c r="J250" s="163">
        <v>1.6E-2</v>
      </c>
      <c r="K250" s="163">
        <v>1.7757000000000001</v>
      </c>
      <c r="L250" s="163">
        <v>0.53449999999999998</v>
      </c>
      <c r="M250" s="164">
        <v>2.8403</v>
      </c>
      <c r="P250" s="180"/>
    </row>
    <row r="251" spans="1:16" ht="15.5">
      <c r="A251" s="184" t="s">
        <v>510</v>
      </c>
      <c r="B251" s="163">
        <v>4.3174000000000001</v>
      </c>
      <c r="C251" s="163">
        <v>1.175</v>
      </c>
      <c r="D251" s="163">
        <v>1.3599999999999999E-2</v>
      </c>
      <c r="E251" s="163">
        <v>1.2439</v>
      </c>
      <c r="F251" s="163">
        <v>1.2628999999999999</v>
      </c>
      <c r="G251" s="163">
        <v>3.49E-2</v>
      </c>
      <c r="H251" s="163">
        <v>0.25779999999999997</v>
      </c>
      <c r="I251" s="163">
        <v>0.31309999999999999</v>
      </c>
      <c r="J251" s="163">
        <v>1.6199999999999999E-2</v>
      </c>
      <c r="K251" s="163">
        <v>1.8849</v>
      </c>
      <c r="L251" s="163">
        <v>0.622</v>
      </c>
      <c r="M251" s="164">
        <v>2.4323999999999999</v>
      </c>
      <c r="P251" s="180"/>
    </row>
    <row r="252" spans="1:16" ht="15.5">
      <c r="A252" s="184" t="s">
        <v>511</v>
      </c>
      <c r="B252" s="163">
        <v>4.1208999999999998</v>
      </c>
      <c r="C252" s="163">
        <v>1.0007999999999999</v>
      </c>
      <c r="D252" s="163">
        <v>1.54E-2</v>
      </c>
      <c r="E252" s="163">
        <v>1.3566</v>
      </c>
      <c r="F252" s="163">
        <v>1.2190000000000001</v>
      </c>
      <c r="G252" s="163">
        <v>2.6499999999999999E-2</v>
      </c>
      <c r="H252" s="163">
        <v>0.1706</v>
      </c>
      <c r="I252" s="163">
        <v>0.314</v>
      </c>
      <c r="J252" s="163">
        <v>1.7999999999999999E-2</v>
      </c>
      <c r="K252" s="163">
        <v>1.7481</v>
      </c>
      <c r="L252" s="163">
        <v>0.52910000000000001</v>
      </c>
      <c r="M252" s="164">
        <v>2.3727999999999998</v>
      </c>
      <c r="P252" s="180"/>
    </row>
    <row r="253" spans="1:16" ht="15.5">
      <c r="A253" s="184" t="s">
        <v>512</v>
      </c>
      <c r="B253" s="163">
        <v>4.1748000000000003</v>
      </c>
      <c r="C253" s="163">
        <v>0.98799999999999999</v>
      </c>
      <c r="D253" s="163">
        <v>1.72E-2</v>
      </c>
      <c r="E253" s="163">
        <v>1.3526</v>
      </c>
      <c r="F253" s="163">
        <v>1.2668999999999999</v>
      </c>
      <c r="G253" s="163">
        <v>2.87E-2</v>
      </c>
      <c r="H253" s="163">
        <v>0.18509999999999999</v>
      </c>
      <c r="I253" s="163">
        <v>0.3201</v>
      </c>
      <c r="J253" s="163">
        <v>1.6299999999999999E-2</v>
      </c>
      <c r="K253" s="163">
        <v>1.8170999999999999</v>
      </c>
      <c r="L253" s="163">
        <v>0.55020000000000002</v>
      </c>
      <c r="M253" s="164">
        <v>2.3576999999999999</v>
      </c>
      <c r="P253" s="180"/>
    </row>
    <row r="254" spans="1:16" ht="15.5">
      <c r="A254" s="184" t="s">
        <v>513</v>
      </c>
      <c r="B254" s="163">
        <v>4.1669999999999998</v>
      </c>
      <c r="C254" s="163">
        <v>1.0472999999999999</v>
      </c>
      <c r="D254" s="163">
        <v>1.8599999999999998E-2</v>
      </c>
      <c r="E254" s="163">
        <v>1.3641000000000001</v>
      </c>
      <c r="F254" s="163">
        <v>1.1957</v>
      </c>
      <c r="G254" s="163">
        <v>2.2700000000000001E-2</v>
      </c>
      <c r="H254" s="163">
        <v>0.17760000000000001</v>
      </c>
      <c r="I254" s="163">
        <v>0.3276</v>
      </c>
      <c r="J254" s="163">
        <v>1.3299999999999999E-2</v>
      </c>
      <c r="K254" s="163">
        <v>1.7369000000000001</v>
      </c>
      <c r="L254" s="163">
        <v>0.54120000000000001</v>
      </c>
      <c r="M254" s="164">
        <v>2.4300000000000002</v>
      </c>
      <c r="P254" s="180"/>
    </row>
    <row r="255" spans="1:16" ht="15.5">
      <c r="A255" s="184" t="s">
        <v>514</v>
      </c>
      <c r="B255" s="163">
        <v>4.3388999999999998</v>
      </c>
      <c r="C255" s="163">
        <v>1.1144000000000001</v>
      </c>
      <c r="D255" s="163">
        <v>2.23E-2</v>
      </c>
      <c r="E255" s="163">
        <v>1.5093000000000001</v>
      </c>
      <c r="F255" s="163">
        <v>1.1818</v>
      </c>
      <c r="G255" s="163">
        <v>1.1599999999999999E-2</v>
      </c>
      <c r="H255" s="163">
        <v>0.15570000000000001</v>
      </c>
      <c r="I255" s="163">
        <v>0.33040000000000003</v>
      </c>
      <c r="J255" s="163">
        <v>1.34E-2</v>
      </c>
      <c r="K255" s="163">
        <v>1.6929000000000001</v>
      </c>
      <c r="L255" s="163">
        <v>0.5111</v>
      </c>
      <c r="M255" s="164">
        <v>2.6461000000000001</v>
      </c>
      <c r="P255" s="180"/>
    </row>
    <row r="256" spans="1:16" ht="15.5">
      <c r="A256" s="184" t="s">
        <v>515</v>
      </c>
      <c r="B256" s="163">
        <v>5.0738000000000003</v>
      </c>
      <c r="C256" s="163">
        <v>1.6253</v>
      </c>
      <c r="D256" s="163">
        <v>2.4899999999999999E-2</v>
      </c>
      <c r="E256" s="163">
        <v>1.4694</v>
      </c>
      <c r="F256" s="163">
        <v>1.3644000000000001</v>
      </c>
      <c r="G256" s="163">
        <v>1.26E-2</v>
      </c>
      <c r="H256" s="163">
        <v>0.1726</v>
      </c>
      <c r="I256" s="163">
        <v>0.39689999999999998</v>
      </c>
      <c r="J256" s="163">
        <v>7.7000000000000002E-3</v>
      </c>
      <c r="K256" s="163">
        <v>1.9541999999999999</v>
      </c>
      <c r="L256" s="163">
        <v>0.58979999999999999</v>
      </c>
      <c r="M256" s="164">
        <v>3.1196000000000002</v>
      </c>
      <c r="P256" s="180"/>
    </row>
    <row r="257" spans="1:26" ht="15.5">
      <c r="A257" s="184" t="s">
        <v>516</v>
      </c>
      <c r="B257" s="163">
        <v>4.9801000000000002</v>
      </c>
      <c r="C257" s="163">
        <v>1.4389000000000001</v>
      </c>
      <c r="D257" s="163">
        <v>2.0500000000000001E-2</v>
      </c>
      <c r="E257" s="163">
        <v>1.4380999999999999</v>
      </c>
      <c r="F257" s="163">
        <v>1.3048</v>
      </c>
      <c r="G257" s="163">
        <v>4.4299999999999999E-2</v>
      </c>
      <c r="H257" s="163">
        <v>0.33589999999999998</v>
      </c>
      <c r="I257" s="163">
        <v>0.3947</v>
      </c>
      <c r="J257" s="163">
        <v>2.8999999999999998E-3</v>
      </c>
      <c r="K257" s="163">
        <v>2.0825999999999998</v>
      </c>
      <c r="L257" s="163">
        <v>0.77780000000000005</v>
      </c>
      <c r="M257" s="164">
        <v>2.8975</v>
      </c>
      <c r="P257" s="180"/>
    </row>
    <row r="258" spans="1:26" ht="15.5">
      <c r="A258" s="184" t="s">
        <v>517</v>
      </c>
      <c r="B258" s="163">
        <v>4.8799000000000001</v>
      </c>
      <c r="C258" s="163">
        <v>1.2170000000000001</v>
      </c>
      <c r="D258" s="163">
        <v>2.64E-2</v>
      </c>
      <c r="E258" s="163">
        <v>1.3310999999999999</v>
      </c>
      <c r="F258" s="163">
        <v>1.4436</v>
      </c>
      <c r="G258" s="163">
        <v>6.7500000000000004E-2</v>
      </c>
      <c r="H258" s="163">
        <v>0.39679999999999999</v>
      </c>
      <c r="I258" s="163">
        <v>0.39539999999999997</v>
      </c>
      <c r="J258" s="163">
        <v>2.0999999999999999E-3</v>
      </c>
      <c r="K258" s="163">
        <v>2.3054000000000001</v>
      </c>
      <c r="L258" s="163">
        <v>0.86180000000000001</v>
      </c>
      <c r="M258" s="164">
        <v>2.5745</v>
      </c>
      <c r="P258" s="180"/>
    </row>
    <row r="259" spans="1:26" ht="15.5">
      <c r="A259" s="184" t="s">
        <v>518</v>
      </c>
      <c r="B259" s="163">
        <v>5.2694000000000001</v>
      </c>
      <c r="C259" s="163">
        <v>1.2355</v>
      </c>
      <c r="D259" s="163">
        <v>2.8500000000000001E-2</v>
      </c>
      <c r="E259" s="163">
        <v>1.8711</v>
      </c>
      <c r="F259" s="163">
        <v>1.3101</v>
      </c>
      <c r="G259" s="163">
        <v>5.3999999999999999E-2</v>
      </c>
      <c r="H259" s="163">
        <v>0.33389999999999997</v>
      </c>
      <c r="I259" s="163">
        <v>0.43240000000000001</v>
      </c>
      <c r="J259" s="163">
        <v>3.8999999999999998E-3</v>
      </c>
      <c r="K259" s="163">
        <v>2.1343000000000001</v>
      </c>
      <c r="L259" s="163">
        <v>0.82410000000000005</v>
      </c>
      <c r="M259" s="164">
        <v>3.1351</v>
      </c>
      <c r="P259" s="180"/>
    </row>
    <row r="260" spans="1:26" ht="15.5">
      <c r="A260" s="184" t="s">
        <v>519</v>
      </c>
      <c r="B260" s="163">
        <v>4.9383999999999997</v>
      </c>
      <c r="C260" s="163">
        <v>1.2746999999999999</v>
      </c>
      <c r="D260" s="163">
        <v>2.3699999999999999E-2</v>
      </c>
      <c r="E260" s="163">
        <v>1.7090000000000001</v>
      </c>
      <c r="F260" s="163">
        <v>1.2041999999999999</v>
      </c>
      <c r="G260" s="163">
        <v>4.8099999999999997E-2</v>
      </c>
      <c r="H260" s="163">
        <v>0.27739999999999998</v>
      </c>
      <c r="I260" s="163">
        <v>0.39300000000000002</v>
      </c>
      <c r="J260" s="163">
        <v>8.2000000000000007E-3</v>
      </c>
      <c r="K260" s="163">
        <v>1.9309000000000001</v>
      </c>
      <c r="L260" s="163">
        <v>0.72670000000000001</v>
      </c>
      <c r="M260" s="164">
        <v>3.0074000000000001</v>
      </c>
      <c r="P260" s="180"/>
    </row>
    <row r="261" spans="1:26" ht="15.5">
      <c r="A261" s="184" t="s">
        <v>520</v>
      </c>
      <c r="B261" s="163">
        <v>4.9751000000000003</v>
      </c>
      <c r="C261" s="163">
        <v>1.0628</v>
      </c>
      <c r="D261" s="163">
        <v>2.3900000000000001E-2</v>
      </c>
      <c r="E261" s="163">
        <v>2.0093999999999999</v>
      </c>
      <c r="F261" s="163">
        <v>1.2116</v>
      </c>
      <c r="G261" s="163">
        <v>3.7999999999999999E-2</v>
      </c>
      <c r="H261" s="163">
        <v>0.20569999999999999</v>
      </c>
      <c r="I261" s="163">
        <v>0.41060000000000002</v>
      </c>
      <c r="J261" s="163">
        <v>1.3100000000000001E-2</v>
      </c>
      <c r="K261" s="163">
        <v>1.8791</v>
      </c>
      <c r="L261" s="163">
        <v>0.66749999999999998</v>
      </c>
      <c r="M261" s="164">
        <v>3.0960000000000001</v>
      </c>
      <c r="P261" s="180"/>
    </row>
    <row r="262" spans="1:26" ht="15.5">
      <c r="A262" s="184" t="s">
        <v>521</v>
      </c>
      <c r="B262" s="163">
        <v>4.2401999999999997</v>
      </c>
      <c r="C262" s="163">
        <v>0.46800000000000003</v>
      </c>
      <c r="D262" s="163">
        <v>1.3299999999999999E-2</v>
      </c>
      <c r="E262" s="163">
        <v>1.9775</v>
      </c>
      <c r="F262" s="163">
        <v>1.1444000000000001</v>
      </c>
      <c r="G262" s="163">
        <v>2.63E-2</v>
      </c>
      <c r="H262" s="163">
        <v>0.20319999999999999</v>
      </c>
      <c r="I262" s="163">
        <v>0.3881</v>
      </c>
      <c r="J262" s="163">
        <v>1.9400000000000001E-2</v>
      </c>
      <c r="K262" s="163">
        <v>1.7814000000000001</v>
      </c>
      <c r="L262" s="163">
        <v>0.63700000000000001</v>
      </c>
      <c r="M262" s="164">
        <v>2.4588000000000001</v>
      </c>
      <c r="O262" s="180"/>
      <c r="P262" s="180"/>
    </row>
    <row r="263" spans="1:26" ht="15.5">
      <c r="A263" s="184" t="s">
        <v>522</v>
      </c>
      <c r="B263" s="163">
        <v>3.9258000000000002</v>
      </c>
      <c r="C263" s="163">
        <v>0.28689999999999999</v>
      </c>
      <c r="D263" s="163">
        <v>1.0999999999999999E-2</v>
      </c>
      <c r="E263" s="163">
        <v>1.7927</v>
      </c>
      <c r="F263" s="163">
        <v>1.1949000000000001</v>
      </c>
      <c r="G263" s="163">
        <v>1.8599999999999998E-2</v>
      </c>
      <c r="H263" s="163">
        <v>0.1981</v>
      </c>
      <c r="I263" s="163">
        <v>0.40039999999999998</v>
      </c>
      <c r="J263" s="163">
        <v>2.3199999999999998E-2</v>
      </c>
      <c r="K263" s="163">
        <v>1.8351</v>
      </c>
      <c r="L263" s="163">
        <v>0.64029999999999998</v>
      </c>
      <c r="M263" s="164">
        <v>2.0907</v>
      </c>
      <c r="O263" s="180"/>
      <c r="P263" s="180"/>
    </row>
    <row r="264" spans="1:26" ht="15.5">
      <c r="A264" s="184" t="s">
        <v>523</v>
      </c>
      <c r="B264" s="163">
        <v>3.9215</v>
      </c>
      <c r="C264" s="163">
        <v>0.37240000000000001</v>
      </c>
      <c r="D264" s="163">
        <v>1.44E-2</v>
      </c>
      <c r="E264" s="163">
        <v>1.8229</v>
      </c>
      <c r="F264" s="163">
        <v>1.2404999999999999</v>
      </c>
      <c r="G264" s="163">
        <v>9.1999999999999998E-3</v>
      </c>
      <c r="H264" s="163">
        <v>0.11310000000000001</v>
      </c>
      <c r="I264" s="163">
        <v>0.32929999999999998</v>
      </c>
      <c r="J264" s="163">
        <v>1.9699999999999999E-2</v>
      </c>
      <c r="K264" s="163">
        <v>1.7117</v>
      </c>
      <c r="L264" s="163">
        <v>0.4713</v>
      </c>
      <c r="M264" s="164">
        <v>2.2098</v>
      </c>
      <c r="O264" s="180"/>
      <c r="P264" s="180"/>
    </row>
    <row r="265" spans="1:26" ht="15.5">
      <c r="A265" s="184" t="s">
        <v>524</v>
      </c>
      <c r="B265" s="163">
        <v>3.8504</v>
      </c>
      <c r="C265" s="163">
        <v>0.25540000000000002</v>
      </c>
      <c r="D265" s="163">
        <v>1.35E-2</v>
      </c>
      <c r="E265" s="163">
        <v>1.7287999999999999</v>
      </c>
      <c r="F265" s="163">
        <v>1.3732</v>
      </c>
      <c r="G265" s="163">
        <v>2.2499999999999999E-2</v>
      </c>
      <c r="H265" s="163">
        <v>0.16880000000000001</v>
      </c>
      <c r="I265" s="163">
        <v>0.26440000000000002</v>
      </c>
      <c r="J265" s="163">
        <v>2.3800000000000002E-2</v>
      </c>
      <c r="K265" s="163">
        <v>1.8528</v>
      </c>
      <c r="L265" s="163">
        <v>0.47960000000000003</v>
      </c>
      <c r="M265" s="164">
        <v>1.9977</v>
      </c>
      <c r="O265" s="180"/>
      <c r="P265" s="180"/>
    </row>
    <row r="266" spans="1:26" ht="15.5">
      <c r="A266" s="184" t="s">
        <v>525</v>
      </c>
      <c r="B266" s="163">
        <v>3.7776000000000001</v>
      </c>
      <c r="C266" s="163">
        <v>0.17660000000000001</v>
      </c>
      <c r="D266" s="163">
        <v>1.37E-2</v>
      </c>
      <c r="E266" s="163">
        <v>1.7345999999999999</v>
      </c>
      <c r="F266" s="163">
        <v>1.3514999999999999</v>
      </c>
      <c r="G266" s="163">
        <v>2.3300000000000001E-2</v>
      </c>
      <c r="H266" s="163">
        <v>0.1991</v>
      </c>
      <c r="I266" s="163">
        <v>0.25519999999999998</v>
      </c>
      <c r="J266" s="163">
        <v>2.3599999999999999E-2</v>
      </c>
      <c r="K266" s="163">
        <v>1.8527</v>
      </c>
      <c r="L266" s="163">
        <v>0.50119999999999998</v>
      </c>
      <c r="M266" s="164">
        <v>1.9249000000000001</v>
      </c>
      <c r="O266" s="180"/>
      <c r="P266" s="180"/>
    </row>
    <row r="267" spans="1:26" ht="15.5">
      <c r="A267" s="184" t="s">
        <v>526</v>
      </c>
      <c r="B267" s="163">
        <v>4.0391000000000004</v>
      </c>
      <c r="C267" s="163">
        <v>0.30709999999999998</v>
      </c>
      <c r="D267" s="163">
        <v>1.7299999999999999E-2</v>
      </c>
      <c r="E267" s="163">
        <v>1.8378000000000001</v>
      </c>
      <c r="F267" s="163">
        <v>1.3278000000000001</v>
      </c>
      <c r="G267" s="163">
        <v>2.5100000000000001E-2</v>
      </c>
      <c r="H267" s="163">
        <v>0.20960000000000001</v>
      </c>
      <c r="I267" s="163">
        <v>0.29820000000000002</v>
      </c>
      <c r="J267" s="163">
        <v>1.6299999999999999E-2</v>
      </c>
      <c r="K267" s="163">
        <v>1.877</v>
      </c>
      <c r="L267" s="163">
        <v>0.54910000000000003</v>
      </c>
      <c r="M267" s="164">
        <v>2.1621000000000001</v>
      </c>
      <c r="O267" s="180"/>
      <c r="P267" s="180"/>
    </row>
    <row r="268" spans="1:26" ht="15.5">
      <c r="A268" s="184" t="s">
        <v>527</v>
      </c>
      <c r="B268" s="163">
        <v>4.6577000000000002</v>
      </c>
      <c r="C268" s="163">
        <v>0.52769999999999995</v>
      </c>
      <c r="D268" s="163">
        <v>2.2700000000000001E-2</v>
      </c>
      <c r="E268" s="163">
        <v>2.2772000000000001</v>
      </c>
      <c r="F268" s="163">
        <v>1.3143</v>
      </c>
      <c r="G268" s="163">
        <v>2.1299999999999999E-2</v>
      </c>
      <c r="H268" s="163">
        <v>0.1991</v>
      </c>
      <c r="I268" s="163">
        <v>0.2833</v>
      </c>
      <c r="J268" s="163">
        <v>1.2E-2</v>
      </c>
      <c r="K268" s="163">
        <v>1.83</v>
      </c>
      <c r="L268" s="163">
        <v>0.51570000000000005</v>
      </c>
      <c r="M268" s="164">
        <v>2.8275999999999999</v>
      </c>
      <c r="O268" s="180"/>
      <c r="P268" s="180"/>
    </row>
    <row r="269" spans="1:26" ht="15.5">
      <c r="A269" s="184" t="s">
        <v>528</v>
      </c>
      <c r="B269" s="163">
        <v>5.1398999999999999</v>
      </c>
      <c r="C269" s="163">
        <v>0.80189999999999995</v>
      </c>
      <c r="D269" s="163">
        <v>2.1999999999999999E-2</v>
      </c>
      <c r="E269" s="163">
        <v>2.3308</v>
      </c>
      <c r="F269" s="163">
        <v>1.3627</v>
      </c>
      <c r="G269" s="163">
        <v>2.2800000000000001E-2</v>
      </c>
      <c r="H269" s="163">
        <v>0.2442</v>
      </c>
      <c r="I269" s="163">
        <v>0.3483</v>
      </c>
      <c r="J269" s="163">
        <v>7.3000000000000001E-3</v>
      </c>
      <c r="K269" s="163">
        <v>1.9852000000000001</v>
      </c>
      <c r="L269" s="163">
        <v>0.62250000000000005</v>
      </c>
      <c r="M269" s="164">
        <v>3.1547000000000001</v>
      </c>
      <c r="O269" s="180"/>
      <c r="P269" s="180"/>
    </row>
    <row r="270" spans="1:26" ht="15.5">
      <c r="A270" s="184" t="s">
        <v>529</v>
      </c>
      <c r="B270" s="163">
        <v>5.1615000000000002</v>
      </c>
      <c r="C270" s="163">
        <v>0.75549999999999995</v>
      </c>
      <c r="D270" s="163">
        <v>1.4800000000000001E-2</v>
      </c>
      <c r="E270" s="163">
        <v>2.2583000000000002</v>
      </c>
      <c r="F270" s="163">
        <v>1.3786</v>
      </c>
      <c r="G270" s="163">
        <v>3.0599999999999999E-2</v>
      </c>
      <c r="H270" s="163">
        <v>0.28860000000000002</v>
      </c>
      <c r="I270" s="163">
        <v>0.43070000000000003</v>
      </c>
      <c r="J270" s="163">
        <v>4.4999999999999997E-3</v>
      </c>
      <c r="K270" s="163">
        <v>2.1328999999999998</v>
      </c>
      <c r="L270" s="163">
        <v>0.75439999999999996</v>
      </c>
      <c r="M270" s="164">
        <v>3.0285000000000002</v>
      </c>
      <c r="O270" s="180"/>
      <c r="P270" s="180"/>
    </row>
    <row r="271" spans="1:26" ht="15.5">
      <c r="A271" s="184" t="s">
        <v>530</v>
      </c>
      <c r="B271" s="163">
        <v>5.6700999999999997</v>
      </c>
      <c r="C271" s="163">
        <v>1.2</v>
      </c>
      <c r="D271" s="163">
        <v>1.6299999999999999E-2</v>
      </c>
      <c r="E271" s="163">
        <v>2.4243999999999999</v>
      </c>
      <c r="F271" s="163">
        <v>1.2670999999999999</v>
      </c>
      <c r="G271" s="163">
        <v>3.73E-2</v>
      </c>
      <c r="H271" s="163">
        <v>0.27489999999999998</v>
      </c>
      <c r="I271" s="163">
        <v>0.44369999999999998</v>
      </c>
      <c r="J271" s="163">
        <v>6.4999999999999997E-3</v>
      </c>
      <c r="K271" s="163">
        <v>2.0293999999999999</v>
      </c>
      <c r="L271" s="163">
        <v>0.76229999999999998</v>
      </c>
      <c r="M271" s="164">
        <v>3.6406999999999998</v>
      </c>
      <c r="O271" s="180"/>
      <c r="P271" s="180"/>
      <c r="Q271" s="180"/>
      <c r="R271" s="180"/>
      <c r="S271" s="180"/>
      <c r="T271" s="180"/>
      <c r="U271" s="180"/>
      <c r="V271" s="180"/>
      <c r="W271" s="180"/>
      <c r="X271" s="180"/>
      <c r="Y271" s="180"/>
      <c r="Z271" s="180"/>
    </row>
    <row r="272" spans="1:26" ht="15.5">
      <c r="A272" s="184" t="s">
        <v>531</v>
      </c>
      <c r="B272" s="163">
        <v>4.6704999999999997</v>
      </c>
      <c r="C272" s="163">
        <v>0.9093</v>
      </c>
      <c r="D272" s="163">
        <v>1.43E-2</v>
      </c>
      <c r="E272" s="163">
        <v>1.7245999999999999</v>
      </c>
      <c r="F272" s="163">
        <v>1.2495000000000001</v>
      </c>
      <c r="G272" s="163">
        <v>3.2599999999999997E-2</v>
      </c>
      <c r="H272" s="163">
        <v>0.32750000000000001</v>
      </c>
      <c r="I272" s="163">
        <v>0.4037</v>
      </c>
      <c r="J272" s="163">
        <v>8.8000000000000005E-3</v>
      </c>
      <c r="K272" s="163">
        <v>2.0222000000000002</v>
      </c>
      <c r="L272" s="163">
        <v>0.77259999999999995</v>
      </c>
      <c r="M272" s="164">
        <v>2.6482999999999999</v>
      </c>
      <c r="O272" s="180"/>
      <c r="P272" s="180"/>
      <c r="Q272" s="180"/>
      <c r="R272" s="180"/>
      <c r="S272" s="180"/>
      <c r="T272" s="180"/>
      <c r="U272" s="180"/>
      <c r="V272" s="180"/>
      <c r="W272" s="180"/>
      <c r="X272" s="180"/>
      <c r="Y272" s="180"/>
      <c r="Z272" s="180"/>
    </row>
    <row r="273" spans="1:30" ht="15.5">
      <c r="A273" s="184" t="s">
        <v>532</v>
      </c>
      <c r="B273" s="163">
        <v>4.4569000000000001</v>
      </c>
      <c r="C273" s="163">
        <v>0.377</v>
      </c>
      <c r="D273" s="163">
        <v>1.43E-2</v>
      </c>
      <c r="E273" s="163">
        <v>1.9601999999999999</v>
      </c>
      <c r="F273" s="163">
        <v>1.2773000000000001</v>
      </c>
      <c r="G273" s="163">
        <v>4.3700000000000003E-2</v>
      </c>
      <c r="H273" s="163">
        <v>0.30520000000000003</v>
      </c>
      <c r="I273" s="163">
        <v>0.45879999999999999</v>
      </c>
      <c r="J273" s="163">
        <v>2.06E-2</v>
      </c>
      <c r="K273" s="163">
        <v>2.1053999999999999</v>
      </c>
      <c r="L273" s="163">
        <v>0.82820000000000005</v>
      </c>
      <c r="M273" s="164">
        <v>2.3515000000000001</v>
      </c>
      <c r="O273" s="180"/>
      <c r="P273" s="180"/>
      <c r="Q273" s="180"/>
      <c r="R273" s="180"/>
      <c r="S273" s="180"/>
      <c r="T273" s="180"/>
      <c r="U273" s="180"/>
      <c r="V273" s="180"/>
      <c r="W273" s="180"/>
      <c r="X273" s="180"/>
      <c r="Y273" s="180"/>
      <c r="Z273" s="180"/>
    </row>
    <row r="274" spans="1:30" ht="15.5">
      <c r="A274" s="184" t="s">
        <v>533</v>
      </c>
      <c r="B274" s="163">
        <v>3.7799</v>
      </c>
      <c r="C274" s="163">
        <v>0.12379999999999999</v>
      </c>
      <c r="D274" s="163">
        <v>7.7000000000000002E-3</v>
      </c>
      <c r="E274" s="163">
        <v>1.8357000000000001</v>
      </c>
      <c r="F274" s="163">
        <v>1.1586000000000001</v>
      </c>
      <c r="G274" s="163">
        <v>1.77E-2</v>
      </c>
      <c r="H274" s="163">
        <v>0.2462</v>
      </c>
      <c r="I274" s="163">
        <v>0.35809999999999997</v>
      </c>
      <c r="J274" s="163">
        <v>3.2099999999999997E-2</v>
      </c>
      <c r="K274" s="163">
        <v>1.8127</v>
      </c>
      <c r="L274" s="163">
        <v>0.65410000000000001</v>
      </c>
      <c r="M274" s="164">
        <v>1.9672000000000001</v>
      </c>
      <c r="O274" s="180"/>
      <c r="P274" s="180"/>
      <c r="Q274" s="180"/>
      <c r="R274" s="180"/>
      <c r="S274" s="180"/>
      <c r="T274" s="180"/>
      <c r="U274" s="180"/>
      <c r="V274" s="180"/>
      <c r="W274" s="180"/>
      <c r="X274" s="180"/>
      <c r="Y274" s="180"/>
      <c r="Z274" s="180"/>
    </row>
    <row r="275" spans="1:30" ht="15.5">
      <c r="A275" s="184" t="s">
        <v>534</v>
      </c>
      <c r="B275" s="163">
        <v>3.9344999999999999</v>
      </c>
      <c r="C275" s="163">
        <v>0.1633</v>
      </c>
      <c r="D275" s="163">
        <v>8.3000000000000001E-3</v>
      </c>
      <c r="E275" s="163">
        <v>1.7676000000000001</v>
      </c>
      <c r="F275" s="163">
        <v>1.3129</v>
      </c>
      <c r="G275" s="163">
        <v>1.18E-2</v>
      </c>
      <c r="H275" s="163">
        <v>0.21099999999999999</v>
      </c>
      <c r="I275" s="163">
        <v>0.42470000000000002</v>
      </c>
      <c r="J275" s="163">
        <v>3.5000000000000003E-2</v>
      </c>
      <c r="K275" s="163">
        <v>1.9953000000000001</v>
      </c>
      <c r="L275" s="163">
        <v>0.6825</v>
      </c>
      <c r="M275" s="164">
        <v>1.9392</v>
      </c>
      <c r="O275" s="180"/>
      <c r="P275" s="180"/>
      <c r="Q275" s="180"/>
      <c r="R275" s="180"/>
      <c r="S275" s="180"/>
      <c r="T275" s="180"/>
      <c r="U275" s="180"/>
      <c r="V275" s="180"/>
      <c r="W275" s="180"/>
      <c r="X275" s="180"/>
      <c r="Y275" s="180"/>
      <c r="Z275" s="180"/>
    </row>
    <row r="276" spans="1:30" ht="15.5">
      <c r="A276" s="184" t="s">
        <v>535</v>
      </c>
      <c r="B276" s="163">
        <v>3.6617000000000002</v>
      </c>
      <c r="C276" s="163">
        <v>0.11600000000000001</v>
      </c>
      <c r="D276" s="163">
        <v>1.03E-2</v>
      </c>
      <c r="E276" s="163">
        <v>1.5651999999999999</v>
      </c>
      <c r="F276" s="163">
        <v>1.3629</v>
      </c>
      <c r="G276" s="163">
        <v>1.5800000000000002E-2</v>
      </c>
      <c r="H276" s="163">
        <v>0.25740000000000002</v>
      </c>
      <c r="I276" s="163">
        <v>0.29959999999999998</v>
      </c>
      <c r="J276" s="163">
        <v>3.44E-2</v>
      </c>
      <c r="K276" s="163">
        <v>1.9702</v>
      </c>
      <c r="L276" s="163">
        <v>0.60729999999999995</v>
      </c>
      <c r="M276" s="164">
        <v>1.6915</v>
      </c>
      <c r="O276" s="180"/>
      <c r="P276" s="180"/>
      <c r="Q276" s="180"/>
      <c r="R276" s="180"/>
      <c r="S276" s="180"/>
      <c r="T276" s="180"/>
      <c r="U276" s="180"/>
      <c r="V276" s="180"/>
      <c r="W276" s="180"/>
      <c r="X276" s="180"/>
      <c r="Y276" s="180"/>
      <c r="Z276" s="180"/>
    </row>
    <row r="277" spans="1:30" ht="15.5">
      <c r="A277" s="184" t="s">
        <v>536</v>
      </c>
      <c r="B277" s="163">
        <v>3.7038000000000002</v>
      </c>
      <c r="C277" s="163">
        <v>0.10290000000000001</v>
      </c>
      <c r="D277" s="163">
        <v>7.1000000000000004E-3</v>
      </c>
      <c r="E277" s="163">
        <v>1.6669</v>
      </c>
      <c r="F277" s="163">
        <v>1.2641</v>
      </c>
      <c r="G277" s="163">
        <v>1.6899999999999998E-2</v>
      </c>
      <c r="H277" s="163">
        <v>0.20499999999999999</v>
      </c>
      <c r="I277" s="163">
        <v>0.40639999999999998</v>
      </c>
      <c r="J277" s="163">
        <v>3.4500000000000003E-2</v>
      </c>
      <c r="K277" s="163">
        <v>1.9269000000000001</v>
      </c>
      <c r="L277" s="163">
        <v>0.66269999999999996</v>
      </c>
      <c r="M277" s="164">
        <v>1.7768999999999999</v>
      </c>
      <c r="O277" s="180"/>
      <c r="P277" s="180"/>
      <c r="Q277" s="180"/>
      <c r="R277" s="180"/>
      <c r="S277" s="180"/>
      <c r="T277" s="180"/>
      <c r="U277" s="180"/>
      <c r="V277" s="180"/>
      <c r="W277" s="180"/>
      <c r="X277" s="180"/>
      <c r="Y277" s="180"/>
      <c r="Z277" s="180"/>
    </row>
    <row r="278" spans="1:30" ht="15.5">
      <c r="A278" s="184" t="s">
        <v>537</v>
      </c>
      <c r="B278" s="163">
        <v>3.7166999999999999</v>
      </c>
      <c r="C278" s="163">
        <v>0.1391</v>
      </c>
      <c r="D278" s="163">
        <v>1.0999999999999999E-2</v>
      </c>
      <c r="E278" s="163">
        <v>1.5492999999999999</v>
      </c>
      <c r="F278" s="163">
        <v>1.3571</v>
      </c>
      <c r="G278" s="163">
        <v>2.6700000000000002E-2</v>
      </c>
      <c r="H278" s="163">
        <v>0.20899999999999999</v>
      </c>
      <c r="I278" s="163">
        <v>0.39329999999999998</v>
      </c>
      <c r="J278" s="163">
        <v>3.1199999999999999E-2</v>
      </c>
      <c r="K278" s="163">
        <v>2.0173000000000001</v>
      </c>
      <c r="L278" s="163">
        <v>0.66020000000000001</v>
      </c>
      <c r="M278" s="164">
        <v>1.6995</v>
      </c>
      <c r="O278" s="180"/>
      <c r="P278" s="180"/>
      <c r="Q278" s="180"/>
      <c r="R278" s="180"/>
      <c r="S278" s="180"/>
      <c r="T278" s="180"/>
      <c r="U278" s="180"/>
      <c r="V278" s="180"/>
      <c r="W278" s="180"/>
      <c r="X278" s="180"/>
      <c r="Y278" s="180"/>
      <c r="Z278" s="180"/>
    </row>
    <row r="279" spans="1:30" ht="15.5">
      <c r="A279" s="184" t="s">
        <v>538</v>
      </c>
      <c r="B279" s="163">
        <v>3.8553999999999999</v>
      </c>
      <c r="C279" s="163">
        <v>0.30499999999999999</v>
      </c>
      <c r="D279" s="163">
        <v>1.2200000000000001E-2</v>
      </c>
      <c r="E279" s="163">
        <v>1.6621999999999999</v>
      </c>
      <c r="F279" s="163">
        <v>1.2861</v>
      </c>
      <c r="G279" s="163">
        <v>3.0700000000000002E-2</v>
      </c>
      <c r="H279" s="163">
        <v>0.2626</v>
      </c>
      <c r="I279" s="163">
        <v>0.27379999999999999</v>
      </c>
      <c r="J279" s="163">
        <v>2.29E-2</v>
      </c>
      <c r="K279" s="163">
        <v>1.8761000000000001</v>
      </c>
      <c r="L279" s="163">
        <v>0.58989999999999998</v>
      </c>
      <c r="M279" s="164">
        <v>1.9794</v>
      </c>
      <c r="O279" s="180"/>
      <c r="P279" s="180"/>
      <c r="Q279" s="180"/>
      <c r="R279" s="180"/>
      <c r="S279" s="180"/>
      <c r="T279" s="180"/>
      <c r="U279" s="180"/>
      <c r="V279" s="180"/>
      <c r="W279" s="180"/>
      <c r="X279" s="180"/>
      <c r="Y279" s="180"/>
      <c r="Z279" s="180"/>
    </row>
    <row r="280" spans="1:30" ht="15.5">
      <c r="A280" s="184" t="s">
        <v>539</v>
      </c>
      <c r="B280" s="163">
        <v>4.1414999999999997</v>
      </c>
      <c r="C280" s="163">
        <v>0.26040000000000002</v>
      </c>
      <c r="D280" s="163">
        <v>1.34E-2</v>
      </c>
      <c r="E280" s="163">
        <v>1.8506</v>
      </c>
      <c r="F280" s="163">
        <v>1.2884</v>
      </c>
      <c r="G280" s="163">
        <v>4.2700000000000002E-2</v>
      </c>
      <c r="H280" s="163">
        <v>0.41649999999999998</v>
      </c>
      <c r="I280" s="163">
        <v>0.25469999999999998</v>
      </c>
      <c r="J280" s="163">
        <v>1.49E-2</v>
      </c>
      <c r="K280" s="163">
        <v>2.0171999999999999</v>
      </c>
      <c r="L280" s="163">
        <v>0.7288</v>
      </c>
      <c r="M280" s="164">
        <v>2.1242999999999999</v>
      </c>
      <c r="O280" s="180"/>
      <c r="P280" s="180"/>
      <c r="Q280" s="180"/>
      <c r="R280" s="180"/>
      <c r="S280" s="180"/>
      <c r="T280" s="180"/>
      <c r="U280" s="180"/>
      <c r="V280" s="180"/>
      <c r="W280" s="180"/>
      <c r="X280" s="180"/>
      <c r="Y280" s="180"/>
      <c r="Z280" s="180"/>
    </row>
    <row r="281" spans="1:30" ht="15.5">
      <c r="A281" s="184" t="s">
        <v>540</v>
      </c>
      <c r="B281" s="163">
        <v>4.9168000000000003</v>
      </c>
      <c r="C281" s="163">
        <v>0.85019999999999996</v>
      </c>
      <c r="D281" s="163">
        <v>2.0799999999999999E-2</v>
      </c>
      <c r="E281" s="163">
        <v>2.1099000000000001</v>
      </c>
      <c r="F281" s="163">
        <v>1.1489</v>
      </c>
      <c r="G281" s="163">
        <v>4.0899999999999999E-2</v>
      </c>
      <c r="H281" s="163">
        <v>0.38419999999999999</v>
      </c>
      <c r="I281" s="163">
        <v>0.3523</v>
      </c>
      <c r="J281" s="163">
        <v>9.4000000000000004E-3</v>
      </c>
      <c r="K281" s="163">
        <v>1.9358</v>
      </c>
      <c r="L281" s="163">
        <v>0.78690000000000004</v>
      </c>
      <c r="M281" s="164">
        <v>2.9809999999999999</v>
      </c>
      <c r="O281" s="180"/>
      <c r="P281" s="180"/>
      <c r="Q281" s="180"/>
      <c r="R281" s="180"/>
      <c r="S281" s="180"/>
      <c r="T281" s="180"/>
      <c r="U281" s="180"/>
      <c r="V281" s="180"/>
      <c r="W281" s="180"/>
      <c r="X281" s="180"/>
      <c r="Y281" s="180"/>
      <c r="Z281" s="180"/>
    </row>
    <row r="282" spans="1:30" ht="15.5">
      <c r="A282" s="184" t="s">
        <v>541</v>
      </c>
      <c r="B282" s="163">
        <v>5.0430000000000001</v>
      </c>
      <c r="C282" s="163">
        <v>0.99839999999999995</v>
      </c>
      <c r="D282" s="163">
        <v>2.0199999999999999E-2</v>
      </c>
      <c r="E282" s="163">
        <v>2.0329000000000002</v>
      </c>
      <c r="F282" s="163">
        <v>1.1509</v>
      </c>
      <c r="G282" s="163">
        <v>4.2599999999999999E-2</v>
      </c>
      <c r="H282" s="163">
        <v>0.4219</v>
      </c>
      <c r="I282" s="163">
        <v>0.37030000000000002</v>
      </c>
      <c r="J282" s="163">
        <v>5.7999999999999996E-3</v>
      </c>
      <c r="K282" s="163">
        <v>1.9916</v>
      </c>
      <c r="L282" s="163">
        <v>0.8407</v>
      </c>
      <c r="M282" s="164">
        <v>3.0514999999999999</v>
      </c>
      <c r="O282" s="180"/>
      <c r="P282" s="180"/>
      <c r="Q282" s="180"/>
      <c r="R282" s="180"/>
      <c r="S282" s="180"/>
      <c r="T282" s="180"/>
      <c r="U282" s="180"/>
      <c r="V282" s="180"/>
      <c r="W282" s="180"/>
      <c r="X282" s="180"/>
      <c r="Y282" s="180"/>
      <c r="Z282" s="180"/>
    </row>
    <row r="283" spans="1:30" ht="15.5">
      <c r="A283" s="184" t="s">
        <v>542</v>
      </c>
      <c r="B283" s="163">
        <v>4.6740000000000004</v>
      </c>
      <c r="C283" s="163">
        <v>0.4128</v>
      </c>
      <c r="D283" s="163">
        <v>1.8499999999999999E-2</v>
      </c>
      <c r="E283" s="163">
        <v>2.1985000000000001</v>
      </c>
      <c r="F283" s="163">
        <v>1.1986000000000001</v>
      </c>
      <c r="G283" s="163">
        <v>3.7100000000000001E-2</v>
      </c>
      <c r="H283" s="163">
        <v>0.48799999999999999</v>
      </c>
      <c r="I283" s="163">
        <v>0.31340000000000001</v>
      </c>
      <c r="J283" s="163">
        <v>7.1999999999999998E-3</v>
      </c>
      <c r="K283" s="163">
        <v>2.0442</v>
      </c>
      <c r="L283" s="163">
        <v>0.84560000000000002</v>
      </c>
      <c r="M283" s="164">
        <v>2.6297999999999999</v>
      </c>
      <c r="O283" s="180"/>
      <c r="P283" s="180"/>
      <c r="Q283" s="180"/>
      <c r="R283" s="180"/>
      <c r="S283" s="180"/>
      <c r="T283" s="180"/>
      <c r="U283" s="180"/>
      <c r="V283" s="180"/>
      <c r="W283" s="180"/>
      <c r="X283" s="180"/>
      <c r="Y283" s="180"/>
      <c r="Z283" s="180"/>
      <c r="AA283" s="180"/>
      <c r="AB283" s="180"/>
      <c r="AC283" s="180"/>
      <c r="AD283" s="180"/>
    </row>
    <row r="284" spans="1:30" ht="15.5">
      <c r="A284" s="184" t="s">
        <v>543</v>
      </c>
      <c r="B284" s="163">
        <v>4.5201000000000002</v>
      </c>
      <c r="C284" s="163">
        <v>0.72650000000000003</v>
      </c>
      <c r="D284" s="163">
        <v>1.7100000000000001E-2</v>
      </c>
      <c r="E284" s="163">
        <v>1.8777999999999999</v>
      </c>
      <c r="F284" s="163">
        <v>1.1678999999999999</v>
      </c>
      <c r="G284" s="163">
        <v>3.2800000000000003E-2</v>
      </c>
      <c r="H284" s="163">
        <v>0.37669999999999998</v>
      </c>
      <c r="I284" s="163">
        <v>0.3049</v>
      </c>
      <c r="J284" s="163">
        <v>1.6500000000000001E-2</v>
      </c>
      <c r="K284" s="163">
        <v>1.8988</v>
      </c>
      <c r="L284" s="163">
        <v>0.73089999999999999</v>
      </c>
      <c r="M284" s="164">
        <v>2.6213000000000002</v>
      </c>
      <c r="O284" s="180"/>
      <c r="P284" s="180"/>
      <c r="Q284" s="180"/>
      <c r="R284" s="180"/>
      <c r="S284" s="180"/>
      <c r="T284" s="180"/>
      <c r="U284" s="180"/>
      <c r="V284" s="180"/>
      <c r="W284" s="180"/>
      <c r="X284" s="180"/>
      <c r="Y284" s="180"/>
      <c r="Z284" s="180"/>
      <c r="AA284" s="180"/>
    </row>
    <row r="285" spans="1:30" ht="15.5">
      <c r="A285" s="184" t="s">
        <v>544</v>
      </c>
      <c r="B285" s="163">
        <v>4.9642999999999997</v>
      </c>
      <c r="C285" s="163">
        <v>1.0073000000000001</v>
      </c>
      <c r="D285" s="163">
        <v>2.3400000000000001E-2</v>
      </c>
      <c r="E285" s="163">
        <v>1.8867</v>
      </c>
      <c r="F285" s="163">
        <v>1.2304999999999999</v>
      </c>
      <c r="G285" s="163">
        <v>2.2499999999999999E-2</v>
      </c>
      <c r="H285" s="163">
        <v>0.39419999999999999</v>
      </c>
      <c r="I285" s="163">
        <v>0.38019999999999998</v>
      </c>
      <c r="J285" s="163">
        <v>1.9400000000000001E-2</v>
      </c>
      <c r="K285" s="163">
        <v>2.0468999999999999</v>
      </c>
      <c r="L285" s="163">
        <v>0.81640000000000001</v>
      </c>
      <c r="M285" s="164">
        <v>2.9174000000000002</v>
      </c>
      <c r="O285" s="180"/>
      <c r="P285" s="180"/>
      <c r="Q285" s="180"/>
      <c r="R285" s="180"/>
      <c r="S285" s="180"/>
      <c r="T285" s="180"/>
      <c r="U285" s="180"/>
      <c r="V285" s="180"/>
      <c r="W285" s="180"/>
      <c r="X285" s="180"/>
      <c r="Y285" s="180"/>
      <c r="Z285" s="180"/>
      <c r="AA285" s="180"/>
    </row>
    <row r="286" spans="1:30" ht="15.5">
      <c r="A286" s="184" t="s">
        <v>545</v>
      </c>
      <c r="B286" s="163">
        <v>3.956</v>
      </c>
      <c r="C286" s="163">
        <v>0.16930000000000001</v>
      </c>
      <c r="D286" s="163">
        <v>1.7399999999999999E-2</v>
      </c>
      <c r="E286" s="163">
        <v>1.8126</v>
      </c>
      <c r="F286" s="163">
        <v>1.1846000000000001</v>
      </c>
      <c r="G286" s="163">
        <v>2.52E-2</v>
      </c>
      <c r="H286" s="163">
        <v>0.32669999999999999</v>
      </c>
      <c r="I286" s="163">
        <v>0.3926</v>
      </c>
      <c r="J286" s="163">
        <v>2.75E-2</v>
      </c>
      <c r="K286" s="163">
        <v>1.9567000000000001</v>
      </c>
      <c r="L286" s="163">
        <v>0.77210000000000001</v>
      </c>
      <c r="M286" s="164">
        <v>1.9993000000000001</v>
      </c>
      <c r="O286" s="180"/>
      <c r="P286" s="180"/>
      <c r="Q286" s="180"/>
      <c r="R286" s="180"/>
      <c r="S286" s="180"/>
      <c r="T286" s="180"/>
      <c r="U286" s="180"/>
      <c r="V286" s="180"/>
      <c r="W286" s="180"/>
      <c r="X286" s="180"/>
      <c r="Y286" s="180"/>
      <c r="Z286" s="180"/>
      <c r="AA286" s="180"/>
    </row>
    <row r="287" spans="1:30" ht="15.5">
      <c r="A287" s="184" t="s">
        <v>546</v>
      </c>
      <c r="B287" s="163">
        <v>3.6943000000000001</v>
      </c>
      <c r="C287" s="163">
        <v>8.43E-2</v>
      </c>
      <c r="D287" s="163">
        <v>1.5599999999999999E-2</v>
      </c>
      <c r="E287" s="163">
        <v>1.6725000000000001</v>
      </c>
      <c r="F287" s="163">
        <v>1.1811</v>
      </c>
      <c r="G287" s="163">
        <v>1.9599999999999999E-2</v>
      </c>
      <c r="H287" s="163">
        <v>0.2339</v>
      </c>
      <c r="I287" s="163">
        <v>0.44180000000000003</v>
      </c>
      <c r="J287" s="163">
        <v>4.5400000000000003E-2</v>
      </c>
      <c r="K287" s="163">
        <v>1.9218999999999999</v>
      </c>
      <c r="L287" s="163">
        <v>0.74080000000000001</v>
      </c>
      <c r="M287" s="164">
        <v>1.7724</v>
      </c>
      <c r="O287" s="180"/>
      <c r="P287" s="180"/>
      <c r="Q287" s="180"/>
      <c r="R287" s="180"/>
      <c r="S287" s="180"/>
      <c r="T287" s="180"/>
      <c r="U287" s="180"/>
      <c r="V287" s="180"/>
      <c r="W287" s="180"/>
      <c r="X287" s="180"/>
      <c r="Y287" s="180"/>
      <c r="Z287" s="180"/>
      <c r="AA287" s="180"/>
    </row>
    <row r="288" spans="1:30" ht="15.5">
      <c r="A288" s="184" t="s">
        <v>547</v>
      </c>
      <c r="B288" s="163">
        <v>3.5701000000000001</v>
      </c>
      <c r="C288" s="163">
        <v>8.0299999999999996E-2</v>
      </c>
      <c r="D288" s="163">
        <v>1.3599999999999999E-2</v>
      </c>
      <c r="E288" s="163">
        <v>1.6517999999999999</v>
      </c>
      <c r="F288" s="163">
        <v>1.228</v>
      </c>
      <c r="G288" s="163">
        <v>0.01</v>
      </c>
      <c r="H288" s="163">
        <v>0.17599999999999999</v>
      </c>
      <c r="I288" s="163">
        <v>0.3649</v>
      </c>
      <c r="J288" s="163">
        <v>4.5400000000000003E-2</v>
      </c>
      <c r="K288" s="163">
        <v>1.8243</v>
      </c>
      <c r="L288" s="163">
        <v>0.59630000000000005</v>
      </c>
      <c r="M288" s="164">
        <v>1.7457</v>
      </c>
      <c r="O288" s="180"/>
      <c r="P288" s="180"/>
      <c r="Q288" s="180"/>
      <c r="R288" s="180"/>
      <c r="S288" s="180"/>
      <c r="T288" s="180"/>
      <c r="U288" s="180"/>
      <c r="V288" s="180"/>
      <c r="W288" s="180"/>
      <c r="X288" s="180"/>
      <c r="Y288" s="180"/>
      <c r="Z288" s="180"/>
      <c r="AA288" s="180"/>
    </row>
    <row r="289" spans="1:27" ht="15.5">
      <c r="A289" s="184" t="s">
        <v>548</v>
      </c>
      <c r="B289" s="163">
        <v>3.7381000000000002</v>
      </c>
      <c r="C289" s="163">
        <v>5.4800000000000001E-2</v>
      </c>
      <c r="D289" s="163">
        <v>1.3599999999999999E-2</v>
      </c>
      <c r="E289" s="163">
        <v>1.8512999999999999</v>
      </c>
      <c r="F289" s="163">
        <v>1.2299</v>
      </c>
      <c r="G289" s="163">
        <v>7.9000000000000008E-3</v>
      </c>
      <c r="H289" s="163">
        <v>0.1479</v>
      </c>
      <c r="I289" s="163">
        <v>0.38819999999999999</v>
      </c>
      <c r="J289" s="163">
        <v>4.4499999999999998E-2</v>
      </c>
      <c r="K289" s="163">
        <v>1.8185</v>
      </c>
      <c r="L289" s="163">
        <v>0.58860000000000001</v>
      </c>
      <c r="M289" s="164">
        <v>1.9196</v>
      </c>
      <c r="O289" s="180"/>
      <c r="P289" s="180"/>
      <c r="Q289" s="180"/>
      <c r="R289" s="180"/>
      <c r="S289" s="180"/>
      <c r="T289" s="180"/>
      <c r="U289" s="180"/>
      <c r="V289" s="180"/>
      <c r="W289" s="180"/>
      <c r="X289" s="180"/>
      <c r="Y289" s="180"/>
      <c r="Z289" s="180"/>
      <c r="AA289" s="180"/>
    </row>
    <row r="290" spans="1:27" ht="15.5">
      <c r="A290" s="184" t="s">
        <v>549</v>
      </c>
      <c r="B290" s="163">
        <v>3.6966000000000001</v>
      </c>
      <c r="C290" s="163">
        <v>7.7100000000000002E-2</v>
      </c>
      <c r="D290" s="163">
        <v>1.44E-2</v>
      </c>
      <c r="E290" s="163">
        <v>1.5733999999999999</v>
      </c>
      <c r="F290" s="163">
        <v>1.2923</v>
      </c>
      <c r="G290" s="163">
        <v>1.4999999999999999E-2</v>
      </c>
      <c r="H290" s="163">
        <v>0.24679999999999999</v>
      </c>
      <c r="I290" s="163">
        <v>0.44409999999999999</v>
      </c>
      <c r="J290" s="163">
        <v>3.3399999999999999E-2</v>
      </c>
      <c r="K290" s="163">
        <v>2.0316999999999998</v>
      </c>
      <c r="L290" s="163">
        <v>0.73939999999999995</v>
      </c>
      <c r="M290" s="164">
        <v>1.6649</v>
      </c>
      <c r="O290" s="180"/>
      <c r="P290" s="180"/>
      <c r="Q290" s="180"/>
      <c r="R290" s="180"/>
      <c r="S290" s="180"/>
      <c r="T290" s="180"/>
      <c r="U290" s="180"/>
      <c r="V290" s="180"/>
      <c r="W290" s="180"/>
      <c r="X290" s="180"/>
      <c r="Y290" s="180"/>
      <c r="Z290" s="180"/>
      <c r="AA290" s="180"/>
    </row>
    <row r="291" spans="1:27" ht="15.5">
      <c r="A291" s="184" t="s">
        <v>550</v>
      </c>
      <c r="B291" s="163">
        <v>3.6674000000000002</v>
      </c>
      <c r="C291" s="163">
        <v>0.3498</v>
      </c>
      <c r="D291" s="163">
        <v>1.47E-2</v>
      </c>
      <c r="E291" s="163">
        <v>1.2439</v>
      </c>
      <c r="F291" s="163">
        <v>1.2051000000000001</v>
      </c>
      <c r="G291" s="163">
        <v>2.87E-2</v>
      </c>
      <c r="H291" s="163">
        <v>0.36940000000000001</v>
      </c>
      <c r="I291" s="163">
        <v>0.42699999999999999</v>
      </c>
      <c r="J291" s="163">
        <v>2.8799999999999999E-2</v>
      </c>
      <c r="K291" s="163">
        <v>2.0589</v>
      </c>
      <c r="L291" s="163">
        <v>0.8538</v>
      </c>
      <c r="M291" s="164">
        <v>1.6084000000000001</v>
      </c>
      <c r="O291" s="180"/>
      <c r="P291" s="180"/>
      <c r="Q291" s="180"/>
      <c r="R291" s="180"/>
      <c r="S291" s="180"/>
      <c r="T291" s="180"/>
      <c r="U291" s="180"/>
      <c r="V291" s="180"/>
      <c r="W291" s="180"/>
      <c r="X291" s="180"/>
      <c r="Y291" s="180"/>
      <c r="Z291" s="180"/>
      <c r="AA291" s="180"/>
    </row>
    <row r="292" spans="1:27" ht="15.5">
      <c r="A292" s="184" t="s">
        <v>551</v>
      </c>
      <c r="B292" s="163">
        <v>4.0294999999999996</v>
      </c>
      <c r="C292" s="163">
        <v>0.27789999999999998</v>
      </c>
      <c r="D292" s="163">
        <v>1.4200000000000001E-2</v>
      </c>
      <c r="E292" s="163">
        <v>1.7769999999999999</v>
      </c>
      <c r="F292" s="163">
        <v>0.99019999999999997</v>
      </c>
      <c r="G292" s="163">
        <v>4.3900000000000002E-2</v>
      </c>
      <c r="H292" s="163">
        <v>0.41970000000000002</v>
      </c>
      <c r="I292" s="163">
        <v>0.4859</v>
      </c>
      <c r="J292" s="163">
        <v>2.0799999999999999E-2</v>
      </c>
      <c r="K292" s="163">
        <v>1.9604999999999999</v>
      </c>
      <c r="L292" s="163">
        <v>0.97030000000000005</v>
      </c>
      <c r="M292" s="164">
        <v>2.069</v>
      </c>
      <c r="O292" s="180"/>
      <c r="P292" s="180"/>
      <c r="Q292" s="180"/>
      <c r="R292" s="180"/>
      <c r="S292" s="180"/>
      <c r="T292" s="180"/>
      <c r="U292" s="180"/>
      <c r="V292" s="180"/>
      <c r="W292" s="180"/>
      <c r="X292" s="180"/>
      <c r="Y292" s="180"/>
      <c r="Z292" s="180"/>
      <c r="AA292" s="180"/>
    </row>
    <row r="293" spans="1:27" ht="15.5">
      <c r="A293" s="184" t="s">
        <v>552</v>
      </c>
      <c r="B293" s="163">
        <v>4.3632999999999997</v>
      </c>
      <c r="C293" s="163">
        <v>0.59740000000000004</v>
      </c>
      <c r="D293" s="163">
        <v>1.66E-2</v>
      </c>
      <c r="E293" s="163">
        <v>1.7290000000000001</v>
      </c>
      <c r="F293" s="163">
        <v>1.0193000000000001</v>
      </c>
      <c r="G293" s="163">
        <v>3.8600000000000002E-2</v>
      </c>
      <c r="H293" s="163">
        <v>0.4914</v>
      </c>
      <c r="I293" s="163">
        <v>0.46160000000000001</v>
      </c>
      <c r="J293" s="163">
        <v>9.4000000000000004E-3</v>
      </c>
      <c r="K293" s="163">
        <v>2.0203000000000002</v>
      </c>
      <c r="L293" s="163">
        <v>1.0009999999999999</v>
      </c>
      <c r="M293" s="164">
        <v>2.3431000000000002</v>
      </c>
      <c r="O293" s="180"/>
      <c r="P293" s="180"/>
      <c r="Q293" s="180"/>
      <c r="R293" s="180"/>
      <c r="S293" s="180"/>
      <c r="T293" s="180"/>
      <c r="U293" s="180"/>
      <c r="V293" s="180"/>
      <c r="W293" s="180"/>
      <c r="X293" s="180"/>
      <c r="Y293" s="180"/>
      <c r="Z293" s="180"/>
      <c r="AA293" s="180"/>
    </row>
    <row r="294" spans="1:27" ht="15.5">
      <c r="A294" s="184" t="s">
        <v>553</v>
      </c>
      <c r="B294" s="163">
        <v>4.4316000000000004</v>
      </c>
      <c r="C294" s="163">
        <v>0.39350000000000002</v>
      </c>
      <c r="D294" s="163">
        <v>1.55E-2</v>
      </c>
      <c r="E294" s="163">
        <v>1.9016</v>
      </c>
      <c r="F294" s="163">
        <v>1.1332</v>
      </c>
      <c r="G294" s="163">
        <v>4.5600000000000002E-2</v>
      </c>
      <c r="H294" s="163">
        <v>0.44990000000000002</v>
      </c>
      <c r="I294" s="163">
        <v>0.48720000000000002</v>
      </c>
      <c r="J294" s="163">
        <v>5.0000000000000001E-3</v>
      </c>
      <c r="K294" s="163">
        <v>2.1208999999999998</v>
      </c>
      <c r="L294" s="163">
        <v>0.98770000000000002</v>
      </c>
      <c r="M294" s="164">
        <v>2.3106</v>
      </c>
      <c r="O294" s="180"/>
      <c r="P294" s="180"/>
      <c r="Q294" s="180"/>
      <c r="R294" s="180"/>
      <c r="S294" s="180"/>
      <c r="T294" s="180"/>
      <c r="U294" s="180"/>
      <c r="V294" s="180"/>
      <c r="W294" s="180"/>
      <c r="X294" s="180"/>
      <c r="Y294" s="180"/>
      <c r="Z294" s="180"/>
      <c r="AA294" s="180"/>
    </row>
    <row r="295" spans="1:27" ht="15.5">
      <c r="A295" s="184" t="s">
        <v>554</v>
      </c>
      <c r="B295" s="163">
        <v>4.8738000000000001</v>
      </c>
      <c r="C295" s="163">
        <v>0.497</v>
      </c>
      <c r="D295" s="163">
        <v>2.4500000000000001E-2</v>
      </c>
      <c r="E295" s="163">
        <v>2.4013</v>
      </c>
      <c r="F295" s="163">
        <v>1.0472999999999999</v>
      </c>
      <c r="G295" s="163">
        <v>3.4700000000000002E-2</v>
      </c>
      <c r="H295" s="163">
        <v>0.41460000000000002</v>
      </c>
      <c r="I295" s="163">
        <v>0.44600000000000001</v>
      </c>
      <c r="J295" s="163">
        <v>8.3999999999999995E-3</v>
      </c>
      <c r="K295" s="163">
        <v>1.9510000000000001</v>
      </c>
      <c r="L295" s="163">
        <v>0.90369999999999995</v>
      </c>
      <c r="M295" s="164">
        <v>2.9228000000000001</v>
      </c>
      <c r="O295" s="180"/>
      <c r="P295" s="180"/>
      <c r="Q295" s="180"/>
      <c r="R295" s="180"/>
      <c r="S295" s="180"/>
      <c r="T295" s="180"/>
      <c r="U295" s="180"/>
      <c r="V295" s="180"/>
      <c r="W295" s="180"/>
      <c r="X295" s="180"/>
      <c r="Y295" s="180"/>
      <c r="Z295" s="180"/>
      <c r="AA295" s="180"/>
    </row>
    <row r="296" spans="1:27" ht="15.5">
      <c r="A296" s="184" t="s">
        <v>555</v>
      </c>
      <c r="B296" s="163">
        <v>3.7924000000000002</v>
      </c>
      <c r="C296" s="163">
        <v>0.17080000000000001</v>
      </c>
      <c r="D296" s="163">
        <v>1.2800000000000001E-2</v>
      </c>
      <c r="E296" s="163">
        <v>1.7674000000000001</v>
      </c>
      <c r="F296" s="163">
        <v>0.98019999999999996</v>
      </c>
      <c r="G296" s="163">
        <v>3.3000000000000002E-2</v>
      </c>
      <c r="H296" s="163">
        <v>0.4294</v>
      </c>
      <c r="I296" s="163">
        <v>0.37980000000000003</v>
      </c>
      <c r="J296" s="163">
        <v>1.9199999999999998E-2</v>
      </c>
      <c r="K296" s="163">
        <v>1.8414999999999999</v>
      </c>
      <c r="L296" s="163">
        <v>0.86129999999999995</v>
      </c>
      <c r="M296" s="164">
        <v>1.9509000000000001</v>
      </c>
      <c r="O296" s="180"/>
      <c r="P296" s="180"/>
      <c r="Q296" s="180"/>
      <c r="R296" s="180"/>
      <c r="S296" s="180"/>
      <c r="T296" s="180"/>
      <c r="U296" s="180"/>
      <c r="V296" s="180"/>
      <c r="W296" s="180"/>
      <c r="X296" s="180"/>
      <c r="Y296" s="180"/>
      <c r="Z296" s="180"/>
      <c r="AA296" s="180"/>
    </row>
    <row r="297" spans="1:27" ht="15.5">
      <c r="A297" s="184" t="s">
        <v>556</v>
      </c>
      <c r="B297" s="163">
        <v>3.8149999999999999</v>
      </c>
      <c r="C297" s="163">
        <v>0.12429999999999999</v>
      </c>
      <c r="D297" s="163">
        <v>8.8999999999999999E-3</v>
      </c>
      <c r="E297" s="163">
        <v>1.7052</v>
      </c>
      <c r="F297" s="163">
        <v>0.96419999999999995</v>
      </c>
      <c r="G297" s="163">
        <v>4.5900000000000003E-2</v>
      </c>
      <c r="H297" s="163">
        <v>0.51080000000000003</v>
      </c>
      <c r="I297" s="163">
        <v>0.42770000000000002</v>
      </c>
      <c r="J297" s="163">
        <v>2.81E-2</v>
      </c>
      <c r="K297" s="163">
        <v>1.9765999999999999</v>
      </c>
      <c r="L297" s="163">
        <v>1.0125</v>
      </c>
      <c r="M297" s="164">
        <v>1.8384</v>
      </c>
      <c r="O297" s="180"/>
      <c r="P297" s="180"/>
      <c r="Q297" s="180"/>
      <c r="R297" s="180"/>
      <c r="S297" s="180"/>
      <c r="T297" s="180"/>
      <c r="U297" s="180"/>
      <c r="V297" s="180"/>
      <c r="W297" s="180"/>
      <c r="X297" s="180"/>
      <c r="Y297" s="180"/>
      <c r="Z297" s="180"/>
      <c r="AA297" s="180"/>
    </row>
    <row r="298" spans="1:27" ht="15.5">
      <c r="A298" s="184" t="s">
        <v>557</v>
      </c>
      <c r="B298" s="163">
        <v>3.6945000000000001</v>
      </c>
      <c r="C298" s="163">
        <v>8.1199999999999994E-2</v>
      </c>
      <c r="D298" s="163">
        <v>9.1000000000000004E-3</v>
      </c>
      <c r="E298" s="163">
        <v>1.7713000000000001</v>
      </c>
      <c r="F298" s="163">
        <v>1.0477000000000001</v>
      </c>
      <c r="G298" s="163">
        <v>1.84E-2</v>
      </c>
      <c r="H298" s="163">
        <v>0.34899999999999998</v>
      </c>
      <c r="I298" s="163">
        <v>0.37840000000000001</v>
      </c>
      <c r="J298" s="163">
        <v>3.9399999999999998E-2</v>
      </c>
      <c r="K298" s="163">
        <v>1.8329</v>
      </c>
      <c r="L298" s="163">
        <v>0.78520000000000001</v>
      </c>
      <c r="M298" s="164">
        <v>1.8615999999999999</v>
      </c>
      <c r="O298" s="180"/>
      <c r="P298" s="180"/>
      <c r="Q298" s="180"/>
      <c r="R298" s="180"/>
      <c r="S298" s="180"/>
      <c r="T298" s="180"/>
      <c r="U298" s="180"/>
      <c r="V298" s="180"/>
      <c r="W298" s="180"/>
      <c r="X298" s="180"/>
      <c r="Y298" s="180"/>
      <c r="Z298" s="180"/>
      <c r="AA298" s="180"/>
    </row>
    <row r="299" spans="1:27" ht="15.5">
      <c r="A299" s="184" t="s">
        <v>558</v>
      </c>
      <c r="B299" s="163">
        <v>3.5838000000000001</v>
      </c>
      <c r="C299" s="163">
        <v>1.5800000000000002E-2</v>
      </c>
      <c r="D299" s="163">
        <v>1.01E-2</v>
      </c>
      <c r="E299" s="163">
        <v>1.7810999999999999</v>
      </c>
      <c r="F299" s="163">
        <v>1.0412999999999999</v>
      </c>
      <c r="G299" s="163">
        <v>1.1299999999999999E-2</v>
      </c>
      <c r="H299" s="163">
        <v>0.2331</v>
      </c>
      <c r="I299" s="163">
        <v>0.44519999999999998</v>
      </c>
      <c r="J299" s="163">
        <v>4.58E-2</v>
      </c>
      <c r="K299" s="163">
        <v>1.7766999999999999</v>
      </c>
      <c r="L299" s="163">
        <v>0.73540000000000005</v>
      </c>
      <c r="M299" s="164">
        <v>1.8069999999999999</v>
      </c>
      <c r="O299" s="180"/>
      <c r="P299" s="180"/>
      <c r="Q299" s="180"/>
      <c r="R299" s="180"/>
      <c r="S299" s="180"/>
      <c r="T299" s="180"/>
      <c r="U299" s="180"/>
      <c r="V299" s="180"/>
      <c r="W299" s="180"/>
      <c r="X299" s="180"/>
      <c r="Y299" s="180"/>
      <c r="Z299" s="180"/>
      <c r="AA299" s="180"/>
    </row>
    <row r="300" spans="1:27" ht="15.5">
      <c r="A300" s="184" t="s">
        <v>559</v>
      </c>
      <c r="B300" s="163">
        <v>3.234</v>
      </c>
      <c r="C300" s="163">
        <v>3.0300000000000001E-2</v>
      </c>
      <c r="D300" s="163">
        <v>9.7000000000000003E-3</v>
      </c>
      <c r="E300" s="163">
        <v>1.6856</v>
      </c>
      <c r="F300" s="163">
        <v>0.72209999999999996</v>
      </c>
      <c r="G300" s="163">
        <v>1.9699999999999999E-2</v>
      </c>
      <c r="H300" s="163">
        <v>0.30759999999999998</v>
      </c>
      <c r="I300" s="163">
        <v>0.41889999999999999</v>
      </c>
      <c r="J300" s="163">
        <v>0.04</v>
      </c>
      <c r="K300" s="163">
        <v>1.5083</v>
      </c>
      <c r="L300" s="163">
        <v>0.78620000000000001</v>
      </c>
      <c r="M300" s="164">
        <v>1.7256</v>
      </c>
      <c r="O300" s="180"/>
      <c r="P300" s="180"/>
      <c r="Q300" s="180"/>
      <c r="R300" s="180"/>
      <c r="S300" s="180"/>
      <c r="T300" s="180"/>
      <c r="U300" s="180"/>
      <c r="V300" s="180"/>
      <c r="W300" s="180"/>
      <c r="X300" s="180"/>
      <c r="Y300" s="180"/>
      <c r="Z300" s="180"/>
      <c r="AA300" s="180"/>
    </row>
    <row r="301" spans="1:27" ht="15.5">
      <c r="A301" s="184" t="s">
        <v>560</v>
      </c>
      <c r="B301" s="163">
        <v>3.4834999999999998</v>
      </c>
      <c r="C301" s="163">
        <v>4.36E-2</v>
      </c>
      <c r="D301" s="163">
        <v>1.35E-2</v>
      </c>
      <c r="E301" s="163">
        <v>1.8145</v>
      </c>
      <c r="F301" s="163">
        <v>0.87829999999999997</v>
      </c>
      <c r="G301" s="163">
        <v>2.0299999999999999E-2</v>
      </c>
      <c r="H301" s="163">
        <v>0.2581</v>
      </c>
      <c r="I301" s="163">
        <v>0.41060000000000002</v>
      </c>
      <c r="J301" s="163">
        <v>4.4600000000000001E-2</v>
      </c>
      <c r="K301" s="163">
        <v>1.6119000000000001</v>
      </c>
      <c r="L301" s="163">
        <v>0.73360000000000003</v>
      </c>
      <c r="M301" s="164">
        <v>1.8715999999999999</v>
      </c>
      <c r="O301" s="180"/>
      <c r="P301" s="180"/>
      <c r="Q301" s="180"/>
      <c r="R301" s="180"/>
      <c r="S301" s="180"/>
      <c r="T301" s="180"/>
      <c r="U301" s="180"/>
      <c r="V301" s="180"/>
      <c r="W301" s="180"/>
      <c r="X301" s="180"/>
      <c r="Y301" s="180"/>
      <c r="Z301" s="180"/>
      <c r="AA301" s="180"/>
    </row>
    <row r="302" spans="1:27" ht="15.5">
      <c r="A302" s="184" t="s">
        <v>561</v>
      </c>
      <c r="B302" s="163">
        <v>3.3109999999999999</v>
      </c>
      <c r="C302" s="163">
        <v>9.5799999999999996E-2</v>
      </c>
      <c r="D302" s="163">
        <v>0.01</v>
      </c>
      <c r="E302" s="163">
        <v>1.3495999999999999</v>
      </c>
      <c r="F302" s="163">
        <v>0.98050000000000004</v>
      </c>
      <c r="G302" s="163">
        <v>0.03</v>
      </c>
      <c r="H302" s="163">
        <v>0.3866</v>
      </c>
      <c r="I302" s="163">
        <v>0.41760000000000003</v>
      </c>
      <c r="J302" s="163">
        <v>4.0800000000000003E-2</v>
      </c>
      <c r="K302" s="163">
        <v>1.8554999999999999</v>
      </c>
      <c r="L302" s="163">
        <v>0.875</v>
      </c>
      <c r="M302" s="164">
        <v>1.4555</v>
      </c>
      <c r="O302" s="180"/>
      <c r="P302" s="180"/>
      <c r="Q302" s="180"/>
      <c r="R302" s="180"/>
      <c r="S302" s="180"/>
      <c r="T302" s="180"/>
      <c r="U302" s="180"/>
      <c r="V302" s="180"/>
      <c r="W302" s="180"/>
      <c r="X302" s="180"/>
      <c r="Y302" s="180"/>
      <c r="Z302" s="180"/>
      <c r="AA302" s="180"/>
    </row>
    <row r="303" spans="1:27" ht="15.5">
      <c r="A303" s="184" t="s">
        <v>562</v>
      </c>
      <c r="B303" s="163">
        <v>3.3959000000000001</v>
      </c>
      <c r="C303" s="163">
        <v>6.0100000000000001E-2</v>
      </c>
      <c r="D303" s="163">
        <v>1.2E-2</v>
      </c>
      <c r="E303" s="163">
        <v>1.4036999999999999</v>
      </c>
      <c r="F303" s="163">
        <v>1.0653999999999999</v>
      </c>
      <c r="G303" s="163">
        <v>3.6700000000000003E-2</v>
      </c>
      <c r="H303" s="163">
        <v>0.4002</v>
      </c>
      <c r="I303" s="163">
        <v>0.38569999999999999</v>
      </c>
      <c r="J303" s="163">
        <v>3.1899999999999998E-2</v>
      </c>
      <c r="K303" s="163">
        <v>1.92</v>
      </c>
      <c r="L303" s="163">
        <v>0.85450000000000004</v>
      </c>
      <c r="M303" s="164">
        <v>1.4759</v>
      </c>
      <c r="O303" s="180"/>
      <c r="P303" s="180"/>
      <c r="Q303" s="180"/>
      <c r="R303" s="180"/>
      <c r="S303" s="180"/>
      <c r="T303" s="180"/>
      <c r="U303" s="180"/>
      <c r="V303" s="180"/>
      <c r="W303" s="180"/>
      <c r="X303" s="180"/>
      <c r="Y303" s="180"/>
      <c r="Z303" s="180"/>
      <c r="AA303" s="180"/>
    </row>
    <row r="304" spans="1:27" ht="15.5">
      <c r="A304" s="184" t="s">
        <v>563</v>
      </c>
      <c r="B304" s="163">
        <v>4.0072000000000001</v>
      </c>
      <c r="C304" s="163">
        <v>0.1242</v>
      </c>
      <c r="D304" s="163">
        <v>1.23E-2</v>
      </c>
      <c r="E304" s="163">
        <v>1.8194999999999999</v>
      </c>
      <c r="F304" s="163">
        <v>1.1378999999999999</v>
      </c>
      <c r="G304" s="163">
        <v>4.07E-2</v>
      </c>
      <c r="H304" s="163">
        <v>0.47160000000000002</v>
      </c>
      <c r="I304" s="163">
        <v>0.3831</v>
      </c>
      <c r="J304" s="163">
        <v>1.78E-2</v>
      </c>
      <c r="K304" s="163">
        <v>2.0510999999999999</v>
      </c>
      <c r="L304" s="163">
        <v>0.9133</v>
      </c>
      <c r="M304" s="164">
        <v>1.956</v>
      </c>
      <c r="O304" s="180"/>
      <c r="P304" s="180"/>
      <c r="Q304" s="180"/>
      <c r="R304" s="180"/>
      <c r="S304" s="180"/>
      <c r="T304" s="180"/>
      <c r="U304" s="180"/>
      <c r="V304" s="180"/>
      <c r="W304" s="180"/>
      <c r="X304" s="180"/>
      <c r="Y304" s="180"/>
      <c r="Z304" s="180"/>
      <c r="AA304" s="180"/>
    </row>
    <row r="305" spans="1:31" ht="15.5">
      <c r="A305" s="184" t="s">
        <v>564</v>
      </c>
      <c r="B305" s="163">
        <v>4.3475000000000001</v>
      </c>
      <c r="C305" s="163">
        <v>0.30880000000000002</v>
      </c>
      <c r="D305" s="163">
        <v>1.55E-2</v>
      </c>
      <c r="E305" s="163">
        <v>1.9621</v>
      </c>
      <c r="F305" s="163">
        <v>1.1032999999999999</v>
      </c>
      <c r="G305" s="163">
        <v>2.3900000000000001E-2</v>
      </c>
      <c r="H305" s="163">
        <v>0.40260000000000001</v>
      </c>
      <c r="I305" s="163">
        <v>0.52239999999999998</v>
      </c>
      <c r="J305" s="163">
        <v>8.8999999999999999E-3</v>
      </c>
      <c r="K305" s="163">
        <v>2.0611000000000002</v>
      </c>
      <c r="L305" s="163">
        <v>0.95779999999999998</v>
      </c>
      <c r="M305" s="164">
        <v>2.2864</v>
      </c>
      <c r="O305" s="180"/>
      <c r="P305" s="180"/>
      <c r="Q305" s="180"/>
      <c r="R305" s="180"/>
      <c r="S305" s="180"/>
      <c r="T305" s="180"/>
      <c r="U305" s="180"/>
      <c r="V305" s="180"/>
      <c r="W305" s="180"/>
      <c r="X305" s="180"/>
      <c r="Y305" s="180"/>
      <c r="Z305" s="180"/>
      <c r="AA305" s="180"/>
    </row>
    <row r="306" spans="1:31" ht="15.5">
      <c r="A306" s="184" t="s">
        <v>565</v>
      </c>
      <c r="B306" s="163">
        <v>4.2403000000000004</v>
      </c>
      <c r="C306" s="163">
        <v>0.28999999999999998</v>
      </c>
      <c r="D306" s="163">
        <v>1.52E-2</v>
      </c>
      <c r="E306" s="163">
        <v>1.6144000000000001</v>
      </c>
      <c r="F306" s="163">
        <v>1.1189</v>
      </c>
      <c r="G306" s="163">
        <v>4.5699999999999998E-2</v>
      </c>
      <c r="H306" s="163">
        <v>0.57169999999999999</v>
      </c>
      <c r="I306" s="163">
        <v>0.57740000000000002</v>
      </c>
      <c r="J306" s="163">
        <v>7.0000000000000001E-3</v>
      </c>
      <c r="K306" s="163">
        <v>2.3207</v>
      </c>
      <c r="L306" s="163">
        <v>1.2018</v>
      </c>
      <c r="M306" s="164">
        <v>1.9196</v>
      </c>
      <c r="O306" s="180"/>
      <c r="P306" s="180"/>
      <c r="Q306" s="180"/>
      <c r="R306" s="180"/>
      <c r="S306" s="180"/>
      <c r="T306" s="180"/>
      <c r="U306" s="180"/>
      <c r="V306" s="180"/>
      <c r="W306" s="180"/>
      <c r="X306" s="180"/>
      <c r="Y306" s="180"/>
      <c r="Z306" s="180"/>
      <c r="AA306" s="180"/>
    </row>
    <row r="307" spans="1:31" ht="15.5">
      <c r="A307" s="184" t="s">
        <v>566</v>
      </c>
      <c r="B307" s="163">
        <v>4.3316999999999997</v>
      </c>
      <c r="C307" s="163">
        <v>0.4138</v>
      </c>
      <c r="D307" s="163">
        <v>1.4E-2</v>
      </c>
      <c r="E307" s="163">
        <v>1.5331999999999999</v>
      </c>
      <c r="F307" s="163">
        <v>1.1225000000000001</v>
      </c>
      <c r="G307" s="163">
        <v>5.1700000000000003E-2</v>
      </c>
      <c r="H307" s="163">
        <v>0.6613</v>
      </c>
      <c r="I307" s="163">
        <v>0.52669999999999995</v>
      </c>
      <c r="J307" s="163">
        <v>8.6E-3</v>
      </c>
      <c r="K307" s="163">
        <v>2.3706999999999998</v>
      </c>
      <c r="L307" s="163">
        <v>1.2482</v>
      </c>
      <c r="M307" s="164">
        <v>1.9609000000000001</v>
      </c>
      <c r="N307" s="120"/>
      <c r="O307" s="180"/>
      <c r="P307" s="180"/>
      <c r="Q307" s="180"/>
      <c r="R307" s="180"/>
      <c r="S307" s="180"/>
      <c r="T307" s="180"/>
      <c r="U307" s="180"/>
      <c r="V307" s="180"/>
      <c r="W307" s="180"/>
      <c r="X307" s="180"/>
      <c r="Y307" s="180"/>
      <c r="Z307" s="180"/>
      <c r="AA307" s="180"/>
      <c r="AB307" s="180"/>
      <c r="AC307" s="180"/>
      <c r="AD307" s="180"/>
      <c r="AE307" s="180"/>
    </row>
    <row r="308" spans="1:31" ht="15.5">
      <c r="A308" s="184" t="s">
        <v>567</v>
      </c>
      <c r="B308" s="163">
        <v>3.6888999999999998</v>
      </c>
      <c r="C308" s="163">
        <v>0.29110000000000003</v>
      </c>
      <c r="D308" s="163">
        <v>1.29E-2</v>
      </c>
      <c r="E308" s="163">
        <v>1.2506999999999999</v>
      </c>
      <c r="F308" s="163">
        <v>0.88919999999999999</v>
      </c>
      <c r="G308" s="163">
        <v>5.3499999999999999E-2</v>
      </c>
      <c r="H308" s="163">
        <v>0.73170000000000002</v>
      </c>
      <c r="I308" s="163">
        <v>0.44390000000000002</v>
      </c>
      <c r="J308" s="163">
        <v>1.5900000000000001E-2</v>
      </c>
      <c r="K308" s="163">
        <v>2.1341999999999999</v>
      </c>
      <c r="L308" s="163">
        <v>1.2450000000000001</v>
      </c>
      <c r="M308" s="164">
        <v>1.5547</v>
      </c>
      <c r="N308" s="120"/>
      <c r="O308" s="180"/>
      <c r="P308" s="180"/>
      <c r="Q308" s="180"/>
      <c r="R308" s="180"/>
      <c r="S308" s="180"/>
      <c r="T308" s="180"/>
      <c r="U308" s="180"/>
      <c r="V308" s="180"/>
      <c r="W308" s="180"/>
      <c r="X308" s="180"/>
      <c r="Y308" s="180"/>
      <c r="Z308" s="180"/>
      <c r="AA308" s="180"/>
    </row>
    <row r="309" spans="1:31" ht="15.5">
      <c r="A309" s="184" t="s">
        <v>568</v>
      </c>
      <c r="B309" s="163">
        <v>3.6597</v>
      </c>
      <c r="C309" s="163">
        <v>0.1573</v>
      </c>
      <c r="D309" s="163">
        <v>1.21E-2</v>
      </c>
      <c r="E309" s="163">
        <v>1.5839000000000001</v>
      </c>
      <c r="F309" s="163">
        <v>0.76490000000000002</v>
      </c>
      <c r="G309" s="163">
        <v>5.0200000000000002E-2</v>
      </c>
      <c r="H309" s="163">
        <v>0.57750000000000001</v>
      </c>
      <c r="I309" s="163">
        <v>0.47839999999999999</v>
      </c>
      <c r="J309" s="163">
        <v>3.5400000000000001E-2</v>
      </c>
      <c r="K309" s="163">
        <v>1.9064000000000001</v>
      </c>
      <c r="L309" s="163">
        <v>1.1415</v>
      </c>
      <c r="M309" s="164">
        <v>1.7533000000000001</v>
      </c>
      <c r="O309" s="180"/>
      <c r="P309" s="180"/>
      <c r="Q309" s="180"/>
      <c r="R309" s="180"/>
      <c r="S309" s="180"/>
      <c r="T309" s="180"/>
      <c r="U309" s="180"/>
      <c r="V309" s="180"/>
      <c r="W309" s="180"/>
      <c r="X309" s="180"/>
      <c r="Y309" s="180"/>
      <c r="Z309" s="180"/>
      <c r="AA309" s="180"/>
    </row>
    <row r="310" spans="1:31" ht="15.5">
      <c r="A310" s="184" t="s">
        <v>569</v>
      </c>
      <c r="B310" s="163">
        <v>2.9297</v>
      </c>
      <c r="C310" s="163">
        <v>4.4200000000000003E-2</v>
      </c>
      <c r="D310" s="163">
        <v>7.0000000000000001E-3</v>
      </c>
      <c r="E310" s="163">
        <v>1.1606000000000001</v>
      </c>
      <c r="F310" s="163">
        <v>0.85470000000000002</v>
      </c>
      <c r="G310" s="163">
        <v>2.58E-2</v>
      </c>
      <c r="H310" s="163">
        <v>0.34699999999999998</v>
      </c>
      <c r="I310" s="163">
        <v>0.44009999999999999</v>
      </c>
      <c r="J310" s="163">
        <v>5.0299999999999997E-2</v>
      </c>
      <c r="K310" s="163">
        <v>1.7179</v>
      </c>
      <c r="L310" s="163">
        <v>0.86319999999999997</v>
      </c>
      <c r="M310" s="164">
        <v>1.2118</v>
      </c>
      <c r="O310" s="180"/>
      <c r="P310" s="180"/>
      <c r="Q310" s="180"/>
      <c r="R310" s="180"/>
      <c r="S310" s="180"/>
      <c r="T310" s="180"/>
      <c r="U310" s="180"/>
      <c r="V310" s="180"/>
      <c r="W310" s="180"/>
      <c r="X310" s="180"/>
      <c r="Y310" s="180"/>
      <c r="Z310" s="180"/>
      <c r="AA310" s="180"/>
    </row>
    <row r="311" spans="1:31" ht="15.5">
      <c r="A311" s="184" t="s">
        <v>570</v>
      </c>
      <c r="B311" s="163">
        <v>2.9398</v>
      </c>
      <c r="C311" s="163">
        <v>1.9099999999999999E-2</v>
      </c>
      <c r="D311" s="163">
        <v>5.7999999999999996E-3</v>
      </c>
      <c r="E311" s="163">
        <v>1.1009</v>
      </c>
      <c r="F311" s="163">
        <v>0.93120000000000003</v>
      </c>
      <c r="G311" s="163">
        <v>2.0199999999999999E-2</v>
      </c>
      <c r="H311" s="163">
        <v>0.32369999999999999</v>
      </c>
      <c r="I311" s="163">
        <v>0.4778</v>
      </c>
      <c r="J311" s="163">
        <v>6.1100000000000002E-2</v>
      </c>
      <c r="K311" s="163">
        <v>1.8140000000000001</v>
      </c>
      <c r="L311" s="163">
        <v>0.88280000000000003</v>
      </c>
      <c r="M311" s="164">
        <v>1.1257999999999999</v>
      </c>
      <c r="O311" s="180"/>
      <c r="P311" s="180"/>
      <c r="Q311" s="180"/>
      <c r="R311" s="180"/>
      <c r="S311" s="180"/>
      <c r="T311" s="180"/>
      <c r="U311" s="180"/>
      <c r="V311" s="180"/>
      <c r="W311" s="180"/>
      <c r="X311" s="180"/>
      <c r="Y311" s="180"/>
      <c r="Z311" s="180"/>
      <c r="AA311" s="180"/>
    </row>
    <row r="312" spans="1:31" ht="15.5">
      <c r="A312" s="184" t="s">
        <v>571</v>
      </c>
      <c r="B312" s="163">
        <v>3.0162</v>
      </c>
      <c r="C312" s="163">
        <v>3.9100000000000003E-2</v>
      </c>
      <c r="D312" s="163">
        <v>5.5999999999999999E-3</v>
      </c>
      <c r="E312" s="163">
        <v>1.3452999999999999</v>
      </c>
      <c r="F312" s="163">
        <v>0.75139999999999996</v>
      </c>
      <c r="G312" s="163">
        <v>1.9300000000000001E-2</v>
      </c>
      <c r="H312" s="163">
        <v>0.34460000000000002</v>
      </c>
      <c r="I312" s="163">
        <v>0.46479999999999999</v>
      </c>
      <c r="J312" s="163">
        <v>4.6199999999999998E-2</v>
      </c>
      <c r="K312" s="163">
        <v>1.6263000000000001</v>
      </c>
      <c r="L312" s="163">
        <v>0.87490000000000001</v>
      </c>
      <c r="M312" s="164">
        <v>1.39</v>
      </c>
      <c r="O312" s="180"/>
      <c r="P312" s="180"/>
      <c r="Q312" s="180"/>
      <c r="R312" s="180"/>
      <c r="S312" s="180"/>
      <c r="T312" s="180"/>
      <c r="U312" s="180"/>
      <c r="V312" s="180"/>
      <c r="W312" s="180"/>
      <c r="X312" s="180"/>
      <c r="Y312" s="180"/>
      <c r="Z312" s="180"/>
      <c r="AA312" s="180"/>
    </row>
    <row r="313" spans="1:31" ht="15.5">
      <c r="A313" s="184" t="s">
        <v>572</v>
      </c>
      <c r="B313" s="163">
        <v>3.3616999999999999</v>
      </c>
      <c r="C313" s="163">
        <v>2.9000000000000001E-2</v>
      </c>
      <c r="D313" s="163">
        <v>7.4999999999999997E-3</v>
      </c>
      <c r="E313" s="163">
        <v>1.5322</v>
      </c>
      <c r="F313" s="163">
        <v>0.87380000000000002</v>
      </c>
      <c r="G313" s="163">
        <v>3.0099999999999998E-2</v>
      </c>
      <c r="H313" s="163">
        <v>0.34489999999999998</v>
      </c>
      <c r="I313" s="163">
        <v>0.49859999999999999</v>
      </c>
      <c r="J313" s="163">
        <v>4.5400000000000003E-2</v>
      </c>
      <c r="K313" s="163">
        <v>1.7928999999999999</v>
      </c>
      <c r="L313" s="163">
        <v>0.91900000000000004</v>
      </c>
      <c r="M313" s="164">
        <v>1.5688</v>
      </c>
      <c r="O313" s="180"/>
      <c r="P313" s="180"/>
      <c r="Q313" s="180"/>
      <c r="R313" s="180"/>
      <c r="S313" s="180"/>
      <c r="T313" s="180"/>
      <c r="U313" s="180"/>
      <c r="V313" s="180"/>
      <c r="W313" s="180"/>
      <c r="X313" s="180"/>
      <c r="Y313" s="180"/>
      <c r="Z313" s="180"/>
      <c r="AA313" s="180"/>
    </row>
    <row r="314" spans="1:31" ht="15.5">
      <c r="A314" s="184" t="s">
        <v>573</v>
      </c>
      <c r="B314" s="163">
        <v>3.1955</v>
      </c>
      <c r="C314" s="163">
        <v>4.4299999999999999E-2</v>
      </c>
      <c r="D314" s="163">
        <v>9.2999999999999992E-3</v>
      </c>
      <c r="E314" s="163">
        <v>1.6512</v>
      </c>
      <c r="F314" s="163">
        <v>0.70930000000000004</v>
      </c>
      <c r="G314" s="163">
        <v>1.8800000000000001E-2</v>
      </c>
      <c r="H314" s="163">
        <v>0.34849999999999998</v>
      </c>
      <c r="I314" s="163">
        <v>0.37519999999999998</v>
      </c>
      <c r="J314" s="163">
        <v>3.8899999999999997E-2</v>
      </c>
      <c r="K314" s="163">
        <v>1.4906999999999999</v>
      </c>
      <c r="L314" s="163">
        <v>0.78139999999999998</v>
      </c>
      <c r="M314" s="164">
        <v>1.7048000000000001</v>
      </c>
      <c r="O314" s="180"/>
      <c r="P314" s="180"/>
      <c r="Q314" s="180"/>
      <c r="R314" s="180"/>
      <c r="S314" s="180"/>
      <c r="T314" s="180"/>
      <c r="U314" s="180"/>
      <c r="V314" s="180"/>
      <c r="W314" s="180"/>
      <c r="X314" s="180"/>
      <c r="Y314" s="180"/>
      <c r="Z314" s="180"/>
      <c r="AA314" s="180"/>
    </row>
    <row r="315" spans="1:31" ht="15.5">
      <c r="A315" s="184" t="s">
        <v>574</v>
      </c>
      <c r="B315" s="163">
        <v>3.2967</v>
      </c>
      <c r="C315" s="163">
        <v>7.5499999999999998E-2</v>
      </c>
      <c r="D315" s="163">
        <v>7.3000000000000001E-3</v>
      </c>
      <c r="E315" s="163">
        <v>1.6281000000000001</v>
      </c>
      <c r="F315" s="163">
        <v>0.7712</v>
      </c>
      <c r="G315" s="163">
        <v>2.4299999999999999E-2</v>
      </c>
      <c r="H315" s="163">
        <v>0.4244</v>
      </c>
      <c r="I315" s="163">
        <v>0.33019999999999999</v>
      </c>
      <c r="J315" s="163">
        <v>3.5700000000000003E-2</v>
      </c>
      <c r="K315" s="163">
        <v>1.5857000000000001</v>
      </c>
      <c r="L315" s="163">
        <v>0.8145</v>
      </c>
      <c r="M315" s="164">
        <v>1.7109000000000001</v>
      </c>
      <c r="O315" s="180"/>
      <c r="P315" s="180"/>
      <c r="Q315" s="180"/>
      <c r="R315" s="180"/>
      <c r="S315" s="180"/>
      <c r="T315" s="180"/>
      <c r="U315" s="180"/>
      <c r="V315" s="180"/>
      <c r="W315" s="180"/>
      <c r="X315" s="180"/>
      <c r="Y315" s="180"/>
      <c r="Z315" s="180"/>
      <c r="AA315" s="180"/>
    </row>
    <row r="316" spans="1:31" ht="15.5">
      <c r="A316" s="184" t="s">
        <v>575</v>
      </c>
      <c r="B316" s="163">
        <v>3.6499000000000001</v>
      </c>
      <c r="C316" s="163">
        <v>5.6800000000000003E-2</v>
      </c>
      <c r="D316" s="163">
        <v>1.0999999999999999E-2</v>
      </c>
      <c r="E316" s="163">
        <v>1.5568</v>
      </c>
      <c r="F316" s="163">
        <v>1.0277000000000001</v>
      </c>
      <c r="G316" s="163">
        <v>0.04</v>
      </c>
      <c r="H316" s="163">
        <v>0.53749999999999998</v>
      </c>
      <c r="I316" s="163">
        <v>0.40210000000000001</v>
      </c>
      <c r="J316" s="163">
        <v>1.7899999999999999E-2</v>
      </c>
      <c r="K316" s="163">
        <v>2.0251999999999999</v>
      </c>
      <c r="L316" s="163">
        <v>0.99739999999999995</v>
      </c>
      <c r="M316" s="164">
        <v>1.6247</v>
      </c>
      <c r="O316" s="180"/>
      <c r="P316" s="180"/>
      <c r="Q316" s="180"/>
      <c r="R316" s="180"/>
      <c r="S316" s="180"/>
      <c r="T316" s="180"/>
      <c r="U316" s="180"/>
      <c r="V316" s="180"/>
      <c r="W316" s="180"/>
      <c r="X316" s="180"/>
      <c r="Y316" s="180"/>
      <c r="Z316" s="180"/>
      <c r="AA316" s="180"/>
    </row>
    <row r="317" spans="1:31" ht="15.5">
      <c r="A317" s="184" t="s">
        <v>576</v>
      </c>
      <c r="B317" s="163">
        <v>3.7263000000000002</v>
      </c>
      <c r="C317" s="163">
        <v>0.1138</v>
      </c>
      <c r="D317" s="163">
        <v>1.5699999999999999E-2</v>
      </c>
      <c r="E317" s="163">
        <v>1.6074999999999999</v>
      </c>
      <c r="F317" s="163">
        <v>0.96189999999999998</v>
      </c>
      <c r="G317" s="163">
        <v>5.0599999999999999E-2</v>
      </c>
      <c r="H317" s="163">
        <v>0.51149999999999995</v>
      </c>
      <c r="I317" s="163">
        <v>0.4541</v>
      </c>
      <c r="J317" s="163">
        <v>1.12E-2</v>
      </c>
      <c r="K317" s="163">
        <v>1.9893000000000001</v>
      </c>
      <c r="L317" s="163">
        <v>1.0274000000000001</v>
      </c>
      <c r="M317" s="164">
        <v>1.7370000000000001</v>
      </c>
      <c r="O317" s="180"/>
      <c r="P317" s="180"/>
      <c r="Q317" s="180"/>
      <c r="R317" s="180"/>
      <c r="S317" s="180"/>
      <c r="T317" s="180"/>
      <c r="U317" s="180"/>
      <c r="V317" s="180"/>
      <c r="W317" s="180"/>
      <c r="X317" s="180"/>
      <c r="Y317" s="180"/>
      <c r="Z317" s="180"/>
      <c r="AA317" s="180"/>
    </row>
    <row r="318" spans="1:31" ht="15.5">
      <c r="A318" s="184" t="s">
        <v>577</v>
      </c>
      <c r="B318" s="163">
        <v>4.1646000000000001</v>
      </c>
      <c r="C318" s="163">
        <v>0.17710000000000001</v>
      </c>
      <c r="D318" s="163">
        <v>1.72E-2</v>
      </c>
      <c r="E318" s="163">
        <v>1.8217000000000001</v>
      </c>
      <c r="F318" s="163">
        <v>1.0538000000000001</v>
      </c>
      <c r="G318" s="163">
        <v>4.6100000000000002E-2</v>
      </c>
      <c r="H318" s="163">
        <v>0.54779999999999995</v>
      </c>
      <c r="I318" s="163">
        <v>0.49399999999999999</v>
      </c>
      <c r="J318" s="163">
        <v>6.8999999999999999E-3</v>
      </c>
      <c r="K318" s="163">
        <v>2.1486000000000001</v>
      </c>
      <c r="L318" s="163">
        <v>1.0948</v>
      </c>
      <c r="M318" s="164">
        <v>2.016</v>
      </c>
      <c r="O318" s="180"/>
      <c r="P318" s="180"/>
      <c r="Q318" s="180"/>
      <c r="R318" s="180"/>
      <c r="S318" s="180"/>
      <c r="T318" s="180"/>
      <c r="U318" s="180"/>
      <c r="V318" s="180"/>
      <c r="W318" s="180"/>
      <c r="X318" s="180"/>
      <c r="Y318" s="180"/>
      <c r="Z318" s="180"/>
      <c r="AA318" s="180"/>
    </row>
    <row r="319" spans="1:31" ht="15.5">
      <c r="A319" s="184" t="s">
        <v>578</v>
      </c>
      <c r="B319" s="163">
        <v>4.4292999999999996</v>
      </c>
      <c r="C319" s="163">
        <v>0.33379999999999999</v>
      </c>
      <c r="D319" s="163">
        <v>2.0500000000000001E-2</v>
      </c>
      <c r="E319" s="163">
        <v>2.0413999999999999</v>
      </c>
      <c r="F319" s="163">
        <v>0.98070000000000002</v>
      </c>
      <c r="G319" s="163">
        <v>3.6999999999999998E-2</v>
      </c>
      <c r="H319" s="163">
        <v>0.50029999999999997</v>
      </c>
      <c r="I319" s="163">
        <v>0.50729999999999997</v>
      </c>
      <c r="J319" s="163">
        <v>8.3000000000000001E-3</v>
      </c>
      <c r="K319" s="163">
        <v>2.0337000000000001</v>
      </c>
      <c r="L319" s="163">
        <v>1.0528999999999999</v>
      </c>
      <c r="M319" s="164">
        <v>2.3957000000000002</v>
      </c>
      <c r="N319" s="120"/>
      <c r="O319" s="180"/>
      <c r="P319" s="180"/>
      <c r="Q319" s="180"/>
      <c r="R319" s="180"/>
      <c r="S319" s="180"/>
      <c r="T319" s="180"/>
      <c r="U319" s="180"/>
      <c r="V319" s="180"/>
      <c r="W319" s="180"/>
      <c r="X319" s="180"/>
      <c r="Y319" s="180"/>
      <c r="Z319" s="180"/>
      <c r="AA319" s="180"/>
    </row>
    <row r="320" spans="1:31" ht="15.5">
      <c r="A320" s="184" t="s">
        <v>579</v>
      </c>
      <c r="B320" s="163">
        <v>3.5114000000000001</v>
      </c>
      <c r="C320" s="163">
        <v>0.1714</v>
      </c>
      <c r="D320" s="163">
        <v>1.2699999999999999E-2</v>
      </c>
      <c r="E320" s="163">
        <v>1.4634</v>
      </c>
      <c r="F320" s="163">
        <v>0.74950000000000006</v>
      </c>
      <c r="G320" s="163">
        <v>2.9700000000000001E-2</v>
      </c>
      <c r="H320" s="163">
        <v>0.60609999999999997</v>
      </c>
      <c r="I320" s="163">
        <v>0.46179999999999999</v>
      </c>
      <c r="J320" s="163">
        <v>1.6799999999999999E-2</v>
      </c>
      <c r="K320" s="163">
        <v>1.8638999999999999</v>
      </c>
      <c r="L320" s="163">
        <v>1.1144000000000001</v>
      </c>
      <c r="M320" s="164">
        <v>1.6475</v>
      </c>
      <c r="N320" s="120"/>
      <c r="O320" s="180"/>
      <c r="P320" s="180"/>
      <c r="Q320" s="180"/>
      <c r="R320" s="180"/>
      <c r="S320" s="180"/>
      <c r="T320" s="180"/>
      <c r="U320" s="180"/>
      <c r="V320" s="180"/>
      <c r="W320" s="180"/>
      <c r="X320" s="180"/>
      <c r="Y320" s="180"/>
      <c r="Z320" s="180"/>
      <c r="AA320" s="180"/>
    </row>
    <row r="321" spans="1:27" ht="15.5">
      <c r="A321" s="184" t="s">
        <v>580</v>
      </c>
      <c r="B321" s="163">
        <v>3.7242000000000002</v>
      </c>
      <c r="C321" s="163">
        <v>9.6000000000000002E-2</v>
      </c>
      <c r="D321" s="163">
        <v>1.17E-2</v>
      </c>
      <c r="E321" s="163">
        <v>1.7088000000000001</v>
      </c>
      <c r="F321" s="163">
        <v>0.76229999999999998</v>
      </c>
      <c r="G321" s="163">
        <v>3.7100000000000001E-2</v>
      </c>
      <c r="H321" s="163">
        <v>0.50370000000000004</v>
      </c>
      <c r="I321" s="163">
        <v>0.57410000000000005</v>
      </c>
      <c r="J321" s="163">
        <v>3.0300000000000001E-2</v>
      </c>
      <c r="K321" s="163">
        <v>1.9076</v>
      </c>
      <c r="L321" s="163">
        <v>1.1452</v>
      </c>
      <c r="M321" s="164">
        <v>1.8166</v>
      </c>
      <c r="O321" s="180"/>
      <c r="P321" s="180"/>
      <c r="Q321" s="180"/>
      <c r="R321" s="180"/>
      <c r="S321" s="180"/>
      <c r="T321" s="180"/>
      <c r="U321" s="180"/>
      <c r="V321" s="180"/>
      <c r="W321" s="180"/>
      <c r="X321" s="180"/>
      <c r="Y321" s="180"/>
      <c r="Z321" s="180"/>
      <c r="AA321" s="180"/>
    </row>
    <row r="322" spans="1:27" ht="15.5">
      <c r="A322" s="184" t="s">
        <v>581</v>
      </c>
      <c r="B322" s="163">
        <v>3.5792000000000002</v>
      </c>
      <c r="C322" s="163">
        <v>7.5300000000000006E-2</v>
      </c>
      <c r="D322" s="163">
        <v>1.29E-2</v>
      </c>
      <c r="E322" s="163">
        <v>1.8698999999999999</v>
      </c>
      <c r="F322" s="163">
        <v>0.82030000000000003</v>
      </c>
      <c r="G322" s="163">
        <v>2.8799999999999999E-2</v>
      </c>
      <c r="H322" s="163">
        <v>0.28910000000000002</v>
      </c>
      <c r="I322" s="163">
        <v>0.4304</v>
      </c>
      <c r="J322" s="163">
        <v>5.2400000000000002E-2</v>
      </c>
      <c r="K322" s="163">
        <v>1.6211</v>
      </c>
      <c r="L322" s="163">
        <v>0.80079999999999996</v>
      </c>
      <c r="M322" s="164">
        <v>1.9581999999999999</v>
      </c>
      <c r="O322" s="180"/>
      <c r="P322" s="180"/>
      <c r="Q322" s="180"/>
      <c r="R322" s="180"/>
      <c r="S322" s="180"/>
      <c r="T322" s="180"/>
      <c r="U322" s="180"/>
      <c r="V322" s="180"/>
      <c r="W322" s="180"/>
      <c r="X322" s="180"/>
      <c r="Y322" s="180"/>
      <c r="Z322" s="180"/>
      <c r="AA322" s="180"/>
    </row>
    <row r="323" spans="1:27" ht="15.5">
      <c r="A323" s="184" t="s">
        <v>582</v>
      </c>
      <c r="B323" s="163">
        <v>3.4039999999999999</v>
      </c>
      <c r="C323" s="163">
        <v>6.7599999999999993E-2</v>
      </c>
      <c r="D323" s="163">
        <v>1.3299999999999999E-2</v>
      </c>
      <c r="E323" s="163">
        <v>1.6596</v>
      </c>
      <c r="F323" s="163">
        <v>0.78</v>
      </c>
      <c r="G323" s="163">
        <v>2.0899999999999998E-2</v>
      </c>
      <c r="H323" s="163">
        <v>0.33600000000000002</v>
      </c>
      <c r="I323" s="163">
        <v>0.47910000000000003</v>
      </c>
      <c r="J323" s="163">
        <v>4.7399999999999998E-2</v>
      </c>
      <c r="K323" s="163">
        <v>1.6635</v>
      </c>
      <c r="L323" s="163">
        <v>0.88349999999999995</v>
      </c>
      <c r="M323" s="164">
        <v>1.7404999999999999</v>
      </c>
      <c r="O323" s="180"/>
      <c r="P323" s="180"/>
      <c r="Q323" s="180"/>
      <c r="R323" s="180"/>
      <c r="S323" s="180"/>
      <c r="T323" s="180"/>
      <c r="U323" s="180"/>
      <c r="V323" s="180"/>
      <c r="W323" s="180"/>
      <c r="X323" s="180"/>
      <c r="Y323" s="180"/>
      <c r="Z323" s="180"/>
      <c r="AA323" s="180"/>
    </row>
    <row r="324" spans="1:27" ht="15.5">
      <c r="A324" s="184" t="s">
        <v>583</v>
      </c>
      <c r="B324" s="163">
        <v>3.1377999999999999</v>
      </c>
      <c r="C324" s="163">
        <v>6.4699999999999994E-2</v>
      </c>
      <c r="D324" s="163">
        <v>1.0800000000000001E-2</v>
      </c>
      <c r="E324" s="163">
        <v>1.3965000000000001</v>
      </c>
      <c r="F324" s="163">
        <v>0.87870000000000004</v>
      </c>
      <c r="G324" s="163">
        <v>1.09E-2</v>
      </c>
      <c r="H324" s="163">
        <v>0.25440000000000002</v>
      </c>
      <c r="I324" s="163">
        <v>0.47199999999999998</v>
      </c>
      <c r="J324" s="163">
        <v>4.99E-2</v>
      </c>
      <c r="K324" s="163">
        <v>1.6657999999999999</v>
      </c>
      <c r="L324" s="163">
        <v>0.78710000000000002</v>
      </c>
      <c r="M324" s="164">
        <v>1.472</v>
      </c>
      <c r="O324" s="180"/>
      <c r="P324" s="180"/>
      <c r="Q324" s="180"/>
      <c r="R324" s="180"/>
      <c r="S324" s="180"/>
      <c r="T324" s="180"/>
      <c r="U324" s="180"/>
      <c r="V324" s="180"/>
      <c r="W324" s="180"/>
      <c r="X324" s="180"/>
      <c r="Y324" s="180"/>
      <c r="Z324" s="180"/>
      <c r="AA324" s="180"/>
    </row>
    <row r="325" spans="1:27" ht="15.5">
      <c r="A325" s="184" t="s">
        <v>584</v>
      </c>
      <c r="B325" s="163">
        <v>3.2654000000000001</v>
      </c>
      <c r="C325" s="163">
        <v>0.15129999999999999</v>
      </c>
      <c r="D325" s="163">
        <v>1.2200000000000001E-2</v>
      </c>
      <c r="E325" s="163">
        <v>1.6111</v>
      </c>
      <c r="F325" s="163">
        <v>0.7601</v>
      </c>
      <c r="G325" s="163">
        <v>8.5000000000000006E-3</v>
      </c>
      <c r="H325" s="163">
        <v>0.1895</v>
      </c>
      <c r="I325" s="163">
        <v>0.48139999999999999</v>
      </c>
      <c r="J325" s="163">
        <v>5.1299999999999998E-2</v>
      </c>
      <c r="K325" s="163">
        <v>1.4907999999999999</v>
      </c>
      <c r="L325" s="163">
        <v>0.73070000000000002</v>
      </c>
      <c r="M325" s="164">
        <v>1.7746</v>
      </c>
      <c r="O325" s="180"/>
      <c r="P325" s="180"/>
      <c r="Q325" s="180"/>
      <c r="R325" s="180"/>
      <c r="S325" s="180"/>
      <c r="T325" s="180"/>
      <c r="U325" s="180"/>
      <c r="V325" s="180"/>
      <c r="W325" s="180"/>
      <c r="X325" s="180"/>
      <c r="Y325" s="180"/>
      <c r="Z325" s="180"/>
      <c r="AA325" s="180"/>
    </row>
    <row r="326" spans="1:27" ht="15.5">
      <c r="A326" s="185" t="s">
        <v>594</v>
      </c>
      <c r="B326" s="165">
        <v>3.0602999999999998</v>
      </c>
      <c r="C326" s="165">
        <v>0.1021</v>
      </c>
      <c r="D326" s="165">
        <v>1.4500000000000001E-2</v>
      </c>
      <c r="E326" s="165">
        <v>1.4200999999999999</v>
      </c>
      <c r="F326" s="165">
        <v>0.75470000000000004</v>
      </c>
      <c r="G326" s="165">
        <v>1.2E-2</v>
      </c>
      <c r="H326" s="165">
        <v>0.30580000000000002</v>
      </c>
      <c r="I326" s="165">
        <v>0.41160000000000002</v>
      </c>
      <c r="J326" s="165">
        <v>3.95E-2</v>
      </c>
      <c r="K326" s="165">
        <v>1.5235000000000001</v>
      </c>
      <c r="L326" s="165">
        <v>0.76880000000000004</v>
      </c>
      <c r="M326" s="164">
        <v>1.5367999999999999</v>
      </c>
      <c r="O326" s="180"/>
      <c r="P326" s="180"/>
      <c r="Q326" s="180"/>
      <c r="R326" s="180"/>
      <c r="S326" s="180"/>
      <c r="T326" s="180"/>
      <c r="U326" s="180"/>
      <c r="V326" s="180"/>
      <c r="W326" s="180"/>
      <c r="X326" s="180"/>
      <c r="Y326" s="180"/>
      <c r="Z326" s="180"/>
      <c r="AA326" s="180"/>
    </row>
    <row r="327" spans="1:27" ht="15.5">
      <c r="A327" s="185" t="s">
        <v>608</v>
      </c>
      <c r="B327" s="174">
        <v>3.2888000000000002</v>
      </c>
      <c r="C327" s="174">
        <v>0.13289999999999999</v>
      </c>
      <c r="D327" s="174">
        <v>1.43E-2</v>
      </c>
      <c r="E327" s="174">
        <v>1.6357999999999999</v>
      </c>
      <c r="F327" s="174">
        <v>0.80059999999999998</v>
      </c>
      <c r="G327" s="174">
        <v>1.09E-2</v>
      </c>
      <c r="H327" s="174">
        <v>0.29199999999999998</v>
      </c>
      <c r="I327" s="174">
        <v>0.36859999999999998</v>
      </c>
      <c r="J327" s="174">
        <v>3.3700000000000001E-2</v>
      </c>
      <c r="K327" s="174">
        <v>1.5058</v>
      </c>
      <c r="L327" s="174">
        <v>0.70520000000000005</v>
      </c>
      <c r="M327" s="175">
        <v>1.7829999999999999</v>
      </c>
      <c r="O327" s="180"/>
      <c r="P327" s="180"/>
      <c r="Q327" s="180"/>
      <c r="R327" s="180"/>
      <c r="S327" s="180"/>
      <c r="T327" s="180"/>
      <c r="U327" s="180"/>
      <c r="V327" s="180"/>
      <c r="W327" s="180"/>
      <c r="X327" s="180"/>
      <c r="Y327" s="180"/>
      <c r="Z327" s="180"/>
      <c r="AA327" s="180"/>
    </row>
    <row r="328" spans="1:27" ht="15.5">
      <c r="A328" s="220" t="s">
        <v>609</v>
      </c>
      <c r="B328" s="174">
        <v>3.3401000000000001</v>
      </c>
      <c r="C328" s="174">
        <v>8.2799999999999999E-2</v>
      </c>
      <c r="D328" s="174">
        <v>1.46E-2</v>
      </c>
      <c r="E328" s="174">
        <v>1.3415999999999999</v>
      </c>
      <c r="F328" s="174">
        <v>0.76500000000000001</v>
      </c>
      <c r="G328" s="174">
        <v>3.9300000000000002E-2</v>
      </c>
      <c r="H328" s="174">
        <v>0.58819999999999995</v>
      </c>
      <c r="I328" s="174">
        <v>0.4864</v>
      </c>
      <c r="J328" s="174">
        <v>2.2200000000000001E-2</v>
      </c>
      <c r="K328" s="174">
        <v>1.9012</v>
      </c>
      <c r="L328" s="174">
        <v>1.1362000000000001</v>
      </c>
      <c r="M328" s="175">
        <v>1.4389000000000001</v>
      </c>
      <c r="O328" s="180"/>
      <c r="P328" s="180"/>
      <c r="Q328" s="180"/>
      <c r="R328" s="180"/>
      <c r="S328" s="180"/>
      <c r="T328" s="180"/>
      <c r="U328" s="180"/>
      <c r="V328" s="180"/>
      <c r="W328" s="180"/>
      <c r="X328" s="180"/>
      <c r="Y328" s="180"/>
      <c r="Z328" s="180"/>
      <c r="AA328" s="180"/>
    </row>
    <row r="329" spans="1:27" ht="15.5">
      <c r="A329" s="220" t="s">
        <v>610</v>
      </c>
      <c r="B329" s="174">
        <v>3.9274</v>
      </c>
      <c r="C329" s="174">
        <v>0.1885</v>
      </c>
      <c r="D329" s="174">
        <v>1.5900000000000001E-2</v>
      </c>
      <c r="E329" s="174">
        <v>1.6904999999999999</v>
      </c>
      <c r="F329" s="174">
        <v>0.92369999999999997</v>
      </c>
      <c r="G329" s="174">
        <v>4.5600000000000002E-2</v>
      </c>
      <c r="H329" s="174">
        <v>0.53779999999999994</v>
      </c>
      <c r="I329" s="174">
        <v>0.51280000000000003</v>
      </c>
      <c r="J329" s="174">
        <v>1.2699999999999999E-2</v>
      </c>
      <c r="K329" s="174">
        <v>2.0326</v>
      </c>
      <c r="L329" s="174">
        <v>1.1089</v>
      </c>
      <c r="M329" s="175">
        <v>1.8949</v>
      </c>
      <c r="O329" s="180"/>
      <c r="P329" s="180"/>
      <c r="Q329" s="180"/>
      <c r="R329" s="180"/>
      <c r="S329" s="180"/>
      <c r="T329" s="180"/>
      <c r="U329" s="180"/>
      <c r="V329" s="180"/>
      <c r="W329" s="180"/>
      <c r="X329" s="180"/>
      <c r="Y329" s="180"/>
      <c r="Z329" s="180"/>
      <c r="AA329" s="180"/>
    </row>
    <row r="330" spans="1:27" ht="15.5">
      <c r="A330" s="220" t="s">
        <v>612</v>
      </c>
      <c r="B330" s="174">
        <v>4.1307</v>
      </c>
      <c r="C330" s="174">
        <v>0.1971</v>
      </c>
      <c r="D330" s="174">
        <v>2.1999999999999999E-2</v>
      </c>
      <c r="E330" s="174">
        <v>1.8015000000000001</v>
      </c>
      <c r="F330" s="174">
        <v>0.97019999999999995</v>
      </c>
      <c r="G330" s="174">
        <v>4.0599999999999997E-2</v>
      </c>
      <c r="H330" s="174">
        <v>0.5393</v>
      </c>
      <c r="I330" s="174">
        <v>0.5544</v>
      </c>
      <c r="J330" s="174">
        <v>5.7000000000000002E-3</v>
      </c>
      <c r="K330" s="174">
        <v>2.1101999999999999</v>
      </c>
      <c r="L330" s="174">
        <v>1.1398999999999999</v>
      </c>
      <c r="M330" s="175">
        <v>2.0205000000000002</v>
      </c>
      <c r="O330" s="180"/>
      <c r="P330" s="180"/>
      <c r="Q330" s="180"/>
      <c r="R330" s="180"/>
      <c r="S330" s="180"/>
      <c r="T330" s="180"/>
      <c r="U330" s="180"/>
      <c r="V330" s="180"/>
      <c r="W330" s="180"/>
      <c r="X330" s="180"/>
      <c r="Y330" s="180"/>
      <c r="Z330" s="180"/>
      <c r="AA330" s="180"/>
    </row>
    <row r="331" spans="1:27" ht="15.5">
      <c r="A331" s="220" t="s">
        <v>613</v>
      </c>
      <c r="B331" s="174">
        <v>4.1977000000000002</v>
      </c>
      <c r="C331" s="174">
        <v>0.18060000000000001</v>
      </c>
      <c r="D331" s="174">
        <v>2.12E-2</v>
      </c>
      <c r="E331" s="174">
        <v>1.8749</v>
      </c>
      <c r="F331" s="174">
        <v>0.94030000000000002</v>
      </c>
      <c r="G331" s="174">
        <v>3.7100000000000001E-2</v>
      </c>
      <c r="H331" s="174">
        <v>0.61070000000000002</v>
      </c>
      <c r="I331" s="174">
        <v>0.52149999999999996</v>
      </c>
      <c r="J331" s="174">
        <v>1.1299999999999999E-2</v>
      </c>
      <c r="K331" s="174">
        <v>2.121</v>
      </c>
      <c r="L331" s="174">
        <v>1.1807000000000001</v>
      </c>
      <c r="M331" s="175">
        <v>2.0767000000000002</v>
      </c>
      <c r="O331" s="180"/>
      <c r="P331" s="180"/>
      <c r="Q331" s="180"/>
      <c r="R331" s="180"/>
      <c r="S331" s="180"/>
      <c r="T331" s="180"/>
      <c r="U331" s="180"/>
      <c r="V331" s="180"/>
      <c r="W331" s="180"/>
      <c r="X331" s="180"/>
      <c r="Y331" s="180"/>
      <c r="Z331" s="180"/>
      <c r="AA331" s="180"/>
    </row>
    <row r="332" spans="1:27" ht="15.5">
      <c r="A332" s="220" t="s">
        <v>614</v>
      </c>
      <c r="B332" s="174">
        <v>3.2321</v>
      </c>
      <c r="C332" s="174">
        <v>0.20480000000000001</v>
      </c>
      <c r="D332" s="174">
        <v>1.84E-2</v>
      </c>
      <c r="E332" s="174">
        <v>0.93489999999999995</v>
      </c>
      <c r="F332" s="174">
        <v>0.79010000000000002</v>
      </c>
      <c r="G332" s="174">
        <v>4.6399999999999997E-2</v>
      </c>
      <c r="H332" s="174">
        <v>0.78400000000000003</v>
      </c>
      <c r="I332" s="174">
        <v>0.43540000000000001</v>
      </c>
      <c r="J332" s="174">
        <v>1.8200000000000001E-2</v>
      </c>
      <c r="K332" s="174">
        <v>2.0741000000000001</v>
      </c>
      <c r="L332" s="174">
        <v>1.284</v>
      </c>
      <c r="M332" s="175">
        <v>1.1579999999999999</v>
      </c>
      <c r="O332" s="180"/>
      <c r="P332" s="180"/>
      <c r="Q332" s="180"/>
      <c r="R332" s="180"/>
      <c r="S332" s="180"/>
      <c r="T332" s="180"/>
      <c r="U332" s="180"/>
      <c r="V332" s="180"/>
      <c r="W332" s="180"/>
      <c r="X332" s="180"/>
      <c r="Y332" s="180"/>
      <c r="Z332" s="180"/>
      <c r="AA332" s="180"/>
    </row>
    <row r="333" spans="1:27" ht="15.5">
      <c r="A333" s="220" t="s">
        <v>616</v>
      </c>
      <c r="B333" s="174">
        <v>3.7761999999999998</v>
      </c>
      <c r="C333" s="174">
        <v>0.21679999999999999</v>
      </c>
      <c r="D333" s="174">
        <v>2.4E-2</v>
      </c>
      <c r="E333" s="174">
        <v>1.5876999999999999</v>
      </c>
      <c r="F333" s="174">
        <v>0.96870000000000001</v>
      </c>
      <c r="G333" s="174">
        <v>3.3700000000000001E-2</v>
      </c>
      <c r="H333" s="174">
        <v>0.46139999999999998</v>
      </c>
      <c r="I333" s="174">
        <v>0.44579999999999997</v>
      </c>
      <c r="J333" s="174">
        <v>3.7900000000000003E-2</v>
      </c>
      <c r="K333" s="174">
        <v>1.9476</v>
      </c>
      <c r="L333" s="174">
        <v>0.9788</v>
      </c>
      <c r="M333" s="175">
        <v>1.8286</v>
      </c>
      <c r="O333" s="180"/>
      <c r="P333" s="180"/>
      <c r="Q333" s="180"/>
      <c r="R333" s="180"/>
      <c r="S333" s="180"/>
      <c r="T333" s="180"/>
      <c r="U333" s="180"/>
      <c r="V333" s="180"/>
      <c r="W333" s="180"/>
      <c r="X333" s="180"/>
      <c r="Y333" s="180"/>
      <c r="Z333" s="180"/>
      <c r="AA333" s="180"/>
    </row>
    <row r="334" spans="1:27" ht="15.5">
      <c r="A334" s="220" t="s">
        <v>617</v>
      </c>
      <c r="B334" s="174">
        <v>3.532</v>
      </c>
      <c r="C334" s="174">
        <v>7.3300000000000004E-2</v>
      </c>
      <c r="D334" s="174">
        <v>1.44E-2</v>
      </c>
      <c r="E334" s="174">
        <v>1.6696</v>
      </c>
      <c r="F334" s="174">
        <v>0.90359999999999996</v>
      </c>
      <c r="G334" s="174">
        <v>1.9099999999999999E-2</v>
      </c>
      <c r="H334" s="174">
        <v>0.42980000000000002</v>
      </c>
      <c r="I334" s="174">
        <v>0.3745</v>
      </c>
      <c r="J334" s="174">
        <v>4.7600000000000003E-2</v>
      </c>
      <c r="K334" s="174">
        <v>1.7746</v>
      </c>
      <c r="L334" s="174">
        <v>0.871</v>
      </c>
      <c r="M334" s="175">
        <v>1.7573000000000001</v>
      </c>
      <c r="O334" s="180"/>
      <c r="P334" s="180"/>
      <c r="Q334" s="180"/>
      <c r="R334" s="180"/>
      <c r="S334" s="180"/>
      <c r="T334" s="180"/>
      <c r="U334" s="180"/>
      <c r="V334" s="180"/>
      <c r="W334" s="180"/>
      <c r="X334" s="180"/>
      <c r="Y334" s="180"/>
      <c r="Z334" s="180"/>
      <c r="AA334" s="180"/>
    </row>
    <row r="335" spans="1:27" ht="15.5">
      <c r="A335" s="220" t="s">
        <v>619</v>
      </c>
      <c r="B335" s="174">
        <v>3.5935999999999999</v>
      </c>
      <c r="C335" s="174">
        <v>1.03E-2</v>
      </c>
      <c r="D335" s="174">
        <v>1.04E-2</v>
      </c>
      <c r="E335" s="174">
        <v>1.8097000000000001</v>
      </c>
      <c r="F335" s="174">
        <v>0.9355</v>
      </c>
      <c r="G335" s="174">
        <v>2.18E-2</v>
      </c>
      <c r="H335" s="174">
        <v>0.4486</v>
      </c>
      <c r="I335" s="174">
        <v>0.30649999999999999</v>
      </c>
      <c r="J335" s="174">
        <v>5.0799999999999998E-2</v>
      </c>
      <c r="K335" s="174">
        <v>1.7632000000000001</v>
      </c>
      <c r="L335" s="174">
        <v>0.82769999999999999</v>
      </c>
      <c r="M335" s="175">
        <v>1.8304</v>
      </c>
      <c r="O335" s="180"/>
      <c r="P335" s="180"/>
      <c r="Q335" s="180"/>
      <c r="R335" s="180"/>
      <c r="S335" s="180"/>
      <c r="T335" s="180"/>
      <c r="U335" s="180"/>
      <c r="V335" s="180"/>
      <c r="W335" s="180"/>
      <c r="X335" s="180"/>
      <c r="Y335" s="180"/>
      <c r="Z335" s="180"/>
      <c r="AA335" s="180"/>
    </row>
    <row r="336" spans="1:27" ht="15.5">
      <c r="A336" s="220" t="s">
        <v>633</v>
      </c>
      <c r="B336" s="174">
        <v>3.4571000000000001</v>
      </c>
      <c r="C336" s="174">
        <v>3.8300000000000001E-2</v>
      </c>
      <c r="D336" s="174">
        <v>5.1000000000000004E-3</v>
      </c>
      <c r="E336" s="174">
        <v>1.6617999999999999</v>
      </c>
      <c r="F336" s="174">
        <v>0.95299999999999996</v>
      </c>
      <c r="G336" s="174">
        <v>1.77E-2</v>
      </c>
      <c r="H336" s="174">
        <v>0.36959999999999998</v>
      </c>
      <c r="I336" s="174">
        <v>0.35709999999999997</v>
      </c>
      <c r="J336" s="174">
        <v>5.4699999999999999E-2</v>
      </c>
      <c r="K336" s="174">
        <v>1.752</v>
      </c>
      <c r="L336" s="174">
        <v>0.79900000000000004</v>
      </c>
      <c r="M336" s="175">
        <v>1.7052</v>
      </c>
      <c r="O336" s="180"/>
      <c r="P336" s="180"/>
      <c r="Q336" s="180"/>
      <c r="R336" s="180"/>
      <c r="S336" s="180"/>
      <c r="T336" s="180"/>
      <c r="U336" s="180"/>
      <c r="V336" s="180"/>
      <c r="W336" s="180"/>
      <c r="X336" s="180"/>
      <c r="Y336" s="180"/>
      <c r="Z336" s="180"/>
      <c r="AA336" s="180"/>
    </row>
    <row r="337" spans="1:27" ht="15.5">
      <c r="A337" s="220" t="s">
        <v>634</v>
      </c>
      <c r="B337" s="174">
        <v>3.6002999999999998</v>
      </c>
      <c r="C337" s="174">
        <v>0.10879999999999999</v>
      </c>
      <c r="D337" s="174">
        <v>1.37E-2</v>
      </c>
      <c r="E337" s="174">
        <v>1.8281000000000001</v>
      </c>
      <c r="F337" s="174">
        <v>0.81799999999999995</v>
      </c>
      <c r="G337" s="174">
        <v>1.7399999999999999E-2</v>
      </c>
      <c r="H337" s="174">
        <v>0.33900000000000002</v>
      </c>
      <c r="I337" s="174">
        <v>0.42109999999999997</v>
      </c>
      <c r="J337" s="174">
        <v>5.4199999999999998E-2</v>
      </c>
      <c r="K337" s="174">
        <v>1.6496999999999999</v>
      </c>
      <c r="L337" s="174">
        <v>0.83169999999999999</v>
      </c>
      <c r="M337" s="175">
        <v>1.9505999999999999</v>
      </c>
      <c r="O337" s="180"/>
      <c r="P337" s="180"/>
      <c r="Q337" s="180"/>
      <c r="R337" s="180"/>
      <c r="S337" s="180"/>
      <c r="T337" s="180"/>
      <c r="U337" s="180"/>
      <c r="V337" s="180"/>
      <c r="W337" s="180"/>
      <c r="X337" s="180"/>
      <c r="Y337" s="180"/>
      <c r="Z337" s="180"/>
      <c r="AA337" s="180"/>
    </row>
    <row r="338" spans="1:27" ht="15.5">
      <c r="A338" s="220" t="s">
        <v>635</v>
      </c>
      <c r="B338" s="174">
        <v>3.6214</v>
      </c>
      <c r="C338" s="174">
        <v>7.8899999999999998E-2</v>
      </c>
      <c r="D338" s="174">
        <v>1.9599999999999999E-2</v>
      </c>
      <c r="E338" s="174">
        <v>1.9726999999999999</v>
      </c>
      <c r="F338" s="174">
        <v>0.77070000000000005</v>
      </c>
      <c r="G338" s="174">
        <v>1.34E-2</v>
      </c>
      <c r="H338" s="174">
        <v>0.27260000000000001</v>
      </c>
      <c r="I338" s="174">
        <v>0.4415</v>
      </c>
      <c r="J338" s="174">
        <v>5.2200000000000003E-2</v>
      </c>
      <c r="K338" s="174">
        <v>1.5503</v>
      </c>
      <c r="L338" s="174">
        <v>0.77959999999999996</v>
      </c>
      <c r="M338" s="175">
        <v>2.0712000000000002</v>
      </c>
      <c r="O338" s="180"/>
      <c r="P338" s="180"/>
      <c r="Q338" s="180"/>
      <c r="R338" s="180"/>
      <c r="S338" s="180"/>
      <c r="T338" s="180"/>
      <c r="U338" s="180"/>
      <c r="V338" s="180"/>
      <c r="W338" s="180"/>
      <c r="X338" s="180"/>
      <c r="Y338" s="180"/>
      <c r="Z338" s="180"/>
      <c r="AA338" s="180"/>
    </row>
    <row r="339" spans="1:27" ht="15.5">
      <c r="A339" s="220" t="s">
        <v>637</v>
      </c>
      <c r="B339" s="174">
        <v>3.653</v>
      </c>
      <c r="C339" s="174">
        <v>0.16969999999999999</v>
      </c>
      <c r="D339" s="174">
        <v>1.2699999999999999E-2</v>
      </c>
      <c r="E339" s="174">
        <v>1.804</v>
      </c>
      <c r="F339" s="174">
        <v>0.75529999999999997</v>
      </c>
      <c r="G339" s="174">
        <v>1.2E-2</v>
      </c>
      <c r="H339" s="174">
        <v>0.42780000000000001</v>
      </c>
      <c r="I339" s="174">
        <v>0.43769999999999998</v>
      </c>
      <c r="J339" s="174">
        <v>3.39E-2</v>
      </c>
      <c r="K339" s="174">
        <v>1.6666000000000001</v>
      </c>
      <c r="L339" s="174">
        <v>0.91139999999999999</v>
      </c>
      <c r="M339" s="175">
        <v>1.9863</v>
      </c>
      <c r="O339" s="180"/>
      <c r="P339" s="180"/>
      <c r="Q339" s="180"/>
      <c r="R339" s="180"/>
      <c r="S339" s="180"/>
      <c r="T339" s="180"/>
      <c r="U339" s="180"/>
      <c r="V339" s="180"/>
      <c r="W339" s="180"/>
      <c r="X339" s="180"/>
      <c r="Y339" s="180"/>
      <c r="Z339" s="180"/>
      <c r="AA339" s="180"/>
    </row>
    <row r="340" spans="1:27" ht="15.5">
      <c r="A340" s="220" t="s">
        <v>638</v>
      </c>
      <c r="B340" s="174">
        <v>3.4632999999999998</v>
      </c>
      <c r="C340" s="174">
        <v>4.3999999999999997E-2</v>
      </c>
      <c r="D340" s="174">
        <v>1.5900000000000001E-2</v>
      </c>
      <c r="E340" s="174">
        <v>1.5754999999999999</v>
      </c>
      <c r="F340" s="174">
        <v>0.76800000000000002</v>
      </c>
      <c r="G340" s="174">
        <v>3.8899999999999997E-2</v>
      </c>
      <c r="H340" s="174">
        <v>0.69640000000000002</v>
      </c>
      <c r="I340" s="174">
        <v>0.29699999999999999</v>
      </c>
      <c r="J340" s="174">
        <v>2.76E-2</v>
      </c>
      <c r="K340" s="174">
        <v>1.8279000000000001</v>
      </c>
      <c r="L340" s="174">
        <v>1.0599000000000001</v>
      </c>
      <c r="M340" s="175">
        <v>1.6354</v>
      </c>
      <c r="N340" s="190"/>
      <c r="O340" s="180"/>
      <c r="P340" s="180"/>
      <c r="Q340" s="180"/>
      <c r="R340" s="180"/>
      <c r="S340" s="180"/>
      <c r="T340" s="180"/>
      <c r="U340" s="180"/>
      <c r="V340" s="180"/>
      <c r="W340" s="180"/>
      <c r="X340" s="180"/>
      <c r="Y340" s="180"/>
      <c r="Z340" s="180"/>
      <c r="AA340" s="180"/>
    </row>
    <row r="341" spans="1:27" ht="15.5">
      <c r="A341" s="220" t="s">
        <v>639</v>
      </c>
      <c r="B341" s="174">
        <v>3.6867000000000001</v>
      </c>
      <c r="C341" s="174">
        <v>6.4199999999999993E-2</v>
      </c>
      <c r="D341" s="174">
        <v>1.78E-2</v>
      </c>
      <c r="E341" s="174">
        <v>1.7331000000000001</v>
      </c>
      <c r="F341" s="174">
        <v>0.73919999999999997</v>
      </c>
      <c r="G341" s="174">
        <v>4.82E-2</v>
      </c>
      <c r="H341" s="174">
        <v>0.68479999999999996</v>
      </c>
      <c r="I341" s="174">
        <v>0.38819999999999999</v>
      </c>
      <c r="J341" s="174">
        <v>1.1299999999999999E-2</v>
      </c>
      <c r="K341" s="174">
        <v>1.8716999999999999</v>
      </c>
      <c r="L341" s="174">
        <v>1.1325000000000001</v>
      </c>
      <c r="M341" s="175">
        <v>1.8150999999999999</v>
      </c>
      <c r="N341" s="122"/>
      <c r="O341" s="180"/>
      <c r="P341" s="180"/>
      <c r="Q341" s="180"/>
      <c r="R341" s="180"/>
      <c r="S341" s="180"/>
      <c r="T341" s="180"/>
      <c r="U341" s="180"/>
      <c r="V341" s="180"/>
      <c r="W341" s="180"/>
      <c r="X341" s="180"/>
      <c r="Y341" s="180"/>
      <c r="Z341" s="180"/>
      <c r="AA341" s="180"/>
    </row>
    <row r="342" spans="1:27" ht="15.5">
      <c r="A342" s="220" t="s">
        <v>653</v>
      </c>
      <c r="B342" s="174">
        <v>3.9445000000000001</v>
      </c>
      <c r="C342" s="174">
        <v>0.20039999999999999</v>
      </c>
      <c r="D342" s="174">
        <v>2.0500000000000001E-2</v>
      </c>
      <c r="E342" s="174">
        <v>1.6935</v>
      </c>
      <c r="F342" s="174">
        <v>0.94540000000000002</v>
      </c>
      <c r="G342" s="174">
        <v>3.09E-2</v>
      </c>
      <c r="H342" s="174">
        <v>0.6341</v>
      </c>
      <c r="I342" s="174">
        <v>0.41210000000000002</v>
      </c>
      <c r="J342" s="174">
        <v>7.4999999999999997E-3</v>
      </c>
      <c r="K342" s="174">
        <v>2.0301999999999998</v>
      </c>
      <c r="L342" s="174">
        <v>1.0847</v>
      </c>
      <c r="M342" s="175">
        <v>1.9144000000000001</v>
      </c>
      <c r="O342" s="180"/>
      <c r="P342" s="180"/>
      <c r="Q342" s="180"/>
      <c r="R342" s="180"/>
      <c r="S342" s="180"/>
      <c r="T342" s="180"/>
      <c r="U342" s="180"/>
      <c r="V342" s="180"/>
      <c r="W342" s="180"/>
      <c r="X342" s="180"/>
      <c r="Y342" s="180"/>
      <c r="Z342" s="180"/>
      <c r="AA342" s="180"/>
    </row>
    <row r="343" spans="1:27" ht="15.5">
      <c r="A343" s="220" t="s">
        <v>654</v>
      </c>
      <c r="B343" s="174">
        <v>3.6177000000000001</v>
      </c>
      <c r="C343" s="174">
        <v>0.14779999999999999</v>
      </c>
      <c r="D343" s="174">
        <v>1.67E-2</v>
      </c>
      <c r="E343" s="174">
        <v>1.3429</v>
      </c>
      <c r="F343" s="174">
        <v>0.85960000000000003</v>
      </c>
      <c r="G343" s="174">
        <v>4.82E-2</v>
      </c>
      <c r="H343" s="174">
        <v>0.79310000000000003</v>
      </c>
      <c r="I343" s="174">
        <v>0.39779999999999999</v>
      </c>
      <c r="J343" s="174">
        <v>1.1599999999999999E-2</v>
      </c>
      <c r="K343" s="174">
        <v>2.1103000000000001</v>
      </c>
      <c r="L343" s="174">
        <v>1.2506999999999999</v>
      </c>
      <c r="M343" s="175">
        <v>1.5074000000000001</v>
      </c>
      <c r="O343" s="180"/>
      <c r="P343" s="180"/>
      <c r="Q343" s="180"/>
      <c r="R343" s="180"/>
      <c r="S343" s="180"/>
      <c r="T343" s="180"/>
      <c r="U343" s="180"/>
      <c r="V343" s="180"/>
      <c r="W343" s="180"/>
      <c r="X343" s="180"/>
      <c r="Y343" s="180"/>
      <c r="Z343" s="180"/>
      <c r="AA343" s="180"/>
    </row>
    <row r="344" spans="1:27" ht="15.5">
      <c r="A344" s="220" t="s">
        <v>655</v>
      </c>
      <c r="B344" s="174">
        <v>3.0720000000000001</v>
      </c>
      <c r="C344" s="174">
        <v>0.1032</v>
      </c>
      <c r="D344" s="174">
        <v>1.3899999999999999E-2</v>
      </c>
      <c r="E344" s="174">
        <v>1.3791</v>
      </c>
      <c r="F344" s="174">
        <v>0.54930000000000001</v>
      </c>
      <c r="G344" s="174">
        <v>3.5799999999999998E-2</v>
      </c>
      <c r="H344" s="174">
        <v>0.57299999999999995</v>
      </c>
      <c r="I344" s="174">
        <v>0.39850000000000002</v>
      </c>
      <c r="J344" s="174">
        <v>1.9199999999999998E-2</v>
      </c>
      <c r="K344" s="174">
        <v>1.5759000000000001</v>
      </c>
      <c r="L344" s="174">
        <v>1.0266</v>
      </c>
      <c r="M344" s="175">
        <v>1.4961</v>
      </c>
      <c r="O344" s="180"/>
      <c r="P344" s="180"/>
      <c r="Q344" s="180"/>
      <c r="R344" s="180"/>
      <c r="S344" s="180"/>
      <c r="T344" s="180"/>
      <c r="U344" s="180"/>
      <c r="V344" s="180"/>
      <c r="W344" s="180"/>
      <c r="X344" s="180"/>
      <c r="Y344" s="180"/>
      <c r="Z344" s="180"/>
      <c r="AA344" s="180"/>
    </row>
    <row r="345" spans="1:27" ht="15.5">
      <c r="A345" s="220" t="s">
        <v>658</v>
      </c>
      <c r="B345" s="174">
        <v>3.2686000000000002</v>
      </c>
      <c r="C345" s="174">
        <v>4.4200000000000003E-2</v>
      </c>
      <c r="D345" s="174">
        <v>1.3599999999999999E-2</v>
      </c>
      <c r="E345" s="174">
        <v>1.4631000000000001</v>
      </c>
      <c r="F345" s="174">
        <v>0.7046</v>
      </c>
      <c r="G345" s="174">
        <v>2.4799999999999999E-2</v>
      </c>
      <c r="H345" s="174">
        <v>0.59399999999999997</v>
      </c>
      <c r="I345" s="174">
        <v>0.39829999999999999</v>
      </c>
      <c r="J345" s="174">
        <v>2.6100000000000002E-2</v>
      </c>
      <c r="K345" s="174">
        <v>1.7477</v>
      </c>
      <c r="L345" s="174">
        <v>1.0430999999999999</v>
      </c>
      <c r="M345" s="175">
        <v>1.5208999999999999</v>
      </c>
      <c r="O345" s="180"/>
      <c r="P345" s="180"/>
      <c r="Q345" s="180"/>
      <c r="R345" s="180"/>
      <c r="S345" s="180"/>
      <c r="T345" s="180"/>
      <c r="U345" s="180"/>
      <c r="V345" s="180"/>
      <c r="W345" s="180"/>
      <c r="X345" s="180"/>
      <c r="Y345" s="180"/>
      <c r="Z345" s="180"/>
      <c r="AA345" s="180"/>
    </row>
    <row r="346" spans="1:27" ht="15.5">
      <c r="A346" s="220" t="s">
        <v>662</v>
      </c>
      <c r="B346" s="174">
        <v>2.9857</v>
      </c>
      <c r="C346" s="174">
        <v>1.9599999999999999E-2</v>
      </c>
      <c r="D346" s="174">
        <v>9.9000000000000008E-3</v>
      </c>
      <c r="E346" s="174">
        <v>1.3832</v>
      </c>
      <c r="F346" s="174">
        <v>0.70189999999999997</v>
      </c>
      <c r="G346" s="174">
        <v>2.0799999999999999E-2</v>
      </c>
      <c r="H346" s="174">
        <v>0.42909999999999998</v>
      </c>
      <c r="I346" s="174">
        <v>0.37759999999999999</v>
      </c>
      <c r="J346" s="174">
        <v>4.3700000000000003E-2</v>
      </c>
      <c r="K346" s="174">
        <v>1.573</v>
      </c>
      <c r="L346" s="174">
        <v>0.87119999999999997</v>
      </c>
      <c r="M346" s="175">
        <v>1.4127000000000001</v>
      </c>
      <c r="O346" s="180"/>
      <c r="P346" s="180"/>
      <c r="Q346" s="180"/>
      <c r="R346" s="180"/>
      <c r="S346" s="180"/>
      <c r="T346" s="180"/>
      <c r="U346" s="180"/>
      <c r="V346" s="180"/>
      <c r="W346" s="180"/>
      <c r="X346" s="180"/>
      <c r="Y346" s="180"/>
      <c r="Z346" s="180"/>
      <c r="AA346" s="180"/>
    </row>
    <row r="347" spans="1:27" ht="15.5">
      <c r="A347" s="220" t="s">
        <v>663</v>
      </c>
      <c r="B347" s="174">
        <v>2.6993</v>
      </c>
      <c r="C347" s="174">
        <v>2.07E-2</v>
      </c>
      <c r="D347" s="174">
        <v>8.3000000000000001E-3</v>
      </c>
      <c r="E347" s="174">
        <v>1.3068</v>
      </c>
      <c r="F347" s="174">
        <v>0.72130000000000005</v>
      </c>
      <c r="G347" s="174">
        <v>9.2999999999999992E-3</v>
      </c>
      <c r="H347" s="174">
        <v>0.3226</v>
      </c>
      <c r="I347" s="174">
        <v>0.25230000000000002</v>
      </c>
      <c r="J347" s="174">
        <v>5.8099999999999999E-2</v>
      </c>
      <c r="K347" s="174">
        <v>1.3634999999999999</v>
      </c>
      <c r="L347" s="174">
        <v>0.64219999999999999</v>
      </c>
      <c r="M347" s="175">
        <v>1.3358000000000001</v>
      </c>
      <c r="O347" s="180"/>
      <c r="P347" s="180"/>
      <c r="Q347" s="180"/>
      <c r="R347" s="180"/>
      <c r="S347" s="180"/>
      <c r="T347" s="180"/>
      <c r="U347" s="180"/>
      <c r="V347" s="180"/>
      <c r="W347" s="180"/>
      <c r="X347" s="180"/>
      <c r="Y347" s="180"/>
      <c r="Z347" s="180"/>
    </row>
    <row r="348" spans="1:27" ht="15.5">
      <c r="A348" s="220" t="s">
        <v>664</v>
      </c>
      <c r="B348" s="174">
        <v>2.7989999999999999</v>
      </c>
      <c r="C348" s="174">
        <v>3.9699999999999999E-2</v>
      </c>
      <c r="D348" s="174">
        <v>1.06E-2</v>
      </c>
      <c r="E348" s="174">
        <v>1.3465</v>
      </c>
      <c r="F348" s="174">
        <v>0.76949999999999996</v>
      </c>
      <c r="G348" s="174">
        <v>6.6E-3</v>
      </c>
      <c r="H348" s="174">
        <v>0.312</v>
      </c>
      <c r="I348" s="174">
        <v>0.25330000000000003</v>
      </c>
      <c r="J348" s="174">
        <v>6.0600000000000001E-2</v>
      </c>
      <c r="K348" s="174">
        <v>1.4021999999999999</v>
      </c>
      <c r="L348" s="174">
        <v>0.63270000000000004</v>
      </c>
      <c r="M348" s="175">
        <v>1.3968</v>
      </c>
      <c r="P348" s="180"/>
    </row>
    <row r="349" spans="1:27" ht="15.5">
      <c r="A349" s="220" t="s">
        <v>665</v>
      </c>
      <c r="B349" s="174">
        <v>2.8262999999999998</v>
      </c>
      <c r="C349" s="174">
        <v>4.5900000000000003E-2</v>
      </c>
      <c r="D349" s="174">
        <v>1.43E-2</v>
      </c>
      <c r="E349" s="174">
        <v>1.1473</v>
      </c>
      <c r="F349" s="174">
        <v>0.7147</v>
      </c>
      <c r="G349" s="174">
        <v>1.6199999999999999E-2</v>
      </c>
      <c r="H349" s="174">
        <v>0.4788</v>
      </c>
      <c r="I349" s="174">
        <v>0.36170000000000002</v>
      </c>
      <c r="J349" s="174">
        <v>4.7300000000000002E-2</v>
      </c>
      <c r="K349" s="174">
        <v>1.6188</v>
      </c>
      <c r="L349" s="174">
        <v>0.90410000000000001</v>
      </c>
      <c r="M349" s="175">
        <v>1.2074</v>
      </c>
    </row>
    <row r="350" spans="1:27" ht="15.5">
      <c r="A350" s="220" t="s">
        <v>666</v>
      </c>
      <c r="B350" s="174">
        <v>2.8767999999999998</v>
      </c>
      <c r="C350" s="174">
        <v>5.5599999999999997E-2</v>
      </c>
      <c r="D350" s="174">
        <v>8.8999999999999999E-3</v>
      </c>
      <c r="E350" s="174">
        <v>1.3441000000000001</v>
      </c>
      <c r="F350" s="174">
        <v>0.70189999999999997</v>
      </c>
      <c r="G350" s="174">
        <v>2.1100000000000001E-2</v>
      </c>
      <c r="H350" s="174">
        <v>0.38890000000000002</v>
      </c>
      <c r="I350" s="174">
        <v>0.3115</v>
      </c>
      <c r="J350" s="174">
        <v>4.4900000000000002E-2</v>
      </c>
      <c r="K350" s="174">
        <v>1.4682999999999999</v>
      </c>
      <c r="L350" s="174">
        <v>0.76639999999999997</v>
      </c>
      <c r="M350" s="175">
        <v>1.4085000000000001</v>
      </c>
    </row>
    <row r="351" spans="1:27" ht="15.5">
      <c r="A351" s="220" t="s">
        <v>668</v>
      </c>
      <c r="B351" s="174">
        <v>3.0236000000000001</v>
      </c>
      <c r="C351" s="174">
        <v>8.6800000000000002E-2</v>
      </c>
      <c r="D351" s="174">
        <v>9.1999999999999998E-3</v>
      </c>
      <c r="E351" s="174">
        <v>1.3015000000000001</v>
      </c>
      <c r="F351" s="174">
        <v>0.85399999999999998</v>
      </c>
      <c r="G351" s="174">
        <v>2.4799999999999999E-2</v>
      </c>
      <c r="H351" s="174">
        <v>0.4103</v>
      </c>
      <c r="I351" s="174">
        <v>0.29970000000000002</v>
      </c>
      <c r="J351" s="174">
        <v>3.73E-2</v>
      </c>
      <c r="K351" s="174">
        <v>1.6261000000000001</v>
      </c>
      <c r="L351" s="174">
        <v>0.77210000000000001</v>
      </c>
      <c r="M351" s="175">
        <v>1.3974</v>
      </c>
    </row>
    <row r="352" spans="1:27" ht="15.5">
      <c r="A352" s="220" t="s">
        <v>669</v>
      </c>
      <c r="B352" s="174">
        <v>3.1088</v>
      </c>
      <c r="C352" s="174">
        <v>9.8400000000000001E-2</v>
      </c>
      <c r="D352" s="174">
        <v>1.01E-2</v>
      </c>
      <c r="E352" s="174">
        <v>1.1595</v>
      </c>
      <c r="F352" s="174">
        <v>0.73499999999999999</v>
      </c>
      <c r="G352" s="174">
        <v>4.3999999999999997E-2</v>
      </c>
      <c r="H352" s="174">
        <v>0.61419999999999997</v>
      </c>
      <c r="I352" s="174">
        <v>0.4224</v>
      </c>
      <c r="J352" s="174">
        <v>2.52E-2</v>
      </c>
      <c r="K352" s="174">
        <v>1.8408</v>
      </c>
      <c r="L352" s="174">
        <v>1.1057999999999999</v>
      </c>
      <c r="M352" s="175">
        <v>1.268</v>
      </c>
    </row>
    <row r="353" spans="1:20" ht="15.5">
      <c r="A353" s="220" t="s">
        <v>672</v>
      </c>
      <c r="B353" s="174">
        <v>3.4163999999999999</v>
      </c>
      <c r="C353" s="174">
        <v>0.15659999999999999</v>
      </c>
      <c r="D353" s="174">
        <v>1.0800000000000001E-2</v>
      </c>
      <c r="E353" s="174">
        <v>1.4226000000000001</v>
      </c>
      <c r="F353" s="174">
        <v>0.64849999999999997</v>
      </c>
      <c r="G353" s="174">
        <v>3.5400000000000001E-2</v>
      </c>
      <c r="H353" s="174">
        <v>0.6159</v>
      </c>
      <c r="I353" s="174">
        <v>0.51200000000000001</v>
      </c>
      <c r="J353" s="174">
        <v>1.4500000000000001E-2</v>
      </c>
      <c r="K353" s="174">
        <v>1.8264</v>
      </c>
      <c r="L353" s="174">
        <v>1.1778999999999999</v>
      </c>
      <c r="M353" s="175">
        <v>1.59</v>
      </c>
    </row>
    <row r="354" spans="1:20" ht="15.5">
      <c r="A354" s="220" t="s">
        <v>686</v>
      </c>
      <c r="B354" s="174">
        <v>3.5371000000000001</v>
      </c>
      <c r="C354" s="174">
        <v>7.8399999999999997E-2</v>
      </c>
      <c r="D354" s="174">
        <v>1.04E-2</v>
      </c>
      <c r="E354" s="174">
        <v>1.2616000000000001</v>
      </c>
      <c r="F354" s="174">
        <v>0.83009999999999995</v>
      </c>
      <c r="G354" s="174">
        <v>4.0800000000000003E-2</v>
      </c>
      <c r="H354" s="174">
        <v>0.83640000000000003</v>
      </c>
      <c r="I354" s="174">
        <v>0.4728</v>
      </c>
      <c r="J354" s="174">
        <v>6.4999999999999997E-3</v>
      </c>
      <c r="K354" s="174">
        <v>2.1867000000000001</v>
      </c>
      <c r="L354" s="174">
        <v>1.3566</v>
      </c>
      <c r="M354" s="175">
        <v>1.3505</v>
      </c>
      <c r="N354" s="213"/>
    </row>
    <row r="355" spans="1:20" ht="15.5">
      <c r="A355" s="220" t="s">
        <v>698</v>
      </c>
      <c r="B355" s="174">
        <v>3.7301000000000002</v>
      </c>
      <c r="C355" s="174">
        <v>0.1216</v>
      </c>
      <c r="D355" s="174">
        <v>1.0999999999999999E-2</v>
      </c>
      <c r="E355" s="174">
        <v>1.7589999999999999</v>
      </c>
      <c r="F355" s="174">
        <v>0.55620000000000003</v>
      </c>
      <c r="G355" s="174">
        <v>4.2299999999999997E-2</v>
      </c>
      <c r="H355" s="174">
        <v>0.73529999999999995</v>
      </c>
      <c r="I355" s="174">
        <v>0.4929</v>
      </c>
      <c r="J355" s="174">
        <v>1.18E-2</v>
      </c>
      <c r="K355" s="174">
        <v>1.8386</v>
      </c>
      <c r="L355" s="174">
        <v>1.2823</v>
      </c>
      <c r="M355" s="175">
        <v>1.8915999999999999</v>
      </c>
      <c r="N355" s="213"/>
      <c r="O355" s="212"/>
      <c r="P355" s="212"/>
      <c r="Q355" s="211"/>
    </row>
    <row r="356" spans="1:20" ht="15.5">
      <c r="A356" s="220" t="s">
        <v>699</v>
      </c>
      <c r="B356" s="174">
        <v>3.0102000000000002</v>
      </c>
      <c r="C356" s="174">
        <v>5.9400000000000001E-2</v>
      </c>
      <c r="D356" s="174">
        <v>8.8999999999999999E-3</v>
      </c>
      <c r="E356" s="174">
        <v>1.1446000000000001</v>
      </c>
      <c r="F356" s="174">
        <v>0.59309999999999996</v>
      </c>
      <c r="G356" s="174">
        <v>4.7899999999999998E-2</v>
      </c>
      <c r="H356" s="174">
        <v>0.67069999999999996</v>
      </c>
      <c r="I356" s="174">
        <v>0.46960000000000002</v>
      </c>
      <c r="J356" s="174">
        <v>1.6E-2</v>
      </c>
      <c r="K356" s="174">
        <v>1.7972999999999999</v>
      </c>
      <c r="L356" s="174">
        <v>1.2040999999999999</v>
      </c>
      <c r="M356" s="175">
        <v>1.2130000000000001</v>
      </c>
      <c r="N356" s="213"/>
      <c r="O356" s="212"/>
      <c r="P356" s="212"/>
      <c r="Q356" s="211"/>
    </row>
    <row r="357" spans="1:20" ht="15.5">
      <c r="A357" s="220" t="s">
        <v>701</v>
      </c>
      <c r="B357" s="174">
        <v>2.9722</v>
      </c>
      <c r="C357" s="174">
        <v>8.9300000000000004E-2</v>
      </c>
      <c r="D357" s="174">
        <v>8.5000000000000006E-3</v>
      </c>
      <c r="E357" s="174">
        <v>1.0770999999999999</v>
      </c>
      <c r="F357" s="174">
        <v>0.64180000000000004</v>
      </c>
      <c r="G357" s="174">
        <v>3.6299999999999999E-2</v>
      </c>
      <c r="H357" s="174">
        <v>0.63449999999999995</v>
      </c>
      <c r="I357" s="174">
        <v>0.44209999999999999</v>
      </c>
      <c r="J357" s="174">
        <v>4.2700000000000002E-2</v>
      </c>
      <c r="K357" s="174">
        <v>1.7972999999999999</v>
      </c>
      <c r="L357" s="174">
        <v>1.1556</v>
      </c>
      <c r="M357" s="175">
        <v>1.1748000000000001</v>
      </c>
      <c r="N357" s="213"/>
      <c r="O357" s="212"/>
      <c r="P357" s="212"/>
      <c r="Q357" s="211"/>
    </row>
    <row r="358" spans="1:20" ht="15.5">
      <c r="A358" s="220" t="s">
        <v>705</v>
      </c>
      <c r="B358" s="174">
        <v>2.8069999999999999</v>
      </c>
      <c r="C358" s="174">
        <v>5.4800000000000001E-2</v>
      </c>
      <c r="D358" s="174">
        <v>8.6999999999999994E-3</v>
      </c>
      <c r="E358" s="174">
        <v>0.7329</v>
      </c>
      <c r="F358" s="174">
        <v>0.85029999999999994</v>
      </c>
      <c r="G358" s="174">
        <v>3.0099999999999998E-2</v>
      </c>
      <c r="H358" s="174">
        <v>0.63790000000000002</v>
      </c>
      <c r="I358" s="174">
        <v>0.44940000000000002</v>
      </c>
      <c r="J358" s="174">
        <v>4.2900000000000001E-2</v>
      </c>
      <c r="K358" s="174">
        <v>2.0106000000000002</v>
      </c>
      <c r="L358" s="174">
        <v>1.1603000000000001</v>
      </c>
      <c r="M358" s="175">
        <v>0.7964</v>
      </c>
      <c r="N358" s="123"/>
      <c r="O358" s="123"/>
      <c r="P358" s="123"/>
      <c r="Q358" s="123"/>
      <c r="R358" s="123"/>
      <c r="S358" s="123"/>
      <c r="T358" s="123"/>
    </row>
    <row r="359" spans="1:20" ht="15.5">
      <c r="A359" s="220" t="s">
        <v>702</v>
      </c>
      <c r="B359" s="174">
        <v>2.6917</v>
      </c>
      <c r="C359" s="174">
        <v>2.4899999999999999E-2</v>
      </c>
      <c r="D359" s="174">
        <v>1.3100000000000001E-2</v>
      </c>
      <c r="E359" s="174">
        <v>0.97689999999999999</v>
      </c>
      <c r="F359" s="174">
        <v>0.83299999999999996</v>
      </c>
      <c r="G359" s="174">
        <v>1.6299999999999999E-2</v>
      </c>
      <c r="H359" s="174">
        <v>0.31690000000000002</v>
      </c>
      <c r="I359" s="174">
        <v>0.4577</v>
      </c>
      <c r="J359" s="174">
        <v>5.2900000000000003E-2</v>
      </c>
      <c r="K359" s="174">
        <v>1.6768000000000001</v>
      </c>
      <c r="L359" s="174">
        <v>0.84379999999999999</v>
      </c>
      <c r="M359" s="175">
        <v>1.0149999999999999</v>
      </c>
    </row>
    <row r="360" spans="1:20" ht="15.5">
      <c r="A360" s="220" t="s">
        <v>704</v>
      </c>
      <c r="B360" s="174">
        <v>2.4291</v>
      </c>
      <c r="C360" s="174">
        <v>5.4999999999999997E-3</v>
      </c>
      <c r="D360" s="174">
        <v>1.12E-2</v>
      </c>
      <c r="E360" s="174">
        <v>0.74980000000000002</v>
      </c>
      <c r="F360" s="174">
        <v>0.77659999999999996</v>
      </c>
      <c r="G360" s="174">
        <v>1.44E-2</v>
      </c>
      <c r="H360" s="174">
        <v>0.39610000000000001</v>
      </c>
      <c r="I360" s="174">
        <v>0.4148</v>
      </c>
      <c r="J360" s="174">
        <v>6.0600000000000001E-2</v>
      </c>
      <c r="K360" s="174">
        <v>1.6626000000000001</v>
      </c>
      <c r="L360" s="174">
        <v>0.88600000000000001</v>
      </c>
      <c r="M360" s="175">
        <v>0.76649999999999996</v>
      </c>
    </row>
    <row r="361" spans="1:20" ht="15.5">
      <c r="A361" s="220" t="s">
        <v>707</v>
      </c>
      <c r="B361" s="174">
        <v>2.5819999999999999</v>
      </c>
      <c r="C361" s="174">
        <v>2.64E-2</v>
      </c>
      <c r="D361" s="174">
        <v>8.0000000000000002E-3</v>
      </c>
      <c r="E361" s="174">
        <v>0.89939999999999998</v>
      </c>
      <c r="F361" s="174">
        <v>0.78010000000000002</v>
      </c>
      <c r="G361" s="174">
        <v>1.6500000000000001E-2</v>
      </c>
      <c r="H361" s="174">
        <v>0.34789999999999999</v>
      </c>
      <c r="I361" s="174">
        <v>0.44969999999999999</v>
      </c>
      <c r="J361" s="174">
        <v>5.4100000000000002E-2</v>
      </c>
      <c r="K361" s="174">
        <v>1.6483000000000001</v>
      </c>
      <c r="L361" s="174">
        <v>0.86819999999999997</v>
      </c>
      <c r="M361" s="175">
        <v>0.93379999999999996</v>
      </c>
      <c r="N361" s="123"/>
      <c r="O361" s="123"/>
      <c r="P361" s="123"/>
      <c r="Q361" s="123"/>
      <c r="R361" s="123"/>
      <c r="S361" s="123"/>
      <c r="T361" s="123"/>
    </row>
    <row r="362" spans="1:20" ht="15.5">
      <c r="A362" s="220" t="s">
        <v>708</v>
      </c>
      <c r="B362" s="174">
        <v>2.6274000000000002</v>
      </c>
      <c r="C362" s="174">
        <v>1.35E-2</v>
      </c>
      <c r="D362" s="174">
        <v>0.01</v>
      </c>
      <c r="E362" s="174">
        <v>0.65780000000000005</v>
      </c>
      <c r="F362" s="174">
        <v>0.89339999999999997</v>
      </c>
      <c r="G362" s="174">
        <v>2.46E-2</v>
      </c>
      <c r="H362" s="174">
        <v>0.52649999999999997</v>
      </c>
      <c r="I362" s="174">
        <v>0.45019999999999999</v>
      </c>
      <c r="J362" s="174">
        <v>5.1400000000000001E-2</v>
      </c>
      <c r="K362" s="174">
        <v>1.946</v>
      </c>
      <c r="L362" s="174">
        <v>1.0526</v>
      </c>
      <c r="M362" s="175">
        <v>0.68140000000000001</v>
      </c>
      <c r="N362" s="123"/>
      <c r="O362" s="123"/>
      <c r="P362" s="123"/>
      <c r="Q362" s="123"/>
      <c r="R362" s="123"/>
      <c r="S362" s="123"/>
      <c r="T362" s="123"/>
    </row>
    <row r="363" spans="1:20" ht="15.5">
      <c r="A363" s="220" t="s">
        <v>710</v>
      </c>
      <c r="B363" s="174">
        <v>2.7576999999999998</v>
      </c>
      <c r="C363" s="174">
        <v>1.9199999999999998E-2</v>
      </c>
      <c r="D363" s="174">
        <v>1.12E-2</v>
      </c>
      <c r="E363" s="174">
        <v>0.97819999999999996</v>
      </c>
      <c r="F363" s="174">
        <v>0.77849999999999997</v>
      </c>
      <c r="G363" s="174">
        <v>2.47E-2</v>
      </c>
      <c r="H363" s="174">
        <v>0.43569999999999998</v>
      </c>
      <c r="I363" s="174">
        <v>0.47570000000000001</v>
      </c>
      <c r="J363" s="174">
        <v>3.44E-2</v>
      </c>
      <c r="K363" s="174">
        <v>1.7491000000000001</v>
      </c>
      <c r="L363" s="174">
        <v>0.97060000000000002</v>
      </c>
      <c r="M363" s="175">
        <v>1.0085999999999999</v>
      </c>
      <c r="N363" s="123"/>
      <c r="O363" s="123"/>
      <c r="P363" s="123"/>
      <c r="Q363" s="123"/>
      <c r="R363" s="123"/>
      <c r="S363" s="123"/>
      <c r="T363" s="123"/>
    </row>
    <row r="364" spans="1:20" ht="15.5">
      <c r="A364" s="220" t="s">
        <v>711</v>
      </c>
      <c r="B364" s="174">
        <v>3.0756999999999999</v>
      </c>
      <c r="C364" s="174">
        <v>0</v>
      </c>
      <c r="D364" s="174">
        <v>8.3999999999999995E-3</v>
      </c>
      <c r="E364" s="174">
        <v>1.2194</v>
      </c>
      <c r="F364" s="174">
        <v>0.69510000000000005</v>
      </c>
      <c r="G364" s="174">
        <v>2.1899999999999999E-2</v>
      </c>
      <c r="H364" s="174">
        <v>0.56399999999999995</v>
      </c>
      <c r="I364" s="174">
        <v>0.54190000000000005</v>
      </c>
      <c r="J364" s="174">
        <v>2.5000000000000001E-2</v>
      </c>
      <c r="K364" s="174">
        <v>1.8479000000000001</v>
      </c>
      <c r="L364" s="174">
        <v>1.1529</v>
      </c>
      <c r="M364" s="175">
        <v>1.2277</v>
      </c>
      <c r="N364" s="123"/>
      <c r="O364" s="123"/>
      <c r="P364" s="123"/>
      <c r="Q364" s="123"/>
      <c r="R364" s="123"/>
      <c r="S364" s="123"/>
      <c r="T364" s="123"/>
    </row>
    <row r="365" spans="1:20" ht="15.5">
      <c r="A365" s="221" t="s">
        <v>714</v>
      </c>
      <c r="B365" s="174">
        <v>3.4723000000000002</v>
      </c>
      <c r="C365" s="174">
        <v>0</v>
      </c>
      <c r="D365" s="174">
        <v>1.17E-2</v>
      </c>
      <c r="E365" s="174">
        <v>1.7025999999999999</v>
      </c>
      <c r="F365" s="174">
        <v>0.69350000000000001</v>
      </c>
      <c r="G365" s="174">
        <v>2.1000000000000001E-2</v>
      </c>
      <c r="H365" s="174">
        <v>0.51580000000000004</v>
      </c>
      <c r="I365" s="174">
        <v>0.51719999999999999</v>
      </c>
      <c r="J365" s="174">
        <v>1.06E-2</v>
      </c>
      <c r="K365" s="174">
        <v>1.758</v>
      </c>
      <c r="L365" s="174">
        <v>1.0645</v>
      </c>
      <c r="M365" s="175">
        <v>1.7142999999999999</v>
      </c>
      <c r="N365" s="123"/>
      <c r="O365" s="123"/>
      <c r="P365" s="123"/>
      <c r="Q365" s="123"/>
      <c r="R365" s="123"/>
      <c r="S365" s="123"/>
      <c r="T365" s="123"/>
    </row>
    <row r="366" spans="1:20" ht="15.5">
      <c r="A366" s="221" t="s">
        <v>731</v>
      </c>
      <c r="B366" s="174">
        <v>3.3313000000000001</v>
      </c>
      <c r="C366" s="174">
        <v>0</v>
      </c>
      <c r="D366" s="174">
        <v>8.3999999999999995E-3</v>
      </c>
      <c r="E366" s="174">
        <v>1.3498000000000001</v>
      </c>
      <c r="F366" s="174">
        <v>0.69699999999999995</v>
      </c>
      <c r="G366" s="174">
        <v>5.0700000000000002E-2</v>
      </c>
      <c r="H366" s="174">
        <v>0.76439999999999997</v>
      </c>
      <c r="I366" s="174">
        <v>0.45479999999999998</v>
      </c>
      <c r="J366" s="174">
        <v>6.1999999999999998E-3</v>
      </c>
      <c r="K366" s="174">
        <v>1.9731000000000001</v>
      </c>
      <c r="L366" s="174">
        <v>1.2761</v>
      </c>
      <c r="M366" s="175">
        <v>1.3582000000000001</v>
      </c>
      <c r="N366" s="123"/>
      <c r="O366" s="123"/>
      <c r="P366" s="123"/>
      <c r="Q366" s="123"/>
      <c r="R366" s="123"/>
      <c r="S366" s="123"/>
      <c r="T366" s="123"/>
    </row>
    <row r="367" spans="1:20" ht="15.5">
      <c r="A367" s="227" t="s">
        <v>719</v>
      </c>
      <c r="B367" s="174">
        <v>3.8315999999999999</v>
      </c>
      <c r="C367" s="174">
        <v>0</v>
      </c>
      <c r="D367" s="174">
        <v>1.0999999999999999E-2</v>
      </c>
      <c r="E367" s="174">
        <v>1.9469000000000001</v>
      </c>
      <c r="F367" s="174">
        <v>0.745</v>
      </c>
      <c r="G367" s="174">
        <v>4.2000000000000003E-2</v>
      </c>
      <c r="H367" s="174">
        <v>0.56999999999999995</v>
      </c>
      <c r="I367" s="174">
        <v>0.50549999999999995</v>
      </c>
      <c r="J367" s="174">
        <v>1.12E-2</v>
      </c>
      <c r="K367" s="174">
        <v>1.8735999999999999</v>
      </c>
      <c r="L367" s="174">
        <v>1.1286</v>
      </c>
      <c r="M367" s="175">
        <v>1.958</v>
      </c>
      <c r="N367" s="123"/>
      <c r="O367" s="123"/>
      <c r="P367" s="123"/>
      <c r="Q367" s="123"/>
      <c r="R367" s="123"/>
      <c r="S367" s="123"/>
      <c r="T367" s="123"/>
    </row>
    <row r="368" spans="1:20" ht="15.5">
      <c r="A368" s="121"/>
      <c r="B368" s="79"/>
      <c r="C368" s="79"/>
      <c r="D368" s="79"/>
      <c r="E368" s="79"/>
      <c r="F368" s="79"/>
      <c r="G368" s="79"/>
      <c r="H368" s="79"/>
      <c r="I368" s="79"/>
      <c r="J368" s="79"/>
      <c r="K368" s="79"/>
      <c r="L368" s="79"/>
      <c r="M368" s="79"/>
    </row>
    <row r="369" spans="1:20" ht="15.5">
      <c r="A369" s="121"/>
      <c r="B369" s="79"/>
      <c r="C369" s="79"/>
      <c r="D369" s="79"/>
      <c r="E369" s="79"/>
      <c r="F369" s="79"/>
      <c r="G369" s="79"/>
      <c r="H369" s="79"/>
      <c r="I369" s="79"/>
      <c r="J369" s="123"/>
      <c r="K369" s="123"/>
      <c r="L369" s="123"/>
      <c r="M369" s="123"/>
    </row>
    <row r="370" spans="1:20" ht="15.5">
      <c r="A370" s="121"/>
      <c r="B370" s="79"/>
      <c r="C370" s="79"/>
      <c r="D370" s="79"/>
      <c r="E370" s="79"/>
      <c r="F370" s="79"/>
      <c r="G370" s="79"/>
      <c r="H370" s="79"/>
      <c r="I370" s="79"/>
      <c r="J370" s="123"/>
      <c r="K370" s="123"/>
      <c r="L370" s="123"/>
      <c r="M370" s="123"/>
    </row>
    <row r="371" spans="1:20" ht="15.5">
      <c r="A371" s="121"/>
      <c r="B371" s="79"/>
      <c r="C371" s="79"/>
      <c r="D371" s="79"/>
      <c r="E371" s="79"/>
      <c r="F371" s="79"/>
      <c r="G371" s="79"/>
      <c r="H371" s="79"/>
      <c r="I371" s="79"/>
      <c r="J371" s="123"/>
      <c r="K371" s="123"/>
      <c r="L371" s="123"/>
      <c r="M371" s="123"/>
    </row>
    <row r="372" spans="1:20" ht="15.5">
      <c r="A372" s="121"/>
      <c r="B372" s="123"/>
      <c r="C372" s="123"/>
      <c r="D372" s="123"/>
      <c r="E372" s="123"/>
      <c r="F372" s="123"/>
      <c r="G372" s="123"/>
      <c r="H372" s="123"/>
      <c r="I372" s="123"/>
      <c r="J372" s="123"/>
      <c r="K372" s="123"/>
      <c r="L372" s="123"/>
      <c r="M372" s="123"/>
    </row>
    <row r="373" spans="1:20" ht="15.5">
      <c r="A373" s="121"/>
      <c r="B373" s="123"/>
      <c r="C373" s="123"/>
      <c r="D373" s="123"/>
      <c r="E373" s="123"/>
      <c r="F373" s="123"/>
      <c r="G373" s="123"/>
      <c r="H373" s="123"/>
      <c r="I373" s="123"/>
      <c r="J373" s="123"/>
      <c r="K373" s="123"/>
      <c r="L373" s="123"/>
      <c r="M373" s="123"/>
      <c r="N373" s="123"/>
      <c r="O373" s="123"/>
      <c r="P373" s="123"/>
      <c r="Q373" s="123"/>
      <c r="R373" s="123"/>
      <c r="S373" s="123"/>
      <c r="T373" s="123"/>
    </row>
    <row r="374" spans="1:20" ht="15.5">
      <c r="A374" s="121"/>
      <c r="B374" s="123"/>
      <c r="C374" s="123"/>
      <c r="D374" s="123"/>
      <c r="E374" s="123"/>
      <c r="F374" s="123"/>
      <c r="G374" s="123"/>
      <c r="H374" s="123"/>
      <c r="I374" s="123"/>
      <c r="J374" s="123"/>
      <c r="K374" s="123"/>
      <c r="L374" s="123"/>
      <c r="M374" s="123"/>
      <c r="N374" s="123"/>
      <c r="O374" s="123"/>
      <c r="P374" s="123"/>
      <c r="Q374" s="123"/>
      <c r="R374" s="123"/>
      <c r="S374" s="123"/>
      <c r="T374" s="123"/>
    </row>
    <row r="375" spans="1:20" ht="15.5">
      <c r="A375" s="121"/>
      <c r="B375" s="123"/>
      <c r="C375" s="123"/>
      <c r="D375" s="123"/>
      <c r="E375" s="123"/>
      <c r="F375" s="123"/>
      <c r="G375" s="123"/>
      <c r="H375" s="123"/>
      <c r="I375" s="121"/>
      <c r="J375" s="121"/>
      <c r="K375" s="121"/>
      <c r="L375" s="121"/>
      <c r="M375" s="121"/>
      <c r="N375" s="123"/>
      <c r="O375" s="123"/>
      <c r="P375" s="123"/>
      <c r="Q375" s="123"/>
      <c r="R375" s="123"/>
      <c r="S375" s="123"/>
      <c r="T375" s="123"/>
    </row>
    <row r="376" spans="1:20" ht="15.5">
      <c r="A376" s="121"/>
      <c r="B376" s="123"/>
      <c r="C376" s="123"/>
      <c r="D376" s="123"/>
      <c r="E376" s="123"/>
      <c r="F376" s="123"/>
      <c r="G376" s="123"/>
      <c r="H376" s="123"/>
      <c r="I376" s="123"/>
      <c r="J376" s="123"/>
      <c r="K376" s="123"/>
      <c r="L376" s="123"/>
      <c r="M376" s="123"/>
      <c r="N376" s="123"/>
      <c r="O376" s="123"/>
      <c r="P376" s="123"/>
      <c r="Q376" s="123"/>
      <c r="R376" s="123"/>
      <c r="S376" s="123"/>
      <c r="T376" s="123"/>
    </row>
    <row r="377" spans="1:20" ht="15.5">
      <c r="A377" s="121"/>
      <c r="B377" s="123"/>
      <c r="C377" s="123"/>
      <c r="D377" s="123"/>
      <c r="E377" s="123"/>
      <c r="F377" s="123"/>
      <c r="G377" s="123"/>
      <c r="H377" s="123"/>
      <c r="I377" s="123"/>
      <c r="J377" s="123"/>
      <c r="K377" s="123"/>
      <c r="L377" s="123"/>
      <c r="M377" s="123"/>
      <c r="N377" s="123"/>
      <c r="O377" s="123"/>
      <c r="P377" s="123"/>
      <c r="Q377" s="123"/>
      <c r="R377" s="123"/>
      <c r="S377" s="123"/>
      <c r="T377" s="123"/>
    </row>
    <row r="378" spans="1:20" ht="15.5">
      <c r="A378" s="121"/>
      <c r="B378" s="123"/>
      <c r="C378" s="123"/>
      <c r="D378" s="123"/>
      <c r="E378" s="123"/>
      <c r="F378" s="123"/>
      <c r="G378" s="123"/>
      <c r="H378" s="123"/>
      <c r="I378" s="123"/>
      <c r="J378" s="123"/>
      <c r="K378" s="123"/>
      <c r="L378" s="123"/>
      <c r="M378" s="123"/>
      <c r="N378" s="123"/>
      <c r="O378" s="123"/>
      <c r="P378" s="123"/>
      <c r="Q378" s="123"/>
      <c r="R378" s="123"/>
      <c r="S378" s="123"/>
      <c r="T378" s="123"/>
    </row>
    <row r="379" spans="1:20" ht="15.5">
      <c r="A379" s="121"/>
      <c r="B379" s="123"/>
      <c r="C379" s="123"/>
      <c r="D379" s="123"/>
      <c r="E379" s="123"/>
      <c r="F379" s="123"/>
      <c r="G379" s="123"/>
      <c r="H379" s="123"/>
      <c r="I379" s="123"/>
      <c r="J379" s="123"/>
      <c r="K379" s="123"/>
      <c r="L379" s="123"/>
      <c r="M379" s="123"/>
      <c r="N379" s="123"/>
      <c r="O379" s="123"/>
      <c r="P379" s="123"/>
      <c r="Q379" s="123"/>
      <c r="R379" s="123"/>
      <c r="S379" s="123"/>
      <c r="T379" s="123"/>
    </row>
    <row r="380" spans="1:20" ht="15.5">
      <c r="A380" s="121"/>
      <c r="B380" s="123"/>
      <c r="C380" s="123"/>
      <c r="D380" s="123"/>
      <c r="E380" s="123"/>
      <c r="F380" s="123"/>
      <c r="G380" s="123"/>
      <c r="H380" s="123"/>
      <c r="I380" s="123"/>
      <c r="J380" s="123"/>
      <c r="K380" s="123"/>
      <c r="L380" s="123"/>
      <c r="M380" s="123"/>
      <c r="N380" s="123"/>
      <c r="O380" s="123"/>
      <c r="P380" s="123"/>
      <c r="Q380" s="123"/>
      <c r="R380" s="123"/>
      <c r="S380" s="123"/>
      <c r="T380" s="123"/>
    </row>
    <row r="381" spans="1:20" ht="15.5">
      <c r="A381" s="121"/>
      <c r="B381" s="123"/>
      <c r="C381" s="123"/>
      <c r="D381" s="123"/>
      <c r="E381" s="123"/>
      <c r="F381" s="123"/>
      <c r="G381" s="123"/>
      <c r="H381" s="123"/>
      <c r="I381" s="123"/>
      <c r="J381" s="123"/>
      <c r="K381" s="123"/>
      <c r="L381" s="123"/>
      <c r="M381" s="123"/>
      <c r="N381" s="123"/>
      <c r="O381" s="123"/>
      <c r="P381" s="123"/>
      <c r="Q381" s="123"/>
      <c r="R381" s="123"/>
      <c r="S381" s="123"/>
      <c r="T381" s="123"/>
    </row>
    <row r="382" spans="1:20" ht="15.5">
      <c r="A382" s="121"/>
      <c r="B382" s="123"/>
      <c r="C382" s="123"/>
      <c r="D382" s="123"/>
      <c r="E382" s="123"/>
      <c r="F382" s="123"/>
      <c r="G382" s="123"/>
      <c r="H382" s="123"/>
      <c r="I382" s="123"/>
      <c r="J382" s="123"/>
      <c r="K382" s="123"/>
      <c r="L382" s="123"/>
      <c r="M382" s="123"/>
      <c r="N382" s="123"/>
      <c r="O382" s="123"/>
      <c r="P382" s="123"/>
      <c r="Q382" s="123"/>
      <c r="R382" s="123"/>
      <c r="S382" s="123"/>
      <c r="T382" s="123"/>
    </row>
    <row r="383" spans="1:20" ht="15.5">
      <c r="A383" s="121"/>
      <c r="B383" s="123"/>
      <c r="C383" s="123"/>
      <c r="D383" s="123"/>
      <c r="E383" s="123"/>
      <c r="F383" s="123"/>
      <c r="G383" s="123"/>
      <c r="H383" s="123"/>
      <c r="I383" s="123"/>
      <c r="J383" s="123"/>
      <c r="K383" s="123"/>
      <c r="L383" s="123"/>
      <c r="M383" s="123"/>
      <c r="N383" s="123"/>
      <c r="O383" s="123"/>
      <c r="P383" s="123"/>
      <c r="Q383" s="123"/>
      <c r="R383" s="123"/>
      <c r="S383" s="123"/>
      <c r="T383" s="123"/>
    </row>
    <row r="384" spans="1:20" ht="15.5">
      <c r="A384" s="121"/>
      <c r="B384" s="123"/>
      <c r="C384" s="123"/>
      <c r="D384" s="123"/>
      <c r="E384" s="123"/>
      <c r="F384" s="123"/>
      <c r="G384" s="123"/>
      <c r="H384" s="123"/>
      <c r="I384" s="123"/>
      <c r="J384" s="123"/>
      <c r="K384" s="123"/>
      <c r="L384" s="123"/>
      <c r="M384" s="123"/>
      <c r="N384" s="123"/>
      <c r="O384" s="123"/>
      <c r="P384" s="123"/>
      <c r="Q384" s="123"/>
      <c r="R384" s="123"/>
      <c r="S384" s="123"/>
      <c r="T384" s="123"/>
    </row>
    <row r="385" spans="1:13" ht="15.5">
      <c r="A385" s="121"/>
      <c r="B385" s="123"/>
      <c r="C385" s="123"/>
      <c r="D385" s="123"/>
      <c r="E385" s="123"/>
      <c r="F385" s="123"/>
      <c r="G385" s="123"/>
      <c r="H385" s="123"/>
      <c r="I385" s="123"/>
      <c r="J385" s="123"/>
      <c r="K385" s="123"/>
      <c r="L385" s="123"/>
      <c r="M385" s="123"/>
    </row>
    <row r="386" spans="1:13" ht="15.5">
      <c r="A386" s="121"/>
      <c r="B386" s="123"/>
      <c r="C386" s="123"/>
      <c r="D386" s="123"/>
      <c r="E386" s="123"/>
      <c r="F386" s="123"/>
      <c r="G386" s="123"/>
      <c r="H386" s="123"/>
      <c r="I386" s="123"/>
      <c r="J386" s="123"/>
      <c r="K386" s="123"/>
      <c r="L386" s="123"/>
      <c r="M386" s="123"/>
    </row>
    <row r="387" spans="1:13" ht="15.5">
      <c r="A387" s="121"/>
      <c r="B387" s="123"/>
      <c r="C387" s="123"/>
      <c r="D387" s="123"/>
      <c r="E387" s="123"/>
      <c r="F387" s="123"/>
      <c r="G387" s="123"/>
      <c r="H387" s="123"/>
      <c r="I387" s="123"/>
      <c r="J387" s="123"/>
      <c r="K387" s="123"/>
      <c r="L387" s="123"/>
      <c r="M387" s="123"/>
    </row>
    <row r="388" spans="1:13" ht="15.5">
      <c r="A388" s="121"/>
      <c r="B388" s="123"/>
      <c r="C388" s="123"/>
      <c r="D388" s="123"/>
      <c r="E388" s="123"/>
      <c r="F388" s="123"/>
      <c r="G388" s="123"/>
      <c r="H388" s="123"/>
      <c r="I388" s="123"/>
      <c r="J388" s="123"/>
      <c r="K388" s="123"/>
      <c r="L388" s="123"/>
      <c r="M388" s="123"/>
    </row>
    <row r="389" spans="1:13" ht="15.5">
      <c r="A389" s="121"/>
      <c r="B389" s="123"/>
      <c r="C389" s="123"/>
      <c r="D389" s="123"/>
      <c r="E389" s="123"/>
      <c r="F389" s="123"/>
      <c r="G389" s="123"/>
      <c r="H389" s="123"/>
      <c r="I389" s="123"/>
      <c r="J389" s="123"/>
      <c r="K389" s="123"/>
      <c r="L389" s="123"/>
      <c r="M389" s="123"/>
    </row>
    <row r="390" spans="1:13" ht="15.5">
      <c r="A390" s="121"/>
      <c r="B390" s="123"/>
      <c r="C390" s="123"/>
      <c r="D390" s="123"/>
      <c r="E390" s="123"/>
      <c r="F390" s="123"/>
      <c r="G390" s="123"/>
      <c r="H390" s="123"/>
      <c r="I390" s="123"/>
      <c r="J390" s="123"/>
      <c r="K390" s="123"/>
      <c r="L390" s="123"/>
      <c r="M390" s="123"/>
    </row>
    <row r="391" spans="1:13" ht="15.5">
      <c r="A391" s="121"/>
      <c r="B391" s="123"/>
      <c r="C391" s="123"/>
      <c r="D391" s="123"/>
      <c r="E391" s="123"/>
      <c r="F391" s="123"/>
      <c r="G391" s="123"/>
      <c r="H391" s="123"/>
      <c r="I391" s="123"/>
      <c r="J391" s="123"/>
      <c r="K391" s="123"/>
      <c r="L391" s="123"/>
      <c r="M391" s="123"/>
    </row>
    <row r="392" spans="1:13" ht="15.5">
      <c r="A392" s="121"/>
      <c r="B392" s="123"/>
      <c r="C392" s="123"/>
      <c r="D392" s="123"/>
      <c r="E392" s="123"/>
      <c r="F392" s="123"/>
      <c r="G392" s="123"/>
      <c r="H392" s="123"/>
      <c r="I392" s="123"/>
      <c r="J392" s="123"/>
      <c r="K392" s="123"/>
      <c r="L392" s="123"/>
      <c r="M392" s="123"/>
    </row>
    <row r="393" spans="1:13" ht="15.5">
      <c r="A393" s="121"/>
      <c r="B393" s="123"/>
      <c r="C393" s="123"/>
      <c r="D393" s="123"/>
      <c r="E393" s="123"/>
      <c r="F393" s="123"/>
      <c r="G393" s="123"/>
      <c r="H393" s="123"/>
      <c r="I393" s="123"/>
      <c r="J393" s="123"/>
      <c r="K393" s="123"/>
      <c r="L393" s="123"/>
      <c r="M393" s="123"/>
    </row>
    <row r="394" spans="1:13" ht="15.5">
      <c r="A394" s="121"/>
      <c r="B394" s="123"/>
      <c r="C394" s="123"/>
      <c r="D394" s="123"/>
      <c r="E394" s="123"/>
      <c r="F394" s="123"/>
      <c r="G394" s="123"/>
      <c r="H394" s="123"/>
      <c r="I394" s="123"/>
      <c r="J394" s="123"/>
      <c r="K394" s="123"/>
      <c r="L394" s="123"/>
      <c r="M394" s="123"/>
    </row>
    <row r="395" spans="1:13" ht="15.5">
      <c r="A395" s="121"/>
      <c r="B395" s="123"/>
      <c r="C395" s="123"/>
      <c r="D395" s="123"/>
      <c r="E395" s="123"/>
      <c r="F395" s="123"/>
      <c r="G395" s="123"/>
      <c r="H395" s="123"/>
      <c r="I395" s="123"/>
      <c r="J395" s="123"/>
      <c r="K395" s="123"/>
      <c r="L395" s="123"/>
      <c r="M395" s="123"/>
    </row>
    <row r="396" spans="1:13" ht="15.5">
      <c r="A396" s="121"/>
      <c r="B396" s="123"/>
      <c r="C396" s="123"/>
      <c r="D396" s="123"/>
      <c r="E396" s="123"/>
      <c r="F396" s="123"/>
      <c r="G396" s="123"/>
      <c r="H396" s="123"/>
      <c r="I396" s="123"/>
      <c r="J396" s="123"/>
      <c r="K396" s="123"/>
      <c r="L396" s="123"/>
      <c r="M396" s="123"/>
    </row>
    <row r="397" spans="1:13" ht="15.5">
      <c r="A397" s="121"/>
      <c r="B397" s="123"/>
      <c r="C397" s="123"/>
      <c r="D397" s="123"/>
      <c r="E397" s="123"/>
      <c r="F397" s="123"/>
      <c r="G397" s="123"/>
      <c r="H397" s="123"/>
      <c r="I397" s="123"/>
      <c r="J397" s="123"/>
      <c r="K397" s="123"/>
      <c r="L397" s="123"/>
      <c r="M397" s="123"/>
    </row>
    <row r="398" spans="1:13" ht="15.5">
      <c r="A398" s="121"/>
      <c r="B398" s="123"/>
      <c r="C398" s="123"/>
      <c r="D398" s="123"/>
      <c r="E398" s="123"/>
      <c r="F398" s="123"/>
      <c r="G398" s="123"/>
      <c r="H398" s="123"/>
      <c r="I398" s="123"/>
      <c r="J398" s="123"/>
      <c r="K398" s="123"/>
      <c r="L398" s="123"/>
      <c r="M398" s="123"/>
    </row>
    <row r="399" spans="1:13" ht="15.5">
      <c r="A399" s="121"/>
      <c r="B399" s="123"/>
      <c r="C399" s="123"/>
      <c r="D399" s="123"/>
      <c r="E399" s="123"/>
      <c r="F399" s="123"/>
      <c r="G399" s="123"/>
      <c r="H399" s="123"/>
      <c r="I399" s="123"/>
      <c r="J399" s="123"/>
      <c r="K399" s="123"/>
      <c r="L399" s="123"/>
      <c r="M399" s="123"/>
    </row>
    <row r="400" spans="1:13" ht="15.5">
      <c r="A400" s="121"/>
      <c r="B400" s="123"/>
      <c r="C400" s="123"/>
      <c r="D400" s="123"/>
      <c r="E400" s="123"/>
      <c r="F400" s="123"/>
      <c r="G400" s="123"/>
      <c r="H400" s="123"/>
      <c r="I400" s="123"/>
      <c r="J400" s="123"/>
      <c r="K400" s="123"/>
      <c r="L400" s="123"/>
      <c r="M400" s="123"/>
    </row>
    <row r="401" spans="1:13" ht="15.5">
      <c r="A401" s="121"/>
      <c r="B401" s="123"/>
      <c r="C401" s="123"/>
      <c r="D401" s="123"/>
      <c r="E401" s="123"/>
      <c r="F401" s="123"/>
      <c r="G401" s="123"/>
      <c r="H401" s="123"/>
      <c r="I401" s="123"/>
      <c r="J401" s="123"/>
      <c r="K401" s="123"/>
      <c r="L401" s="123"/>
      <c r="M401" s="123"/>
    </row>
    <row r="402" spans="1:13" ht="15.5">
      <c r="A402" s="121"/>
      <c r="B402" s="123"/>
      <c r="C402" s="123"/>
      <c r="D402" s="123"/>
      <c r="E402" s="123"/>
      <c r="F402" s="123"/>
      <c r="G402" s="123"/>
      <c r="H402" s="123"/>
      <c r="I402" s="123"/>
      <c r="J402" s="123"/>
      <c r="K402" s="123"/>
      <c r="L402" s="123"/>
      <c r="M402" s="123"/>
    </row>
    <row r="403" spans="1:13" ht="15.5">
      <c r="A403" s="121"/>
      <c r="B403" s="123"/>
      <c r="C403" s="123"/>
      <c r="D403" s="123"/>
      <c r="E403" s="123"/>
      <c r="F403" s="123"/>
      <c r="G403" s="123"/>
      <c r="H403" s="123"/>
      <c r="I403" s="123"/>
      <c r="J403" s="123"/>
      <c r="K403" s="123"/>
      <c r="L403" s="123"/>
      <c r="M403" s="123"/>
    </row>
    <row r="404" spans="1:13" ht="15.5">
      <c r="A404" s="121"/>
      <c r="B404" s="123"/>
      <c r="C404" s="123"/>
      <c r="D404" s="123"/>
      <c r="E404" s="123"/>
      <c r="F404" s="123"/>
      <c r="G404" s="123"/>
      <c r="H404" s="123"/>
      <c r="I404" s="123"/>
      <c r="J404" s="123"/>
      <c r="K404" s="123"/>
      <c r="L404" s="123"/>
      <c r="M404" s="123"/>
    </row>
    <row r="405" spans="1:13" ht="15.5">
      <c r="A405" s="121"/>
      <c r="B405" s="123"/>
      <c r="C405" s="123"/>
      <c r="D405" s="123"/>
      <c r="E405" s="123"/>
      <c r="F405" s="123"/>
      <c r="G405" s="123"/>
      <c r="H405" s="123"/>
      <c r="I405" s="123"/>
      <c r="J405" s="123"/>
      <c r="K405" s="123"/>
      <c r="L405" s="123"/>
      <c r="M405" s="123"/>
    </row>
    <row r="406" spans="1:13" ht="15.5">
      <c r="A406" s="121"/>
      <c r="B406" s="123"/>
      <c r="C406" s="123"/>
      <c r="D406" s="123"/>
      <c r="E406" s="123"/>
      <c r="F406" s="123"/>
      <c r="G406" s="123"/>
      <c r="H406" s="123"/>
      <c r="I406" s="123"/>
      <c r="J406" s="123"/>
      <c r="K406" s="123"/>
      <c r="L406" s="123"/>
      <c r="M406" s="123"/>
    </row>
    <row r="407" spans="1:13" ht="15.5">
      <c r="A407" s="121"/>
      <c r="B407" s="123"/>
      <c r="C407" s="123"/>
      <c r="D407" s="123"/>
      <c r="E407" s="123"/>
      <c r="F407" s="123"/>
      <c r="G407" s="123"/>
      <c r="H407" s="123"/>
      <c r="I407" s="123"/>
      <c r="J407" s="123"/>
      <c r="K407" s="123"/>
      <c r="L407" s="123"/>
      <c r="M407" s="123"/>
    </row>
    <row r="408" spans="1:13" ht="15.5">
      <c r="A408" s="121"/>
      <c r="B408" s="123"/>
      <c r="C408" s="123"/>
      <c r="D408" s="123"/>
      <c r="E408" s="123"/>
      <c r="F408" s="123"/>
      <c r="G408" s="123"/>
      <c r="H408" s="123"/>
      <c r="I408" s="123"/>
      <c r="J408" s="123"/>
      <c r="K408" s="123"/>
      <c r="L408" s="123"/>
      <c r="M408" s="123"/>
    </row>
    <row r="409" spans="1:13" ht="15.5">
      <c r="A409" s="121"/>
      <c r="B409" s="123"/>
      <c r="C409" s="123"/>
      <c r="D409" s="123"/>
      <c r="E409" s="123"/>
      <c r="F409" s="123"/>
      <c r="G409" s="123"/>
      <c r="H409" s="123"/>
      <c r="I409" s="123"/>
      <c r="J409" s="123"/>
      <c r="K409" s="123"/>
      <c r="L409" s="123"/>
      <c r="M409" s="123"/>
    </row>
    <row r="410" spans="1:13" ht="15.5">
      <c r="A410" s="121"/>
      <c r="B410" s="123"/>
      <c r="C410" s="123"/>
      <c r="D410" s="123"/>
      <c r="E410" s="123"/>
      <c r="F410" s="123"/>
      <c r="G410" s="123"/>
      <c r="H410" s="123"/>
      <c r="I410" s="123"/>
      <c r="J410" s="123"/>
      <c r="K410" s="123"/>
      <c r="L410" s="123"/>
      <c r="M410" s="123"/>
    </row>
    <row r="411" spans="1:13" ht="15.5">
      <c r="A411" s="121"/>
      <c r="B411" s="123"/>
      <c r="C411" s="123"/>
      <c r="D411" s="123"/>
      <c r="E411" s="123"/>
      <c r="F411" s="123"/>
      <c r="G411" s="123"/>
      <c r="H411" s="123"/>
      <c r="I411" s="121"/>
      <c r="J411" s="121"/>
      <c r="K411" s="121"/>
      <c r="L411" s="121"/>
      <c r="M411" s="121"/>
    </row>
    <row r="412" spans="1:13" ht="15.5">
      <c r="A412" s="121"/>
      <c r="B412" s="123"/>
      <c r="C412" s="123"/>
      <c r="D412" s="123"/>
      <c r="E412" s="123"/>
      <c r="F412" s="123"/>
      <c r="G412" s="123"/>
      <c r="H412" s="123"/>
      <c r="I412" s="121"/>
      <c r="J412" s="121"/>
      <c r="K412" s="121"/>
      <c r="L412" s="121"/>
      <c r="M412" s="121"/>
    </row>
    <row r="413" spans="1:13" ht="15.5">
      <c r="A413" s="121"/>
      <c r="B413" s="123"/>
      <c r="C413" s="123"/>
      <c r="D413" s="123"/>
      <c r="E413" s="123"/>
      <c r="F413" s="123"/>
      <c r="G413" s="123"/>
      <c r="H413" s="123"/>
      <c r="I413" s="121"/>
      <c r="J413" s="121"/>
      <c r="K413" s="121"/>
      <c r="L413" s="121"/>
      <c r="M413" s="121"/>
    </row>
    <row r="414" spans="1:13" ht="15.5">
      <c r="A414" s="121"/>
      <c r="B414" s="123"/>
      <c r="C414" s="123"/>
      <c r="D414" s="123"/>
      <c r="E414" s="123"/>
      <c r="F414" s="123"/>
      <c r="G414" s="123"/>
      <c r="H414" s="123"/>
      <c r="I414" s="121"/>
      <c r="J414" s="121"/>
      <c r="K414" s="121"/>
      <c r="L414" s="121"/>
      <c r="M414" s="121"/>
    </row>
    <row r="415" spans="1:13" ht="15.5">
      <c r="A415" s="121"/>
      <c r="B415" s="123"/>
      <c r="C415" s="123"/>
      <c r="D415" s="123"/>
      <c r="E415" s="123"/>
      <c r="F415" s="123"/>
      <c r="G415" s="123"/>
      <c r="H415" s="123"/>
      <c r="I415" s="121"/>
      <c r="J415" s="121"/>
      <c r="K415" s="121"/>
      <c r="L415" s="121"/>
      <c r="M415" s="121"/>
    </row>
    <row r="416" spans="1:13" ht="15.5">
      <c r="A416" s="121"/>
      <c r="B416" s="123"/>
      <c r="C416" s="123"/>
      <c r="D416" s="123"/>
      <c r="E416" s="123"/>
      <c r="F416" s="123"/>
      <c r="G416" s="123"/>
      <c r="H416" s="123"/>
      <c r="I416" s="121"/>
      <c r="J416" s="121"/>
      <c r="K416" s="121"/>
      <c r="L416" s="121"/>
      <c r="M416" s="121"/>
    </row>
    <row r="417" spans="1:13" ht="15.5">
      <c r="A417" s="121"/>
      <c r="B417" s="123"/>
      <c r="C417" s="123"/>
      <c r="D417" s="123"/>
      <c r="E417" s="123"/>
      <c r="F417" s="123"/>
      <c r="G417" s="123"/>
      <c r="H417" s="123"/>
      <c r="I417" s="121"/>
      <c r="J417" s="121"/>
      <c r="K417" s="121"/>
      <c r="L417" s="121"/>
      <c r="M417" s="121"/>
    </row>
    <row r="418" spans="1:13" ht="15.5">
      <c r="A418" s="121"/>
      <c r="B418" s="123"/>
      <c r="C418" s="123"/>
      <c r="D418" s="123"/>
      <c r="E418" s="123"/>
      <c r="F418" s="123"/>
      <c r="G418" s="123"/>
      <c r="H418" s="123"/>
      <c r="I418" s="121"/>
      <c r="J418" s="121"/>
      <c r="K418" s="121"/>
      <c r="L418" s="121"/>
      <c r="M418" s="121"/>
    </row>
    <row r="419" spans="1:13" ht="15.5">
      <c r="A419" s="121"/>
      <c r="B419" s="123"/>
      <c r="C419" s="123"/>
      <c r="D419" s="123"/>
      <c r="E419" s="123"/>
      <c r="F419" s="123"/>
      <c r="G419" s="123"/>
      <c r="H419" s="123"/>
      <c r="I419" s="121"/>
      <c r="J419" s="121"/>
      <c r="K419" s="121"/>
      <c r="L419" s="121"/>
      <c r="M419" s="121"/>
    </row>
    <row r="420" spans="1:13" ht="15.5">
      <c r="A420" s="121"/>
      <c r="B420" s="123"/>
      <c r="C420" s="123"/>
      <c r="D420" s="123"/>
      <c r="E420" s="123"/>
      <c r="F420" s="123"/>
      <c r="G420" s="123"/>
      <c r="H420" s="123"/>
      <c r="I420" s="121"/>
      <c r="J420" s="121"/>
      <c r="K420" s="121"/>
      <c r="L420" s="121"/>
      <c r="M420" s="121"/>
    </row>
    <row r="421" spans="1:13" ht="15.5">
      <c r="A421" s="121"/>
      <c r="B421" s="123"/>
      <c r="C421" s="123"/>
      <c r="D421" s="123"/>
      <c r="E421" s="123"/>
      <c r="F421" s="123"/>
      <c r="G421" s="123"/>
      <c r="H421" s="123"/>
      <c r="I421" s="121"/>
      <c r="J421" s="121"/>
      <c r="K421" s="121"/>
      <c r="L421" s="121"/>
      <c r="M421" s="121"/>
    </row>
    <row r="422" spans="1:13" ht="15.5">
      <c r="A422" s="121"/>
      <c r="B422" s="123"/>
      <c r="C422" s="123"/>
      <c r="D422" s="123"/>
      <c r="E422" s="123"/>
      <c r="F422" s="123"/>
      <c r="G422" s="123"/>
      <c r="H422" s="123"/>
      <c r="I422" s="121"/>
      <c r="J422" s="121"/>
      <c r="K422" s="121"/>
      <c r="L422" s="121"/>
      <c r="M422" s="121"/>
    </row>
    <row r="423" spans="1:13" ht="15.5">
      <c r="A423" s="121"/>
      <c r="B423" s="123"/>
      <c r="C423" s="123"/>
      <c r="D423" s="123"/>
      <c r="E423" s="123"/>
      <c r="F423" s="123"/>
      <c r="G423" s="123"/>
      <c r="H423" s="123"/>
      <c r="I423" s="121"/>
      <c r="J423" s="121"/>
      <c r="K423" s="121"/>
      <c r="L423" s="121"/>
      <c r="M423" s="121"/>
    </row>
    <row r="424" spans="1:13" ht="15.5">
      <c r="A424" s="121"/>
      <c r="B424" s="123"/>
      <c r="C424" s="123"/>
      <c r="D424" s="123"/>
      <c r="E424" s="123"/>
      <c r="F424" s="123"/>
      <c r="G424" s="123"/>
      <c r="H424" s="123"/>
      <c r="I424" s="121"/>
      <c r="J424" s="121"/>
      <c r="K424" s="121"/>
      <c r="L424" s="121"/>
      <c r="M424" s="121"/>
    </row>
    <row r="425" spans="1:13" ht="15.5">
      <c r="A425" s="121"/>
      <c r="B425" s="123"/>
      <c r="C425" s="123"/>
      <c r="D425" s="123"/>
      <c r="E425" s="123"/>
      <c r="F425" s="123"/>
      <c r="G425" s="123"/>
      <c r="H425" s="123"/>
      <c r="I425" s="121"/>
      <c r="J425" s="121"/>
      <c r="K425" s="121"/>
      <c r="L425" s="121"/>
      <c r="M425" s="121"/>
    </row>
    <row r="426" spans="1:13" ht="15.5">
      <c r="A426" s="121"/>
      <c r="B426" s="123"/>
      <c r="C426" s="123"/>
      <c r="D426" s="123"/>
      <c r="E426" s="123"/>
      <c r="F426" s="123"/>
      <c r="G426" s="123"/>
      <c r="H426" s="123"/>
      <c r="I426" s="121"/>
      <c r="J426" s="121"/>
      <c r="K426" s="121"/>
      <c r="L426" s="121"/>
      <c r="M426" s="121"/>
    </row>
    <row r="427" spans="1:13" ht="15.5">
      <c r="A427" s="121"/>
      <c r="B427" s="123"/>
      <c r="C427" s="123"/>
      <c r="D427" s="123"/>
      <c r="E427" s="123"/>
      <c r="F427" s="123"/>
      <c r="G427" s="123"/>
      <c r="H427" s="123"/>
      <c r="I427" s="121"/>
      <c r="J427" s="121"/>
      <c r="K427" s="121"/>
      <c r="L427" s="121"/>
      <c r="M427" s="121"/>
    </row>
    <row r="428" spans="1:13" ht="15.5">
      <c r="A428" s="121"/>
      <c r="B428" s="123"/>
      <c r="C428" s="123"/>
      <c r="D428" s="123"/>
      <c r="E428" s="123"/>
      <c r="F428" s="123"/>
      <c r="G428" s="123"/>
      <c r="H428" s="123"/>
      <c r="I428" s="121"/>
      <c r="J428" s="121"/>
      <c r="K428" s="121"/>
      <c r="L428" s="121"/>
      <c r="M428" s="121"/>
    </row>
    <row r="429" spans="1:13" ht="15.5">
      <c r="A429" s="121"/>
      <c r="B429" s="123"/>
      <c r="C429" s="123"/>
      <c r="D429" s="123"/>
      <c r="E429" s="123"/>
      <c r="F429" s="123"/>
      <c r="G429" s="123"/>
      <c r="H429" s="123"/>
      <c r="I429" s="121"/>
      <c r="J429" s="121"/>
      <c r="K429" s="121"/>
      <c r="L429" s="121"/>
      <c r="M429" s="121"/>
    </row>
    <row r="430" spans="1:13" ht="15.5">
      <c r="A430" s="121"/>
      <c r="B430" s="123"/>
      <c r="C430" s="123"/>
      <c r="D430" s="123"/>
      <c r="E430" s="123"/>
      <c r="F430" s="123"/>
      <c r="G430" s="123"/>
      <c r="H430" s="123"/>
      <c r="I430" s="121"/>
      <c r="J430" s="121"/>
      <c r="K430" s="121"/>
      <c r="L430" s="121"/>
      <c r="M430" s="121"/>
    </row>
    <row r="431" spans="1:13" ht="15.5">
      <c r="A431" s="121"/>
      <c r="B431" s="123"/>
      <c r="C431" s="123"/>
      <c r="D431" s="123"/>
      <c r="E431" s="123"/>
      <c r="F431" s="123"/>
      <c r="G431" s="123"/>
      <c r="H431" s="123"/>
      <c r="I431" s="121"/>
      <c r="J431" s="121"/>
      <c r="K431" s="121"/>
      <c r="L431" s="121"/>
      <c r="M431" s="121"/>
    </row>
    <row r="432" spans="1:13" ht="15.5">
      <c r="A432" s="121"/>
      <c r="B432" s="123"/>
      <c r="C432" s="123"/>
      <c r="D432" s="123"/>
      <c r="E432" s="123"/>
      <c r="F432" s="123"/>
      <c r="G432" s="123"/>
      <c r="H432" s="123"/>
      <c r="I432" s="121"/>
      <c r="J432" s="121"/>
      <c r="K432" s="121"/>
      <c r="L432" s="121"/>
      <c r="M432" s="121"/>
    </row>
    <row r="433" spans="1:13" ht="15.5">
      <c r="A433" s="121"/>
      <c r="B433" s="123"/>
      <c r="C433" s="123"/>
      <c r="D433" s="123"/>
      <c r="E433" s="123"/>
      <c r="F433" s="123"/>
      <c r="G433" s="123"/>
      <c r="H433" s="123"/>
      <c r="I433" s="121"/>
      <c r="J433" s="121"/>
      <c r="K433" s="121"/>
      <c r="L433" s="121"/>
      <c r="M433" s="121"/>
    </row>
    <row r="434" spans="1:13" ht="15.5">
      <c r="A434" s="121"/>
      <c r="B434" s="123"/>
      <c r="C434" s="123"/>
      <c r="D434" s="123"/>
      <c r="E434" s="123"/>
      <c r="F434" s="123"/>
      <c r="G434" s="123"/>
      <c r="H434" s="123"/>
      <c r="I434" s="121"/>
      <c r="J434" s="121"/>
      <c r="K434" s="121"/>
      <c r="L434" s="121"/>
      <c r="M434" s="121"/>
    </row>
    <row r="435" spans="1:13" ht="15.5">
      <c r="A435" s="121"/>
      <c r="B435" s="123"/>
      <c r="C435" s="123"/>
      <c r="D435" s="123"/>
      <c r="E435" s="123"/>
      <c r="F435" s="123"/>
      <c r="G435" s="123"/>
      <c r="H435" s="123"/>
      <c r="I435" s="121"/>
      <c r="J435" s="121"/>
      <c r="K435" s="121"/>
      <c r="L435" s="121"/>
      <c r="M435" s="121"/>
    </row>
    <row r="436" spans="1:13" ht="15.5">
      <c r="A436" s="121"/>
      <c r="B436" s="123"/>
      <c r="C436" s="123"/>
      <c r="D436" s="123"/>
      <c r="E436" s="123"/>
      <c r="F436" s="123"/>
      <c r="G436" s="123"/>
      <c r="H436" s="123"/>
      <c r="I436" s="121"/>
      <c r="J436" s="121"/>
      <c r="K436" s="121"/>
      <c r="L436" s="121"/>
      <c r="M436" s="121"/>
    </row>
    <row r="437" spans="1:13" ht="15.5">
      <c r="A437" s="121"/>
      <c r="B437" s="123"/>
      <c r="C437" s="123"/>
      <c r="D437" s="123"/>
      <c r="E437" s="123"/>
      <c r="F437" s="123"/>
      <c r="G437" s="123"/>
      <c r="H437" s="123"/>
      <c r="I437" s="121"/>
      <c r="J437" s="121"/>
      <c r="K437" s="121"/>
      <c r="L437" s="121"/>
      <c r="M437" s="121"/>
    </row>
    <row r="438" spans="1:13" ht="15.5">
      <c r="A438" s="121"/>
      <c r="B438" s="123"/>
      <c r="C438" s="123"/>
      <c r="D438" s="123"/>
      <c r="E438" s="123"/>
      <c r="F438" s="123"/>
      <c r="G438" s="123"/>
      <c r="H438" s="123"/>
      <c r="I438" s="121"/>
      <c r="J438" s="121"/>
      <c r="K438" s="121"/>
      <c r="L438" s="121"/>
      <c r="M438" s="121"/>
    </row>
    <row r="439" spans="1:13" ht="15.5">
      <c r="A439" s="121"/>
      <c r="B439" s="123"/>
      <c r="C439" s="123"/>
      <c r="D439" s="123"/>
      <c r="E439" s="123"/>
      <c r="F439" s="123"/>
      <c r="G439" s="123"/>
      <c r="H439" s="123"/>
      <c r="I439" s="121"/>
      <c r="J439" s="121"/>
      <c r="K439" s="121"/>
      <c r="L439" s="121"/>
      <c r="M439" s="121"/>
    </row>
    <row r="440" spans="1:13" ht="15.5">
      <c r="A440" s="121"/>
      <c r="B440" s="123"/>
      <c r="C440" s="123"/>
      <c r="D440" s="123"/>
      <c r="E440" s="123"/>
      <c r="F440" s="123"/>
      <c r="G440" s="123"/>
      <c r="H440" s="123"/>
      <c r="I440" s="121"/>
      <c r="J440" s="121"/>
      <c r="K440" s="121"/>
      <c r="L440" s="121"/>
      <c r="M440" s="121"/>
    </row>
    <row r="441" spans="1:13" ht="15.5">
      <c r="A441" s="121"/>
      <c r="B441" s="123"/>
      <c r="C441" s="123"/>
      <c r="D441" s="123"/>
      <c r="E441" s="123"/>
      <c r="F441" s="123"/>
      <c r="G441" s="123"/>
      <c r="H441" s="123"/>
      <c r="I441" s="121"/>
      <c r="J441" s="121"/>
      <c r="K441" s="121"/>
      <c r="L441" s="121"/>
      <c r="M441" s="121"/>
    </row>
    <row r="442" spans="1:13" ht="15.5">
      <c r="A442" s="121"/>
      <c r="B442" s="123"/>
      <c r="C442" s="123"/>
      <c r="D442" s="123"/>
      <c r="E442" s="123"/>
      <c r="F442" s="123"/>
      <c r="G442" s="123"/>
      <c r="H442" s="123"/>
      <c r="I442" s="121"/>
      <c r="J442" s="121"/>
      <c r="K442" s="121"/>
      <c r="L442" s="121"/>
      <c r="M442" s="121"/>
    </row>
    <row r="443" spans="1:13" ht="15.5">
      <c r="A443" s="121"/>
      <c r="B443" s="123"/>
      <c r="C443" s="123"/>
      <c r="D443" s="123"/>
      <c r="E443" s="123"/>
      <c r="F443" s="123"/>
      <c r="G443" s="123"/>
      <c r="H443" s="123"/>
      <c r="I443" s="121"/>
      <c r="J443" s="121"/>
      <c r="K443" s="121"/>
      <c r="L443" s="121"/>
      <c r="M443" s="121"/>
    </row>
    <row r="444" spans="1:13" ht="15.5">
      <c r="A444" s="121"/>
      <c r="B444" s="123"/>
      <c r="C444" s="123"/>
      <c r="D444" s="123"/>
      <c r="E444" s="123"/>
      <c r="F444" s="123"/>
      <c r="G444" s="123"/>
      <c r="H444" s="123"/>
      <c r="I444" s="121"/>
      <c r="J444" s="121"/>
      <c r="K444" s="121"/>
      <c r="L444" s="121"/>
      <c r="M444" s="121"/>
    </row>
    <row r="445" spans="1:13" ht="15.5">
      <c r="A445" s="121"/>
      <c r="B445" s="123"/>
      <c r="C445" s="123"/>
      <c r="D445" s="123"/>
      <c r="E445" s="123"/>
      <c r="F445" s="123"/>
      <c r="G445" s="123"/>
      <c r="H445" s="123"/>
      <c r="I445" s="121"/>
      <c r="J445" s="121"/>
      <c r="K445" s="121"/>
      <c r="L445" s="121"/>
      <c r="M445" s="121"/>
    </row>
    <row r="446" spans="1:13" ht="15.5">
      <c r="A446" s="121"/>
      <c r="B446" s="123"/>
      <c r="C446" s="123"/>
      <c r="D446" s="123"/>
      <c r="E446" s="123"/>
      <c r="F446" s="123"/>
      <c r="G446" s="123"/>
      <c r="H446" s="123"/>
      <c r="I446" s="121"/>
      <c r="J446" s="121"/>
      <c r="K446" s="121"/>
      <c r="L446" s="121"/>
      <c r="M446" s="121"/>
    </row>
    <row r="447" spans="1:13" ht="15.5">
      <c r="A447" s="121"/>
      <c r="B447" s="123"/>
      <c r="C447" s="123"/>
      <c r="D447" s="123"/>
      <c r="E447" s="123"/>
      <c r="F447" s="123"/>
      <c r="G447" s="123"/>
      <c r="H447" s="123"/>
      <c r="I447" s="121"/>
      <c r="J447" s="121"/>
      <c r="K447" s="121"/>
      <c r="L447" s="121"/>
      <c r="M447" s="121"/>
    </row>
    <row r="448" spans="1:13" ht="15.5">
      <c r="A448" s="121"/>
      <c r="B448" s="123"/>
      <c r="C448" s="123"/>
      <c r="D448" s="123"/>
      <c r="E448" s="123"/>
      <c r="F448" s="123"/>
      <c r="G448" s="123"/>
      <c r="H448" s="123"/>
      <c r="I448" s="121"/>
      <c r="J448" s="121"/>
      <c r="K448" s="121"/>
      <c r="L448" s="121"/>
      <c r="M448" s="121"/>
    </row>
    <row r="449" spans="1:13" ht="15.5">
      <c r="A449" s="121"/>
      <c r="B449" s="123"/>
      <c r="C449" s="123"/>
      <c r="D449" s="123"/>
      <c r="E449" s="123"/>
      <c r="F449" s="123"/>
      <c r="G449" s="123"/>
      <c r="H449" s="123"/>
      <c r="I449" s="121"/>
      <c r="J449" s="121"/>
      <c r="K449" s="121"/>
      <c r="L449" s="121"/>
      <c r="M449" s="121"/>
    </row>
    <row r="450" spans="1:13" ht="15.5">
      <c r="A450" s="121"/>
      <c r="B450" s="123"/>
      <c r="C450" s="123"/>
      <c r="D450" s="123"/>
      <c r="E450" s="123"/>
      <c r="F450" s="123"/>
      <c r="G450" s="123"/>
      <c r="H450" s="123"/>
      <c r="I450" s="121"/>
      <c r="J450" s="121"/>
      <c r="K450" s="121"/>
      <c r="L450" s="121"/>
      <c r="M450" s="121"/>
    </row>
    <row r="451" spans="1:13" ht="15.5">
      <c r="A451" s="121"/>
      <c r="B451" s="123"/>
      <c r="C451" s="123"/>
      <c r="D451" s="123"/>
      <c r="E451" s="123"/>
      <c r="F451" s="123"/>
      <c r="G451" s="123"/>
      <c r="H451" s="123"/>
      <c r="I451" s="121"/>
      <c r="J451" s="121"/>
      <c r="K451" s="121"/>
      <c r="L451" s="121"/>
      <c r="M451" s="121"/>
    </row>
    <row r="452" spans="1:13" ht="15.5">
      <c r="A452" s="121"/>
      <c r="B452" s="123"/>
      <c r="C452" s="123"/>
      <c r="D452" s="123"/>
      <c r="E452" s="123"/>
      <c r="F452" s="123"/>
      <c r="G452" s="123"/>
      <c r="H452" s="123"/>
      <c r="I452" s="121"/>
      <c r="J452" s="121"/>
      <c r="K452" s="121"/>
      <c r="L452" s="121"/>
      <c r="M452" s="121"/>
    </row>
    <row r="453" spans="1:13" ht="15.5">
      <c r="A453" s="121"/>
      <c r="B453" s="123"/>
      <c r="C453" s="123"/>
      <c r="D453" s="123"/>
      <c r="E453" s="123"/>
      <c r="F453" s="123"/>
      <c r="G453" s="123"/>
      <c r="H453" s="123"/>
      <c r="I453" s="121"/>
      <c r="J453" s="121"/>
      <c r="K453" s="121"/>
      <c r="L453" s="121"/>
      <c r="M453" s="121"/>
    </row>
    <row r="454" spans="1:13" ht="15.5">
      <c r="A454" s="121"/>
      <c r="B454" s="123"/>
      <c r="C454" s="123"/>
      <c r="D454" s="123"/>
      <c r="E454" s="123"/>
      <c r="F454" s="123"/>
      <c r="G454" s="123"/>
      <c r="H454" s="123"/>
      <c r="I454" s="121"/>
      <c r="J454" s="121"/>
      <c r="K454" s="121"/>
      <c r="L454" s="121"/>
      <c r="M454" s="121"/>
    </row>
    <row r="455" spans="1:13" ht="15.5">
      <c r="A455" s="121"/>
      <c r="B455" s="123"/>
      <c r="C455" s="123"/>
      <c r="D455" s="123"/>
      <c r="E455" s="123"/>
      <c r="F455" s="123"/>
      <c r="G455" s="123"/>
      <c r="H455" s="123"/>
      <c r="I455" s="121"/>
      <c r="J455" s="121"/>
      <c r="K455" s="121"/>
      <c r="L455" s="121"/>
      <c r="M455" s="121"/>
    </row>
    <row r="456" spans="1:13" ht="15.5">
      <c r="A456" s="121"/>
      <c r="B456" s="123"/>
      <c r="C456" s="123"/>
      <c r="D456" s="123"/>
      <c r="E456" s="123"/>
      <c r="F456" s="123"/>
      <c r="G456" s="123"/>
      <c r="H456" s="123"/>
      <c r="I456" s="121"/>
      <c r="J456" s="121"/>
      <c r="K456" s="121"/>
      <c r="L456" s="121"/>
      <c r="M456" s="121"/>
    </row>
    <row r="457" spans="1:13" ht="15.5">
      <c r="A457" s="121"/>
      <c r="B457" s="123"/>
      <c r="C457" s="123"/>
      <c r="D457" s="123"/>
      <c r="E457" s="123"/>
      <c r="F457" s="123"/>
      <c r="G457" s="123"/>
      <c r="H457" s="123"/>
      <c r="I457" s="121"/>
      <c r="J457" s="121"/>
      <c r="K457" s="121"/>
      <c r="L457" s="121"/>
      <c r="M457" s="121"/>
    </row>
    <row r="458" spans="1:13" ht="15.5">
      <c r="A458" s="121"/>
      <c r="B458" s="123"/>
      <c r="C458" s="123"/>
      <c r="D458" s="123"/>
      <c r="E458" s="123"/>
      <c r="F458" s="123"/>
      <c r="G458" s="123"/>
      <c r="H458" s="123"/>
      <c r="I458" s="121"/>
      <c r="J458" s="121"/>
      <c r="K458" s="121"/>
      <c r="L458" s="121"/>
      <c r="M458" s="121"/>
    </row>
    <row r="459" spans="1:13" ht="15.5">
      <c r="A459" s="121"/>
      <c r="B459" s="123"/>
      <c r="C459" s="123"/>
      <c r="D459" s="123"/>
      <c r="E459" s="123"/>
      <c r="F459" s="123"/>
      <c r="G459" s="123"/>
      <c r="H459" s="123"/>
      <c r="I459" s="121"/>
      <c r="J459" s="121"/>
      <c r="K459" s="121"/>
      <c r="L459" s="121"/>
      <c r="M459" s="121"/>
    </row>
    <row r="460" spans="1:13" ht="15.5">
      <c r="A460" s="121"/>
      <c r="B460" s="123"/>
      <c r="C460" s="123"/>
      <c r="D460" s="123"/>
      <c r="E460" s="123"/>
      <c r="F460" s="123"/>
      <c r="G460" s="123"/>
      <c r="H460" s="123"/>
      <c r="I460" s="121"/>
      <c r="J460" s="121"/>
      <c r="K460" s="121"/>
      <c r="L460" s="121"/>
      <c r="M460" s="121"/>
    </row>
    <row r="461" spans="1:13" ht="15.5">
      <c r="A461" s="121"/>
      <c r="B461" s="123"/>
      <c r="C461" s="123"/>
      <c r="D461" s="123"/>
      <c r="E461" s="123"/>
      <c r="F461" s="123"/>
      <c r="G461" s="123"/>
      <c r="H461" s="123"/>
      <c r="I461" s="121"/>
      <c r="J461" s="121"/>
      <c r="K461" s="121"/>
      <c r="L461" s="121"/>
      <c r="M461" s="121"/>
    </row>
    <row r="462" spans="1:13" ht="15.5">
      <c r="A462" s="121"/>
      <c r="B462" s="123"/>
      <c r="C462" s="123"/>
      <c r="D462" s="123"/>
      <c r="E462" s="123"/>
      <c r="F462" s="123"/>
      <c r="G462" s="123"/>
      <c r="H462" s="123"/>
      <c r="I462" s="121"/>
      <c r="J462" s="121"/>
      <c r="K462" s="121"/>
      <c r="L462" s="121"/>
      <c r="M462" s="121"/>
    </row>
    <row r="463" spans="1:13" ht="15.5">
      <c r="A463" s="121"/>
      <c r="B463" s="123"/>
      <c r="C463" s="123"/>
      <c r="D463" s="123"/>
      <c r="E463" s="123"/>
      <c r="F463" s="123"/>
      <c r="G463" s="123"/>
      <c r="H463" s="123"/>
      <c r="I463" s="121"/>
      <c r="J463" s="121"/>
      <c r="K463" s="121"/>
      <c r="L463" s="121"/>
      <c r="M463" s="121"/>
    </row>
    <row r="464" spans="1:13" ht="15.5">
      <c r="A464" s="121"/>
      <c r="B464" s="123"/>
      <c r="C464" s="123"/>
      <c r="D464" s="123"/>
      <c r="E464" s="123"/>
      <c r="F464" s="123"/>
      <c r="G464" s="123"/>
      <c r="H464" s="123"/>
      <c r="I464" s="121"/>
      <c r="J464" s="121"/>
      <c r="K464" s="121"/>
      <c r="L464" s="121"/>
      <c r="M464" s="121"/>
    </row>
    <row r="465" spans="1:13" ht="15.5">
      <c r="A465" s="121"/>
      <c r="B465" s="123"/>
      <c r="C465" s="123"/>
      <c r="D465" s="123"/>
      <c r="E465" s="123"/>
      <c r="F465" s="123"/>
      <c r="G465" s="123"/>
      <c r="H465" s="123"/>
      <c r="I465" s="121"/>
      <c r="J465" s="121"/>
      <c r="K465" s="121"/>
      <c r="L465" s="121"/>
      <c r="M465" s="121"/>
    </row>
    <row r="466" spans="1:13" ht="15.5">
      <c r="A466" s="121"/>
      <c r="B466" s="123"/>
      <c r="C466" s="123"/>
      <c r="D466" s="123"/>
      <c r="E466" s="123"/>
      <c r="F466" s="123"/>
      <c r="G466" s="123"/>
      <c r="H466" s="123"/>
      <c r="I466" s="121"/>
      <c r="J466" s="121"/>
      <c r="K466" s="121"/>
      <c r="L466" s="121"/>
      <c r="M466" s="121"/>
    </row>
    <row r="467" spans="1:13" ht="15.5">
      <c r="A467" s="121"/>
      <c r="B467" s="123"/>
      <c r="C467" s="123"/>
      <c r="D467" s="123"/>
      <c r="E467" s="123"/>
      <c r="F467" s="123"/>
      <c r="G467" s="123"/>
      <c r="H467" s="123"/>
      <c r="I467" s="121"/>
      <c r="J467" s="121"/>
      <c r="K467" s="121"/>
      <c r="L467" s="121"/>
      <c r="M467" s="121"/>
    </row>
    <row r="468" spans="1:13" ht="15.5">
      <c r="A468" s="121"/>
      <c r="B468" s="123"/>
      <c r="C468" s="123"/>
      <c r="D468" s="123"/>
      <c r="E468" s="123"/>
      <c r="F468" s="123"/>
      <c r="G468" s="123"/>
      <c r="H468" s="123"/>
      <c r="I468" s="121"/>
      <c r="J468" s="121"/>
      <c r="K468" s="121"/>
      <c r="L468" s="121"/>
      <c r="M468" s="121"/>
    </row>
    <row r="469" spans="1:13" ht="15.5">
      <c r="A469" s="121"/>
      <c r="B469" s="123"/>
      <c r="C469" s="123"/>
      <c r="D469" s="123"/>
      <c r="E469" s="123"/>
      <c r="F469" s="123"/>
      <c r="G469" s="123"/>
      <c r="H469" s="123"/>
      <c r="I469" s="121"/>
      <c r="J469" s="121"/>
      <c r="K469" s="121"/>
      <c r="L469" s="121"/>
      <c r="M469" s="121"/>
    </row>
    <row r="470" spans="1:13" ht="15.5">
      <c r="A470" s="121"/>
      <c r="B470" s="123"/>
      <c r="C470" s="123"/>
      <c r="D470" s="123"/>
      <c r="E470" s="123"/>
      <c r="F470" s="123"/>
      <c r="G470" s="123"/>
      <c r="H470" s="123"/>
      <c r="I470" s="121"/>
      <c r="J470" s="121"/>
      <c r="K470" s="121"/>
      <c r="L470" s="121"/>
      <c r="M470" s="121"/>
    </row>
    <row r="471" spans="1:13" ht="15.5">
      <c r="A471" s="121"/>
      <c r="B471" s="123"/>
      <c r="C471" s="123"/>
      <c r="D471" s="123"/>
      <c r="E471" s="123"/>
      <c r="F471" s="123"/>
      <c r="G471" s="123"/>
      <c r="H471" s="123"/>
      <c r="I471" s="121"/>
      <c r="J471" s="121"/>
      <c r="K471" s="121"/>
      <c r="L471" s="121"/>
      <c r="M471" s="121"/>
    </row>
    <row r="472" spans="1:13" ht="15.5">
      <c r="A472" s="121"/>
      <c r="B472" s="123"/>
      <c r="C472" s="123"/>
      <c r="D472" s="123"/>
      <c r="E472" s="123"/>
      <c r="F472" s="123"/>
      <c r="G472" s="123"/>
      <c r="H472" s="123"/>
      <c r="I472" s="121"/>
      <c r="J472" s="121"/>
      <c r="K472" s="121"/>
      <c r="L472" s="121"/>
      <c r="M472" s="121"/>
    </row>
    <row r="473" spans="1:13" ht="15.5">
      <c r="A473" s="121"/>
      <c r="B473" s="123"/>
      <c r="C473" s="123"/>
      <c r="D473" s="123"/>
      <c r="E473" s="123"/>
      <c r="F473" s="123"/>
      <c r="G473" s="123"/>
      <c r="H473" s="123"/>
      <c r="I473" s="121"/>
      <c r="J473" s="121"/>
      <c r="K473" s="121"/>
      <c r="L473" s="121"/>
      <c r="M473" s="121"/>
    </row>
    <row r="474" spans="1:13" ht="15.5">
      <c r="A474" s="121"/>
      <c r="B474" s="123"/>
      <c r="C474" s="123"/>
      <c r="D474" s="123"/>
      <c r="E474" s="123"/>
      <c r="F474" s="123"/>
      <c r="G474" s="123"/>
      <c r="H474" s="123"/>
      <c r="I474" s="121"/>
      <c r="J474" s="121"/>
      <c r="K474" s="121"/>
      <c r="L474" s="121"/>
      <c r="M474" s="121"/>
    </row>
    <row r="475" spans="1:13" ht="15.5">
      <c r="A475" s="121"/>
      <c r="B475" s="123"/>
      <c r="C475" s="123"/>
      <c r="D475" s="123"/>
      <c r="E475" s="123"/>
      <c r="F475" s="123"/>
      <c r="G475" s="123"/>
      <c r="H475" s="123"/>
      <c r="I475" s="121"/>
      <c r="J475" s="121"/>
      <c r="K475" s="121"/>
      <c r="L475" s="121"/>
      <c r="M475" s="121"/>
    </row>
    <row r="476" spans="1:13" ht="15.5">
      <c r="A476" s="121"/>
      <c r="B476" s="123"/>
      <c r="C476" s="123"/>
      <c r="D476" s="123"/>
      <c r="E476" s="123"/>
      <c r="F476" s="123"/>
      <c r="G476" s="123"/>
      <c r="H476" s="123"/>
      <c r="I476" s="121"/>
      <c r="J476" s="121"/>
      <c r="K476" s="121"/>
      <c r="L476" s="121"/>
      <c r="M476" s="121"/>
    </row>
    <row r="477" spans="1:13" ht="15.5">
      <c r="A477" s="121"/>
      <c r="B477" s="123"/>
      <c r="C477" s="123"/>
      <c r="D477" s="123"/>
      <c r="E477" s="123"/>
      <c r="F477" s="123"/>
      <c r="G477" s="123"/>
      <c r="H477" s="123"/>
      <c r="I477" s="121"/>
      <c r="J477" s="121"/>
      <c r="K477" s="121"/>
      <c r="L477" s="121"/>
      <c r="M477" s="121"/>
    </row>
    <row r="478" spans="1:13" ht="15.5">
      <c r="A478" s="121"/>
      <c r="B478" s="123"/>
      <c r="C478" s="123"/>
      <c r="D478" s="123"/>
      <c r="E478" s="123"/>
      <c r="F478" s="123"/>
      <c r="G478" s="123"/>
      <c r="H478" s="123"/>
      <c r="I478" s="121"/>
      <c r="J478" s="121"/>
      <c r="K478" s="121"/>
      <c r="L478" s="121"/>
      <c r="M478" s="121"/>
    </row>
    <row r="479" spans="1:13" ht="13.5">
      <c r="B479" s="125"/>
      <c r="C479" s="125"/>
      <c r="D479" s="125"/>
      <c r="E479" s="125"/>
      <c r="F479" s="125"/>
      <c r="G479" s="125"/>
      <c r="H479" s="125"/>
    </row>
    <row r="480" spans="1:13" ht="13.5">
      <c r="B480" s="125"/>
      <c r="C480" s="125"/>
      <c r="D480" s="125"/>
      <c r="E480" s="125"/>
      <c r="F480" s="125"/>
      <c r="G480" s="125"/>
      <c r="H480" s="125"/>
    </row>
    <row r="481" spans="2:8" ht="13.5">
      <c r="B481" s="125"/>
      <c r="C481" s="125"/>
      <c r="D481" s="125"/>
      <c r="E481" s="125"/>
      <c r="F481" s="125"/>
      <c r="G481" s="125"/>
      <c r="H481" s="125"/>
    </row>
    <row r="482" spans="2:8" ht="13.5">
      <c r="B482" s="125"/>
      <c r="C482" s="125"/>
      <c r="D482" s="125"/>
      <c r="E482" s="125"/>
      <c r="F482" s="125"/>
      <c r="G482" s="125"/>
      <c r="H482" s="125"/>
    </row>
    <row r="483" spans="2:8" ht="13.5">
      <c r="B483" s="125"/>
      <c r="C483" s="125"/>
      <c r="D483" s="125"/>
      <c r="E483" s="125"/>
      <c r="F483" s="125"/>
      <c r="G483" s="125"/>
      <c r="H483" s="125"/>
    </row>
    <row r="484" spans="2:8" ht="13.5">
      <c r="B484" s="125"/>
      <c r="C484" s="125"/>
      <c r="D484" s="125"/>
      <c r="E484" s="125"/>
      <c r="F484" s="125"/>
      <c r="G484" s="125"/>
      <c r="H484" s="125"/>
    </row>
    <row r="485" spans="2:8" ht="13.5">
      <c r="B485" s="125"/>
      <c r="C485" s="125"/>
      <c r="D485" s="125"/>
      <c r="E485" s="125"/>
      <c r="F485" s="125"/>
      <c r="G485" s="125"/>
      <c r="H485" s="125"/>
    </row>
    <row r="486" spans="2:8" ht="13.5">
      <c r="B486" s="125"/>
      <c r="C486" s="125"/>
      <c r="D486" s="125"/>
      <c r="E486" s="125"/>
      <c r="F486" s="125"/>
      <c r="G486" s="125"/>
      <c r="H486" s="125"/>
    </row>
    <row r="487" spans="2:8" ht="13.5">
      <c r="B487" s="125"/>
      <c r="C487" s="125"/>
      <c r="D487" s="125"/>
      <c r="E487" s="125"/>
      <c r="F487" s="125"/>
      <c r="G487" s="125"/>
      <c r="H487" s="125"/>
    </row>
    <row r="488" spans="2:8" ht="13.5">
      <c r="B488" s="125"/>
      <c r="C488" s="125"/>
      <c r="D488" s="125"/>
      <c r="E488" s="125"/>
      <c r="F488" s="125"/>
      <c r="G488" s="125"/>
      <c r="H488" s="125"/>
    </row>
    <row r="489" spans="2:8" ht="13.5">
      <c r="B489" s="125"/>
      <c r="C489" s="125"/>
      <c r="D489" s="125"/>
      <c r="E489" s="125"/>
      <c r="F489" s="125"/>
      <c r="G489" s="125"/>
      <c r="H489" s="125"/>
    </row>
    <row r="490" spans="2:8" ht="13.5">
      <c r="B490" s="125"/>
      <c r="C490" s="125"/>
      <c r="D490" s="125"/>
      <c r="E490" s="125"/>
      <c r="F490" s="125"/>
      <c r="G490" s="125"/>
      <c r="H490" s="125"/>
    </row>
    <row r="491" spans="2:8" ht="13.5">
      <c r="B491" s="125"/>
      <c r="C491" s="125"/>
      <c r="D491" s="125"/>
      <c r="E491" s="125"/>
      <c r="F491" s="125"/>
      <c r="G491" s="125"/>
      <c r="H491" s="125"/>
    </row>
    <row r="492" spans="2:8" ht="13.5">
      <c r="B492" s="125"/>
      <c r="C492" s="125"/>
      <c r="D492" s="125"/>
      <c r="E492" s="125"/>
      <c r="F492" s="125"/>
      <c r="G492" s="125"/>
      <c r="H492" s="125"/>
    </row>
    <row r="493" spans="2:8" ht="13.5">
      <c r="B493" s="125"/>
      <c r="C493" s="125"/>
      <c r="D493" s="125"/>
      <c r="E493" s="125"/>
      <c r="F493" s="125"/>
      <c r="G493" s="125"/>
      <c r="H493" s="125"/>
    </row>
    <row r="494" spans="2:8" ht="13.5">
      <c r="B494" s="125"/>
      <c r="C494" s="125"/>
      <c r="D494" s="125"/>
      <c r="E494" s="125"/>
      <c r="F494" s="125"/>
      <c r="G494" s="125"/>
      <c r="H494" s="125"/>
    </row>
    <row r="495" spans="2:8" ht="13.5">
      <c r="B495" s="125"/>
      <c r="C495" s="125"/>
      <c r="D495" s="125"/>
      <c r="E495" s="125"/>
      <c r="F495" s="125"/>
      <c r="G495" s="125"/>
      <c r="H495" s="125"/>
    </row>
    <row r="496" spans="2:8" ht="13.5">
      <c r="B496" s="125"/>
      <c r="C496" s="125"/>
      <c r="D496" s="125"/>
      <c r="E496" s="125"/>
      <c r="F496" s="125"/>
      <c r="G496" s="125"/>
      <c r="H496" s="125"/>
    </row>
    <row r="497" spans="2:8" ht="13.5">
      <c r="B497" s="125"/>
      <c r="C497" s="125"/>
      <c r="D497" s="125"/>
      <c r="E497" s="125"/>
      <c r="F497" s="125"/>
      <c r="G497" s="125"/>
      <c r="H497" s="125"/>
    </row>
    <row r="498" spans="2:8" ht="13.5">
      <c r="B498" s="125"/>
      <c r="C498" s="125"/>
      <c r="D498" s="125"/>
      <c r="E498" s="125"/>
      <c r="F498" s="125"/>
      <c r="G498" s="125"/>
      <c r="H498" s="125"/>
    </row>
    <row r="499" spans="2:8" ht="13.5">
      <c r="B499" s="125"/>
      <c r="C499" s="125"/>
      <c r="D499" s="125"/>
      <c r="E499" s="125"/>
      <c r="F499" s="125"/>
      <c r="G499" s="125"/>
      <c r="H499" s="125"/>
    </row>
    <row r="500" spans="2:8" ht="13.5">
      <c r="B500" s="125"/>
      <c r="C500" s="125"/>
      <c r="D500" s="125"/>
      <c r="E500" s="125"/>
      <c r="F500" s="125"/>
      <c r="G500" s="125"/>
      <c r="H500" s="125"/>
    </row>
    <row r="501" spans="2:8" ht="13.5">
      <c r="B501" s="125"/>
      <c r="C501" s="125"/>
      <c r="D501" s="125"/>
      <c r="E501" s="125"/>
      <c r="F501" s="125"/>
      <c r="G501" s="125"/>
      <c r="H501" s="125"/>
    </row>
    <row r="502" spans="2:8" ht="13.5">
      <c r="B502" s="125"/>
      <c r="C502" s="125"/>
      <c r="D502" s="125"/>
      <c r="E502" s="125"/>
      <c r="F502" s="125"/>
      <c r="G502" s="125"/>
      <c r="H502" s="125"/>
    </row>
    <row r="503" spans="2:8" ht="13.5">
      <c r="B503" s="125"/>
      <c r="C503" s="125"/>
      <c r="D503" s="125"/>
      <c r="E503" s="125"/>
      <c r="F503" s="125"/>
      <c r="G503" s="125"/>
      <c r="H503" s="125"/>
    </row>
    <row r="504" spans="2:8" ht="13.5">
      <c r="B504" s="125"/>
      <c r="C504" s="125"/>
      <c r="D504" s="125"/>
      <c r="E504" s="125"/>
      <c r="F504" s="125"/>
      <c r="G504" s="125"/>
      <c r="H504" s="125"/>
    </row>
    <row r="505" spans="2:8" ht="13.5">
      <c r="B505" s="125"/>
      <c r="C505" s="125"/>
      <c r="D505" s="125"/>
      <c r="E505" s="125"/>
      <c r="F505" s="125"/>
      <c r="G505" s="125"/>
      <c r="H505" s="125"/>
    </row>
    <row r="506" spans="2:8" ht="13.5">
      <c r="B506" s="125"/>
      <c r="C506" s="125"/>
      <c r="D506" s="125"/>
      <c r="E506" s="125"/>
      <c r="F506" s="125"/>
      <c r="G506" s="125"/>
      <c r="H506" s="125"/>
    </row>
    <row r="507" spans="2:8" ht="13.5">
      <c r="B507" s="125"/>
      <c r="C507" s="125"/>
      <c r="D507" s="125"/>
      <c r="E507" s="125"/>
      <c r="F507" s="125"/>
      <c r="G507" s="125"/>
      <c r="H507" s="125"/>
    </row>
    <row r="508" spans="2:8" ht="13.5">
      <c r="B508" s="125"/>
      <c r="C508" s="125"/>
      <c r="D508" s="125"/>
      <c r="E508" s="125"/>
      <c r="F508" s="125"/>
      <c r="G508" s="125"/>
      <c r="H508" s="125"/>
    </row>
    <row r="509" spans="2:8" ht="13.5">
      <c r="B509" s="125"/>
      <c r="C509" s="125"/>
      <c r="D509" s="125"/>
      <c r="E509" s="125"/>
      <c r="F509" s="125"/>
      <c r="G509" s="125"/>
      <c r="H509" s="125"/>
    </row>
    <row r="510" spans="2:8" ht="13.5">
      <c r="B510" s="125"/>
      <c r="C510" s="125"/>
      <c r="D510" s="125"/>
      <c r="E510" s="125"/>
      <c r="F510" s="125"/>
      <c r="G510" s="125"/>
      <c r="H510" s="125"/>
    </row>
    <row r="511" spans="2:8" ht="13.5">
      <c r="B511" s="125"/>
      <c r="C511" s="125"/>
      <c r="D511" s="125"/>
      <c r="E511" s="125"/>
      <c r="F511" s="125"/>
      <c r="G511" s="125"/>
      <c r="H511" s="125"/>
    </row>
    <row r="512" spans="2:8" ht="13.5">
      <c r="B512" s="125"/>
      <c r="C512" s="125"/>
      <c r="D512" s="125"/>
      <c r="E512" s="125"/>
      <c r="F512" s="125"/>
      <c r="G512" s="125"/>
      <c r="H512" s="125"/>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88"/>
  <sheetViews>
    <sheetView topLeftCell="J18" zoomScale="90" zoomScaleNormal="90" workbookViewId="0">
      <selection activeCell="S34" sqref="S34"/>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2025</v>
      </c>
    </row>
    <row r="3" spans="1:34" ht="13.5" thickBot="1">
      <c r="B3" s="4" t="s">
        <v>1</v>
      </c>
      <c r="C3" s="29">
        <v>1</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226">
        <f>$C$2-1995+ROUND($C$3/23,0)</f>
        <v>30</v>
      </c>
      <c r="R8" s="128" t="str">
        <f t="shared" ref="R8:AD13" si="0">$T$5&amp;R$7&amp;$Q8</f>
        <v>Annual!a30</v>
      </c>
      <c r="S8" s="128" t="str">
        <f t="shared" si="0"/>
        <v>Annual!b30</v>
      </c>
      <c r="T8" s="128" t="str">
        <f t="shared" si="0"/>
        <v>Annual!c30</v>
      </c>
      <c r="U8" s="128" t="str">
        <f t="shared" si="0"/>
        <v>Annual!d30</v>
      </c>
      <c r="V8" s="128" t="str">
        <f t="shared" si="0"/>
        <v>Annual!e30</v>
      </c>
      <c r="W8" s="128" t="str">
        <f t="shared" si="0"/>
        <v>Annual!f30</v>
      </c>
      <c r="X8" s="128" t="str">
        <f t="shared" si="0"/>
        <v>Annual!g30</v>
      </c>
      <c r="Y8" s="128" t="str">
        <f t="shared" si="0"/>
        <v>Annual!h30</v>
      </c>
      <c r="Z8" s="128" t="str">
        <f t="shared" si="0"/>
        <v>Annual!i30</v>
      </c>
      <c r="AA8" s="128" t="str">
        <f t="shared" si="0"/>
        <v>Annual!j30</v>
      </c>
      <c r="AB8" s="128" t="str">
        <f t="shared" si="0"/>
        <v>Annual!k30</v>
      </c>
      <c r="AC8" s="128" t="str">
        <f t="shared" si="0"/>
        <v>Annual!l30</v>
      </c>
      <c r="AD8" s="128" t="str">
        <f t="shared" si="0"/>
        <v>Annual!m30</v>
      </c>
    </row>
    <row r="9" spans="1:34" s="11" customFormat="1">
      <c r="C9" s="12"/>
      <c r="D9" s="12"/>
      <c r="E9" s="12"/>
      <c r="F9" s="12"/>
      <c r="G9" s="12"/>
      <c r="H9" s="12"/>
      <c r="I9" s="12"/>
      <c r="J9" s="23"/>
      <c r="K9" s="12"/>
      <c r="L9" s="12"/>
      <c r="M9" s="12"/>
      <c r="N9" s="12"/>
      <c r="O9" s="12"/>
      <c r="P9" s="12"/>
      <c r="Q9" s="26">
        <f>Q8+1</f>
        <v>31</v>
      </c>
      <c r="R9" s="128" t="str">
        <f t="shared" si="0"/>
        <v>Annual!a31</v>
      </c>
      <c r="S9" s="128" t="str">
        <f t="shared" si="0"/>
        <v>Annual!b31</v>
      </c>
      <c r="T9" s="128" t="str">
        <f t="shared" si="0"/>
        <v>Annual!c31</v>
      </c>
      <c r="U9" s="128" t="str">
        <f t="shared" si="0"/>
        <v>Annual!d31</v>
      </c>
      <c r="V9" s="128" t="str">
        <f t="shared" si="0"/>
        <v>Annual!e31</v>
      </c>
      <c r="W9" s="128" t="str">
        <f t="shared" si="0"/>
        <v>Annual!f31</v>
      </c>
      <c r="X9" s="128" t="str">
        <f t="shared" si="0"/>
        <v>Annual!g31</v>
      </c>
      <c r="Y9" s="128" t="str">
        <f t="shared" si="0"/>
        <v>Annual!h31</v>
      </c>
      <c r="Z9" s="128" t="str">
        <f t="shared" si="0"/>
        <v>Annual!i31</v>
      </c>
      <c r="AA9" s="128" t="str">
        <f t="shared" si="0"/>
        <v>Annual!j31</v>
      </c>
      <c r="AB9" s="128" t="str">
        <f t="shared" si="0"/>
        <v>Annual!k31</v>
      </c>
      <c r="AC9" s="128" t="str">
        <f t="shared" si="0"/>
        <v>Annual!l31</v>
      </c>
      <c r="AD9" s="128" t="str">
        <f t="shared" si="0"/>
        <v>Annual!m31</v>
      </c>
    </row>
    <row r="10" spans="1:34" s="6" customFormat="1">
      <c r="A10" s="7"/>
      <c r="J10" s="24"/>
      <c r="Q10" s="14">
        <f>Q9+1</f>
        <v>32</v>
      </c>
      <c r="R10" s="128" t="str">
        <f t="shared" si="0"/>
        <v>Annual!a32</v>
      </c>
      <c r="S10" s="128" t="str">
        <f t="shared" si="0"/>
        <v>Annual!b32</v>
      </c>
      <c r="T10" s="128" t="str">
        <f t="shared" si="0"/>
        <v>Annual!c32</v>
      </c>
      <c r="U10" s="128" t="str">
        <f t="shared" si="0"/>
        <v>Annual!d32</v>
      </c>
      <c r="V10" s="128" t="str">
        <f t="shared" si="0"/>
        <v>Annual!e32</v>
      </c>
      <c r="W10" s="128" t="str">
        <f t="shared" si="0"/>
        <v>Annual!f32</v>
      </c>
      <c r="X10" s="128" t="str">
        <f t="shared" si="0"/>
        <v>Annual!g32</v>
      </c>
      <c r="Y10" s="128" t="str">
        <f t="shared" si="0"/>
        <v>Annual!h32</v>
      </c>
      <c r="Z10" s="128" t="str">
        <f t="shared" si="0"/>
        <v>Annual!i32</v>
      </c>
      <c r="AA10" s="128" t="str">
        <f t="shared" si="0"/>
        <v>Annual!j32</v>
      </c>
      <c r="AB10" s="128" t="str">
        <f t="shared" si="0"/>
        <v>Annual!k32</v>
      </c>
      <c r="AC10" s="128" t="str">
        <f t="shared" si="0"/>
        <v>Annual!l32</v>
      </c>
      <c r="AD10" s="128" t="str">
        <f t="shared" si="0"/>
        <v>Annual!m32</v>
      </c>
    </row>
    <row r="11" spans="1:34" s="8" customFormat="1">
      <c r="A11" s="9"/>
      <c r="J11" s="24"/>
      <c r="Q11" s="14">
        <f>Q10+1</f>
        <v>33</v>
      </c>
      <c r="R11" s="128" t="str">
        <f t="shared" si="0"/>
        <v>Annual!a33</v>
      </c>
      <c r="S11" s="128" t="str">
        <f t="shared" si="0"/>
        <v>Annual!b33</v>
      </c>
      <c r="T11" s="128" t="str">
        <f t="shared" si="0"/>
        <v>Annual!c33</v>
      </c>
      <c r="U11" s="128" t="str">
        <f t="shared" si="0"/>
        <v>Annual!d33</v>
      </c>
      <c r="V11" s="128" t="str">
        <f t="shared" si="0"/>
        <v>Annual!e33</v>
      </c>
      <c r="W11" s="128" t="str">
        <f t="shared" si="0"/>
        <v>Annual!f33</v>
      </c>
      <c r="X11" s="128" t="str">
        <f t="shared" si="0"/>
        <v>Annual!g33</v>
      </c>
      <c r="Y11" s="128" t="str">
        <f t="shared" si="0"/>
        <v>Annual!h33</v>
      </c>
      <c r="Z11" s="128" t="str">
        <f t="shared" si="0"/>
        <v>Annual!i33</v>
      </c>
      <c r="AA11" s="128" t="str">
        <f t="shared" si="0"/>
        <v>Annual!j33</v>
      </c>
      <c r="AB11" s="128" t="str">
        <f t="shared" si="0"/>
        <v>Annual!k33</v>
      </c>
      <c r="AC11" s="128" t="str">
        <f t="shared" si="0"/>
        <v>Annual!l33</v>
      </c>
      <c r="AD11" s="128" t="str">
        <f t="shared" si="0"/>
        <v>Annual!m33</v>
      </c>
    </row>
    <row r="12" spans="1:34" s="6" customFormat="1">
      <c r="A12" s="7"/>
      <c r="J12" s="24"/>
      <c r="Q12" s="14">
        <f>Q11+1</f>
        <v>34</v>
      </c>
      <c r="R12" s="129" t="str">
        <f>$T$5&amp;R$7&amp;$Q12</f>
        <v>Annual!a34</v>
      </c>
      <c r="S12" s="129" t="str">
        <f t="shared" si="0"/>
        <v>Annual!b34</v>
      </c>
      <c r="T12" s="129" t="str">
        <f>$T$5&amp;T$7&amp;$Q12</f>
        <v>Annual!c34</v>
      </c>
      <c r="U12" s="129" t="str">
        <f t="shared" si="0"/>
        <v>Annual!d34</v>
      </c>
      <c r="V12" s="129" t="str">
        <f t="shared" si="0"/>
        <v>Annual!e34</v>
      </c>
      <c r="W12" s="129" t="str">
        <f t="shared" si="0"/>
        <v>Annual!f34</v>
      </c>
      <c r="X12" s="129" t="str">
        <f t="shared" si="0"/>
        <v>Annual!g34</v>
      </c>
      <c r="Y12" s="129" t="str">
        <f t="shared" si="0"/>
        <v>Annual!h34</v>
      </c>
      <c r="Z12" s="129" t="str">
        <f t="shared" si="0"/>
        <v>Annual!i34</v>
      </c>
      <c r="AA12" s="129" t="str">
        <f t="shared" si="0"/>
        <v>Annual!j34</v>
      </c>
      <c r="AB12" s="129" t="str">
        <f t="shared" si="0"/>
        <v>Annual!k34</v>
      </c>
      <c r="AC12" s="129" t="str">
        <f t="shared" si="0"/>
        <v>Annual!l34</v>
      </c>
      <c r="AD12" s="129" t="str">
        <f t="shared" si="0"/>
        <v>Annual!m34</v>
      </c>
    </row>
    <row r="13" spans="1:34" s="6" customFormat="1">
      <c r="A13" s="7"/>
      <c r="J13" s="24"/>
      <c r="Q13" s="14">
        <f>Q12+1</f>
        <v>35</v>
      </c>
      <c r="R13" s="129" t="str">
        <f>$T$5&amp;R$7&amp;$Q13</f>
        <v>Annual!a35</v>
      </c>
      <c r="S13" s="129" t="str">
        <f t="shared" si="0"/>
        <v>Annual!b35</v>
      </c>
      <c r="T13" s="129" t="str">
        <f t="shared" si="0"/>
        <v>Annual!c35</v>
      </c>
      <c r="U13" s="129" t="str">
        <f t="shared" si="0"/>
        <v>Annual!d35</v>
      </c>
      <c r="V13" s="129" t="str">
        <f t="shared" si="0"/>
        <v>Annual!e35</v>
      </c>
      <c r="W13" s="129" t="str">
        <f t="shared" si="0"/>
        <v>Annual!f35</v>
      </c>
      <c r="X13" s="129" t="str">
        <f t="shared" si="0"/>
        <v>Annual!g35</v>
      </c>
      <c r="Y13" s="129" t="str">
        <f t="shared" si="0"/>
        <v>Annual!h35</v>
      </c>
      <c r="Z13" s="129" t="str">
        <f t="shared" si="0"/>
        <v>Annual!i35</v>
      </c>
      <c r="AA13" s="129" t="str">
        <f t="shared" si="0"/>
        <v>Annual!j35</v>
      </c>
      <c r="AB13" s="129" t="str">
        <f t="shared" si="0"/>
        <v>Annual!k35</v>
      </c>
      <c r="AC13" s="129" t="str">
        <f t="shared" si="0"/>
        <v>Annual!l35</v>
      </c>
      <c r="AD13" s="129" t="str">
        <f t="shared" si="0"/>
        <v>Annual!m35</v>
      </c>
    </row>
    <row r="14" spans="1:34" s="6" customFormat="1">
      <c r="C14" s="10" t="s">
        <v>2</v>
      </c>
      <c r="D14" s="10" t="s">
        <v>3</v>
      </c>
      <c r="E14" s="10" t="s">
        <v>4</v>
      </c>
      <c r="F14" s="10" t="s">
        <v>5</v>
      </c>
      <c r="G14" s="10" t="s">
        <v>6</v>
      </c>
      <c r="H14" s="10" t="s">
        <v>7</v>
      </c>
      <c r="I14" s="10" t="s">
        <v>38</v>
      </c>
      <c r="J14" s="10" t="s">
        <v>41</v>
      </c>
      <c r="K14" s="30" t="s">
        <v>48</v>
      </c>
      <c r="L14" s="130" t="s">
        <v>51</v>
      </c>
      <c r="M14" s="130" t="s">
        <v>52</v>
      </c>
      <c r="N14" s="130" t="s">
        <v>53</v>
      </c>
    </row>
    <row r="15" spans="1:34">
      <c r="A15"/>
      <c r="K15" s="22"/>
      <c r="L15" s="22"/>
      <c r="M15" s="22"/>
      <c r="N15" s="22"/>
      <c r="P15"/>
      <c r="T15" t="s">
        <v>33</v>
      </c>
    </row>
    <row r="16" spans="1:34">
      <c r="A16"/>
      <c r="K16" s="22"/>
      <c r="L16" s="22"/>
      <c r="M16" s="22"/>
      <c r="N16" s="22"/>
      <c r="P16"/>
    </row>
    <row r="17" spans="1:31">
      <c r="A17">
        <v>1995</v>
      </c>
      <c r="B17" t="s">
        <v>27</v>
      </c>
      <c r="C17" s="131">
        <f>6.2171+0.078862</f>
        <v>6.2959620000000003</v>
      </c>
      <c r="D17" s="131">
        <v>3.4946000000000002</v>
      </c>
      <c r="E17" s="131">
        <v>0.35830000000000001</v>
      </c>
      <c r="F17" s="131">
        <v>0.874</v>
      </c>
      <c r="G17" s="131">
        <f>1.4333+0.078862</f>
        <v>1.512162</v>
      </c>
      <c r="H17" s="131">
        <v>5.0299999999999997E-2</v>
      </c>
      <c r="I17" s="132"/>
      <c r="J17" s="132"/>
      <c r="K17" s="132"/>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1">
        <f>6.1842+0.078862</f>
        <v>6.2630619999999997</v>
      </c>
      <c r="D18" s="131">
        <v>3.4365999999999999</v>
      </c>
      <c r="E18" s="131">
        <v>0.34300000000000003</v>
      </c>
      <c r="F18" s="131">
        <v>0.82899999999999996</v>
      </c>
      <c r="G18" s="131">
        <f>1.5206+0.078862</f>
        <v>1.5994619999999999</v>
      </c>
      <c r="H18" s="131">
        <v>4.8599999999999997E-2</v>
      </c>
      <c r="I18" s="132"/>
      <c r="J18" s="132"/>
      <c r="K18" s="132"/>
      <c r="L18">
        <v>3.1999</v>
      </c>
      <c r="M18">
        <v>9.8899999999999988E-2</v>
      </c>
      <c r="N18">
        <v>9.3362999999999996</v>
      </c>
      <c r="P18"/>
    </row>
    <row r="19" spans="1:31">
      <c r="A19">
        <v>1995</v>
      </c>
      <c r="B19" t="s">
        <v>29</v>
      </c>
      <c r="C19" s="131">
        <f>7.3552+0.098577</f>
        <v>7.4537769999999997</v>
      </c>
      <c r="D19" s="131">
        <v>4.1387</v>
      </c>
      <c r="E19" s="131">
        <v>0.38080000000000003</v>
      </c>
      <c r="F19" s="131">
        <v>0.94730000000000003</v>
      </c>
      <c r="G19" s="131">
        <f>1.8235+0.098577</f>
        <v>1.9220769999999998</v>
      </c>
      <c r="H19" s="131">
        <v>5.0799999999999998E-2</v>
      </c>
      <c r="I19" s="132"/>
      <c r="J19" s="132"/>
      <c r="K19" s="132"/>
      <c r="L19">
        <v>5.1627000000000001</v>
      </c>
      <c r="M19">
        <v>0.1497</v>
      </c>
      <c r="N19">
        <v>14.803100000000001</v>
      </c>
      <c r="P19"/>
    </row>
    <row r="20" spans="1:31">
      <c r="A20">
        <v>1995</v>
      </c>
      <c r="B20" t="s">
        <v>10</v>
      </c>
      <c r="C20" s="131">
        <f>5.2533+0.072523</f>
        <v>5.3258230000000006</v>
      </c>
      <c r="D20" s="131">
        <v>2.5594999999999999</v>
      </c>
      <c r="E20" s="131">
        <v>0.17979999999999999</v>
      </c>
      <c r="F20" s="131">
        <v>0.75629999999999997</v>
      </c>
      <c r="G20" s="131">
        <f>1.7133+0.072523</f>
        <v>1.7858230000000002</v>
      </c>
      <c r="H20" s="131">
        <v>3.8800000000000001E-2</v>
      </c>
      <c r="I20" s="132"/>
      <c r="J20" s="132"/>
      <c r="K20" s="132"/>
      <c r="L20">
        <v>6.9775</v>
      </c>
      <c r="M20">
        <v>0.1885</v>
      </c>
      <c r="N20">
        <v>18.2989</v>
      </c>
      <c r="P20"/>
    </row>
    <row r="21" spans="1:31">
      <c r="A21">
        <v>1995</v>
      </c>
      <c r="B21" t="s">
        <v>9</v>
      </c>
      <c r="C21" s="131">
        <f>5.0131+0.072523</f>
        <v>5.085623</v>
      </c>
      <c r="D21" s="131">
        <v>2.4518</v>
      </c>
      <c r="E21" s="131">
        <v>0.2</v>
      </c>
      <c r="F21" s="131">
        <v>0.84119999999999995</v>
      </c>
      <c r="G21" s="131">
        <f>1.4883+0.072523</f>
        <v>1.5608230000000001</v>
      </c>
      <c r="H21" s="131">
        <v>1.8800000000000001E-2</v>
      </c>
      <c r="I21" s="132"/>
      <c r="J21" s="132"/>
      <c r="K21" s="132"/>
      <c r="L21">
        <v>8.5472999999999999</v>
      </c>
      <c r="M21">
        <v>0.20730000000000001</v>
      </c>
      <c r="N21">
        <v>21.791899999999998</v>
      </c>
      <c r="P21"/>
    </row>
    <row r="22" spans="1:31">
      <c r="A22">
        <v>1995</v>
      </c>
      <c r="B22" t="s">
        <v>30</v>
      </c>
      <c r="C22" s="131">
        <f>5.8038+0.090654</f>
        <v>5.8944539999999996</v>
      </c>
      <c r="D22" s="131">
        <v>2.7172999999999998</v>
      </c>
      <c r="E22" s="131">
        <v>0.20730000000000001</v>
      </c>
      <c r="F22" s="131">
        <v>0.94110000000000005</v>
      </c>
      <c r="G22" s="131">
        <f>1.9054+0.090654</f>
        <v>1.996054</v>
      </c>
      <c r="H22" s="131">
        <v>1.8100000000000002E-2</v>
      </c>
      <c r="I22" s="132"/>
      <c r="J22" s="132"/>
      <c r="K22" s="132"/>
      <c r="L22">
        <v>10.551400000000001</v>
      </c>
      <c r="M22">
        <v>0.22540000000000002</v>
      </c>
      <c r="N22">
        <v>25.6572</v>
      </c>
      <c r="P22"/>
      <c r="Q22" s="171">
        <f>4+(C2-1996)*12+INPUT_BOX</f>
        <v>353</v>
      </c>
      <c r="R22" s="2" t="str">
        <f>$T$15&amp;R$17&amp;$Q22</f>
        <v>Month!a353</v>
      </c>
      <c r="S22" s="2" t="str">
        <f t="shared" ref="S22:AE36" si="1">$T$15&amp;S$17&amp;$Q22</f>
        <v>Month!b353</v>
      </c>
      <c r="T22" s="2" t="str">
        <f t="shared" si="1"/>
        <v>Month!c353</v>
      </c>
      <c r="U22" s="2" t="str">
        <f t="shared" si="1"/>
        <v>Month!d353</v>
      </c>
      <c r="V22" s="2" t="str">
        <f t="shared" si="1"/>
        <v>Month!e353</v>
      </c>
      <c r="W22" s="2" t="str">
        <f t="shared" si="1"/>
        <v>Month!f353</v>
      </c>
      <c r="X22" s="2" t="str">
        <f t="shared" si="1"/>
        <v>Month!g353</v>
      </c>
      <c r="Y22" s="2" t="str">
        <f t="shared" si="1"/>
        <v>Month!h353</v>
      </c>
      <c r="Z22" s="2" t="str">
        <f t="shared" si="1"/>
        <v>Month!i353</v>
      </c>
      <c r="AA22" s="2" t="str">
        <f t="shared" si="1"/>
        <v>Month!j353</v>
      </c>
      <c r="AB22" s="2" t="str">
        <f t="shared" si="1"/>
        <v>Month!k353</v>
      </c>
      <c r="AC22" s="2" t="str">
        <f t="shared" si="1"/>
        <v>Month!l353</v>
      </c>
      <c r="AD22" s="2" t="str">
        <f t="shared" si="1"/>
        <v>Month!m353</v>
      </c>
      <c r="AE22" s="2" t="str">
        <f t="shared" si="1"/>
        <v>Month!n353</v>
      </c>
    </row>
    <row r="23" spans="1:31">
      <c r="A23">
        <v>1995</v>
      </c>
      <c r="B23" t="s">
        <v>11</v>
      </c>
      <c r="C23" s="131">
        <f>4.741+0.074492</f>
        <v>4.8154919999999999</v>
      </c>
      <c r="D23" s="131">
        <v>2.0783</v>
      </c>
      <c r="E23" s="131">
        <v>0.1681</v>
      </c>
      <c r="F23" s="131">
        <v>0.84840000000000004</v>
      </c>
      <c r="G23" s="131">
        <f>1.6218+0.074492</f>
        <v>1.6962919999999999</v>
      </c>
      <c r="H23" s="131">
        <v>9.2999999999999992E-3</v>
      </c>
      <c r="I23" s="132"/>
      <c r="J23" s="132"/>
      <c r="K23" s="132"/>
      <c r="L23">
        <v>12.246700000000001</v>
      </c>
      <c r="M23">
        <v>0.23470000000000002</v>
      </c>
      <c r="N23">
        <v>28.751300000000001</v>
      </c>
      <c r="P23"/>
      <c r="Q23">
        <f t="shared" ref="Q23:Q36" si="2">Q22+1</f>
        <v>354</v>
      </c>
      <c r="R23" s="2" t="str">
        <f t="shared" ref="R23:R36" si="3">$T$15&amp;R$17&amp;$Q23</f>
        <v>Month!a354</v>
      </c>
      <c r="S23" s="2" t="str">
        <f t="shared" si="1"/>
        <v>Month!b354</v>
      </c>
      <c r="T23" s="2" t="str">
        <f t="shared" si="1"/>
        <v>Month!c354</v>
      </c>
      <c r="U23" s="2" t="str">
        <f t="shared" si="1"/>
        <v>Month!d354</v>
      </c>
      <c r="V23" s="2" t="str">
        <f t="shared" si="1"/>
        <v>Month!e354</v>
      </c>
      <c r="W23" s="2" t="str">
        <f t="shared" si="1"/>
        <v>Month!f354</v>
      </c>
      <c r="X23" s="2" t="str">
        <f t="shared" si="1"/>
        <v>Month!g354</v>
      </c>
      <c r="Y23" s="2" t="str">
        <f t="shared" si="1"/>
        <v>Month!h354</v>
      </c>
      <c r="Z23" s="2" t="str">
        <f t="shared" si="1"/>
        <v>Month!i354</v>
      </c>
      <c r="AA23" s="2" t="str">
        <f t="shared" si="1"/>
        <v>Month!j354</v>
      </c>
      <c r="AB23" s="2" t="str">
        <f t="shared" si="1"/>
        <v>Month!k354</v>
      </c>
      <c r="AC23" s="2" t="str">
        <f t="shared" si="1"/>
        <v>Month!l354</v>
      </c>
      <c r="AD23" s="2" t="str">
        <f t="shared" si="1"/>
        <v>Month!m354</v>
      </c>
      <c r="AE23" s="2" t="str">
        <f t="shared" si="1"/>
        <v>Month!n354</v>
      </c>
    </row>
    <row r="24" spans="1:31">
      <c r="A24">
        <v>1995</v>
      </c>
      <c r="B24" t="s">
        <v>12</v>
      </c>
      <c r="C24" s="131">
        <f>4.78+0.074492</f>
        <v>4.8544920000000005</v>
      </c>
      <c r="D24" s="131">
        <v>2.2181000000000002</v>
      </c>
      <c r="E24" s="131">
        <v>0.16889999999999999</v>
      </c>
      <c r="F24" s="131">
        <v>0.83530000000000004</v>
      </c>
      <c r="G24" s="131">
        <f>1.5357+0.074492</f>
        <v>1.6101920000000001</v>
      </c>
      <c r="H24" s="131">
        <v>7.4000000000000003E-3</v>
      </c>
      <c r="I24" s="132"/>
      <c r="J24" s="132"/>
      <c r="K24" s="132"/>
      <c r="L24">
        <v>13.854100000000001</v>
      </c>
      <c r="M24">
        <v>0.24210000000000001</v>
      </c>
      <c r="N24">
        <v>31.973200000000002</v>
      </c>
      <c r="P24"/>
      <c r="Q24">
        <f t="shared" si="2"/>
        <v>355</v>
      </c>
      <c r="R24" s="2" t="str">
        <f t="shared" si="3"/>
        <v>Month!a355</v>
      </c>
      <c r="S24" s="2" t="str">
        <f t="shared" si="1"/>
        <v>Month!b355</v>
      </c>
      <c r="T24" s="2" t="str">
        <f t="shared" si="1"/>
        <v>Month!c355</v>
      </c>
      <c r="U24" s="2" t="str">
        <f t="shared" si="1"/>
        <v>Month!d355</v>
      </c>
      <c r="V24" s="2" t="str">
        <f t="shared" si="1"/>
        <v>Month!e355</v>
      </c>
      <c r="W24" s="2" t="str">
        <f t="shared" si="1"/>
        <v>Month!f355</v>
      </c>
      <c r="X24" s="2" t="str">
        <f t="shared" si="1"/>
        <v>Month!g355</v>
      </c>
      <c r="Y24" s="2" t="str">
        <f t="shared" si="1"/>
        <v>Month!h355</v>
      </c>
      <c r="Z24" s="2" t="str">
        <f t="shared" si="1"/>
        <v>Month!i355</v>
      </c>
      <c r="AA24" s="2" t="str">
        <f t="shared" si="1"/>
        <v>Month!j355</v>
      </c>
      <c r="AB24" s="2" t="str">
        <f t="shared" si="1"/>
        <v>Month!k355</v>
      </c>
      <c r="AC24" s="2" t="str">
        <f t="shared" si="1"/>
        <v>Month!l355</v>
      </c>
      <c r="AD24" s="2" t="str">
        <f t="shared" si="1"/>
        <v>Month!m355</v>
      </c>
      <c r="AE24" s="2" t="str">
        <f t="shared" si="1"/>
        <v>Month!n355</v>
      </c>
    </row>
    <row r="25" spans="1:31">
      <c r="A25">
        <v>1995</v>
      </c>
      <c r="B25" t="s">
        <v>13</v>
      </c>
      <c r="C25" s="131">
        <f>5.9484+0.093115</f>
        <v>6.0415150000000004</v>
      </c>
      <c r="D25" s="131">
        <v>2.7877999999999998</v>
      </c>
      <c r="E25" s="131">
        <v>0.23569999999999999</v>
      </c>
      <c r="F25" s="131">
        <v>0.99080000000000001</v>
      </c>
      <c r="G25" s="131">
        <f>1.92+0.093115</f>
        <v>2.013115</v>
      </c>
      <c r="H25" s="131">
        <v>5.4000000000000003E-3</v>
      </c>
      <c r="I25" s="132"/>
      <c r="J25" s="132"/>
      <c r="K25" s="132"/>
      <c r="L25">
        <v>15.862500000000001</v>
      </c>
      <c r="M25">
        <v>0.2475</v>
      </c>
      <c r="N25">
        <v>35.987900000000003</v>
      </c>
      <c r="P25"/>
      <c r="Q25">
        <f t="shared" si="2"/>
        <v>356</v>
      </c>
      <c r="R25" s="2" t="str">
        <f t="shared" si="3"/>
        <v>Month!a356</v>
      </c>
      <c r="S25" s="2" t="str">
        <f t="shared" si="1"/>
        <v>Month!b356</v>
      </c>
      <c r="T25" s="2" t="str">
        <f t="shared" si="1"/>
        <v>Month!c356</v>
      </c>
      <c r="U25" s="2" t="str">
        <f t="shared" si="1"/>
        <v>Month!d356</v>
      </c>
      <c r="V25" s="2" t="str">
        <f t="shared" si="1"/>
        <v>Month!e356</v>
      </c>
      <c r="W25" s="2" t="str">
        <f t="shared" si="1"/>
        <v>Month!f356</v>
      </c>
      <c r="X25" s="2" t="str">
        <f t="shared" si="1"/>
        <v>Month!g356</v>
      </c>
      <c r="Y25" s="2" t="str">
        <f t="shared" si="1"/>
        <v>Month!h356</v>
      </c>
      <c r="Z25" s="2" t="str">
        <f t="shared" si="1"/>
        <v>Month!i356</v>
      </c>
      <c r="AA25" s="2" t="str">
        <f t="shared" si="1"/>
        <v>Month!j356</v>
      </c>
      <c r="AB25" s="2" t="str">
        <f t="shared" si="1"/>
        <v>Month!k356</v>
      </c>
      <c r="AC25" s="2" t="str">
        <f t="shared" si="1"/>
        <v>Month!l356</v>
      </c>
      <c r="AD25" s="2" t="str">
        <f t="shared" si="1"/>
        <v>Month!m356</v>
      </c>
      <c r="AE25" s="2" t="str">
        <f t="shared" si="1"/>
        <v>Month!n356</v>
      </c>
    </row>
    <row r="26" spans="1:31">
      <c r="A26">
        <v>1995</v>
      </c>
      <c r="B26" t="s">
        <v>14</v>
      </c>
      <c r="C26" s="131">
        <f>5.2727+0.081415</f>
        <v>5.3541150000000002</v>
      </c>
      <c r="D26" s="131">
        <v>2.4312</v>
      </c>
      <c r="E26" s="131">
        <v>0.23130000000000001</v>
      </c>
      <c r="F26" s="131">
        <v>0.95760000000000001</v>
      </c>
      <c r="G26" s="131">
        <f>1.6074+0.081415</f>
        <v>1.688815</v>
      </c>
      <c r="H26" s="131">
        <v>2.9399999999999999E-2</v>
      </c>
      <c r="I26" s="132"/>
      <c r="J26" s="132"/>
      <c r="K26" s="132"/>
      <c r="L26">
        <v>17.570900000000002</v>
      </c>
      <c r="M26">
        <v>0.27689999999999998</v>
      </c>
      <c r="N26">
        <v>39.608200000000004</v>
      </c>
      <c r="P26"/>
      <c r="Q26">
        <f t="shared" si="2"/>
        <v>357</v>
      </c>
      <c r="R26" s="2" t="str">
        <f t="shared" si="3"/>
        <v>Month!a357</v>
      </c>
      <c r="S26" s="2" t="str">
        <f t="shared" si="1"/>
        <v>Month!b357</v>
      </c>
      <c r="T26" s="2" t="str">
        <f t="shared" si="1"/>
        <v>Month!c357</v>
      </c>
      <c r="U26" s="2" t="str">
        <f t="shared" si="1"/>
        <v>Month!d357</v>
      </c>
      <c r="V26" s="2" t="str">
        <f t="shared" si="1"/>
        <v>Month!e357</v>
      </c>
      <c r="W26" s="2" t="str">
        <f t="shared" si="1"/>
        <v>Month!f357</v>
      </c>
      <c r="X26" s="2" t="str">
        <f t="shared" si="1"/>
        <v>Month!g357</v>
      </c>
      <c r="Y26" s="2" t="str">
        <f t="shared" si="1"/>
        <v>Month!h357</v>
      </c>
      <c r="Z26" s="2" t="str">
        <f t="shared" si="1"/>
        <v>Month!i357</v>
      </c>
      <c r="AA26" s="2" t="str">
        <f t="shared" si="1"/>
        <v>Month!j357</v>
      </c>
      <c r="AB26" s="2" t="str">
        <f t="shared" si="1"/>
        <v>Month!k357</v>
      </c>
      <c r="AC26" s="2" t="str">
        <f t="shared" si="1"/>
        <v>Month!l357</v>
      </c>
      <c r="AD26" s="2" t="str">
        <f t="shared" si="1"/>
        <v>Month!m357</v>
      </c>
      <c r="AE26" s="2" t="str">
        <f t="shared" si="1"/>
        <v>Month!n357</v>
      </c>
    </row>
    <row r="27" spans="1:31">
      <c r="A27">
        <v>1995</v>
      </c>
      <c r="B27" t="s">
        <v>15</v>
      </c>
      <c r="C27" s="131">
        <f>5.9626+0.081415</f>
        <v>6.0440149999999999</v>
      </c>
      <c r="D27" s="131">
        <v>2.8073000000000001</v>
      </c>
      <c r="E27" s="131">
        <v>0.26340000000000002</v>
      </c>
      <c r="F27" s="131">
        <v>1.2076</v>
      </c>
      <c r="G27" s="131">
        <f>1.6475+0.081415</f>
        <v>1.728915</v>
      </c>
      <c r="H27" s="131">
        <v>3.1199999999999999E-2</v>
      </c>
      <c r="I27" s="132"/>
      <c r="J27" s="132"/>
      <c r="K27" s="132"/>
      <c r="L27">
        <v>19.321100000000001</v>
      </c>
      <c r="M27">
        <v>0.30809999999999998</v>
      </c>
      <c r="N27">
        <v>43.886600000000001</v>
      </c>
      <c r="P27"/>
      <c r="Q27">
        <f t="shared" si="2"/>
        <v>358</v>
      </c>
      <c r="R27" s="2" t="str">
        <f t="shared" si="3"/>
        <v>Month!a358</v>
      </c>
      <c r="S27" s="2" t="str">
        <f t="shared" si="1"/>
        <v>Month!b358</v>
      </c>
      <c r="T27" s="2" t="str">
        <f t="shared" si="1"/>
        <v>Month!c358</v>
      </c>
      <c r="U27" s="2" t="str">
        <f t="shared" si="1"/>
        <v>Month!d358</v>
      </c>
      <c r="V27" s="2" t="str">
        <f t="shared" si="1"/>
        <v>Month!e358</v>
      </c>
      <c r="W27" s="2" t="str">
        <f t="shared" si="1"/>
        <v>Month!f358</v>
      </c>
      <c r="X27" s="2" t="str">
        <f t="shared" si="1"/>
        <v>Month!g358</v>
      </c>
      <c r="Y27" s="2" t="str">
        <f t="shared" si="1"/>
        <v>Month!h358</v>
      </c>
      <c r="Z27" s="2" t="str">
        <f t="shared" si="1"/>
        <v>Month!i358</v>
      </c>
      <c r="AA27" s="2" t="str">
        <f t="shared" si="1"/>
        <v>Month!j358</v>
      </c>
      <c r="AB27" s="2" t="str">
        <f t="shared" si="1"/>
        <v>Month!k358</v>
      </c>
      <c r="AC27" s="2" t="str">
        <f t="shared" si="1"/>
        <v>Month!l358</v>
      </c>
      <c r="AD27" s="2" t="str">
        <f t="shared" si="1"/>
        <v>Month!m358</v>
      </c>
      <c r="AE27" s="2" t="str">
        <f t="shared" si="1"/>
        <v>Month!n358</v>
      </c>
    </row>
    <row r="28" spans="1:31">
      <c r="A28" s="15">
        <v>1995</v>
      </c>
      <c r="B28" s="15" t="s">
        <v>31</v>
      </c>
      <c r="C28" s="133">
        <f>7.8795+0.101769</f>
        <v>7.9812690000000002</v>
      </c>
      <c r="D28" s="133">
        <v>3.8942000000000001</v>
      </c>
      <c r="E28" s="133">
        <v>0.37419999999999998</v>
      </c>
      <c r="F28" s="133">
        <v>1.4064000000000001</v>
      </c>
      <c r="G28" s="133">
        <f>2.158+0.101769</f>
        <v>2.2597689999999999</v>
      </c>
      <c r="H28" s="133">
        <v>3.2099999999999997E-2</v>
      </c>
      <c r="I28" s="134"/>
      <c r="J28" s="134"/>
      <c r="K28" s="134"/>
      <c r="L28" s="15">
        <v>21.593200000000003</v>
      </c>
      <c r="M28" s="15">
        <v>0.3402</v>
      </c>
      <c r="N28" s="15">
        <v>49.580800000000004</v>
      </c>
      <c r="P28"/>
      <c r="Q28">
        <f t="shared" si="2"/>
        <v>359</v>
      </c>
      <c r="R28" s="2" t="str">
        <f t="shared" si="3"/>
        <v>Month!a359</v>
      </c>
      <c r="S28" s="2" t="str">
        <f t="shared" si="1"/>
        <v>Month!b359</v>
      </c>
      <c r="T28" s="2" t="str">
        <f t="shared" si="1"/>
        <v>Month!c359</v>
      </c>
      <c r="U28" s="2" t="str">
        <f t="shared" si="1"/>
        <v>Month!d359</v>
      </c>
      <c r="V28" s="2" t="str">
        <f t="shared" si="1"/>
        <v>Month!e359</v>
      </c>
      <c r="W28" s="2" t="str">
        <f t="shared" si="1"/>
        <v>Month!f359</v>
      </c>
      <c r="X28" s="2" t="str">
        <f t="shared" si="1"/>
        <v>Month!g359</v>
      </c>
      <c r="Y28" s="2" t="str">
        <f t="shared" si="1"/>
        <v>Month!h359</v>
      </c>
      <c r="Z28" s="2" t="str">
        <f t="shared" si="1"/>
        <v>Month!i359</v>
      </c>
      <c r="AA28" s="2" t="str">
        <f t="shared" si="1"/>
        <v>Month!j359</v>
      </c>
      <c r="AB28" s="2" t="str">
        <f t="shared" si="1"/>
        <v>Month!k359</v>
      </c>
      <c r="AC28" s="2" t="str">
        <f t="shared" si="1"/>
        <v>Month!l359</v>
      </c>
      <c r="AD28" s="2" t="str">
        <f t="shared" si="1"/>
        <v>Month!m359</v>
      </c>
      <c r="AE28" s="2" t="str">
        <f t="shared" si="1"/>
        <v>Month!n359</v>
      </c>
    </row>
    <row r="29" spans="1:31">
      <c r="A29" s="14">
        <v>1996</v>
      </c>
      <c r="B29" t="s">
        <v>27</v>
      </c>
      <c r="C29" s="17">
        <f>(6.2643+0.005+0.083169)*73.169/72.5926</f>
        <v>6.4029088951353161</v>
      </c>
      <c r="D29" s="17">
        <f>2.9911 /32.0241*32.4</f>
        <v>3.0262096358679869</v>
      </c>
      <c r="E29" s="131">
        <v>0.30099999999999999</v>
      </c>
      <c r="F29" s="131">
        <v>1.2038</v>
      </c>
      <c r="G29" s="17">
        <f>(1.7255+0.083169)/22.1164*22.18</f>
        <v>1.8138701786909264</v>
      </c>
      <c r="H29" s="131">
        <v>3.1399999999999997E-2</v>
      </c>
      <c r="I29" s="132"/>
      <c r="J29" s="132"/>
      <c r="K29" s="132"/>
      <c r="L29">
        <v>1.8453999999999999</v>
      </c>
      <c r="M29">
        <v>3.1399999999999997E-2</v>
      </c>
      <c r="N29">
        <v>4.5309999999999997</v>
      </c>
      <c r="P29"/>
      <c r="Q29">
        <f t="shared" si="2"/>
        <v>360</v>
      </c>
      <c r="R29" s="2" t="str">
        <f t="shared" si="3"/>
        <v>Month!a360</v>
      </c>
      <c r="S29" s="2" t="str">
        <f t="shared" si="1"/>
        <v>Month!b360</v>
      </c>
      <c r="T29" s="2" t="str">
        <f t="shared" si="1"/>
        <v>Month!c360</v>
      </c>
      <c r="U29" s="2" t="str">
        <f t="shared" si="1"/>
        <v>Month!d360</v>
      </c>
      <c r="V29" s="2" t="str">
        <f t="shared" si="1"/>
        <v>Month!e360</v>
      </c>
      <c r="W29" s="2" t="str">
        <f t="shared" si="1"/>
        <v>Month!f360</v>
      </c>
      <c r="X29" s="2" t="str">
        <f t="shared" si="1"/>
        <v>Month!g360</v>
      </c>
      <c r="Y29" s="2" t="str">
        <f t="shared" si="1"/>
        <v>Month!h360</v>
      </c>
      <c r="Z29" s="2" t="str">
        <f t="shared" si="1"/>
        <v>Month!i360</v>
      </c>
      <c r="AA29" s="2" t="str">
        <f t="shared" si="1"/>
        <v>Month!j360</v>
      </c>
      <c r="AB29" s="2" t="str">
        <f t="shared" si="1"/>
        <v>Month!k360</v>
      </c>
      <c r="AC29" s="2" t="str">
        <f t="shared" si="1"/>
        <v>Month!l360</v>
      </c>
      <c r="AD29" s="2" t="str">
        <f t="shared" si="1"/>
        <v>Month!m360</v>
      </c>
      <c r="AE29" s="2" t="str">
        <f t="shared" si="1"/>
        <v>Month!n360</v>
      </c>
    </row>
    <row r="30" spans="1:31">
      <c r="A30" s="14">
        <v>1996</v>
      </c>
      <c r="B30" t="s">
        <v>28</v>
      </c>
      <c r="C30" s="17">
        <f>(6.6065+0.005+0.083169)*73.169/72.5926</f>
        <v>6.7478260326947916</v>
      </c>
      <c r="D30" s="17">
        <f>3.4869 /32.0241*32.4</f>
        <v>3.5278293535181318</v>
      </c>
      <c r="E30" s="131">
        <v>0.31090000000000001</v>
      </c>
      <c r="F30" s="131">
        <v>1.1735</v>
      </c>
      <c r="G30" s="17">
        <f>1.6936/22.1164*22.18</f>
        <v>1.6984702754517012</v>
      </c>
      <c r="H30" s="131">
        <v>1.5900000000000001E-2</v>
      </c>
      <c r="I30" s="132"/>
      <c r="J30" s="132"/>
      <c r="K30" s="132"/>
      <c r="L30">
        <v>3.5592999999999999</v>
      </c>
      <c r="M30">
        <v>4.7299999999999995E-2</v>
      </c>
      <c r="N30">
        <v>9.5439000000000007</v>
      </c>
      <c r="P30"/>
      <c r="Q30">
        <f t="shared" si="2"/>
        <v>361</v>
      </c>
      <c r="R30" s="2" t="str">
        <f t="shared" si="3"/>
        <v>Month!a361</v>
      </c>
      <c r="S30" s="2" t="str">
        <f t="shared" si="1"/>
        <v>Month!b361</v>
      </c>
      <c r="T30" s="2" t="str">
        <f t="shared" si="1"/>
        <v>Month!c361</v>
      </c>
      <c r="U30" s="2" t="str">
        <f t="shared" si="1"/>
        <v>Month!d361</v>
      </c>
      <c r="V30" s="2" t="str">
        <f t="shared" si="1"/>
        <v>Month!e361</v>
      </c>
      <c r="W30" s="2" t="str">
        <f t="shared" si="1"/>
        <v>Month!f361</v>
      </c>
      <c r="X30" s="2" t="str">
        <f t="shared" si="1"/>
        <v>Month!g361</v>
      </c>
      <c r="Y30" s="2" t="str">
        <f t="shared" si="1"/>
        <v>Month!h361</v>
      </c>
      <c r="Z30" s="2" t="str">
        <f t="shared" si="1"/>
        <v>Month!i361</v>
      </c>
      <c r="AA30" s="2" t="str">
        <f t="shared" si="1"/>
        <v>Month!j361</v>
      </c>
      <c r="AB30" s="2" t="str">
        <f t="shared" si="1"/>
        <v>Month!k361</v>
      </c>
      <c r="AC30" s="2" t="str">
        <f t="shared" si="1"/>
        <v>Month!l361</v>
      </c>
      <c r="AD30" s="2" t="str">
        <f t="shared" si="1"/>
        <v>Month!m361</v>
      </c>
      <c r="AE30" s="2" t="str">
        <f t="shared" si="1"/>
        <v>Month!n361</v>
      </c>
    </row>
    <row r="31" spans="1:31">
      <c r="A31" s="14">
        <v>1996</v>
      </c>
      <c r="B31" t="s">
        <v>29</v>
      </c>
      <c r="C31" s="17">
        <f>(7.6873+0.005+0.103962)*73.169/72.5926</f>
        <v>7.8581659050371515</v>
      </c>
      <c r="D31" s="17">
        <f>4.0928 /32.0241*32.4</f>
        <v>4.1408414287989359</v>
      </c>
      <c r="E31" s="131">
        <v>0.309</v>
      </c>
      <c r="F31" s="131">
        <v>1.3378000000000001</v>
      </c>
      <c r="G31" s="17">
        <f>(1.9636+0.103962)/22.1164*22.18</f>
        <v>2.0735076757519311</v>
      </c>
      <c r="H31" s="131">
        <v>1.4E-2</v>
      </c>
      <c r="I31" s="132"/>
      <c r="J31" s="132"/>
      <c r="K31" s="132"/>
      <c r="L31">
        <v>5.6472999999999995</v>
      </c>
      <c r="M31">
        <v>6.1299999999999993E-2</v>
      </c>
      <c r="N31">
        <v>15.331900000000001</v>
      </c>
      <c r="P31"/>
      <c r="Q31">
        <f t="shared" si="2"/>
        <v>362</v>
      </c>
      <c r="R31" s="2" t="str">
        <f t="shared" si="3"/>
        <v>Month!a362</v>
      </c>
      <c r="S31" s="2" t="str">
        <f t="shared" si="1"/>
        <v>Month!b362</v>
      </c>
      <c r="T31" s="2" t="str">
        <f t="shared" si="1"/>
        <v>Month!c362</v>
      </c>
      <c r="U31" s="2" t="str">
        <f t="shared" si="1"/>
        <v>Month!d362</v>
      </c>
      <c r="V31" s="2" t="str">
        <f t="shared" si="1"/>
        <v>Month!e362</v>
      </c>
      <c r="W31" s="2" t="str">
        <f t="shared" si="1"/>
        <v>Month!f362</v>
      </c>
      <c r="X31" s="2" t="str">
        <f t="shared" si="1"/>
        <v>Month!g362</v>
      </c>
      <c r="Y31" s="2" t="str">
        <f t="shared" si="1"/>
        <v>Month!h362</v>
      </c>
      <c r="Z31" s="2" t="str">
        <f t="shared" si="1"/>
        <v>Month!i362</v>
      </c>
      <c r="AA31" s="2" t="str">
        <f t="shared" si="1"/>
        <v>Month!j362</v>
      </c>
      <c r="AB31" s="2" t="str">
        <f t="shared" si="1"/>
        <v>Month!k362</v>
      </c>
      <c r="AC31" s="2" t="str">
        <f t="shared" si="1"/>
        <v>Month!l362</v>
      </c>
      <c r="AD31" s="2" t="str">
        <f t="shared" si="1"/>
        <v>Month!m362</v>
      </c>
      <c r="AE31" s="2" t="str">
        <f t="shared" si="1"/>
        <v>Month!n362</v>
      </c>
    </row>
    <row r="32" spans="1:31">
      <c r="A32" s="14">
        <v>1996</v>
      </c>
      <c r="B32" t="s">
        <v>10</v>
      </c>
      <c r="C32" s="17">
        <f>(5.3777+0.005+0.065754)*73.169/72.5926</f>
        <v>5.491715832274914</v>
      </c>
      <c r="D32" s="17">
        <f>2.5009 /32.0241*32.4</f>
        <v>2.5302556512126806</v>
      </c>
      <c r="E32" s="131">
        <v>0.19189999999999999</v>
      </c>
      <c r="F32" s="131">
        <v>0.99729999999999996</v>
      </c>
      <c r="G32" s="17">
        <f>(1.6594+0.065754)*22.18/22.1164</f>
        <v>1.7301150151019153</v>
      </c>
      <c r="H32" s="131">
        <v>1.84E-2</v>
      </c>
      <c r="I32" s="132"/>
      <c r="J32" s="132"/>
      <c r="K32" s="132"/>
      <c r="L32">
        <v>7.3956999999999997</v>
      </c>
      <c r="M32">
        <v>7.9699999999999993E-2</v>
      </c>
      <c r="N32">
        <v>19.050800000000002</v>
      </c>
      <c r="P32"/>
      <c r="Q32">
        <f t="shared" si="2"/>
        <v>363</v>
      </c>
      <c r="R32" s="2" t="str">
        <f t="shared" si="3"/>
        <v>Month!a363</v>
      </c>
      <c r="S32" s="2" t="str">
        <f t="shared" si="1"/>
        <v>Month!b363</v>
      </c>
      <c r="T32" s="2" t="str">
        <f t="shared" si="1"/>
        <v>Month!c363</v>
      </c>
      <c r="U32" s="2" t="str">
        <f t="shared" si="1"/>
        <v>Month!d363</v>
      </c>
      <c r="V32" s="2" t="str">
        <f t="shared" si="1"/>
        <v>Month!e363</v>
      </c>
      <c r="W32" s="2" t="str">
        <f t="shared" si="1"/>
        <v>Month!f363</v>
      </c>
      <c r="X32" s="2" t="str">
        <f t="shared" si="1"/>
        <v>Month!g363</v>
      </c>
      <c r="Y32" s="2" t="str">
        <f t="shared" si="1"/>
        <v>Month!h363</v>
      </c>
      <c r="Z32" s="2" t="str">
        <f t="shared" si="1"/>
        <v>Month!i363</v>
      </c>
      <c r="AA32" s="2" t="str">
        <f t="shared" si="1"/>
        <v>Month!j363</v>
      </c>
      <c r="AB32" s="2" t="str">
        <f t="shared" si="1"/>
        <v>Month!k363</v>
      </c>
      <c r="AC32" s="2" t="str">
        <f t="shared" si="1"/>
        <v>Month!l363</v>
      </c>
      <c r="AD32" s="2" t="str">
        <f t="shared" si="1"/>
        <v>Month!m363</v>
      </c>
      <c r="AE32" s="2" t="str">
        <f t="shared" si="1"/>
        <v>Month!n363</v>
      </c>
    </row>
    <row r="33" spans="1:31">
      <c r="A33" s="14">
        <v>1996</v>
      </c>
      <c r="B33" t="s">
        <v>9</v>
      </c>
      <c r="C33" s="17">
        <f>(5.18+0.005+0.065754)*73.169/72.5926</f>
        <v>5.292446054088157</v>
      </c>
      <c r="D33" s="17">
        <f>2.1963 /32.0241*32.4</f>
        <v>2.2220802458148707</v>
      </c>
      <c r="E33" s="131">
        <v>0.20630000000000001</v>
      </c>
      <c r="F33" s="131">
        <v>1.0488999999999999</v>
      </c>
      <c r="G33" s="17">
        <f>(1.7069+0.065754)*22.18/22.1164</f>
        <v>1.7777516105695323</v>
      </c>
      <c r="H33" s="131">
        <v>1.5800000000000002E-2</v>
      </c>
      <c r="I33" s="132"/>
      <c r="J33" s="132"/>
      <c r="K33" s="132"/>
      <c r="L33">
        <v>9.1894999999999989</v>
      </c>
      <c r="M33">
        <v>9.5500000000000002E-2</v>
      </c>
      <c r="N33">
        <v>22.528100000000002</v>
      </c>
      <c r="P33"/>
      <c r="Q33">
        <f t="shared" si="2"/>
        <v>364</v>
      </c>
      <c r="R33" s="2" t="str">
        <f t="shared" si="3"/>
        <v>Month!a364</v>
      </c>
      <c r="S33" s="2" t="str">
        <f t="shared" si="1"/>
        <v>Month!b364</v>
      </c>
      <c r="T33" s="2" t="str">
        <f t="shared" si="1"/>
        <v>Month!c364</v>
      </c>
      <c r="U33" s="2" t="str">
        <f t="shared" si="1"/>
        <v>Month!d364</v>
      </c>
      <c r="V33" s="2" t="str">
        <f t="shared" si="1"/>
        <v>Month!e364</v>
      </c>
      <c r="W33" s="2" t="str">
        <f t="shared" si="1"/>
        <v>Month!f364</v>
      </c>
      <c r="X33" s="2" t="str">
        <f t="shared" si="1"/>
        <v>Month!g364</v>
      </c>
      <c r="Y33" s="2" t="str">
        <f t="shared" si="1"/>
        <v>Month!h364</v>
      </c>
      <c r="Z33" s="2" t="str">
        <f t="shared" si="1"/>
        <v>Month!i364</v>
      </c>
      <c r="AA33" s="2" t="str">
        <f t="shared" si="1"/>
        <v>Month!j364</v>
      </c>
      <c r="AB33" s="2" t="str">
        <f t="shared" si="1"/>
        <v>Month!k364</v>
      </c>
      <c r="AC33" s="2" t="str">
        <f t="shared" si="1"/>
        <v>Month!l364</v>
      </c>
      <c r="AD33" s="2" t="str">
        <f t="shared" si="1"/>
        <v>Month!m364</v>
      </c>
      <c r="AE33" s="2" t="str">
        <f t="shared" si="1"/>
        <v>Month!n364</v>
      </c>
    </row>
    <row r="34" spans="1:31">
      <c r="A34" s="14">
        <v>1996</v>
      </c>
      <c r="B34" t="s">
        <v>30</v>
      </c>
      <c r="C34" s="17">
        <f>(5.8611+0.005+0.082192)*73.169/72.5926</f>
        <v>5.9955226475976886</v>
      </c>
      <c r="D34" s="17">
        <f>2.3775 /32.0241*32.4</f>
        <v>2.40540717771928</v>
      </c>
      <c r="E34" s="131">
        <v>0.2606</v>
      </c>
      <c r="F34" s="131">
        <v>1.3066</v>
      </c>
      <c r="G34" s="17">
        <f>(1.9293+0.082192)*22.18/22.1164</f>
        <v>2.017276435586262</v>
      </c>
      <c r="H34" s="131">
        <v>1.6899999999999998E-2</v>
      </c>
      <c r="I34" s="132"/>
      <c r="J34" s="132"/>
      <c r="K34" s="132"/>
      <c r="L34">
        <v>11.223399999999998</v>
      </c>
      <c r="M34">
        <v>0.1124</v>
      </c>
      <c r="N34">
        <v>26.500700000000002</v>
      </c>
      <c r="P34"/>
      <c r="Q34">
        <f t="shared" si="2"/>
        <v>365</v>
      </c>
      <c r="R34" s="2" t="str">
        <f>$T$15&amp;R$17&amp;$Q34</f>
        <v>Month!a365</v>
      </c>
      <c r="S34" s="2" t="str">
        <f t="shared" si="1"/>
        <v>Month!b365</v>
      </c>
      <c r="T34" s="2" t="str">
        <f t="shared" si="1"/>
        <v>Month!c365</v>
      </c>
      <c r="U34" s="2" t="str">
        <f t="shared" si="1"/>
        <v>Month!d365</v>
      </c>
      <c r="V34" s="2" t="str">
        <f t="shared" si="1"/>
        <v>Month!e365</v>
      </c>
      <c r="W34" s="2" t="str">
        <f t="shared" si="1"/>
        <v>Month!f365</v>
      </c>
      <c r="X34" s="2" t="str">
        <f t="shared" si="1"/>
        <v>Month!g365</v>
      </c>
      <c r="Y34" s="2" t="str">
        <f t="shared" si="1"/>
        <v>Month!h365</v>
      </c>
      <c r="Z34" s="2" t="str">
        <f t="shared" si="1"/>
        <v>Month!i365</v>
      </c>
      <c r="AA34" s="2" t="str">
        <f t="shared" si="1"/>
        <v>Month!j365</v>
      </c>
      <c r="AB34" s="2" t="str">
        <f t="shared" si="1"/>
        <v>Month!k365</v>
      </c>
      <c r="AC34" s="2" t="str">
        <f t="shared" si="1"/>
        <v>Month!l365</v>
      </c>
      <c r="AD34" s="2" t="str">
        <f t="shared" si="1"/>
        <v>Month!m365</v>
      </c>
      <c r="AE34" s="2" t="str">
        <f t="shared" si="1"/>
        <v>Month!n365</v>
      </c>
    </row>
    <row r="35" spans="1:31">
      <c r="A35" s="14">
        <v>1996</v>
      </c>
      <c r="B35" t="s">
        <v>11</v>
      </c>
      <c r="C35" s="17">
        <f>(4.6609+0.005+0.072)*73.169/72.5926</f>
        <v>4.7755198890796029</v>
      </c>
      <c r="D35" s="17">
        <f>2.0166 /32.0241*32.4</f>
        <v>2.0402709209626502</v>
      </c>
      <c r="E35" s="131">
        <v>0.18920000000000001</v>
      </c>
      <c r="F35" s="131">
        <v>1.1271</v>
      </c>
      <c r="G35" s="17">
        <f>(1.3124+0.072)/22.1164*22.18</f>
        <v>1.3883811108498672</v>
      </c>
      <c r="H35" s="131">
        <v>7.1999999999999998E-3</v>
      </c>
      <c r="I35" s="132"/>
      <c r="J35" s="132"/>
      <c r="K35" s="132"/>
      <c r="L35">
        <v>12.618599999999997</v>
      </c>
      <c r="M35">
        <v>0.1196</v>
      </c>
      <c r="N35">
        <v>29.856900000000003</v>
      </c>
      <c r="P35"/>
      <c r="Q35">
        <f t="shared" si="2"/>
        <v>366</v>
      </c>
      <c r="R35" s="2" t="str">
        <f t="shared" si="3"/>
        <v>Month!a366</v>
      </c>
      <c r="S35" s="2" t="str">
        <f t="shared" si="1"/>
        <v>Month!b366</v>
      </c>
      <c r="T35" s="2" t="str">
        <f t="shared" si="1"/>
        <v>Month!c366</v>
      </c>
      <c r="U35" s="2" t="str">
        <f t="shared" si="1"/>
        <v>Month!d366</v>
      </c>
      <c r="V35" s="2" t="str">
        <f t="shared" si="1"/>
        <v>Month!e366</v>
      </c>
      <c r="W35" s="2" t="str">
        <f t="shared" si="1"/>
        <v>Month!f366</v>
      </c>
      <c r="X35" s="2" t="str">
        <f t="shared" si="1"/>
        <v>Month!g366</v>
      </c>
      <c r="Y35" s="2" t="str">
        <f t="shared" si="1"/>
        <v>Month!h366</v>
      </c>
      <c r="Z35" s="2" t="str">
        <f t="shared" si="1"/>
        <v>Month!i366</v>
      </c>
      <c r="AA35" s="2" t="str">
        <f t="shared" si="1"/>
        <v>Month!j366</v>
      </c>
      <c r="AB35" s="2" t="str">
        <f t="shared" si="1"/>
        <v>Month!k366</v>
      </c>
      <c r="AC35" s="2" t="str">
        <f t="shared" si="1"/>
        <v>Month!l366</v>
      </c>
      <c r="AD35" s="2" t="str">
        <f t="shared" si="1"/>
        <v>Month!m366</v>
      </c>
      <c r="AE35" s="2" t="str">
        <f t="shared" si="1"/>
        <v>Month!n366</v>
      </c>
    </row>
    <row r="36" spans="1:31">
      <c r="A36" s="14">
        <v>1996</v>
      </c>
      <c r="B36" t="s">
        <v>12</v>
      </c>
      <c r="C36" s="17">
        <f>(4.6292+0.005+0.072)*73.169/72.5926</f>
        <v>4.7435681846358992</v>
      </c>
      <c r="D36" s="17">
        <f>1.969 /32.0241*32.4</f>
        <v>1.9921121905065251</v>
      </c>
      <c r="E36" s="131">
        <v>0.2233</v>
      </c>
      <c r="F36" s="131">
        <v>1.0710999999999999</v>
      </c>
      <c r="G36" s="17">
        <f>(1.3472+0.072)*22.18/22.1164</f>
        <v>1.4232811850029843</v>
      </c>
      <c r="H36" s="131">
        <v>7.6E-3</v>
      </c>
      <c r="I36" s="132"/>
      <c r="J36" s="132"/>
      <c r="K36" s="132"/>
      <c r="L36">
        <v>14.049199999999997</v>
      </c>
      <c r="M36">
        <v>0.12720000000000001</v>
      </c>
      <c r="N36">
        <v>33.1432</v>
      </c>
      <c r="P36"/>
      <c r="Q36">
        <f t="shared" si="2"/>
        <v>367</v>
      </c>
      <c r="R36" s="2" t="str">
        <f t="shared" si="3"/>
        <v>Month!a367</v>
      </c>
      <c r="S36" s="2" t="str">
        <f t="shared" si="1"/>
        <v>Month!b367</v>
      </c>
      <c r="T36" s="2" t="str">
        <f t="shared" si="1"/>
        <v>Month!c367</v>
      </c>
      <c r="U36" s="2" t="str">
        <f t="shared" si="1"/>
        <v>Month!d367</v>
      </c>
      <c r="V36" s="2" t="str">
        <f t="shared" si="1"/>
        <v>Month!e367</v>
      </c>
      <c r="W36" s="2" t="str">
        <f t="shared" si="1"/>
        <v>Month!f367</v>
      </c>
      <c r="X36" s="2" t="str">
        <f t="shared" si="1"/>
        <v>Month!g367</v>
      </c>
      <c r="Y36" s="2" t="str">
        <f t="shared" si="1"/>
        <v>Month!h367</v>
      </c>
      <c r="Z36" s="2" t="str">
        <f t="shared" si="1"/>
        <v>Month!i367</v>
      </c>
      <c r="AA36" s="2" t="str">
        <f t="shared" si="1"/>
        <v>Month!j367</v>
      </c>
      <c r="AB36" s="2" t="str">
        <f t="shared" si="1"/>
        <v>Month!k367</v>
      </c>
      <c r="AC36" s="2" t="str">
        <f t="shared" si="1"/>
        <v>Month!l367</v>
      </c>
      <c r="AD36" s="2" t="str">
        <f t="shared" si="1"/>
        <v>Month!m367</v>
      </c>
      <c r="AE36" s="2" t="str">
        <f t="shared" si="1"/>
        <v>Month!n367</v>
      </c>
    </row>
    <row r="37" spans="1:31">
      <c r="A37" s="26">
        <v>1996</v>
      </c>
      <c r="B37" t="s">
        <v>13</v>
      </c>
      <c r="C37" s="17">
        <f>(6.2592+0.005+0.09)*73.169/72.5926</f>
        <v>6.4046536396271785</v>
      </c>
      <c r="D37" s="17">
        <f>2.4412 /32.0241*32.4</f>
        <v>2.4698548905355651</v>
      </c>
      <c r="E37" s="131">
        <v>0.2944</v>
      </c>
      <c r="F37" s="131">
        <v>1.5353000000000001</v>
      </c>
      <c r="G37" s="17">
        <f>(2.0042+0.09)*22.18/22.1164</f>
        <v>2.1002222784901701</v>
      </c>
      <c r="H37" s="131">
        <v>1.2800000000000001E-2</v>
      </c>
      <c r="I37" s="132"/>
      <c r="J37" s="132"/>
      <c r="K37" s="132"/>
      <c r="L37">
        <v>16.161999999999999</v>
      </c>
      <c r="M37">
        <v>0.14000000000000001</v>
      </c>
      <c r="N37">
        <v>37.442599999999999</v>
      </c>
      <c r="P37"/>
      <c r="T37" s="26" t="s">
        <v>607</v>
      </c>
    </row>
    <row r="38" spans="1:31">
      <c r="A38" s="26">
        <v>1996</v>
      </c>
      <c r="B38" t="s">
        <v>14</v>
      </c>
      <c r="C38" s="17">
        <f>(5.3253+0.005+0.079323)*73.169/72.5926</f>
        <v>5.4525765062416829</v>
      </c>
      <c r="D38" s="17">
        <f>2.0607 /32.0241*32.4</f>
        <v>2.0848885682970018</v>
      </c>
      <c r="E38" s="131">
        <v>0.22159999999999999</v>
      </c>
      <c r="F38" s="131">
        <v>1.3225</v>
      </c>
      <c r="G38" s="17">
        <f>(1.6856+0.079323)*22.18/22.1164</f>
        <v>1.7699983785787923</v>
      </c>
      <c r="H38" s="131">
        <v>2.3400000000000001E-2</v>
      </c>
      <c r="I38" s="132"/>
      <c r="J38" s="132"/>
      <c r="K38" s="132"/>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1">
        <v>0.21859999999999999</v>
      </c>
      <c r="F39" s="131">
        <v>1.3718999999999999</v>
      </c>
      <c r="G39" s="17">
        <f>(1.8426+0.079323)*22.18/22.1164</f>
        <v>1.9274498625454415</v>
      </c>
      <c r="H39" s="131">
        <v>4.3400000000000001E-2</v>
      </c>
      <c r="I39" s="132"/>
      <c r="J39" s="132"/>
      <c r="K39" s="132"/>
      <c r="L39">
        <v>19.925799999999999</v>
      </c>
      <c r="M39">
        <v>0.20680000000000001</v>
      </c>
      <c r="N39">
        <v>45.108799999999995</v>
      </c>
      <c r="P39"/>
      <c r="Q39">
        <f>+Q34</f>
        <v>365</v>
      </c>
      <c r="R39" s="128" t="str">
        <f>$T$37&amp;R$38&amp;$Q39</f>
        <v>calculation_hide!b365</v>
      </c>
      <c r="S39" s="128" t="str">
        <f>$T$37&amp;S$38&amp;$Q39</f>
        <v>calculation_hide!c365</v>
      </c>
      <c r="T39" s="2" t="str">
        <f t="shared" ref="T39:AD40" si="4">$T$37&amp;T$38&amp;$Q39</f>
        <v>calculation_hide!d365</v>
      </c>
      <c r="U39" s="2" t="str">
        <f t="shared" si="4"/>
        <v>calculation_hide!e365</v>
      </c>
      <c r="V39" s="2" t="str">
        <f t="shared" si="4"/>
        <v>calculation_hide!f365</v>
      </c>
      <c r="W39" s="2" t="str">
        <f t="shared" si="4"/>
        <v>calculation_hide!g365</v>
      </c>
      <c r="X39" s="2" t="str">
        <f t="shared" si="4"/>
        <v>calculation_hide!h365</v>
      </c>
      <c r="Y39" s="2" t="str">
        <f t="shared" si="4"/>
        <v>calculation_hide!i365</v>
      </c>
      <c r="Z39" s="2" t="str">
        <f t="shared" si="4"/>
        <v>calculation_hide!j365</v>
      </c>
      <c r="AA39" s="2" t="str">
        <f t="shared" si="4"/>
        <v>calculation_hide!k365</v>
      </c>
      <c r="AB39" s="2" t="str">
        <f t="shared" si="4"/>
        <v>calculation_hide!l365</v>
      </c>
      <c r="AC39" s="2" t="str">
        <f t="shared" si="4"/>
        <v>calculation_hide!m365</v>
      </c>
      <c r="AD39" s="2" t="str">
        <f t="shared" si="4"/>
        <v>calculation_hide!n365</v>
      </c>
    </row>
    <row r="40" spans="1:31">
      <c r="A40" s="27">
        <v>1996</v>
      </c>
      <c r="B40" s="15" t="s">
        <v>31</v>
      </c>
      <c r="C40" s="18">
        <f>(7.7975+0.005+0.099154)*73.169/72.5926</f>
        <v>7.9643947389403325</v>
      </c>
      <c r="D40" s="17">
        <f>3.4739 /32.0241*32.4</f>
        <v>3.5146767590658285</v>
      </c>
      <c r="E40" s="133">
        <v>0.29520000000000002</v>
      </c>
      <c r="F40" s="133">
        <v>1.6898</v>
      </c>
      <c r="G40" s="18">
        <f>(2.3535+0.099154)*22.18/22.1164</f>
        <v>2.4597070825269935</v>
      </c>
      <c r="H40" s="133">
        <v>4.19E-2</v>
      </c>
      <c r="I40" s="134"/>
      <c r="J40" s="134"/>
      <c r="K40" s="134"/>
      <c r="L40" s="15">
        <v>22.427699999999998</v>
      </c>
      <c r="M40" s="15">
        <v>0.2487</v>
      </c>
      <c r="N40" s="15">
        <v>50.608999999999995</v>
      </c>
      <c r="P40"/>
      <c r="Q40">
        <f>Q39+12</f>
        <v>377</v>
      </c>
      <c r="R40" s="2" t="str">
        <f>$T$37&amp;R$38&amp;$Q40</f>
        <v>calculation_hide!b377</v>
      </c>
      <c r="S40" s="2" t="str">
        <f>$T$37&amp;S$38&amp;$Q40</f>
        <v>calculation_hide!c377</v>
      </c>
      <c r="T40" s="2" t="str">
        <f t="shared" si="4"/>
        <v>calculation_hide!d377</v>
      </c>
      <c r="U40" s="2" t="str">
        <f t="shared" si="4"/>
        <v>calculation_hide!e377</v>
      </c>
      <c r="V40" s="2" t="str">
        <f t="shared" si="4"/>
        <v>calculation_hide!f377</v>
      </c>
      <c r="W40" s="2" t="str">
        <f t="shared" si="4"/>
        <v>calculation_hide!g377</v>
      </c>
      <c r="X40" s="2" t="str">
        <f t="shared" si="4"/>
        <v>calculation_hide!h377</v>
      </c>
      <c r="Y40" s="2" t="str">
        <f t="shared" si="4"/>
        <v>calculation_hide!i377</v>
      </c>
      <c r="Z40" s="2" t="str">
        <f t="shared" si="4"/>
        <v>calculation_hide!j377</v>
      </c>
      <c r="AA40" s="2" t="str">
        <f t="shared" si="4"/>
        <v>calculation_hide!k377</v>
      </c>
      <c r="AB40" s="2" t="str">
        <f t="shared" si="4"/>
        <v>calculation_hide!l377</v>
      </c>
      <c r="AC40" s="2" t="str">
        <f t="shared" si="4"/>
        <v>calculation_hide!m377</v>
      </c>
      <c r="AD40" s="2" t="str">
        <f t="shared" si="4"/>
        <v>calculation_hide!n377</v>
      </c>
    </row>
    <row r="41" spans="1:31">
      <c r="A41" s="26">
        <v>1997</v>
      </c>
      <c r="B41" t="s">
        <v>27</v>
      </c>
      <c r="C41" s="135">
        <f>D41+E41+F41+G41+H41+0.01996-0.0042</f>
        <v>6.7066655214748572</v>
      </c>
      <c r="D41" s="19">
        <f>2.9943319*27.71/27.388283</f>
        <v>3.029504878016632</v>
      </c>
      <c r="E41" s="135">
        <f>0.2736+0.0006+0.0116</f>
        <v>0.2858</v>
      </c>
      <c r="F41" s="135">
        <f>1.4241*19.233/19.32</f>
        <v>1.4176871273291924</v>
      </c>
      <c r="G41" s="135">
        <f>1.844926+0.078123</f>
        <v>1.923049</v>
      </c>
      <c r="H41" s="135">
        <f>0.0386*0.28/0.31</f>
        <v>3.4864516129032262E-2</v>
      </c>
      <c r="I41" s="136"/>
      <c r="J41" s="136"/>
      <c r="K41" s="136"/>
      <c r="L41">
        <v>1.8994</v>
      </c>
      <c r="M41">
        <v>5.45E-2</v>
      </c>
      <c r="N41">
        <v>4.6590999999999996</v>
      </c>
      <c r="P41"/>
      <c r="AA41" s="26"/>
    </row>
    <row r="42" spans="1:31">
      <c r="A42" s="26">
        <v>1997</v>
      </c>
      <c r="B42" t="s">
        <v>28</v>
      </c>
      <c r="C42" s="135">
        <f>D42+E42+F42+G42+H42+0.01659-0.0042</f>
        <v>6.44556422008504</v>
      </c>
      <c r="D42" s="19">
        <f>2.564156*27.71/27.388283</f>
        <v>2.5942759084240512</v>
      </c>
      <c r="E42" s="135">
        <f>0.1494+0.0006+0.0116</f>
        <v>0.16159999999999999</v>
      </c>
      <c r="F42" s="135">
        <f>1.6587*19.233/19.32</f>
        <v>1.6512306987577641</v>
      </c>
      <c r="G42" s="135">
        <f>1.922293+0.078123</f>
        <v>2.000416</v>
      </c>
      <c r="H42" s="135">
        <f>0.0284*0.28/0.31</f>
        <v>2.5651612903225807E-2</v>
      </c>
      <c r="I42" s="136"/>
      <c r="J42" s="136"/>
      <c r="K42" s="136"/>
      <c r="L42">
        <v>3.8632</v>
      </c>
      <c r="M42">
        <v>9.6000000000000002E-2</v>
      </c>
      <c r="N42">
        <v>9.0020999999999987</v>
      </c>
      <c r="P42"/>
      <c r="Q42" s="1" t="s">
        <v>60</v>
      </c>
    </row>
    <row r="43" spans="1:31">
      <c r="A43" s="26">
        <v>1997</v>
      </c>
      <c r="B43" t="s">
        <v>29</v>
      </c>
      <c r="C43" s="135">
        <f>D43+E43+F43+G43+H43+0.01739-0.0042</f>
        <v>7.15923702522604</v>
      </c>
      <c r="D43" s="19">
        <f>2.761072*27.71/27.388283</f>
        <v>2.7935049860555337</v>
      </c>
      <c r="E43" s="135">
        <f>0.1291+0.0006+0.0116</f>
        <v>0.14129999999999998</v>
      </c>
      <c r="F43" s="135">
        <f>1.9251*19.233/19.32</f>
        <v>1.9164310714285715</v>
      </c>
      <c r="G43" s="135">
        <f>2.140886+0.097654</f>
        <v>2.23854</v>
      </c>
      <c r="H43" s="135">
        <f>0.0623*0.28/0.31</f>
        <v>5.627096774193549E-2</v>
      </c>
      <c r="I43" s="136"/>
      <c r="J43" s="136"/>
      <c r="K43" s="136"/>
      <c r="L43">
        <v>6.0802999999999994</v>
      </c>
      <c r="M43">
        <v>0.17220000000000002</v>
      </c>
      <c r="N43">
        <v>13.785599999999999</v>
      </c>
      <c r="P43"/>
      <c r="R43" t="s">
        <v>62</v>
      </c>
    </row>
    <row r="44" spans="1:31">
      <c r="A44" s="26">
        <v>1997</v>
      </c>
      <c r="B44" t="s">
        <v>10</v>
      </c>
      <c r="C44" s="135">
        <f>D44+E44+F44+G44+H44+0.01698-0.0042</f>
        <v>5.1933549622499138</v>
      </c>
      <c r="D44" s="19">
        <f>1.788058*27.71/27.388283</f>
        <v>1.8090614581425202</v>
      </c>
      <c r="E44" s="135">
        <f>0.0591+0.0006+0.0116</f>
        <v>7.1300000000000002E-2</v>
      </c>
      <c r="F44" s="135">
        <f>1.4456*19.233/19.32</f>
        <v>1.4390903105590063</v>
      </c>
      <c r="G44" s="135">
        <f>1.768811+0.068738</f>
        <v>1.8375489999999999</v>
      </c>
      <c r="H44" s="135">
        <f>0.0261*0.28/0.31</f>
        <v>2.35741935483871E-2</v>
      </c>
      <c r="I44" s="136"/>
      <c r="J44" s="136"/>
      <c r="K44" s="136"/>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5">
        <f>D45+E45+F45+G45+H45+0.01817-0.0042</f>
        <v>5.0941596722897797</v>
      </c>
      <c r="D45" s="19">
        <f>1.559149*27.71/27.388283</f>
        <v>1.5774635741130614</v>
      </c>
      <c r="E45" s="135">
        <f>0.0608+0.0006+0.0116</f>
        <v>7.3000000000000009E-2</v>
      </c>
      <c r="F45" s="135">
        <f>1.5036*19.233/19.32</f>
        <v>1.4968291304347827</v>
      </c>
      <c r="G45" s="135">
        <f>1.847088+0.068738</f>
        <v>1.915826</v>
      </c>
      <c r="H45" s="135">
        <f>0.0189*0.28/0.31</f>
        <v>1.7070967741935485E-2</v>
      </c>
      <c r="I45" s="136"/>
      <c r="J45" s="136"/>
      <c r="K45" s="136"/>
      <c r="L45">
        <v>9.7691999999999997</v>
      </c>
      <c r="M45">
        <v>0.24520000000000003</v>
      </c>
      <c r="N45">
        <v>20.163499999999999</v>
      </c>
      <c r="Q45">
        <f>C2-1994+ROUND(C3/23,0)-1</f>
        <v>30</v>
      </c>
      <c r="T45" s="128" t="str">
        <f>$R$43&amp;T$44&amp;$Q45</f>
        <v>Unrounded!r30</v>
      </c>
      <c r="U45" s="128" t="str">
        <f t="shared" ref="U45:AE49" si="5">$R$43&amp;U$44&amp;$Q45</f>
        <v>Unrounded!s30</v>
      </c>
      <c r="V45" s="128" t="str">
        <f t="shared" si="5"/>
        <v>Unrounded!t30</v>
      </c>
      <c r="W45" s="128" t="str">
        <f t="shared" si="5"/>
        <v>Unrounded!u30</v>
      </c>
      <c r="X45" s="128" t="str">
        <f t="shared" si="5"/>
        <v>Unrounded!v30</v>
      </c>
      <c r="Y45" s="128" t="str">
        <f t="shared" si="5"/>
        <v>Unrounded!w30</v>
      </c>
      <c r="Z45" s="128" t="str">
        <f t="shared" si="5"/>
        <v>Unrounded!x30</v>
      </c>
      <c r="AA45" s="128" t="str">
        <f t="shared" si="5"/>
        <v>Unrounded!y30</v>
      </c>
      <c r="AB45" s="128" t="str">
        <f t="shared" si="5"/>
        <v>Unrounded!z30</v>
      </c>
      <c r="AC45" s="128" t="str">
        <f t="shared" si="5"/>
        <v>Unrounded!aa30</v>
      </c>
      <c r="AD45" s="128" t="str">
        <f t="shared" si="5"/>
        <v>Unrounded!ab30</v>
      </c>
      <c r="AE45" s="128" t="str">
        <f t="shared" si="5"/>
        <v>Unrounded!ac30</v>
      </c>
    </row>
    <row r="46" spans="1:31">
      <c r="A46">
        <v>1997</v>
      </c>
      <c r="B46" t="s">
        <v>30</v>
      </c>
      <c r="C46" s="135">
        <f>D46+E46+F46+G46+H46+0.01859-0.0042</f>
        <v>6.0648055404622303</v>
      </c>
      <c r="D46" s="19">
        <f>1.970416*27.71/27.388283</f>
        <v>1.9935615299432972</v>
      </c>
      <c r="E46" s="135">
        <f>0.1101+0.0006+0.0116</f>
        <v>0.12230000000000001</v>
      </c>
      <c r="F46" s="135">
        <f>1.7297*19.233/19.32</f>
        <v>1.7219109782608695</v>
      </c>
      <c r="G46" s="135">
        <f>2.112991+0.085923</f>
        <v>2.1989140000000003</v>
      </c>
      <c r="H46" s="135">
        <f>0.0152*0.28/0.31</f>
        <v>1.3729032258064516E-2</v>
      </c>
      <c r="I46" s="136"/>
      <c r="J46" s="136"/>
      <c r="K46" s="136"/>
      <c r="L46">
        <v>11.9101</v>
      </c>
      <c r="M46">
        <v>0.27310000000000001</v>
      </c>
      <c r="N46">
        <v>23.951599999999999</v>
      </c>
      <c r="Q46" s="26">
        <f>Q45+1</f>
        <v>31</v>
      </c>
      <c r="T46" s="128" t="str">
        <f>$R$43&amp;T$44&amp;$Q46</f>
        <v>Unrounded!r31</v>
      </c>
      <c r="U46" s="128" t="str">
        <f t="shared" si="5"/>
        <v>Unrounded!s31</v>
      </c>
      <c r="V46" s="128" t="str">
        <f t="shared" si="5"/>
        <v>Unrounded!t31</v>
      </c>
      <c r="W46" s="128" t="str">
        <f t="shared" si="5"/>
        <v>Unrounded!u31</v>
      </c>
      <c r="X46" s="128" t="str">
        <f t="shared" si="5"/>
        <v>Unrounded!v31</v>
      </c>
      <c r="Y46" s="128" t="str">
        <f t="shared" si="5"/>
        <v>Unrounded!w31</v>
      </c>
      <c r="Z46" s="128" t="str">
        <f t="shared" si="5"/>
        <v>Unrounded!x31</v>
      </c>
      <c r="AA46" s="128" t="str">
        <f t="shared" si="5"/>
        <v>Unrounded!y31</v>
      </c>
      <c r="AB46" s="128" t="str">
        <f t="shared" si="5"/>
        <v>Unrounded!z31</v>
      </c>
      <c r="AC46" s="128" t="str">
        <f t="shared" si="5"/>
        <v>Unrounded!aa31</v>
      </c>
      <c r="AD46" s="128" t="str">
        <f t="shared" si="5"/>
        <v>Unrounded!ab31</v>
      </c>
      <c r="AE46" s="128" t="str">
        <f t="shared" si="5"/>
        <v>Unrounded!ac31</v>
      </c>
    </row>
    <row r="47" spans="1:31">
      <c r="A47">
        <v>1997</v>
      </c>
      <c r="B47" t="s">
        <v>11</v>
      </c>
      <c r="C47" s="135">
        <f>D47+E47+F47+G47+H47+0.01545-0.0042</f>
        <v>4.8752925831780951</v>
      </c>
      <c r="D47" s="19">
        <f>1.543497*27.71/27.388283</f>
        <v>1.5616277175900364</v>
      </c>
      <c r="E47" s="135">
        <f>0.069791+0.0006+0.0116</f>
        <v>8.1991000000000008E-2</v>
      </c>
      <c r="F47" s="135">
        <f>1.474446*19.233/19.32</f>
        <v>1.4678064139751552</v>
      </c>
      <c r="G47" s="135">
        <f>1.686699+0.056272</f>
        <v>1.742971</v>
      </c>
      <c r="H47" s="135">
        <f>0.01068*0.28/0.31</f>
        <v>9.6464516129032268E-3</v>
      </c>
      <c r="I47" s="136"/>
      <c r="J47" s="136"/>
      <c r="K47" s="136"/>
      <c r="L47">
        <v>13.6197</v>
      </c>
      <c r="M47">
        <v>0.29599999999999999</v>
      </c>
      <c r="N47">
        <v>27.021899999999999</v>
      </c>
      <c r="Q47" s="26">
        <f>Q46+1</f>
        <v>32</v>
      </c>
      <c r="T47" s="128" t="str">
        <f>$R$43&amp;T$44&amp;$Q47</f>
        <v>Unrounded!r32</v>
      </c>
      <c r="U47" s="128" t="str">
        <f t="shared" si="5"/>
        <v>Unrounded!s32</v>
      </c>
      <c r="V47" s="128" t="str">
        <f t="shared" si="5"/>
        <v>Unrounded!t32</v>
      </c>
      <c r="W47" s="128" t="str">
        <f t="shared" si="5"/>
        <v>Unrounded!u32</v>
      </c>
      <c r="X47" s="128" t="str">
        <f t="shared" si="5"/>
        <v>Unrounded!v32</v>
      </c>
      <c r="Y47" s="128" t="str">
        <f t="shared" si="5"/>
        <v>Unrounded!w32</v>
      </c>
      <c r="Z47" s="128" t="str">
        <f t="shared" si="5"/>
        <v>Unrounded!x32</v>
      </c>
      <c r="AA47" s="128" t="str">
        <f t="shared" si="5"/>
        <v>Unrounded!y32</v>
      </c>
      <c r="AB47" s="128" t="str">
        <f t="shared" si="5"/>
        <v>Unrounded!z32</v>
      </c>
      <c r="AC47" s="128" t="str">
        <f t="shared" si="5"/>
        <v>Unrounded!aa32</v>
      </c>
      <c r="AD47" s="128" t="str">
        <f t="shared" si="5"/>
        <v>Unrounded!ab32</v>
      </c>
      <c r="AE47" s="128" t="str">
        <f t="shared" si="5"/>
        <v>Unrounded!ac32</v>
      </c>
    </row>
    <row r="48" spans="1:31">
      <c r="A48">
        <v>1997</v>
      </c>
      <c r="B48" t="s">
        <v>12</v>
      </c>
      <c r="C48" s="135">
        <f>D48+E48+F48+G48+H48+0.0154-0.0042</f>
        <v>4.7553484188977073</v>
      </c>
      <c r="D48" s="19">
        <f>1.638893*27.71/27.388283</f>
        <v>1.6581442885631057</v>
      </c>
      <c r="E48" s="135">
        <f>0.0674+0.0006+0.0116</f>
        <v>7.9600000000000004E-2</v>
      </c>
      <c r="F48" s="135">
        <f>1.3525*19.233/19.32</f>
        <v>1.346409549689441</v>
      </c>
      <c r="G48" s="135">
        <f>1.5946+0.056272</f>
        <v>1.6508720000000001</v>
      </c>
      <c r="H48" s="135">
        <f>0.0101*0.28/0.31</f>
        <v>9.1225806451612906E-3</v>
      </c>
      <c r="I48" s="136"/>
      <c r="J48" s="136"/>
      <c r="K48" s="136"/>
      <c r="L48">
        <v>15.236699999999999</v>
      </c>
      <c r="M48">
        <v>0.31839999999999996</v>
      </c>
      <c r="N48">
        <v>30.062099999999997</v>
      </c>
      <c r="Q48" s="26">
        <f>Q47+1</f>
        <v>33</v>
      </c>
      <c r="T48" s="128" t="str">
        <f>$R$43&amp;T$44&amp;$Q48</f>
        <v>Unrounded!r33</v>
      </c>
      <c r="U48" s="128" t="str">
        <f t="shared" si="5"/>
        <v>Unrounded!s33</v>
      </c>
      <c r="V48" s="128" t="str">
        <f t="shared" si="5"/>
        <v>Unrounded!t33</v>
      </c>
      <c r="W48" s="128" t="str">
        <f t="shared" si="5"/>
        <v>Unrounded!u33</v>
      </c>
      <c r="X48" s="128" t="str">
        <f t="shared" si="5"/>
        <v>Unrounded!v33</v>
      </c>
      <c r="Y48" s="128" t="str">
        <f t="shared" si="5"/>
        <v>Unrounded!w33</v>
      </c>
      <c r="Z48" s="128" t="str">
        <f t="shared" si="5"/>
        <v>Unrounded!x33</v>
      </c>
      <c r="AA48" s="128" t="str">
        <f t="shared" si="5"/>
        <v>Unrounded!y33</v>
      </c>
      <c r="AB48" s="128" t="str">
        <f t="shared" si="5"/>
        <v>Unrounded!z33</v>
      </c>
      <c r="AC48" s="128" t="str">
        <f t="shared" si="5"/>
        <v>Unrounded!aa33</v>
      </c>
      <c r="AD48" s="128" t="str">
        <f t="shared" si="5"/>
        <v>Unrounded!ab33</v>
      </c>
      <c r="AE48" s="128" t="str">
        <f t="shared" si="5"/>
        <v>Unrounded!ac33</v>
      </c>
    </row>
    <row r="49" spans="1:31">
      <c r="A49">
        <v>1997</v>
      </c>
      <c r="B49" t="s">
        <v>13</v>
      </c>
      <c r="C49" s="135">
        <f>D49+E49+F49+G49+H49+0.01266-0.0042</f>
        <v>6.272357145435401</v>
      </c>
      <c r="D49" s="19">
        <f>2.521787*27.71/27.388283</f>
        <v>2.5514092201398677</v>
      </c>
      <c r="E49" s="135">
        <f>0.082256+0.0016+0.019</f>
        <v>0.102856</v>
      </c>
      <c r="F49" s="135">
        <f>1.750006*19.233/19.32</f>
        <v>1.7421255381987577</v>
      </c>
      <c r="G49" s="135">
        <f>1.775638+0.07034</f>
        <v>1.8459780000000001</v>
      </c>
      <c r="H49" s="135">
        <f>0.023835*0.28/0.31</f>
        <v>2.1528387096774196E-2</v>
      </c>
      <c r="I49" s="136"/>
      <c r="J49" s="136"/>
      <c r="K49" s="136"/>
      <c r="L49">
        <v>17.047599999999999</v>
      </c>
      <c r="M49">
        <v>0.35369999999999996</v>
      </c>
      <c r="N49">
        <v>34.387299999999996</v>
      </c>
      <c r="Q49" s="26">
        <f>Q48+1</f>
        <v>34</v>
      </c>
      <c r="T49" s="128" t="str">
        <f>$R$43&amp;T$44&amp;$Q49</f>
        <v>Unrounded!r34</v>
      </c>
      <c r="U49" s="128" t="str">
        <f t="shared" si="5"/>
        <v>Unrounded!s34</v>
      </c>
      <c r="V49" s="128" t="str">
        <f t="shared" si="5"/>
        <v>Unrounded!t34</v>
      </c>
      <c r="W49" s="128" t="str">
        <f t="shared" si="5"/>
        <v>Unrounded!u34</v>
      </c>
      <c r="X49" s="128" t="str">
        <f t="shared" si="5"/>
        <v>Unrounded!v34</v>
      </c>
      <c r="Y49" s="128" t="str">
        <f t="shared" si="5"/>
        <v>Unrounded!w34</v>
      </c>
      <c r="Z49" s="128" t="str">
        <f t="shared" si="5"/>
        <v>Unrounded!x34</v>
      </c>
      <c r="AA49" s="128" t="str">
        <f t="shared" si="5"/>
        <v>Unrounded!y34</v>
      </c>
      <c r="AB49" s="128" t="str">
        <f t="shared" si="5"/>
        <v>Unrounded!z34</v>
      </c>
      <c r="AC49" s="128" t="str">
        <f t="shared" si="5"/>
        <v>Unrounded!aa34</v>
      </c>
      <c r="AD49" s="128" t="str">
        <f t="shared" si="5"/>
        <v>Unrounded!ab34</v>
      </c>
      <c r="AE49" s="128" t="str">
        <f t="shared" si="5"/>
        <v>Unrounded!ac34</v>
      </c>
    </row>
    <row r="50" spans="1:31">
      <c r="A50">
        <v>1997</v>
      </c>
      <c r="B50" t="s">
        <v>14</v>
      </c>
      <c r="C50" s="135">
        <f>D50+E50+F50+G50+H50+0.01904-0.0042</f>
        <v>5.4057886196282183</v>
      </c>
      <c r="D50" s="19">
        <f>2.257316*27.71/27.388283</f>
        <v>2.2838316063843793</v>
      </c>
      <c r="E50" s="135">
        <f>0.062027+0.0006+0.0116</f>
        <v>7.4227000000000001E-2</v>
      </c>
      <c r="F50" s="135">
        <f>1.483604*19.233/19.32</f>
        <v>1.4769231745341613</v>
      </c>
      <c r="G50" s="135">
        <f>1.476098+0.065494</f>
        <v>1.5415919999999999</v>
      </c>
      <c r="H50" s="135">
        <f>0.015915*0.28/0.31</f>
        <v>1.437483870967742E-2</v>
      </c>
      <c r="I50" s="136"/>
      <c r="J50" s="136"/>
      <c r="K50" s="136"/>
      <c r="L50">
        <v>18.5547</v>
      </c>
      <c r="M50">
        <v>0.38469999999999993</v>
      </c>
      <c r="N50">
        <v>38.164299999999997</v>
      </c>
    </row>
    <row r="51" spans="1:31">
      <c r="A51">
        <v>1997</v>
      </c>
      <c r="B51" t="s">
        <v>15</v>
      </c>
      <c r="C51" s="135">
        <f>D51+E51+F51+G51+H51+0.01824-0.0042</f>
        <v>5.9323653616093504</v>
      </c>
      <c r="D51" s="19">
        <f>2.44868*27.71/27.388283</f>
        <v>2.4774434673396648</v>
      </c>
      <c r="E51" s="135">
        <f>0.059735+0.0006+0.0116</f>
        <v>7.1934999999999999E-2</v>
      </c>
      <c r="F51" s="135">
        <f>1.534212*19.233/19.32</f>
        <v>1.5273032813664595</v>
      </c>
      <c r="G51" s="135">
        <f>1.76013+0.065494</f>
        <v>1.8256239999999999</v>
      </c>
      <c r="H51" s="135">
        <f>0.017736*0.28/0.31</f>
        <v>1.6019612903225809E-2</v>
      </c>
      <c r="I51" s="136"/>
      <c r="J51" s="136"/>
      <c r="K51" s="136"/>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7">
        <f>D52+E52+F52+G52+H52+0.01881-0.0042</f>
        <v>7.8375124490156471</v>
      </c>
      <c r="D52" s="20">
        <f>3.340926*27.71/27.388283</f>
        <v>3.3801702523666779</v>
      </c>
      <c r="E52" s="137">
        <f>0.098464+0.0006+0.0116</f>
        <v>0.110664</v>
      </c>
      <c r="F52" s="137">
        <f>(2.031499+0.0069)*19.233/19.32</f>
        <v>2.0292198740683234</v>
      </c>
      <c r="G52" s="137">
        <f>2.203042+0.081868-0.0162</f>
        <v>2.26871</v>
      </c>
      <c r="H52" s="137">
        <f>0.037796*0.28/0.31</f>
        <v>3.4138322580645163E-2</v>
      </c>
      <c r="I52" s="138"/>
      <c r="J52" s="138"/>
      <c r="K52" s="138"/>
      <c r="L52" s="15">
        <v>22.453500000000002</v>
      </c>
      <c r="M52" s="15">
        <v>0.47059999999999991</v>
      </c>
      <c r="N52" s="15">
        <v>47.612000000000002</v>
      </c>
      <c r="Q52">
        <f>(($C$2-1991)*12)+($C$3+14)-81</f>
        <v>342</v>
      </c>
      <c r="T52" s="2" t="str">
        <f t="shared" ref="T52:AE67" si="6">$R$43&amp;T$51&amp;$Q52</f>
        <v>Unrounded!c342</v>
      </c>
      <c r="U52" s="2" t="str">
        <f t="shared" si="6"/>
        <v>Unrounded!d342</v>
      </c>
      <c r="V52" s="2" t="str">
        <f t="shared" si="6"/>
        <v>Unrounded!e342</v>
      </c>
      <c r="W52" s="2" t="str">
        <f t="shared" si="6"/>
        <v>Unrounded!f342</v>
      </c>
      <c r="X52" s="2" t="str">
        <f t="shared" si="6"/>
        <v>Unrounded!g342</v>
      </c>
      <c r="Y52" s="2" t="str">
        <f t="shared" si="6"/>
        <v>Unrounded!h342</v>
      </c>
      <c r="Z52" s="2" t="str">
        <f t="shared" si="6"/>
        <v>Unrounded!i342</v>
      </c>
      <c r="AA52" s="2" t="str">
        <f t="shared" si="6"/>
        <v>Unrounded!j342</v>
      </c>
      <c r="AB52" s="2" t="str">
        <f t="shared" si="6"/>
        <v>Unrounded!k342</v>
      </c>
      <c r="AC52" s="2" t="str">
        <f t="shared" si="6"/>
        <v>Unrounded!l342</v>
      </c>
      <c r="AD52" s="2" t="str">
        <f t="shared" si="6"/>
        <v>Unrounded!m342</v>
      </c>
      <c r="AE52" s="2" t="str">
        <f t="shared" si="6"/>
        <v>Unrounded!n342</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343</v>
      </c>
      <c r="T53" s="2" t="str">
        <f t="shared" si="6"/>
        <v>Unrounded!c343</v>
      </c>
      <c r="U53" s="2" t="str">
        <f t="shared" si="6"/>
        <v>Unrounded!d343</v>
      </c>
      <c r="V53" s="2" t="str">
        <f t="shared" si="6"/>
        <v>Unrounded!e343</v>
      </c>
      <c r="W53" s="2" t="str">
        <f t="shared" si="6"/>
        <v>Unrounded!f343</v>
      </c>
      <c r="X53" s="2" t="str">
        <f t="shared" si="6"/>
        <v>Unrounded!g343</v>
      </c>
      <c r="Y53" s="2" t="str">
        <f t="shared" si="6"/>
        <v>Unrounded!h343</v>
      </c>
      <c r="Z53" s="2" t="str">
        <f t="shared" si="6"/>
        <v>Unrounded!i343</v>
      </c>
      <c r="AA53" s="2" t="str">
        <f t="shared" si="6"/>
        <v>Unrounded!j343</v>
      </c>
      <c r="AB53" s="2" t="str">
        <f t="shared" si="6"/>
        <v>Unrounded!k343</v>
      </c>
      <c r="AC53" s="2" t="str">
        <f t="shared" si="6"/>
        <v>Unrounded!l343</v>
      </c>
      <c r="AD53" s="2" t="str">
        <f t="shared" si="6"/>
        <v>Unrounded!m343</v>
      </c>
      <c r="AE53" s="2" t="str">
        <f t="shared" si="6"/>
        <v>Unrounded!n343</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344</v>
      </c>
      <c r="T54" s="2" t="str">
        <f t="shared" si="6"/>
        <v>Unrounded!c344</v>
      </c>
      <c r="U54" s="2" t="str">
        <f t="shared" si="6"/>
        <v>Unrounded!d344</v>
      </c>
      <c r="V54" s="2" t="str">
        <f t="shared" si="6"/>
        <v>Unrounded!e344</v>
      </c>
      <c r="W54" s="2" t="str">
        <f t="shared" si="6"/>
        <v>Unrounded!f344</v>
      </c>
      <c r="X54" s="2" t="str">
        <f t="shared" si="6"/>
        <v>Unrounded!g344</v>
      </c>
      <c r="Y54" s="2" t="str">
        <f t="shared" si="6"/>
        <v>Unrounded!h344</v>
      </c>
      <c r="Z54" s="2" t="str">
        <f t="shared" si="6"/>
        <v>Unrounded!i344</v>
      </c>
      <c r="AA54" s="2" t="str">
        <f t="shared" si="6"/>
        <v>Unrounded!j344</v>
      </c>
      <c r="AB54" s="2" t="str">
        <f t="shared" si="6"/>
        <v>Unrounded!k344</v>
      </c>
      <c r="AC54" s="2" t="str">
        <f t="shared" si="6"/>
        <v>Unrounded!l344</v>
      </c>
      <c r="AD54" s="2" t="str">
        <f t="shared" si="6"/>
        <v>Unrounded!m344</v>
      </c>
      <c r="AE54" s="2" t="str">
        <f t="shared" si="6"/>
        <v>Unrounded!n344</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345</v>
      </c>
      <c r="T55" s="2" t="str">
        <f t="shared" si="6"/>
        <v>Unrounded!c345</v>
      </c>
      <c r="U55" s="2" t="str">
        <f t="shared" si="6"/>
        <v>Unrounded!d345</v>
      </c>
      <c r="V55" s="2" t="str">
        <f t="shared" si="6"/>
        <v>Unrounded!e345</v>
      </c>
      <c r="W55" s="2" t="str">
        <f t="shared" si="6"/>
        <v>Unrounded!f345</v>
      </c>
      <c r="X55" s="2" t="str">
        <f t="shared" si="6"/>
        <v>Unrounded!g345</v>
      </c>
      <c r="Y55" s="2" t="str">
        <f t="shared" si="6"/>
        <v>Unrounded!h345</v>
      </c>
      <c r="Z55" s="2" t="str">
        <f t="shared" si="6"/>
        <v>Unrounded!i345</v>
      </c>
      <c r="AA55" s="2" t="str">
        <f t="shared" si="6"/>
        <v>Unrounded!j345</v>
      </c>
      <c r="AB55" s="2" t="str">
        <f t="shared" si="6"/>
        <v>Unrounded!k345</v>
      </c>
      <c r="AC55" s="2" t="str">
        <f t="shared" si="6"/>
        <v>Unrounded!l345</v>
      </c>
      <c r="AD55" s="2" t="str">
        <f t="shared" si="6"/>
        <v>Unrounded!m345</v>
      </c>
      <c r="AE55" s="2" t="str">
        <f t="shared" si="6"/>
        <v>Unrounded!n345</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346</v>
      </c>
      <c r="T56" s="2" t="str">
        <f t="shared" si="6"/>
        <v>Unrounded!c346</v>
      </c>
      <c r="U56" s="2" t="str">
        <f t="shared" si="6"/>
        <v>Unrounded!d346</v>
      </c>
      <c r="V56" s="2" t="str">
        <f t="shared" si="6"/>
        <v>Unrounded!e346</v>
      </c>
      <c r="W56" s="2" t="str">
        <f t="shared" si="6"/>
        <v>Unrounded!f346</v>
      </c>
      <c r="X56" s="2" t="str">
        <f t="shared" si="6"/>
        <v>Unrounded!g346</v>
      </c>
      <c r="Y56" s="2" t="str">
        <f t="shared" si="6"/>
        <v>Unrounded!h346</v>
      </c>
      <c r="Z56" s="2" t="str">
        <f t="shared" si="6"/>
        <v>Unrounded!i346</v>
      </c>
      <c r="AA56" s="2" t="str">
        <f t="shared" si="6"/>
        <v>Unrounded!j346</v>
      </c>
      <c r="AB56" s="2" t="str">
        <f t="shared" si="6"/>
        <v>Unrounded!k346</v>
      </c>
      <c r="AC56" s="2" t="str">
        <f t="shared" si="6"/>
        <v>Unrounded!l346</v>
      </c>
      <c r="AD56" s="2" t="str">
        <f t="shared" si="6"/>
        <v>Unrounded!m346</v>
      </c>
      <c r="AE56" s="2" t="str">
        <f t="shared" si="6"/>
        <v>Unrounded!n346</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347</v>
      </c>
      <c r="T57" s="2" t="str">
        <f t="shared" si="6"/>
        <v>Unrounded!c347</v>
      </c>
      <c r="U57" s="2" t="str">
        <f t="shared" si="6"/>
        <v>Unrounded!d347</v>
      </c>
      <c r="V57" s="2" t="str">
        <f t="shared" si="6"/>
        <v>Unrounded!e347</v>
      </c>
      <c r="W57" s="2" t="str">
        <f t="shared" si="6"/>
        <v>Unrounded!f347</v>
      </c>
      <c r="X57" s="2" t="str">
        <f t="shared" si="6"/>
        <v>Unrounded!g347</v>
      </c>
      <c r="Y57" s="2" t="str">
        <f t="shared" si="6"/>
        <v>Unrounded!h347</v>
      </c>
      <c r="Z57" s="2" t="str">
        <f t="shared" si="6"/>
        <v>Unrounded!i347</v>
      </c>
      <c r="AA57" s="2" t="str">
        <f t="shared" si="6"/>
        <v>Unrounded!j347</v>
      </c>
      <c r="AB57" s="2" t="str">
        <f t="shared" si="6"/>
        <v>Unrounded!k347</v>
      </c>
      <c r="AC57" s="2" t="str">
        <f t="shared" si="6"/>
        <v>Unrounded!l347</v>
      </c>
      <c r="AD57" s="2" t="str">
        <f t="shared" si="6"/>
        <v>Unrounded!m347</v>
      </c>
      <c r="AE57" s="2" t="str">
        <f t="shared" si="6"/>
        <v>Unrounded!n347</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348</v>
      </c>
      <c r="T58" s="2" t="str">
        <f t="shared" si="6"/>
        <v>Unrounded!c348</v>
      </c>
      <c r="U58" s="2" t="str">
        <f t="shared" si="6"/>
        <v>Unrounded!d348</v>
      </c>
      <c r="V58" s="2" t="str">
        <f t="shared" si="6"/>
        <v>Unrounded!e348</v>
      </c>
      <c r="W58" s="2" t="str">
        <f t="shared" si="6"/>
        <v>Unrounded!f348</v>
      </c>
      <c r="X58" s="2" t="str">
        <f t="shared" si="6"/>
        <v>Unrounded!g348</v>
      </c>
      <c r="Y58" s="2" t="str">
        <f t="shared" si="6"/>
        <v>Unrounded!h348</v>
      </c>
      <c r="Z58" s="2" t="str">
        <f t="shared" si="6"/>
        <v>Unrounded!i348</v>
      </c>
      <c r="AA58" s="2" t="str">
        <f t="shared" si="6"/>
        <v>Unrounded!j348</v>
      </c>
      <c r="AB58" s="2" t="str">
        <f t="shared" si="6"/>
        <v>Unrounded!k348</v>
      </c>
      <c r="AC58" s="2" t="str">
        <f t="shared" si="6"/>
        <v>Unrounded!l348</v>
      </c>
      <c r="AD58" s="2" t="str">
        <f t="shared" si="6"/>
        <v>Unrounded!m348</v>
      </c>
      <c r="AE58" s="2" t="str">
        <f t="shared" si="6"/>
        <v>Unrounded!n348</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349</v>
      </c>
      <c r="T59" s="2" t="str">
        <f t="shared" si="6"/>
        <v>Unrounded!c349</v>
      </c>
      <c r="U59" s="2" t="str">
        <f t="shared" si="6"/>
        <v>Unrounded!d349</v>
      </c>
      <c r="V59" s="2" t="str">
        <f t="shared" si="6"/>
        <v>Unrounded!e349</v>
      </c>
      <c r="W59" s="2" t="str">
        <f t="shared" si="6"/>
        <v>Unrounded!f349</v>
      </c>
      <c r="X59" s="2" t="str">
        <f t="shared" si="6"/>
        <v>Unrounded!g349</v>
      </c>
      <c r="Y59" s="2" t="str">
        <f t="shared" si="6"/>
        <v>Unrounded!h349</v>
      </c>
      <c r="Z59" s="2" t="str">
        <f t="shared" si="6"/>
        <v>Unrounded!i349</v>
      </c>
      <c r="AA59" s="2" t="str">
        <f t="shared" si="6"/>
        <v>Unrounded!j349</v>
      </c>
      <c r="AB59" s="2" t="str">
        <f t="shared" si="6"/>
        <v>Unrounded!k349</v>
      </c>
      <c r="AC59" s="2" t="str">
        <f t="shared" si="6"/>
        <v>Unrounded!l349</v>
      </c>
      <c r="AD59" s="2" t="str">
        <f t="shared" si="6"/>
        <v>Unrounded!m349</v>
      </c>
      <c r="AE59" s="2" t="str">
        <f t="shared" si="6"/>
        <v>Unrounded!n349</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350</v>
      </c>
      <c r="T60" s="2" t="str">
        <f t="shared" si="6"/>
        <v>Unrounded!c350</v>
      </c>
      <c r="U60" s="2" t="str">
        <f t="shared" si="6"/>
        <v>Unrounded!d350</v>
      </c>
      <c r="V60" s="2" t="str">
        <f t="shared" si="6"/>
        <v>Unrounded!e350</v>
      </c>
      <c r="W60" s="2" t="str">
        <f t="shared" si="6"/>
        <v>Unrounded!f350</v>
      </c>
      <c r="X60" s="2" t="str">
        <f t="shared" si="6"/>
        <v>Unrounded!g350</v>
      </c>
      <c r="Y60" s="2" t="str">
        <f t="shared" si="6"/>
        <v>Unrounded!h350</v>
      </c>
      <c r="Z60" s="2" t="str">
        <f t="shared" si="6"/>
        <v>Unrounded!i350</v>
      </c>
      <c r="AA60" s="2" t="str">
        <f t="shared" si="6"/>
        <v>Unrounded!j350</v>
      </c>
      <c r="AB60" s="2" t="str">
        <f t="shared" si="6"/>
        <v>Unrounded!k350</v>
      </c>
      <c r="AC60" s="2" t="str">
        <f t="shared" si="6"/>
        <v>Unrounded!l350</v>
      </c>
      <c r="AD60" s="2" t="str">
        <f t="shared" si="6"/>
        <v>Unrounded!m350</v>
      </c>
      <c r="AE60" s="2" t="str">
        <f t="shared" si="6"/>
        <v>Unrounded!n350</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351</v>
      </c>
      <c r="T61" s="2" t="str">
        <f t="shared" si="6"/>
        <v>Unrounded!c351</v>
      </c>
      <c r="U61" s="2" t="str">
        <f t="shared" si="6"/>
        <v>Unrounded!d351</v>
      </c>
      <c r="V61" s="2" t="str">
        <f t="shared" si="6"/>
        <v>Unrounded!e351</v>
      </c>
      <c r="W61" s="2" t="str">
        <f t="shared" si="6"/>
        <v>Unrounded!f351</v>
      </c>
      <c r="X61" s="2" t="str">
        <f t="shared" si="6"/>
        <v>Unrounded!g351</v>
      </c>
      <c r="Y61" s="2" t="str">
        <f t="shared" si="6"/>
        <v>Unrounded!h351</v>
      </c>
      <c r="Z61" s="2" t="str">
        <f t="shared" si="6"/>
        <v>Unrounded!i351</v>
      </c>
      <c r="AA61" s="2" t="str">
        <f t="shared" si="6"/>
        <v>Unrounded!j351</v>
      </c>
      <c r="AB61" s="2" t="str">
        <f t="shared" si="6"/>
        <v>Unrounded!k351</v>
      </c>
      <c r="AC61" s="2" t="str">
        <f t="shared" si="6"/>
        <v>Unrounded!l351</v>
      </c>
      <c r="AD61" s="2" t="str">
        <f t="shared" si="6"/>
        <v>Unrounded!m351</v>
      </c>
      <c r="AE61" s="2" t="str">
        <f t="shared" si="6"/>
        <v>Unrounded!n351</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352</v>
      </c>
      <c r="R62" s="2"/>
      <c r="S62" s="2"/>
      <c r="T62" s="2" t="str">
        <f t="shared" si="6"/>
        <v>Unrounded!c352</v>
      </c>
      <c r="U62" s="2" t="str">
        <f t="shared" si="6"/>
        <v>Unrounded!d352</v>
      </c>
      <c r="V62" s="2" t="str">
        <f t="shared" si="6"/>
        <v>Unrounded!e352</v>
      </c>
      <c r="W62" s="2" t="str">
        <f t="shared" si="6"/>
        <v>Unrounded!f352</v>
      </c>
      <c r="X62" s="2" t="str">
        <f t="shared" si="6"/>
        <v>Unrounded!g352</v>
      </c>
      <c r="Y62" s="2" t="str">
        <f t="shared" si="6"/>
        <v>Unrounded!h352</v>
      </c>
      <c r="Z62" s="2" t="str">
        <f t="shared" si="6"/>
        <v>Unrounded!i352</v>
      </c>
      <c r="AA62" s="2" t="str">
        <f t="shared" si="6"/>
        <v>Unrounded!j352</v>
      </c>
      <c r="AB62" s="2" t="str">
        <f t="shared" si="6"/>
        <v>Unrounded!k352</v>
      </c>
      <c r="AC62" s="2" t="str">
        <f t="shared" si="6"/>
        <v>Unrounded!l352</v>
      </c>
      <c r="AD62" s="2" t="str">
        <f t="shared" si="6"/>
        <v>Unrounded!m352</v>
      </c>
      <c r="AE62" s="2" t="str">
        <f t="shared" si="6"/>
        <v>Unrounded!n352</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353</v>
      </c>
      <c r="R63" s="2"/>
      <c r="S63" s="2"/>
      <c r="T63" s="2" t="str">
        <f t="shared" si="6"/>
        <v>Unrounded!c353</v>
      </c>
      <c r="U63" s="2" t="str">
        <f t="shared" si="6"/>
        <v>Unrounded!d353</v>
      </c>
      <c r="V63" s="2" t="str">
        <f t="shared" si="6"/>
        <v>Unrounded!e353</v>
      </c>
      <c r="W63" s="2" t="str">
        <f t="shared" si="6"/>
        <v>Unrounded!f353</v>
      </c>
      <c r="X63" s="2" t="str">
        <f t="shared" si="6"/>
        <v>Unrounded!g353</v>
      </c>
      <c r="Y63" s="2" t="str">
        <f t="shared" si="6"/>
        <v>Unrounded!h353</v>
      </c>
      <c r="Z63" s="2" t="str">
        <f t="shared" si="6"/>
        <v>Unrounded!i353</v>
      </c>
      <c r="AA63" s="2" t="str">
        <f t="shared" si="6"/>
        <v>Unrounded!j353</v>
      </c>
      <c r="AB63" s="2" t="str">
        <f t="shared" si="6"/>
        <v>Unrounded!k353</v>
      </c>
      <c r="AC63" s="2" t="str">
        <f t="shared" si="6"/>
        <v>Unrounded!l353</v>
      </c>
      <c r="AD63" s="2" t="str">
        <f t="shared" si="6"/>
        <v>Unrounded!m353</v>
      </c>
      <c r="AE63" s="2" t="str">
        <f t="shared" si="6"/>
        <v>Unrounded!n353</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354</v>
      </c>
      <c r="R64" s="2"/>
      <c r="S64" s="2"/>
      <c r="T64" s="2" t="str">
        <f t="shared" si="6"/>
        <v>Unrounded!c354</v>
      </c>
      <c r="U64" s="2" t="str">
        <f t="shared" si="6"/>
        <v>Unrounded!d354</v>
      </c>
      <c r="V64" s="2" t="str">
        <f t="shared" si="6"/>
        <v>Unrounded!e354</v>
      </c>
      <c r="W64" s="2" t="str">
        <f t="shared" si="6"/>
        <v>Unrounded!f354</v>
      </c>
      <c r="X64" s="2" t="str">
        <f t="shared" si="6"/>
        <v>Unrounded!g354</v>
      </c>
      <c r="Y64" s="2" t="str">
        <f t="shared" si="6"/>
        <v>Unrounded!h354</v>
      </c>
      <c r="Z64" s="2" t="str">
        <f t="shared" si="6"/>
        <v>Unrounded!i354</v>
      </c>
      <c r="AA64" s="2" t="str">
        <f t="shared" si="6"/>
        <v>Unrounded!j354</v>
      </c>
      <c r="AB64" s="2" t="str">
        <f t="shared" si="6"/>
        <v>Unrounded!k354</v>
      </c>
      <c r="AC64" s="2" t="str">
        <f t="shared" si="6"/>
        <v>Unrounded!l354</v>
      </c>
      <c r="AD64" s="2" t="str">
        <f t="shared" si="6"/>
        <v>Unrounded!m354</v>
      </c>
      <c r="AE64" s="2" t="str">
        <f t="shared" si="6"/>
        <v>Unrounded!n354</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355</v>
      </c>
      <c r="T65" s="2" t="str">
        <f t="shared" si="6"/>
        <v>Unrounded!c355</v>
      </c>
      <c r="U65" s="2" t="str">
        <f t="shared" si="6"/>
        <v>Unrounded!d355</v>
      </c>
      <c r="V65" s="2" t="str">
        <f t="shared" si="6"/>
        <v>Unrounded!e355</v>
      </c>
      <c r="W65" s="2" t="str">
        <f t="shared" si="6"/>
        <v>Unrounded!f355</v>
      </c>
      <c r="X65" s="2" t="str">
        <f t="shared" si="6"/>
        <v>Unrounded!g355</v>
      </c>
      <c r="Y65" s="2" t="str">
        <f t="shared" si="6"/>
        <v>Unrounded!h355</v>
      </c>
      <c r="Z65" s="2" t="str">
        <f t="shared" si="6"/>
        <v>Unrounded!i355</v>
      </c>
      <c r="AA65" s="2" t="str">
        <f t="shared" si="6"/>
        <v>Unrounded!j355</v>
      </c>
      <c r="AB65" s="2" t="str">
        <f t="shared" si="6"/>
        <v>Unrounded!k355</v>
      </c>
      <c r="AC65" s="2" t="str">
        <f t="shared" si="6"/>
        <v>Unrounded!l355</v>
      </c>
      <c r="AD65" s="2" t="str">
        <f t="shared" si="6"/>
        <v>Unrounded!m355</v>
      </c>
      <c r="AE65" s="2" t="str">
        <f t="shared" si="6"/>
        <v>Unrounded!n355</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356</v>
      </c>
      <c r="T66" s="2" t="str">
        <f t="shared" si="6"/>
        <v>Unrounded!c356</v>
      </c>
      <c r="U66" s="2" t="str">
        <f t="shared" si="6"/>
        <v>Unrounded!d356</v>
      </c>
      <c r="V66" s="2" t="str">
        <f t="shared" si="6"/>
        <v>Unrounded!e356</v>
      </c>
      <c r="W66" s="2" t="str">
        <f t="shared" si="6"/>
        <v>Unrounded!f356</v>
      </c>
      <c r="X66" s="2" t="str">
        <f t="shared" si="6"/>
        <v>Unrounded!g356</v>
      </c>
      <c r="Y66" s="2" t="str">
        <f t="shared" si="6"/>
        <v>Unrounded!h356</v>
      </c>
      <c r="Z66" s="2" t="str">
        <f t="shared" si="6"/>
        <v>Unrounded!i356</v>
      </c>
      <c r="AA66" s="2" t="str">
        <f t="shared" si="6"/>
        <v>Unrounded!j356</v>
      </c>
      <c r="AB66" s="2" t="str">
        <f t="shared" si="6"/>
        <v>Unrounded!k356</v>
      </c>
      <c r="AC66" s="2" t="str">
        <f t="shared" si="6"/>
        <v>Unrounded!l356</v>
      </c>
      <c r="AD66" s="2" t="str">
        <f t="shared" si="6"/>
        <v>Unrounded!m356</v>
      </c>
      <c r="AE66" s="2" t="str">
        <f t="shared" si="6"/>
        <v>Unrounded!n356</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357</v>
      </c>
      <c r="T67" s="2" t="str">
        <f t="shared" si="6"/>
        <v>Unrounded!c357</v>
      </c>
      <c r="U67" s="2" t="str">
        <f t="shared" si="6"/>
        <v>Unrounded!d357</v>
      </c>
      <c r="V67" s="2" t="str">
        <f t="shared" si="6"/>
        <v>Unrounded!e357</v>
      </c>
      <c r="W67" s="2" t="str">
        <f t="shared" si="6"/>
        <v>Unrounded!f357</v>
      </c>
      <c r="X67" s="2" t="str">
        <f t="shared" si="6"/>
        <v>Unrounded!g357</v>
      </c>
      <c r="Y67" s="2" t="str">
        <f t="shared" si="6"/>
        <v>Unrounded!h357</v>
      </c>
      <c r="Z67" s="2" t="str">
        <f t="shared" si="6"/>
        <v>Unrounded!i357</v>
      </c>
      <c r="AA67" s="2" t="str">
        <f t="shared" si="6"/>
        <v>Unrounded!j357</v>
      </c>
      <c r="AB67" s="2" t="str">
        <f t="shared" si="6"/>
        <v>Unrounded!k357</v>
      </c>
      <c r="AC67" s="2" t="str">
        <f t="shared" si="6"/>
        <v>Unrounded!l357</v>
      </c>
      <c r="AD67" s="2" t="str">
        <f t="shared" si="6"/>
        <v>Unrounded!m357</v>
      </c>
      <c r="AE67" s="2" t="str">
        <f t="shared" si="6"/>
        <v>Unrounded!n357</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358</v>
      </c>
      <c r="T68" s="2" t="str">
        <f t="shared" ref="T68:AE75" si="8">$R$43&amp;T$51&amp;$Q68</f>
        <v>Unrounded!c358</v>
      </c>
      <c r="U68" s="2" t="str">
        <f t="shared" si="8"/>
        <v>Unrounded!d358</v>
      </c>
      <c r="V68" s="2" t="str">
        <f t="shared" si="8"/>
        <v>Unrounded!e358</v>
      </c>
      <c r="W68" s="2" t="str">
        <f t="shared" si="8"/>
        <v>Unrounded!f358</v>
      </c>
      <c r="X68" s="2" t="str">
        <f t="shared" si="8"/>
        <v>Unrounded!g358</v>
      </c>
      <c r="Y68" s="2" t="str">
        <f t="shared" si="8"/>
        <v>Unrounded!h358</v>
      </c>
      <c r="Z68" s="2" t="str">
        <f t="shared" si="8"/>
        <v>Unrounded!i358</v>
      </c>
      <c r="AA68" s="2" t="str">
        <f t="shared" si="8"/>
        <v>Unrounded!j358</v>
      </c>
      <c r="AB68" s="2" t="str">
        <f t="shared" si="8"/>
        <v>Unrounded!k358</v>
      </c>
      <c r="AC68" s="2" t="str">
        <f t="shared" si="8"/>
        <v>Unrounded!l358</v>
      </c>
      <c r="AD68" s="2" t="str">
        <f t="shared" si="8"/>
        <v>Unrounded!m358</v>
      </c>
      <c r="AE68" s="2" t="str">
        <f t="shared" si="8"/>
        <v>Unrounded!n358</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359</v>
      </c>
      <c r="T69" s="2" t="str">
        <f t="shared" si="8"/>
        <v>Unrounded!c359</v>
      </c>
      <c r="U69" s="2" t="str">
        <f t="shared" si="8"/>
        <v>Unrounded!d359</v>
      </c>
      <c r="V69" s="2" t="str">
        <f t="shared" si="8"/>
        <v>Unrounded!e359</v>
      </c>
      <c r="W69" s="2" t="str">
        <f t="shared" si="8"/>
        <v>Unrounded!f359</v>
      </c>
      <c r="X69" s="2" t="str">
        <f t="shared" si="8"/>
        <v>Unrounded!g359</v>
      </c>
      <c r="Y69" s="2" t="str">
        <f t="shared" si="8"/>
        <v>Unrounded!h359</v>
      </c>
      <c r="Z69" s="2" t="str">
        <f t="shared" si="8"/>
        <v>Unrounded!i359</v>
      </c>
      <c r="AA69" s="2" t="str">
        <f t="shared" si="8"/>
        <v>Unrounded!j359</v>
      </c>
      <c r="AB69" s="2" t="str">
        <f t="shared" si="8"/>
        <v>Unrounded!k359</v>
      </c>
      <c r="AC69" s="2" t="str">
        <f t="shared" si="8"/>
        <v>Unrounded!l359</v>
      </c>
      <c r="AD69" s="2" t="str">
        <f t="shared" si="8"/>
        <v>Unrounded!m359</v>
      </c>
      <c r="AE69" s="2" t="str">
        <f t="shared" si="8"/>
        <v>Unrounded!n359</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360</v>
      </c>
      <c r="T70" s="2" t="str">
        <f t="shared" si="8"/>
        <v>Unrounded!c360</v>
      </c>
      <c r="U70" s="2" t="str">
        <f t="shared" si="8"/>
        <v>Unrounded!d360</v>
      </c>
      <c r="V70" s="2" t="str">
        <f t="shared" si="8"/>
        <v>Unrounded!e360</v>
      </c>
      <c r="W70" s="2" t="str">
        <f t="shared" si="8"/>
        <v>Unrounded!f360</v>
      </c>
      <c r="X70" s="2" t="str">
        <f t="shared" si="8"/>
        <v>Unrounded!g360</v>
      </c>
      <c r="Y70" s="2" t="str">
        <f t="shared" si="8"/>
        <v>Unrounded!h360</v>
      </c>
      <c r="Z70" s="2" t="str">
        <f t="shared" si="8"/>
        <v>Unrounded!i360</v>
      </c>
      <c r="AA70" s="2" t="str">
        <f t="shared" si="8"/>
        <v>Unrounded!j360</v>
      </c>
      <c r="AB70" s="2" t="str">
        <f t="shared" si="8"/>
        <v>Unrounded!k360</v>
      </c>
      <c r="AC70" s="2" t="str">
        <f t="shared" si="8"/>
        <v>Unrounded!l360</v>
      </c>
      <c r="AD70" s="2" t="str">
        <f t="shared" si="8"/>
        <v>Unrounded!m360</v>
      </c>
      <c r="AE70" s="2" t="str">
        <f t="shared" si="8"/>
        <v>Unrounded!n360</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361</v>
      </c>
      <c r="T71" s="2" t="str">
        <f t="shared" si="8"/>
        <v>Unrounded!c361</v>
      </c>
      <c r="U71" s="2" t="str">
        <f t="shared" si="8"/>
        <v>Unrounded!d361</v>
      </c>
      <c r="V71" s="2" t="str">
        <f t="shared" si="8"/>
        <v>Unrounded!e361</v>
      </c>
      <c r="W71" s="2" t="str">
        <f t="shared" si="8"/>
        <v>Unrounded!f361</v>
      </c>
      <c r="X71" s="2" t="str">
        <f t="shared" si="8"/>
        <v>Unrounded!g361</v>
      </c>
      <c r="Y71" s="2" t="str">
        <f t="shared" si="8"/>
        <v>Unrounded!h361</v>
      </c>
      <c r="Z71" s="2" t="str">
        <f t="shared" si="8"/>
        <v>Unrounded!i361</v>
      </c>
      <c r="AA71" s="2" t="str">
        <f t="shared" si="8"/>
        <v>Unrounded!j361</v>
      </c>
      <c r="AB71" s="2" t="str">
        <f t="shared" si="8"/>
        <v>Unrounded!k361</v>
      </c>
      <c r="AC71" s="2" t="str">
        <f t="shared" si="8"/>
        <v>Unrounded!l361</v>
      </c>
      <c r="AD71" s="2" t="str">
        <f t="shared" si="8"/>
        <v>Unrounded!m361</v>
      </c>
      <c r="AE71" s="2" t="str">
        <f t="shared" si="8"/>
        <v>Unrounded!n361</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362</v>
      </c>
      <c r="T72" s="2" t="str">
        <f t="shared" si="8"/>
        <v>Unrounded!c362</v>
      </c>
      <c r="U72" s="2" t="str">
        <f t="shared" si="8"/>
        <v>Unrounded!d362</v>
      </c>
      <c r="V72" s="2" t="str">
        <f t="shared" si="8"/>
        <v>Unrounded!e362</v>
      </c>
      <c r="W72" s="2" t="str">
        <f t="shared" si="8"/>
        <v>Unrounded!f362</v>
      </c>
      <c r="X72" s="2" t="str">
        <f t="shared" si="8"/>
        <v>Unrounded!g362</v>
      </c>
      <c r="Y72" s="2" t="str">
        <f t="shared" si="8"/>
        <v>Unrounded!h362</v>
      </c>
      <c r="Z72" s="2" t="str">
        <f t="shared" si="8"/>
        <v>Unrounded!i362</v>
      </c>
      <c r="AA72" s="2" t="str">
        <f t="shared" si="8"/>
        <v>Unrounded!j362</v>
      </c>
      <c r="AB72" s="2" t="str">
        <f t="shared" si="8"/>
        <v>Unrounded!k362</v>
      </c>
      <c r="AC72" s="2" t="str">
        <f t="shared" si="8"/>
        <v>Unrounded!l362</v>
      </c>
      <c r="AD72" s="2" t="str">
        <f t="shared" si="8"/>
        <v>Unrounded!m362</v>
      </c>
      <c r="AE72" s="2" t="str">
        <f t="shared" si="8"/>
        <v>Unrounded!n362</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363</v>
      </c>
      <c r="T73" s="2" t="str">
        <f t="shared" si="8"/>
        <v>Unrounded!c363</v>
      </c>
      <c r="U73" s="2" t="str">
        <f t="shared" si="8"/>
        <v>Unrounded!d363</v>
      </c>
      <c r="V73" s="2" t="str">
        <f t="shared" si="8"/>
        <v>Unrounded!e363</v>
      </c>
      <c r="W73" s="2" t="str">
        <f t="shared" si="8"/>
        <v>Unrounded!f363</v>
      </c>
      <c r="X73" s="2" t="str">
        <f t="shared" si="8"/>
        <v>Unrounded!g363</v>
      </c>
      <c r="Y73" s="2" t="str">
        <f t="shared" si="8"/>
        <v>Unrounded!h363</v>
      </c>
      <c r="Z73" s="2" t="str">
        <f t="shared" si="8"/>
        <v>Unrounded!i363</v>
      </c>
      <c r="AA73" s="2" t="str">
        <f t="shared" si="8"/>
        <v>Unrounded!j363</v>
      </c>
      <c r="AB73" s="2" t="str">
        <f t="shared" si="8"/>
        <v>Unrounded!k363</v>
      </c>
      <c r="AC73" s="2" t="str">
        <f t="shared" si="8"/>
        <v>Unrounded!l363</v>
      </c>
      <c r="AD73" s="2" t="str">
        <f t="shared" si="8"/>
        <v>Unrounded!m363</v>
      </c>
      <c r="AE73" s="2" t="str">
        <f t="shared" si="8"/>
        <v>Unrounded!n363</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364</v>
      </c>
      <c r="R74" s="2"/>
      <c r="S74" s="2"/>
      <c r="T74" s="2" t="str">
        <f t="shared" si="8"/>
        <v>Unrounded!c364</v>
      </c>
      <c r="U74" s="2" t="str">
        <f t="shared" si="8"/>
        <v>Unrounded!d364</v>
      </c>
      <c r="V74" s="2" t="str">
        <f t="shared" si="8"/>
        <v>Unrounded!e364</v>
      </c>
      <c r="W74" s="2" t="str">
        <f t="shared" si="8"/>
        <v>Unrounded!f364</v>
      </c>
      <c r="X74" s="2" t="str">
        <f t="shared" si="8"/>
        <v>Unrounded!g364</v>
      </c>
      <c r="Y74" s="2" t="str">
        <f t="shared" si="8"/>
        <v>Unrounded!h364</v>
      </c>
      <c r="Z74" s="2" t="str">
        <f t="shared" si="8"/>
        <v>Unrounded!i364</v>
      </c>
      <c r="AA74" s="2" t="str">
        <f t="shared" si="8"/>
        <v>Unrounded!j364</v>
      </c>
      <c r="AB74" s="2" t="str">
        <f t="shared" si="8"/>
        <v>Unrounded!k364</v>
      </c>
      <c r="AC74" s="2" t="str">
        <f t="shared" si="8"/>
        <v>Unrounded!l364</v>
      </c>
      <c r="AD74" s="2" t="str">
        <f t="shared" si="8"/>
        <v>Unrounded!m364</v>
      </c>
      <c r="AE74" s="2" t="str">
        <f t="shared" si="8"/>
        <v>Unrounded!n364</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365</v>
      </c>
      <c r="R75" s="2"/>
      <c r="S75" s="2"/>
      <c r="T75" s="2" t="str">
        <f t="shared" si="8"/>
        <v>Unrounded!c365</v>
      </c>
      <c r="U75" s="2" t="str">
        <f t="shared" si="8"/>
        <v>Unrounded!d365</v>
      </c>
      <c r="V75" s="2" t="str">
        <f t="shared" si="8"/>
        <v>Unrounded!e365</v>
      </c>
      <c r="W75" s="2" t="str">
        <f t="shared" si="8"/>
        <v>Unrounded!f365</v>
      </c>
      <c r="X75" s="2" t="str">
        <f t="shared" si="8"/>
        <v>Unrounded!g365</v>
      </c>
      <c r="Y75" s="2" t="str">
        <f t="shared" si="8"/>
        <v>Unrounded!h365</v>
      </c>
      <c r="Z75" s="2" t="str">
        <f t="shared" si="8"/>
        <v>Unrounded!i365</v>
      </c>
      <c r="AA75" s="2" t="str">
        <f t="shared" si="8"/>
        <v>Unrounded!j365</v>
      </c>
      <c r="AB75" s="2" t="str">
        <f t="shared" si="8"/>
        <v>Unrounded!k365</v>
      </c>
      <c r="AC75" s="2" t="str">
        <f t="shared" si="8"/>
        <v>Unrounded!l365</v>
      </c>
      <c r="AD75" s="2" t="str">
        <f t="shared" si="8"/>
        <v>Unrounded!m365</v>
      </c>
      <c r="AE75" s="2" t="str">
        <f t="shared" si="8"/>
        <v>Unrounded!n365</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365</v>
      </c>
      <c r="T78" s="128" t="str">
        <f t="shared" ref="T78:AE79" si="9">$T$37&amp;T$77&amp;$Q78</f>
        <v>calculation_hide!t365</v>
      </c>
      <c r="U78" s="128" t="str">
        <f t="shared" si="9"/>
        <v>calculation_hide!u365</v>
      </c>
      <c r="V78" s="128" t="str">
        <f t="shared" si="9"/>
        <v>calculation_hide!v365</v>
      </c>
      <c r="W78" s="128" t="str">
        <f t="shared" si="9"/>
        <v>calculation_hide!w365</v>
      </c>
      <c r="X78" s="128" t="str">
        <f t="shared" si="9"/>
        <v>calculation_hide!x365</v>
      </c>
      <c r="Y78" s="128" t="str">
        <f t="shared" si="9"/>
        <v>calculation_hide!y365</v>
      </c>
      <c r="Z78" s="128" t="str">
        <f t="shared" si="9"/>
        <v>calculation_hide!z365</v>
      </c>
      <c r="AA78" s="128" t="str">
        <f t="shared" si="9"/>
        <v>calculation_hide!aa365</v>
      </c>
      <c r="AB78" s="128" t="str">
        <f t="shared" si="9"/>
        <v>calculation_hide!ab365</v>
      </c>
      <c r="AC78" s="128" t="str">
        <f t="shared" si="9"/>
        <v>calculation_hide!ac365</v>
      </c>
      <c r="AD78" s="128" t="str">
        <f t="shared" si="9"/>
        <v>calculation_hide!ad365</v>
      </c>
      <c r="AE78" s="128" t="str">
        <f t="shared" si="9"/>
        <v>calculation_hide!ae365</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377</v>
      </c>
      <c r="T79" s="2" t="str">
        <f t="shared" si="9"/>
        <v>calculation_hide!t377</v>
      </c>
      <c r="U79" s="2" t="str">
        <f t="shared" si="9"/>
        <v>calculation_hide!u377</v>
      </c>
      <c r="V79" s="2" t="str">
        <f t="shared" si="9"/>
        <v>calculation_hide!v377</v>
      </c>
      <c r="W79" s="2" t="str">
        <f t="shared" si="9"/>
        <v>calculation_hide!w377</v>
      </c>
      <c r="X79" s="2" t="str">
        <f t="shared" si="9"/>
        <v>calculation_hide!x377</v>
      </c>
      <c r="Y79" s="2" t="str">
        <f t="shared" si="9"/>
        <v>calculation_hide!y377</v>
      </c>
      <c r="Z79" s="2" t="str">
        <f t="shared" si="9"/>
        <v>calculation_hide!z377</v>
      </c>
      <c r="AA79" s="2" t="str">
        <f t="shared" si="9"/>
        <v>calculation_hide!aa377</v>
      </c>
      <c r="AB79" s="2" t="str">
        <f t="shared" si="9"/>
        <v>calculation_hide!ab377</v>
      </c>
      <c r="AC79" s="2" t="str">
        <f t="shared" si="9"/>
        <v>calculation_hide!ac377</v>
      </c>
      <c r="AD79" s="2" t="str">
        <f t="shared" si="9"/>
        <v>calculation_hide!ad377</v>
      </c>
      <c r="AE79" s="2" t="str">
        <f t="shared" si="9"/>
        <v>calculation_hide!ae377</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6" t="s">
        <v>596</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6" t="s">
        <v>597</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6" t="s">
        <v>598</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6" t="s">
        <v>599</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6" t="s">
        <v>600</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6" t="s">
        <v>601</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6" t="s">
        <v>602</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6" t="s">
        <v>603</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6" t="s">
        <v>595</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6" t="s">
        <v>604</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6" t="s">
        <v>605</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7" t="s">
        <v>606</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6" t="s">
        <v>596</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6" t="s">
        <v>622</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6" t="s">
        <v>623</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6" t="s">
        <v>624</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6" t="s">
        <v>625</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6" t="s">
        <v>626</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6" t="s">
        <v>627</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6" t="s">
        <v>628</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6" t="s">
        <v>629</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6" t="s">
        <v>630</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6" t="s">
        <v>631</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7" t="s">
        <v>632</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6" t="s">
        <v>613</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197" t="s">
        <v>642</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197" t="s">
        <v>643</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197" t="s">
        <v>644</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197" t="s">
        <v>645</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197" t="s">
        <v>646</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197" t="s">
        <v>647</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197" t="s">
        <v>648</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197" t="s">
        <v>649</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197" t="s">
        <v>650</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197" t="s">
        <v>651</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198" t="s">
        <v>652</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16" t="s">
        <v>654</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6" t="s">
        <v>687</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6" t="s">
        <v>688</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6" t="s">
        <v>689</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6" t="s">
        <v>690</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6" t="s">
        <v>691</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6" t="s">
        <v>692</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6" t="s">
        <v>693</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6" t="s">
        <v>694</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6" t="s">
        <v>695</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6" t="s">
        <v>696</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7" t="s">
        <v>697</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176" t="s">
        <v>674</v>
      </c>
      <c r="C365" s="5">
        <f>Month!B355</f>
        <v>3.7301000000000002</v>
      </c>
      <c r="D365" s="5">
        <f>Month!C355</f>
        <v>0.1216</v>
      </c>
      <c r="E365" s="5">
        <f>Month!D355</f>
        <v>1.0999999999999999E-2</v>
      </c>
      <c r="F365" s="5">
        <f>Month!E355</f>
        <v>1.7589999999999999</v>
      </c>
      <c r="G365" s="5">
        <f>Month!F355</f>
        <v>0.55620000000000003</v>
      </c>
      <c r="H365" s="5">
        <f>Month!G355</f>
        <v>4.2299999999999997E-2</v>
      </c>
      <c r="I365" s="5">
        <f>Month!H355</f>
        <v>0.73529999999999995</v>
      </c>
      <c r="J365" s="5">
        <f>Month!I355</f>
        <v>0.4929</v>
      </c>
      <c r="K365" s="5">
        <f>Month!J355</f>
        <v>1.18E-2</v>
      </c>
      <c r="L365" s="5">
        <f>Month!K355</f>
        <v>1.8386</v>
      </c>
      <c r="M365" s="5">
        <f>Month!L355</f>
        <v>1.2823</v>
      </c>
      <c r="N365" s="5">
        <f>Month!M355</f>
        <v>1.8915999999999999</v>
      </c>
    </row>
    <row r="366" spans="1:14">
      <c r="A366" s="26">
        <f>A365</f>
        <v>2024</v>
      </c>
      <c r="B366" s="176" t="s">
        <v>675</v>
      </c>
      <c r="C366" s="5">
        <f>Month!B356+C365</f>
        <v>6.7403000000000004</v>
      </c>
      <c r="D366" s="5">
        <f>Month!C356+D365</f>
        <v>0.18099999999999999</v>
      </c>
      <c r="E366" s="5">
        <f>Month!D356+E365</f>
        <v>1.9900000000000001E-2</v>
      </c>
      <c r="F366" s="5">
        <f>Month!E356+F365</f>
        <v>2.9036</v>
      </c>
      <c r="G366" s="5">
        <f>Month!F356+G365</f>
        <v>1.1493</v>
      </c>
      <c r="H366" s="5">
        <f>Month!G356+H365</f>
        <v>9.0200000000000002E-2</v>
      </c>
      <c r="I366" s="5">
        <f>Month!H356+I365</f>
        <v>1.4059999999999999</v>
      </c>
      <c r="J366" s="5">
        <f>Month!I356+J365</f>
        <v>0.96250000000000002</v>
      </c>
      <c r="K366" s="5">
        <f>Month!J356+K365</f>
        <v>2.7799999999999998E-2</v>
      </c>
      <c r="L366" s="5">
        <f>Month!K356+L365</f>
        <v>3.6358999999999999</v>
      </c>
      <c r="M366" s="5">
        <f>Month!L356+M365</f>
        <v>2.4863999999999997</v>
      </c>
      <c r="N366" s="5">
        <f>Month!M356+N365</f>
        <v>3.1046</v>
      </c>
    </row>
    <row r="367" spans="1:14">
      <c r="A367" s="26">
        <f t="shared" ref="A367:A376" si="17">A366</f>
        <v>2024</v>
      </c>
      <c r="B367" s="176" t="s">
        <v>676</v>
      </c>
      <c r="C367" s="5">
        <f>Month!B357+C366</f>
        <v>9.7125000000000004</v>
      </c>
      <c r="D367" s="5">
        <f>Month!C357+D366</f>
        <v>0.27029999999999998</v>
      </c>
      <c r="E367" s="5">
        <f>Month!D357+E366</f>
        <v>2.8400000000000002E-2</v>
      </c>
      <c r="F367" s="5">
        <f>Month!E357+F366</f>
        <v>3.9806999999999997</v>
      </c>
      <c r="G367" s="5">
        <f>Month!F357+G366</f>
        <v>1.7911000000000001</v>
      </c>
      <c r="H367" s="5">
        <f>Month!G357+H366</f>
        <v>0.1265</v>
      </c>
      <c r="I367" s="5">
        <f>Month!H357+I366</f>
        <v>2.0404999999999998</v>
      </c>
      <c r="J367" s="5">
        <f>Month!I357+J366</f>
        <v>1.4046000000000001</v>
      </c>
      <c r="K367" s="5">
        <f>Month!J357+K366</f>
        <v>7.0500000000000007E-2</v>
      </c>
      <c r="L367" s="5">
        <f>Month!K357+L366</f>
        <v>5.4331999999999994</v>
      </c>
      <c r="M367" s="5">
        <f>Month!L357+M366</f>
        <v>3.6419999999999995</v>
      </c>
      <c r="N367" s="5">
        <f>Month!M357+N366</f>
        <v>4.2793999999999999</v>
      </c>
    </row>
    <row r="368" spans="1:14">
      <c r="A368" s="26">
        <f t="shared" si="17"/>
        <v>2024</v>
      </c>
      <c r="B368" s="176" t="s">
        <v>677</v>
      </c>
      <c r="C368" s="5">
        <f>Month!B358+C367</f>
        <v>12.519500000000001</v>
      </c>
      <c r="D368" s="5">
        <f>Month!C358+D367</f>
        <v>0.3251</v>
      </c>
      <c r="E368" s="5">
        <f>Month!D358+E367</f>
        <v>3.7100000000000001E-2</v>
      </c>
      <c r="F368" s="5">
        <f>Month!E358+F367</f>
        <v>4.7135999999999996</v>
      </c>
      <c r="G368" s="5">
        <f>Month!F358+G367</f>
        <v>2.6414</v>
      </c>
      <c r="H368" s="5">
        <f>Month!G358+H367</f>
        <v>0.15659999999999999</v>
      </c>
      <c r="I368" s="5">
        <f>Month!H358+I367</f>
        <v>2.6783999999999999</v>
      </c>
      <c r="J368" s="5">
        <f>Month!I358+J367</f>
        <v>1.8540000000000001</v>
      </c>
      <c r="K368" s="5">
        <f>Month!J358+K367</f>
        <v>0.1134</v>
      </c>
      <c r="L368" s="5">
        <f>Month!K358+L367</f>
        <v>7.4437999999999995</v>
      </c>
      <c r="M368" s="5">
        <f>Month!L358+M367</f>
        <v>4.8022999999999998</v>
      </c>
      <c r="N368" s="5">
        <f>Month!M358+N367</f>
        <v>5.0758000000000001</v>
      </c>
    </row>
    <row r="369" spans="1:14">
      <c r="A369" s="26">
        <f t="shared" si="17"/>
        <v>2024</v>
      </c>
      <c r="B369" s="176" t="s">
        <v>678</v>
      </c>
      <c r="C369" s="5">
        <f>Month!B359+C368</f>
        <v>15.211200000000002</v>
      </c>
      <c r="D369" s="5">
        <f>Month!C359+D368</f>
        <v>0.35</v>
      </c>
      <c r="E369" s="5">
        <f>Month!D359+E368</f>
        <v>5.0200000000000002E-2</v>
      </c>
      <c r="F369" s="5">
        <f>Month!E359+F368</f>
        <v>5.6904999999999992</v>
      </c>
      <c r="G369" s="5">
        <f>Month!F359+G368</f>
        <v>3.4744000000000002</v>
      </c>
      <c r="H369" s="5">
        <f>Month!G359+H368</f>
        <v>0.1729</v>
      </c>
      <c r="I369" s="5">
        <f>Month!H359+I368</f>
        <v>2.9952999999999999</v>
      </c>
      <c r="J369" s="5">
        <f>Month!I359+J368</f>
        <v>2.3117000000000001</v>
      </c>
      <c r="K369" s="5">
        <f>Month!J359+K368</f>
        <v>0.1663</v>
      </c>
      <c r="L369" s="5">
        <f>Month!K359+L368</f>
        <v>9.1205999999999996</v>
      </c>
      <c r="M369" s="5">
        <f>Month!L359+M368</f>
        <v>5.6460999999999997</v>
      </c>
      <c r="N369" s="5">
        <f>Month!M359+N368</f>
        <v>6.0907999999999998</v>
      </c>
    </row>
    <row r="370" spans="1:14">
      <c r="A370" s="26">
        <f t="shared" si="17"/>
        <v>2024</v>
      </c>
      <c r="B370" s="176" t="s">
        <v>679</v>
      </c>
      <c r="C370" s="5">
        <f>Month!B360+C369</f>
        <v>17.640300000000003</v>
      </c>
      <c r="D370" s="5">
        <f>Month!C360+D369</f>
        <v>0.35549999999999998</v>
      </c>
      <c r="E370" s="5">
        <f>Month!D360+E369</f>
        <v>6.1400000000000003E-2</v>
      </c>
      <c r="F370" s="5">
        <f>Month!E360+F369</f>
        <v>6.4402999999999988</v>
      </c>
      <c r="G370" s="5">
        <f>Month!F360+G369</f>
        <v>4.2510000000000003</v>
      </c>
      <c r="H370" s="5">
        <f>Month!G360+H369</f>
        <v>0.18729999999999999</v>
      </c>
      <c r="I370" s="5">
        <f>Month!H360+I369</f>
        <v>3.3914</v>
      </c>
      <c r="J370" s="5">
        <f>Month!I360+J369</f>
        <v>2.7265000000000001</v>
      </c>
      <c r="K370" s="5">
        <f>Month!J360+K369</f>
        <v>0.22689999999999999</v>
      </c>
      <c r="L370" s="5">
        <f>Month!K360+L369</f>
        <v>10.783199999999999</v>
      </c>
      <c r="M370" s="5">
        <f>Month!L360+M369</f>
        <v>6.5320999999999998</v>
      </c>
      <c r="N370" s="5">
        <f>Month!M360+N369</f>
        <v>6.8572999999999995</v>
      </c>
    </row>
    <row r="371" spans="1:14">
      <c r="A371" s="26">
        <f t="shared" si="17"/>
        <v>2024</v>
      </c>
      <c r="B371" s="176" t="s">
        <v>680</v>
      </c>
      <c r="C371" s="5">
        <f>Month!B361+C370</f>
        <v>20.222300000000004</v>
      </c>
      <c r="D371" s="5">
        <f>Month!C361+D370</f>
        <v>0.38189999999999996</v>
      </c>
      <c r="E371" s="5">
        <f>Month!D361+E370</f>
        <v>6.9400000000000003E-2</v>
      </c>
      <c r="F371" s="5">
        <f>Month!E361+F370</f>
        <v>7.3396999999999988</v>
      </c>
      <c r="G371" s="5">
        <f>Month!F361+G370</f>
        <v>5.0311000000000003</v>
      </c>
      <c r="H371" s="5">
        <f>Month!G361+H370</f>
        <v>0.20379999999999998</v>
      </c>
      <c r="I371" s="5">
        <f>Month!H361+I370</f>
        <v>3.7393000000000001</v>
      </c>
      <c r="J371" s="5">
        <f>Month!I361+J370</f>
        <v>3.1762000000000001</v>
      </c>
      <c r="K371" s="5">
        <f>Month!J361+K370</f>
        <v>0.28099999999999997</v>
      </c>
      <c r="L371" s="5">
        <f>Month!K361+L370</f>
        <v>12.4315</v>
      </c>
      <c r="M371" s="5">
        <f>Month!L361+M370</f>
        <v>7.4002999999999997</v>
      </c>
      <c r="N371" s="5">
        <f>Month!M361+N370</f>
        <v>7.7910999999999992</v>
      </c>
    </row>
    <row r="372" spans="1:14">
      <c r="A372" s="26">
        <f t="shared" si="17"/>
        <v>2024</v>
      </c>
      <c r="B372" s="176" t="s">
        <v>681</v>
      </c>
      <c r="C372" s="5">
        <f>Month!B362+C371</f>
        <v>22.849700000000006</v>
      </c>
      <c r="D372" s="5">
        <f>Month!C362+D371</f>
        <v>0.39539999999999997</v>
      </c>
      <c r="E372" s="5">
        <f>Month!D362+E371</f>
        <v>7.9399999999999998E-2</v>
      </c>
      <c r="F372" s="5">
        <f>Month!E362+F371</f>
        <v>7.9974999999999987</v>
      </c>
      <c r="G372" s="5">
        <f>Month!F362+G371</f>
        <v>5.9245000000000001</v>
      </c>
      <c r="H372" s="5">
        <f>Month!G362+H371</f>
        <v>0.22839999999999999</v>
      </c>
      <c r="I372" s="5">
        <f>Month!H362+I371</f>
        <v>4.2658000000000005</v>
      </c>
      <c r="J372" s="5">
        <f>Month!I362+J371</f>
        <v>3.6264000000000003</v>
      </c>
      <c r="K372" s="5">
        <f>Month!J362+K371</f>
        <v>0.33239999999999997</v>
      </c>
      <c r="L372" s="5">
        <f>Month!K362+L371</f>
        <v>14.3775</v>
      </c>
      <c r="M372" s="5">
        <f>Month!L362+M371</f>
        <v>8.4528999999999996</v>
      </c>
      <c r="N372" s="5">
        <f>Month!M362+N371</f>
        <v>8.4725000000000001</v>
      </c>
    </row>
    <row r="373" spans="1:14">
      <c r="A373" s="26">
        <f t="shared" si="17"/>
        <v>2024</v>
      </c>
      <c r="B373" s="176" t="s">
        <v>682</v>
      </c>
      <c r="C373" s="5">
        <f>Month!B363+C372</f>
        <v>25.607400000000005</v>
      </c>
      <c r="D373" s="5">
        <f>Month!C363+D372</f>
        <v>0.41459999999999997</v>
      </c>
      <c r="E373" s="5">
        <f>Month!D363+E372</f>
        <v>9.06E-2</v>
      </c>
      <c r="F373" s="5">
        <f>Month!E363+F372</f>
        <v>8.975699999999998</v>
      </c>
      <c r="G373" s="5">
        <f>Month!F363+G372</f>
        <v>6.7030000000000003</v>
      </c>
      <c r="H373" s="5">
        <f>Month!G363+H372</f>
        <v>0.25309999999999999</v>
      </c>
      <c r="I373" s="5">
        <f>Month!H363+I372</f>
        <v>4.7015000000000002</v>
      </c>
      <c r="J373" s="5">
        <f>Month!I363+J372</f>
        <v>4.1021000000000001</v>
      </c>
      <c r="K373" s="5">
        <f>Month!J363+K372</f>
        <v>0.36679999999999996</v>
      </c>
      <c r="L373" s="5">
        <f>Month!K363+L372</f>
        <v>16.1266</v>
      </c>
      <c r="M373" s="5">
        <f>Month!L363+M372</f>
        <v>9.4234999999999989</v>
      </c>
      <c r="N373" s="5">
        <f>Month!M363+N372</f>
        <v>9.4810999999999996</v>
      </c>
    </row>
    <row r="374" spans="1:14">
      <c r="A374" s="26">
        <f t="shared" si="17"/>
        <v>2024</v>
      </c>
      <c r="B374" s="176" t="s">
        <v>683</v>
      </c>
      <c r="C374" s="5">
        <f>Month!B364+C373</f>
        <v>28.683100000000007</v>
      </c>
      <c r="D374" s="5">
        <f>Month!C364+D373</f>
        <v>0.41459999999999997</v>
      </c>
      <c r="E374" s="5">
        <f>Month!D364+E373</f>
        <v>9.9000000000000005E-2</v>
      </c>
      <c r="F374" s="5">
        <f>Month!E364+F373</f>
        <v>10.195099999999998</v>
      </c>
      <c r="G374" s="5">
        <f>Month!F364+G373</f>
        <v>7.3981000000000003</v>
      </c>
      <c r="H374" s="5">
        <f>Month!G364+H373</f>
        <v>0.27499999999999997</v>
      </c>
      <c r="I374" s="5">
        <f>Month!H364+I373</f>
        <v>5.2655000000000003</v>
      </c>
      <c r="J374" s="5">
        <f>Month!I364+J373</f>
        <v>4.6440000000000001</v>
      </c>
      <c r="K374" s="5">
        <f>Month!J364+K373</f>
        <v>0.39179999999999998</v>
      </c>
      <c r="L374" s="5">
        <f>Month!K364+L373</f>
        <v>17.974499999999999</v>
      </c>
      <c r="M374" s="5">
        <f>Month!L364+M373</f>
        <v>10.5764</v>
      </c>
      <c r="N374" s="5">
        <f>Month!M364+N373</f>
        <v>10.7088</v>
      </c>
    </row>
    <row r="375" spans="1:14">
      <c r="A375" s="26">
        <f t="shared" si="17"/>
        <v>2024</v>
      </c>
      <c r="B375" s="176" t="s">
        <v>684</v>
      </c>
      <c r="C375" s="5">
        <f>Month!B365+C374</f>
        <v>32.155400000000007</v>
      </c>
      <c r="D375" s="5">
        <f>Month!C365+D374</f>
        <v>0.41459999999999997</v>
      </c>
      <c r="E375" s="5">
        <f>Month!D365+E374</f>
        <v>0.11070000000000001</v>
      </c>
      <c r="F375" s="5">
        <f>Month!E365+F374</f>
        <v>11.897699999999999</v>
      </c>
      <c r="G375" s="5">
        <f>Month!F365+G374</f>
        <v>8.0915999999999997</v>
      </c>
      <c r="H375" s="5">
        <f>Month!G365+H374</f>
        <v>0.29599999999999999</v>
      </c>
      <c r="I375" s="5">
        <f>Month!H365+I374</f>
        <v>5.7812999999999999</v>
      </c>
      <c r="J375" s="5">
        <f>Month!I365+J374</f>
        <v>5.1612</v>
      </c>
      <c r="K375" s="5">
        <f>Month!J365+K374</f>
        <v>0.40239999999999998</v>
      </c>
      <c r="L375" s="5">
        <f>Month!K365+L374</f>
        <v>19.732499999999998</v>
      </c>
      <c r="M375" s="5">
        <f>Month!L365+M374</f>
        <v>11.6409</v>
      </c>
      <c r="N375" s="5">
        <f>Month!M365+N374</f>
        <v>12.4231</v>
      </c>
    </row>
    <row r="376" spans="1:14">
      <c r="A376" s="27">
        <f t="shared" si="17"/>
        <v>2024</v>
      </c>
      <c r="B376" s="177" t="s">
        <v>685</v>
      </c>
      <c r="C376" s="5">
        <f>Month!B366+C375</f>
        <v>35.486700000000006</v>
      </c>
      <c r="D376" s="5">
        <f>Month!C366+D375</f>
        <v>0.41459999999999997</v>
      </c>
      <c r="E376" s="5">
        <f>Month!D366+E375</f>
        <v>0.11910000000000001</v>
      </c>
      <c r="F376" s="5">
        <f>Month!E366+F375</f>
        <v>13.247499999999999</v>
      </c>
      <c r="G376" s="5">
        <f>Month!F366+G375</f>
        <v>8.7885999999999989</v>
      </c>
      <c r="H376" s="5">
        <f>Month!G366+H375</f>
        <v>0.34670000000000001</v>
      </c>
      <c r="I376" s="5">
        <f>Month!H366+I375</f>
        <v>6.5457000000000001</v>
      </c>
      <c r="J376" s="5">
        <f>Month!I366+J375</f>
        <v>5.6159999999999997</v>
      </c>
      <c r="K376" s="5">
        <f>Month!J366+K375</f>
        <v>0.40859999999999996</v>
      </c>
      <c r="L376" s="5">
        <f>Month!K366+L375</f>
        <v>21.705599999999997</v>
      </c>
      <c r="M376" s="5">
        <f>Month!L366+M375</f>
        <v>12.917</v>
      </c>
      <c r="N376" s="5">
        <f>Month!M366+N375</f>
        <v>13.7813</v>
      </c>
    </row>
    <row r="377" spans="1:14">
      <c r="A377" s="26">
        <v>2025</v>
      </c>
      <c r="B377" s="176" t="s">
        <v>719</v>
      </c>
      <c r="C377" s="228">
        <f>Month!B367</f>
        <v>3.8315999999999999</v>
      </c>
      <c r="D377" s="228">
        <f>Month!C367</f>
        <v>0</v>
      </c>
      <c r="E377" s="228">
        <f>Month!D367</f>
        <v>1.0999999999999999E-2</v>
      </c>
      <c r="F377" s="228">
        <f>Month!E367</f>
        <v>1.9469000000000001</v>
      </c>
      <c r="G377" s="228">
        <f>Month!F367</f>
        <v>0.745</v>
      </c>
      <c r="H377" s="228">
        <f>Month!G367</f>
        <v>4.2000000000000003E-2</v>
      </c>
      <c r="I377" s="228">
        <f>Month!H367</f>
        <v>0.56999999999999995</v>
      </c>
      <c r="J377" s="228">
        <f>Month!I367</f>
        <v>0.50549999999999995</v>
      </c>
      <c r="K377" s="228">
        <f>Month!J367</f>
        <v>1.12E-2</v>
      </c>
      <c r="L377" s="228">
        <f>Month!K367</f>
        <v>1.8735999999999999</v>
      </c>
      <c r="M377" s="228">
        <f>Month!L367</f>
        <v>1.1286</v>
      </c>
      <c r="N377" s="228">
        <f>Month!M367</f>
        <v>1.958</v>
      </c>
    </row>
    <row r="378" spans="1:14">
      <c r="A378" s="26">
        <f>A377</f>
        <v>2025</v>
      </c>
      <c r="B378" s="176" t="s">
        <v>720</v>
      </c>
      <c r="J378" s="5"/>
    </row>
    <row r="379" spans="1:14">
      <c r="A379" s="26">
        <f t="shared" ref="A379:A388" si="18">A378</f>
        <v>2025</v>
      </c>
      <c r="B379" s="176" t="s">
        <v>721</v>
      </c>
      <c r="J379" s="5"/>
    </row>
    <row r="380" spans="1:14">
      <c r="A380" s="26">
        <f t="shared" si="18"/>
        <v>2025</v>
      </c>
      <c r="B380" s="176" t="s">
        <v>722</v>
      </c>
      <c r="J380" s="5"/>
    </row>
    <row r="381" spans="1:14">
      <c r="A381" s="26">
        <f t="shared" si="18"/>
        <v>2025</v>
      </c>
      <c r="B381" s="176" t="s">
        <v>723</v>
      </c>
      <c r="J381" s="5"/>
    </row>
    <row r="382" spans="1:14">
      <c r="A382" s="26">
        <f t="shared" si="18"/>
        <v>2025</v>
      </c>
      <c r="B382" s="176" t="s">
        <v>724</v>
      </c>
      <c r="J382" s="5"/>
    </row>
    <row r="383" spans="1:14">
      <c r="A383" s="26">
        <f t="shared" si="18"/>
        <v>2025</v>
      </c>
      <c r="B383" s="176" t="s">
        <v>725</v>
      </c>
      <c r="J383" s="5"/>
    </row>
    <row r="384" spans="1:14">
      <c r="A384" s="26">
        <f t="shared" si="18"/>
        <v>2025</v>
      </c>
      <c r="B384" s="176" t="s">
        <v>726</v>
      </c>
      <c r="J384" s="5"/>
    </row>
    <row r="385" spans="1:14">
      <c r="A385" s="26">
        <f t="shared" si="18"/>
        <v>2025</v>
      </c>
      <c r="B385" s="176" t="s">
        <v>727</v>
      </c>
      <c r="J385" s="5"/>
    </row>
    <row r="386" spans="1:14">
      <c r="A386" s="26">
        <f t="shared" si="18"/>
        <v>2025</v>
      </c>
      <c r="B386" s="176" t="s">
        <v>728</v>
      </c>
      <c r="J386" s="5"/>
    </row>
    <row r="387" spans="1:14">
      <c r="A387" s="26">
        <f t="shared" si="18"/>
        <v>2025</v>
      </c>
      <c r="B387" s="176" t="s">
        <v>729</v>
      </c>
      <c r="J387" s="5"/>
    </row>
    <row r="388" spans="1:14">
      <c r="A388" s="27">
        <f t="shared" si="18"/>
        <v>2025</v>
      </c>
      <c r="B388" s="177" t="s">
        <v>730</v>
      </c>
      <c r="C388" s="16"/>
      <c r="D388" s="16"/>
      <c r="E388" s="16"/>
      <c r="F388" s="16"/>
      <c r="G388" s="16"/>
      <c r="H388" s="16"/>
      <c r="I388" s="16"/>
      <c r="J388" s="16"/>
      <c r="K388" s="16"/>
      <c r="L388" s="16"/>
      <c r="M388" s="16"/>
      <c r="N388" s="16"/>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2025-03-24T14:08:38Z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